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0" yWindow="30" windowWidth="7260" windowHeight="7320" tabRatio="601" activeTab="1"/>
  </bookViews>
  <sheets>
    <sheet name="Doc" sheetId="1" r:id="rId1"/>
    <sheet name="Outputs to CRA" sheetId="2" r:id="rId2"/>
    <sheet name="Inputs" sheetId="3" r:id="rId3"/>
    <sheet name="Inputs DK" sheetId="4" r:id="rId4"/>
    <sheet name="10.0.1" sheetId="5" r:id="rId5"/>
    <sheet name="10.0.2" sheetId="6" r:id="rId6"/>
    <sheet name="10.0.3 P1" sheetId="7" r:id="rId7"/>
    <sheet name="10.0.3 P2" sheetId="8" r:id="rId8"/>
    <sheet name="10.0.4" sheetId="9" r:id="rId9"/>
    <sheet name="10.1.1" sheetId="10" r:id="rId10"/>
    <sheet name="10.1.2" sheetId="11" r:id="rId11"/>
    <sheet name="10.2.1" sheetId="12" r:id="rId12"/>
    <sheet name="10.2.2" sheetId="13" r:id="rId13"/>
    <sheet name="Endnotes" sheetId="14" r:id="rId14"/>
  </sheets>
  <externalReferences>
    <externalReference r:id="rId17"/>
  </externalReferences>
  <definedNames>
    <definedName name="_10.1.2_P1" localSheetId="10">'10.1.2'!$A$1:$O$63</definedName>
    <definedName name="_10.1.2_P1" localSheetId="12">'10.2.2'!$A$1:$O$63</definedName>
    <definedName name="_10.1.2_P2" localSheetId="10">'10.1.2'!#REF!</definedName>
    <definedName name="_10.1.2_P2" localSheetId="12">'10.2.2'!#REF!</definedName>
    <definedName name="_10.1.2_P3" localSheetId="10">'10.1.2'!#REF!</definedName>
    <definedName name="_10.1.2_P3" localSheetId="12">'10.2.2'!#REF!</definedName>
    <definedName name="_10.1.2_P4" localSheetId="10">'10.1.2'!#REF!</definedName>
    <definedName name="_10.1.2_P4" localSheetId="12">'10.2.2'!#REF!</definedName>
    <definedName name="_Fill" localSheetId="11" hidden="1">'10.2.1'!$A$10:$A$27</definedName>
    <definedName name="_Fill" hidden="1">'10.1.1'!$A$10:$A$27</definedName>
    <definedName name="Classes">'Outputs to CRA'!$C$11:$C$62</definedName>
    <definedName name="Components">'Outputs to CRA'!$D$9:$F$9</definedName>
    <definedName name="Matrix">'Outputs to CRA'!$D$11:$F$62</definedName>
    <definedName name="_xlnm.Print_Area" localSheetId="9">'10.1.1'!$A$1:$L$27</definedName>
    <definedName name="_xlnm.Print_Area" localSheetId="11">'10.2.1'!$A$1:$L$27</definedName>
    <definedName name="_xlnm.Print_Area" localSheetId="13">'Endnotes'!$A$1:$D$20</definedName>
    <definedName name="_xlnm.Print_Titles" localSheetId="7">'10.0.3 P2'!$1:$9</definedName>
    <definedName name="_xlnm.Print_Titles" localSheetId="8">'10.0.4'!$A:$B,'10.0.4'!$1:$9</definedName>
    <definedName name="_xlnm.Print_Titles" localSheetId="10">'10.1.2'!$A:$B,'10.1.2'!$1:$9</definedName>
    <definedName name="_xlnm.Print_Titles" localSheetId="12">'10.2.2'!$A:$B,'10.2.2'!$1:$9</definedName>
    <definedName name="_xlnm.Print_Titles" localSheetId="13">'Endnotes'!$1:$5</definedName>
    <definedName name="_xlnm.Print_Titles" localSheetId="2">'Inputs'!$1:$4</definedName>
    <definedName name="_xlnm.Print_Titles" localSheetId="3">'Inputs DK'!$A:$B,'Inputs DK'!$1:$9</definedName>
    <definedName name="_xlnm.Print_Titles" localSheetId="1">'Outputs to CRA'!$A:$B,'Outputs to CRA'!$1:$9</definedName>
  </definedNames>
  <calcPr fullCalcOnLoad="1" iterate="1" iterateCount="100" iterateDelta="0.001"/>
</workbook>
</file>

<file path=xl/comments4.xml><?xml version="1.0" encoding="utf-8"?>
<comments xmlns="http://schemas.openxmlformats.org/spreadsheetml/2006/main">
  <authors>
    <author>A satisfied Microsoft Office user</author>
  </authors>
  <commentList>
    <comment ref="L60" authorId="0">
      <text>
        <r>
          <rPr>
            <sz val="8"/>
            <rFont val="Tahoma"/>
            <family val="0"/>
          </rPr>
          <t>Return receipts and Registered with COD included in Other.</t>
        </r>
      </text>
    </comment>
    <comment ref="L61" authorId="0">
      <text>
        <r>
          <rPr>
            <sz val="8"/>
            <rFont val="Tahoma"/>
            <family val="0"/>
          </rPr>
          <t xml:space="preserve">Nancy Kay:
Total special services does not include return receipts and Registered with COD
</t>
        </r>
      </text>
    </comment>
  </commentList>
</comments>
</file>

<file path=xl/comments9.xml><?xml version="1.0" encoding="utf-8"?>
<comments xmlns="http://schemas.openxmlformats.org/spreadsheetml/2006/main">
  <authors>
    <author>A satisfied Microsoft Office user</author>
  </authors>
  <commentList>
    <comment ref="J60" authorId="0">
      <text>
        <r>
          <rPr>
            <sz val="8"/>
            <rFont val="Tahoma"/>
            <family val="0"/>
          </rPr>
          <t>Return receipts and Registered with COD included in Other.</t>
        </r>
      </text>
    </comment>
    <comment ref="J61" authorId="0">
      <text>
        <r>
          <rPr>
            <sz val="8"/>
            <rFont val="Tahoma"/>
            <family val="0"/>
          </rPr>
          <t xml:space="preserve">Nancy Kay:
Total special services does not include return receipts and Registered with COD
</t>
        </r>
      </text>
    </comment>
  </commentList>
</comments>
</file>

<file path=xl/sharedStrings.xml><?xml version="1.0" encoding="utf-8"?>
<sst xmlns="http://schemas.openxmlformats.org/spreadsheetml/2006/main" count="567" uniqueCount="239">
  <si>
    <t>C/S 10 RURAL CARRIERS</t>
  </si>
  <si>
    <t xml:space="preserve">DOCUMENTATION </t>
  </si>
  <si>
    <t>TAB NAME</t>
  </si>
  <si>
    <t>WORKSHEET TITLE</t>
  </si>
  <si>
    <t>DESCRIPTION</t>
  </si>
  <si>
    <t>OUTPUTS TO CRA</t>
  </si>
  <si>
    <t>OUTPUTS TO CRA MODEL</t>
  </si>
  <si>
    <t>This worksheet contains outputs for components 69, 70, and 73 to be entered into the CRA model.  Components 69 and 70 are distributed using adjusted Rural CCS volumes.  Total accrued cost for component 73 is entered undistributed.</t>
  </si>
  <si>
    <t>INPUTS</t>
  </si>
  <si>
    <t xml:space="preserve">This worksheet contains all input data for cost segment 10, except for distribution key inputs.  Most input data are linked to I_Forms.xls, although some numbers are input directly on the worksheet. </t>
  </si>
  <si>
    <t>DK INPUTS</t>
  </si>
  <si>
    <t>DISTRIBUTION KEY INPUTS</t>
  </si>
  <si>
    <t>This worksheet contains distribution key inputs.  This page links directly to the I_Forms.xls file to read in Rural Carrier Cost System distribution key volumes for each relevant rural evaluation item.</t>
  </si>
  <si>
    <t>WS 10.0.1</t>
  </si>
  <si>
    <t>EVALUATED AND OTHER ROUTES, ALLOCATION OF ACCRUED AND VVC</t>
  </si>
  <si>
    <t>This worksheet splits rural carrier accrued cost into evaluated and other routes, and then determines the portions of costs that are volume variable.</t>
  </si>
  <si>
    <t>WS 10.0.2</t>
  </si>
  <si>
    <t>PAY DATA SPLIT FACTOR</t>
  </si>
  <si>
    <t>This worksheet develops the percentage of payroll costs for evaluated and for other routes by fiscal year.</t>
  </si>
  <si>
    <t>WS 10.1.1</t>
  </si>
  <si>
    <t>DEVELOPMENT OF EVALUATED ROUTE VVC</t>
  </si>
  <si>
    <t>WS 10.2.1</t>
  </si>
  <si>
    <t>DEVELOPMENT OF OTHER ROUTE VVC</t>
  </si>
  <si>
    <t>WS 10.0.3 P1</t>
  </si>
  <si>
    <t>MAIL SHAPE ADJUSTMENT, PART 1</t>
  </si>
  <si>
    <t>This worksheet determines the percentage of Rural CCS letters that must be converted to flats to make the letter/flat ratio reconcile with the Rural Mail Count.</t>
  </si>
  <si>
    <t>WS 10.0.3 P2</t>
  </si>
  <si>
    <t>MAIL SHAPE ADJUSTMENT, PART 2</t>
  </si>
  <si>
    <t>For the PRC version, the letters distribution key includes DPS volumes.  
This worksheet was formerly available in LR-H-193.</t>
  </si>
  <si>
    <t>WS 10.0.4</t>
  </si>
  <si>
    <t>DISTRIBUTION KEYS</t>
  </si>
  <si>
    <t>WS 10.1.2</t>
  </si>
  <si>
    <t>DISTRIBUTION OF EVALUATED ROUTES VVC</t>
  </si>
  <si>
    <t>WS 10.2.2</t>
  </si>
  <si>
    <t>DISTRIBUTION OF OTHER ROUTES VVC</t>
  </si>
  <si>
    <t>ENDNOTES</t>
  </si>
  <si>
    <t>This worksheet contains footnotes for all worksheets in cost segment 10.</t>
  </si>
  <si>
    <t>LINE NO</t>
  </si>
  <si>
    <t>CLASS, SUBCLASS, OR SPECIAL SERVICE</t>
  </si>
  <si>
    <t>CRA CLASS</t>
  </si>
  <si>
    <t>EVALUATED ROUTES</t>
  </si>
  <si>
    <t>OTHER ROUTES</t>
  </si>
  <si>
    <t>EQUIPMENT MAINTENANCE ALLOWANCE</t>
  </si>
  <si>
    <t>COLUMN NUMBER</t>
  </si>
  <si>
    <t>UNITS</t>
  </si>
  <si>
    <t>$(000)</t>
  </si>
  <si>
    <t>COLUMN SOURCE/NOTES</t>
  </si>
  <si>
    <t>MODEL COMPONENT</t>
  </si>
  <si>
    <t>FIRST-CLASS MAIL:</t>
  </si>
  <si>
    <t xml:space="preserve">   SINGLE-PIECE LETTERS</t>
  </si>
  <si>
    <t xml:space="preserve">   PRESORT LETTERS</t>
  </si>
  <si>
    <t xml:space="preserve">        TOTAL LETTERS</t>
  </si>
  <si>
    <t xml:space="preserve">   SINGLE-PIECE CARDS</t>
  </si>
  <si>
    <t xml:space="preserve">   PRESORT CARDS</t>
  </si>
  <si>
    <t xml:space="preserve">        TOTAL CARDS</t>
  </si>
  <si>
    <t xml:space="preserve">TOTAL FIRST-CLASS </t>
  </si>
  <si>
    <t>PRIORITY MAIL</t>
  </si>
  <si>
    <t>EXPRESS MAIL</t>
  </si>
  <si>
    <t>MAILGRAMS</t>
  </si>
  <si>
    <t>PERIODICALS:</t>
  </si>
  <si>
    <t xml:space="preserve">   IN-COUNTY</t>
  </si>
  <si>
    <t xml:space="preserve">   OUTSIDE COUNTY:</t>
  </si>
  <si>
    <t xml:space="preserve">      REGULAR</t>
  </si>
  <si>
    <t xml:space="preserve">      NON-PROFIT</t>
  </si>
  <si>
    <t xml:space="preserve">      CLASSROOM</t>
  </si>
  <si>
    <t>TOTAL PERIODICALS</t>
  </si>
  <si>
    <t>STANDARD MAIL (A):</t>
  </si>
  <si>
    <t xml:space="preserve">   SINGLE-PIECE RATE</t>
  </si>
  <si>
    <t xml:space="preserve">   COMMERCIAL STANDARD:</t>
  </si>
  <si>
    <t xml:space="preserve">    ENHANCED CARR RTE</t>
  </si>
  <si>
    <t xml:space="preserve">    REGULAR</t>
  </si>
  <si>
    <t xml:space="preserve">      TOTAL COMMERCIAL</t>
  </si>
  <si>
    <t xml:space="preserve">   AGGREGATE NONPROFIT:</t>
  </si>
  <si>
    <t xml:space="preserve">    NONPROF ENH CARR RTE</t>
  </si>
  <si>
    <t xml:space="preserve">    NONPROFIT</t>
  </si>
  <si>
    <t xml:space="preserve">       TOTAL AGGREG NONPROFIT</t>
  </si>
  <si>
    <t>TOTAL STANDARD (A)</t>
  </si>
  <si>
    <t>STANDARD MAIL (B):</t>
  </si>
  <si>
    <t xml:space="preserve">   PARCELS ZONE RATE</t>
  </si>
  <si>
    <t xml:space="preserve">   BOUND PRINTED MATTER</t>
  </si>
  <si>
    <t xml:space="preserve">   SPECIAL STANDARD</t>
  </si>
  <si>
    <t xml:space="preserve">   LIBRARY MAIL</t>
  </si>
  <si>
    <t>TOTAL STANDARD (B)</t>
  </si>
  <si>
    <t>US POSTAL SERVICE</t>
  </si>
  <si>
    <t>FREE MAIL</t>
  </si>
  <si>
    <t>INTERNATIONAL MAIL</t>
  </si>
  <si>
    <t>TOTAL MAIL</t>
  </si>
  <si>
    <t>SPECIAL SERVICES:</t>
  </si>
  <si>
    <t xml:space="preserve">   REGISTRY</t>
  </si>
  <si>
    <t xml:space="preserve">   CERTIFIED</t>
  </si>
  <si>
    <t xml:space="preserve">   INSURANCE</t>
  </si>
  <si>
    <t xml:space="preserve">   COD</t>
  </si>
  <si>
    <t xml:space="preserve">   SPECIAL DELIVERY</t>
  </si>
  <si>
    <t xml:space="preserve">   MONEY ORDERS</t>
  </si>
  <si>
    <t xml:space="preserve">   STAMPED ENVELOPES</t>
  </si>
  <si>
    <t xml:space="preserve">   SPECIAL HANDLING</t>
  </si>
  <si>
    <t xml:space="preserve">   POST OFFICE BOX</t>
  </si>
  <si>
    <t xml:space="preserve">   OTHER</t>
  </si>
  <si>
    <t>TOTAL SPECIAL SERVICES</t>
  </si>
  <si>
    <t>TOTAL VOLUME VARIABLE</t>
  </si>
  <si>
    <t>OTHER</t>
  </si>
  <si>
    <t>TOTAL COSTS</t>
  </si>
  <si>
    <t>PROCEED (+ 2 or - 2)</t>
  </si>
  <si>
    <t>Calculated Component Value=Total Costs of Evaluated Routes, Other Routes, &amp; EMA</t>
  </si>
  <si>
    <t>Actual Component Value=Total Accrued Costs Rural Carrier Routes &amp; Equipment Maintenance</t>
  </si>
  <si>
    <t>ACCRUED COSTS</t>
  </si>
  <si>
    <t>VARIABILITY FACTORS</t>
  </si>
  <si>
    <t>%</t>
  </si>
  <si>
    <t>LINKS FROM</t>
  </si>
  <si>
    <t>I_Forms.xls</t>
  </si>
  <si>
    <t>DATA SOURCE</t>
  </si>
  <si>
    <t>Stmt of Rev &amp; Exp</t>
  </si>
  <si>
    <t>R97-1, USPS-T-17</t>
  </si>
  <si>
    <t>SUBACCT .112 &amp; .648 (RURAL CARRIER PERS COSTS)</t>
  </si>
  <si>
    <t>ACCT 52462 &amp; 52463 (EQUIP MAINTENANCE ALLOW)</t>
  </si>
  <si>
    <t>EVALUATED
ROUTES (H, J, K)</t>
  </si>
  <si>
    <t>OTHER ROUTES
(A, M)</t>
  </si>
  <si>
    <t>AAN335P1 - Pay Data Table 16</t>
  </si>
  <si>
    <t>AAN335P1 - Pay Data Table 17</t>
  </si>
  <si>
    <t>AAN335P1 - Pay Data Table 18</t>
  </si>
  <si>
    <t>AAN335P1 - Pay Data Table 19</t>
  </si>
  <si>
    <t>PQ 1</t>
  </si>
  <si>
    <t>PQ 2</t>
  </si>
  <si>
    <t>PQ 3</t>
  </si>
  <si>
    <t>PQ 4</t>
  </si>
  <si>
    <t>PIECE COUNTS</t>
  </si>
  <si>
    <t>Pieces (000)</t>
  </si>
  <si>
    <t>R2000-1, LR-I-152</t>
  </si>
  <si>
    <t>NATIONAL MAIL COUNT DPS</t>
  </si>
  <si>
    <t>NATIONAL MAIL COUNT SECTOR SEGMENT</t>
  </si>
  <si>
    <t>NATIONAL MAIL COUNT LETTERS</t>
  </si>
  <si>
    <t>NATIONAL MAIL COUNT FLATS</t>
  </si>
  <si>
    <t>2858R (CCS) SURVEY DATA LETTERS</t>
  </si>
  <si>
    <t>2858R (CCS) SURVEY DATA FLATS</t>
  </si>
  <si>
    <t>2858R (CCS) SURVEY DATA POSTAL CARDS</t>
  </si>
  <si>
    <t>2858R (CCS) SURVEY DATA NS POSTCARDS</t>
  </si>
  <si>
    <t>2858R (CCS) SURVEY DATA PS POSTCARDS</t>
  </si>
  <si>
    <t>2858R (CCS) SURVEY DATA MAILGRAMS</t>
  </si>
  <si>
    <t>DPS/SECTOR ADJUST PERCENT</t>
  </si>
  <si>
    <t xml:space="preserve">    REGULAR ECR</t>
  </si>
  <si>
    <t xml:space="preserve">    NONPROFIT ECR</t>
  </si>
  <si>
    <t>W/S 10.1.1, 10.2.1 - DEVELOPMENT OF EVALUATED AND OTHER ROUTE VOLUME VARIABLE COSTS</t>
  </si>
  <si>
    <t>AVERAGE WEEKLY PIECES - EVALUATED ROUTES</t>
  </si>
  <si>
    <t>AVERAGE WEEKLY PIECES - OTHER ROUTES</t>
  </si>
  <si>
    <t>EVALUATION FACTOR</t>
  </si>
  <si>
    <t>Pieces/ Week</t>
  </si>
  <si>
    <t>Minutes/ Piece</t>
  </si>
  <si>
    <t>R97-1, LR-H-192</t>
  </si>
  <si>
    <t>R97-1, LR H-33, Sec VI</t>
  </si>
  <si>
    <t xml:space="preserve"> LETTERS DELIVERED</t>
  </si>
  <si>
    <t xml:space="preserve"> FLATS DELIVERED</t>
  </si>
  <si>
    <t xml:space="preserve"> PARCELS DELIVERED</t>
  </si>
  <si>
    <t xml:space="preserve"> BOXHOLDERS DELIVERED</t>
  </si>
  <si>
    <t xml:space="preserve"> COD DELIVERED</t>
  </si>
  <si>
    <t xml:space="preserve"> ACCOUNTABLES DELIVERED</t>
  </si>
  <si>
    <t xml:space="preserve"> DPS</t>
  </si>
  <si>
    <t xml:space="preserve"> SECTOR SEGMENT</t>
  </si>
  <si>
    <t xml:space="preserve"> POSTAGE DUE</t>
  </si>
  <si>
    <t xml:space="preserve"> RETURN RECEIPTS</t>
  </si>
  <si>
    <t xml:space="preserve"> LETTERS/FLATS COLLECTED</t>
  </si>
  <si>
    <t xml:space="preserve"> PARCELS ACCEPTED</t>
  </si>
  <si>
    <t xml:space="preserve"> ACCOUNTABLES ACCEPTED</t>
  </si>
  <si>
    <t xml:space="preserve"> MONEY ORDERS</t>
  </si>
  <si>
    <t xml:space="preserve"> VEHICLE LOADING</t>
  </si>
  <si>
    <t xml:space="preserve"> MARKUPS</t>
  </si>
  <si>
    <t>RPW PIECES</t>
  </si>
  <si>
    <t>UNADJUSTED LETTERS DEL</t>
  </si>
  <si>
    <t>UNADJUSTED FLATS DEL</t>
  </si>
  <si>
    <t>PARCELS DEL</t>
  </si>
  <si>
    <t>BOXHLDRS DEL</t>
  </si>
  <si>
    <t>ACCTBLS DEL</t>
  </si>
  <si>
    <t>POSTAGE DUE</t>
  </si>
  <si>
    <t>LTRS/FLATS COLLECTED</t>
  </si>
  <si>
    <t>PARCELS ACCEPTED</t>
  </si>
  <si>
    <t>ACCTBLS ACCEPTED</t>
  </si>
  <si>
    <t>DPS DEL</t>
  </si>
  <si>
    <t xml:space="preserve">RPW </t>
  </si>
  <si>
    <t>Rural CCS</t>
  </si>
  <si>
    <t>BUNDLED</t>
  </si>
  <si>
    <t xml:space="preserve">   STMPD CARDS &amp; ENVELOPES</t>
  </si>
  <si>
    <t>TOTAL VOLUME</t>
  </si>
  <si>
    <t>ITEM</t>
  </si>
  <si>
    <t>SPLIT FACTOR</t>
  </si>
  <si>
    <t>VOLUME VARIABLE COSTS</t>
  </si>
  <si>
    <t>OTHER COSTS</t>
  </si>
  <si>
    <t>CALCULATIONS</t>
  </si>
  <si>
    <t>TOTAL RUR CARRIER ROUTES (SUBS .112 &amp; .648)</t>
  </si>
  <si>
    <t>EQUIP MAINT ALLOWANCE (ACCTS 52462 &amp; 52463)</t>
  </si>
  <si>
    <t>TOTAL RURAL CARRIERS</t>
  </si>
  <si>
    <t>QUARTER</t>
  </si>
  <si>
    <t>SPLIT FACTOR EVALUATED ROUTES</t>
  </si>
  <si>
    <t>SPLIT FACTOR OTHER ROUTES</t>
  </si>
  <si>
    <t>TOTAL</t>
  </si>
  <si>
    <t>REDISTRIBUTION OF 2858R PIECES</t>
  </si>
  <si>
    <t>PIECES TO ADJUST</t>
  </si>
  <si>
    <t>% RECLASSIFIED AS FLATS</t>
  </si>
  <si>
    <t xml:space="preserve">% DPS </t>
  </si>
  <si>
    <t>R2000-1, LR-I-152, LR-I-17</t>
  </si>
  <si>
    <t>1998  NATIONAL MAIL COUNT</t>
  </si>
  <si>
    <t>LETTERS (INCLUDES DPS &amp; SECTOR SEGMENT)</t>
  </si>
  <si>
    <t>FLATS</t>
  </si>
  <si>
    <t xml:space="preserve">FY 1998 2858R SURVEY DATA </t>
  </si>
  <si>
    <t>LETTERS</t>
  </si>
  <si>
    <t>FY 1998 2858R SURVEY - CLASSES WITHOUT FLATS</t>
  </si>
  <si>
    <t>ADJUSTED 2858R LETTERS</t>
  </si>
  <si>
    <t>% LETTERS RECLASSIFIED AS FLATS</t>
  </si>
  <si>
    <t>% LETTERS REMAINING</t>
  </si>
  <si>
    <t xml:space="preserve">ADJUSTED LETTERS </t>
  </si>
  <si>
    <t>DPS/SECTOR SEGMENT</t>
  </si>
  <si>
    <t>ADJUSTED LETTERS</t>
  </si>
  <si>
    <t>UNADJUSTED FLATS</t>
  </si>
  <si>
    <t>FLATS FROM UNADJUSTED LETTERS</t>
  </si>
  <si>
    <t>ADJUSTED FLATS</t>
  </si>
  <si>
    <t xml:space="preserve"> </t>
  </si>
  <si>
    <t>WS 1.1.2</t>
  </si>
  <si>
    <t>ROUTE EVALUATION ITEM</t>
  </si>
  <si>
    <t>AVERAGE WEEKLY PIECES</t>
  </si>
  <si>
    <t>UNADJUSTED ALLOWANCE</t>
  </si>
  <si>
    <t>VEHICLE LOAD DISTRIB</t>
  </si>
  <si>
    <t>MARKUPS DISTRIB</t>
  </si>
  <si>
    <t>ADJUSTED WEEKLY EVAL ALLOWANCE</t>
  </si>
  <si>
    <t>% BUNDLES IN DELIVERY PARCEL VOL</t>
  </si>
  <si>
    <t>BNDLD LTRS AND FLATS DISTRIB</t>
  </si>
  <si>
    <t>ADJ DELIV &amp; COLL MAIL COSTS</t>
  </si>
  <si>
    <t>Minutes/ Week</t>
  </si>
  <si>
    <t>VOLUME VARIABLE</t>
  </si>
  <si>
    <t>LETTERS DEL</t>
  </si>
  <si>
    <t>FLATS DEL</t>
  </si>
  <si>
    <t>DPS/SEC SEG</t>
  </si>
  <si>
    <t>LTR/FLATS COLLECTED</t>
  </si>
  <si>
    <t>SPECIAL SERVICES</t>
  </si>
  <si>
    <t>[a]</t>
  </si>
  <si>
    <t>The reclassification factor is not applied to the Cards or Mailgrams subclasses, which have no flats.</t>
  </si>
  <si>
    <t>Source:  MC95-1 USPS-T-7 Exhibit E, p 4 of 6.  DPS and Sector Segment are 23% of Non-Presorted Letters and 24% of Non-Presorted Postcards.</t>
  </si>
  <si>
    <t>Source:  R97-1, LR H-129.  DPS and Sector Segment are 34.1216% of First-Class Presort volume, 25.36% of Standard A Other volume, and 30.91% of Standard A Non-Profit Other volume.</t>
  </si>
  <si>
    <t>The Parcels Delivered, Postage Due, and Ltrs/Flats Collected distribution key excludes bundled letters/flats in totals.</t>
  </si>
  <si>
    <t>Total pieces for accountables excludes return receipts and registered with COD from category Special Services Other.</t>
  </si>
  <si>
    <t>Excludes bundled letters and flats.</t>
  </si>
  <si>
    <t>Accountables distribution excludes volumes for return receipts and registered with COD.</t>
  </si>
</sst>
</file>

<file path=xl/styles.xml><?xml version="1.0" encoding="utf-8"?>
<styleSheet xmlns="http://schemas.openxmlformats.org/spreadsheetml/2006/main">
  <numFmts count="20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_);\(#,##0.00000\)"/>
    <numFmt numFmtId="165" formatCode="#,##0.000_);\(#,##0.000\)"/>
    <numFmt numFmtId="166" formatCode="0.00000_)"/>
    <numFmt numFmtId="167" formatCode="0.0000_)"/>
    <numFmt numFmtId="168" formatCode="0.000000_)"/>
    <numFmt numFmtId="169" formatCode="General_)"/>
    <numFmt numFmtId="170" formatCode="0.00_)"/>
    <numFmt numFmtId="171" formatCode="0.0%"/>
    <numFmt numFmtId="172" formatCode=";;;"/>
    <numFmt numFmtId="173" formatCode="0.000%"/>
    <numFmt numFmtId="174" formatCode="0.00000%"/>
    <numFmt numFmtId="175" formatCode="0_)"/>
    <numFmt numFmtId="176" formatCode="0.000_)"/>
    <numFmt numFmtId="177" formatCode="0.000000000_)"/>
    <numFmt numFmtId="178" formatCode="0.00000000_)"/>
    <numFmt numFmtId="179" formatCode="0.000000%"/>
    <numFmt numFmtId="180" formatCode="0.0000000%"/>
    <numFmt numFmtId="181" formatCode="#,##0.0000_);\(#,##0.0000\)"/>
    <numFmt numFmtId="182" formatCode="0.0000000_)"/>
    <numFmt numFmtId="183" formatCode="_(* #,##0.000_);_(* \(#,##0.000\);_(* &quot;-&quot;??_);_(@_)"/>
    <numFmt numFmtId="184" formatCode="_(* #,##0.0000_);_(* \(#,##0.0000\);_(* &quot;-&quot;??_);_(@_)"/>
    <numFmt numFmtId="185" formatCode="_(* #,##0.0_);_(* \(#,##0.0\);_(* &quot;-&quot;??_);_(@_)"/>
    <numFmt numFmtId="186" formatCode="_(* #,##0_);_(* \(#,##0\);_(* &quot;-&quot;??_);_(@_)"/>
    <numFmt numFmtId="187" formatCode="&quot;$&quot;#,##0.0_);\(&quot;$&quot;#,##0.0\)"/>
    <numFmt numFmtId="188" formatCode="#,##0.0"/>
    <numFmt numFmtId="189" formatCode="0.0"/>
    <numFmt numFmtId="190" formatCode="0.000"/>
    <numFmt numFmtId="191" formatCode="&quot;$&quot;#,##0.0_);[Red]\(&quot;$&quot;#,##0.0\)"/>
    <numFmt numFmtId="192" formatCode="&quot;$&quot;#,##0.000_);\(&quot;$&quot;#,##0.000\)"/>
    <numFmt numFmtId="193" formatCode="&quot;$&quot;#,##0.0000_);\(&quot;$&quot;#,##0.0000\)"/>
    <numFmt numFmtId="194" formatCode="&quot;$&quot;#,##0.00000_);\(&quot;$&quot;#,##0.00000\)"/>
    <numFmt numFmtId="195" formatCode="&quot;$&quot;#,##0.000000_);\(&quot;$&quot;#,##0.000000\)"/>
    <numFmt numFmtId="196" formatCode="#,##0.0_);\(#,##0.0\)"/>
    <numFmt numFmtId="197" formatCode="&quot;$&quot;#,##0_)"/>
    <numFmt numFmtId="198" formatCode="#,##0;\(#,##0\)"/>
    <numFmt numFmtId="199" formatCode="&quot;$&quot;#,##0;\(&quot;$&quot;#,##0\)"/>
    <numFmt numFmtId="200" formatCode="&quot;$&quot;#,##0.0;\(&quot;$&quot;#,##0.0\)"/>
    <numFmt numFmtId="201" formatCode="&quot;$&quot;#,##0.00;\(&quot;$&quot;#,##0.00\)"/>
    <numFmt numFmtId="202" formatCode="&quot;$&quot;#,##0;[Red]\(&quot;$&quot;#,##0\)"/>
    <numFmt numFmtId="203" formatCode="#,##0.0;\(#,##0.0\)"/>
    <numFmt numFmtId="204" formatCode="#,##0.00;\(#,##0.00\)"/>
    <numFmt numFmtId="205" formatCode="#,##0.000;\(#,##0.000\)"/>
    <numFmt numFmtId="206" formatCode="#,##0.000"/>
    <numFmt numFmtId="207" formatCode="#,##0.0000"/>
    <numFmt numFmtId="208" formatCode="#,##0.00000"/>
    <numFmt numFmtId="209" formatCode="0.00000"/>
    <numFmt numFmtId="210" formatCode="0.0000"/>
    <numFmt numFmtId="211" formatCode="&quot;$&quot;#,##0.0"/>
    <numFmt numFmtId="212" formatCode="&quot;$&quot;#,##0.000;\(&quot;$&quot;#,##0.000\)"/>
    <numFmt numFmtId="213" formatCode="&quot;$&quot;#,##0.0\);\(&quot;$&quot;#,##0.0\)"/>
    <numFmt numFmtId="214" formatCode="#,##0.0\);\(#,##0.0\)"/>
    <numFmt numFmtId="215" formatCode="&quot;$&quot;#,##0.0;[Red]\(&quot;$&quot;#,##0.0\)"/>
    <numFmt numFmtId="216" formatCode="0.00000000000000000"/>
    <numFmt numFmtId="217" formatCode="0.0000000000000000"/>
    <numFmt numFmtId="218" formatCode="0.000000000000000"/>
    <numFmt numFmtId="219" formatCode="0.00000000000000"/>
    <numFmt numFmtId="220" formatCode="&quot;$&quot;#,##0.0000000_);\(&quot;$&quot;#,##0.0000000\)"/>
    <numFmt numFmtId="221" formatCode="&quot;$&quot;#,##0.00000000_);\(&quot;$&quot;#,##0.00000000\)"/>
    <numFmt numFmtId="222" formatCode="0.00000000"/>
    <numFmt numFmtId="223" formatCode="0.0000000"/>
    <numFmt numFmtId="224" formatCode="0.000000"/>
    <numFmt numFmtId="225" formatCode="&quot;$&quot;#,##0.000_);[Red]\(&quot;$&quot;#,##0.000\)"/>
    <numFmt numFmtId="226" formatCode="&quot;$&quot;#,##0.0000_);[Red]\(&quot;$&quot;#,##0.0000\)"/>
    <numFmt numFmtId="227" formatCode="&quot;$&quot;#,##0.00000_);[Red]\(&quot;$&quot;#,##0.00000\)"/>
    <numFmt numFmtId="228" formatCode="&quot;$&quot;#,##0.000000_);[Red]\(&quot;$&quot;#,##0.000000\)"/>
    <numFmt numFmtId="229" formatCode="&quot;$&quot;#,##0"/>
    <numFmt numFmtId="230" formatCode="#,##0.000000"/>
    <numFmt numFmtId="231" formatCode="&quot;$&quot;#,##0.00;[Red]\(&quot;$&quot;#,##0.00\)"/>
    <numFmt numFmtId="232" formatCode="&quot;$&quot;#,##0.000;[Red]\(&quot;$&quot;#,##0.000\)"/>
    <numFmt numFmtId="233" formatCode="&quot;$&quot;#,##0.0000;[Red]\(&quot;$&quot;#,##0.0000\)"/>
    <numFmt numFmtId="234" formatCode="&quot;$&quot;#,##0.00000;[Red]\(&quot;$&quot;#,##0.00000\)"/>
    <numFmt numFmtId="235" formatCode="&quot;$&quot;#,##0.00"/>
    <numFmt numFmtId="236" formatCode="&quot;$&quot;#,##0.000"/>
    <numFmt numFmtId="237" formatCode="&quot;$&quot;#,##0.0000"/>
    <numFmt numFmtId="238" formatCode="&quot;$&quot;#,##0.00000"/>
    <numFmt numFmtId="239" formatCode="&quot;$&quot;#,##0.000000"/>
    <numFmt numFmtId="240" formatCode="&quot;$&quot;#,##0.0000000"/>
    <numFmt numFmtId="241" formatCode="&quot;$&quot;#,##0.0000;\(&quot;$&quot;#,##0.0000\)"/>
    <numFmt numFmtId="242" formatCode="&quot;$&quot;#,##0.00000;\(&quot;$&quot;#,##0.00000\)"/>
    <numFmt numFmtId="243" formatCode="&quot;$&quot;#,##0.000000;\(&quot;$&quot;#,##0.000000\)"/>
    <numFmt numFmtId="244" formatCode="&quot;$&quot;#,##0\);[Red]\(&quot;$&quot;#,##0\)"/>
    <numFmt numFmtId="245" formatCode="#,##0;\(&quot;$&quot;#,##0\)"/>
    <numFmt numFmtId="246" formatCode="&quot;$&quot;#,##0.000;\(&quot;$&quot;#,##0\)"/>
    <numFmt numFmtId="247" formatCode="&quot;$&quot;#,##0.000;[Red]\(&quot;$&quot;#,##0.0\)"/>
    <numFmt numFmtId="248" formatCode="&quot;$&quot;#,##0;[Red]\(&quot;$&quot;#,##0.0\)"/>
    <numFmt numFmtId="249" formatCode="#,##0.00;\(#,##0\)"/>
    <numFmt numFmtId="250" formatCode="#,##0.000;\(#,##0\)"/>
    <numFmt numFmtId="251" formatCode="&quot;$&quot;#,##0.00;\(&quot;$&quot;#,##0.0\)"/>
    <numFmt numFmtId="252" formatCode="&quot;$&quot;#,##0.000;\(&quot;$&quot;#,##0.0\)"/>
    <numFmt numFmtId="253" formatCode="&quot;$&quot;#,##0.000000;\(&quot;$&quot;#,##0.00\)"/>
    <numFmt numFmtId="254" formatCode="_(&quot;$&quot;* #,##0.0_);_(&quot;$&quot;* \(#,##0.0\);_(&quot;$&quot;* &quot;-&quot;??_);_(@_)"/>
    <numFmt numFmtId="255" formatCode="_(&quot;$&quot;* #,##0_);_(&quot;$&quot;* \(#,##0\);_(&quot;$&quot;* &quot;-&quot;??_);_(@_)"/>
    <numFmt numFmtId="256" formatCode="&quot;$&quot;#,##0.0;[Red]\(&quot;$&quot;#,##0.00\)"/>
    <numFmt numFmtId="257" formatCode="&quot;$&quot;#,##0.00;[Red]\(&quot;$&quot;#,##0.000\)"/>
    <numFmt numFmtId="258" formatCode="_(&quot;$&quot;* #,##0.000_);_(&quot;$&quot;* \(#,##0.000\);_(&quot;$&quot;* &quot;-&quot;??_);_(@_)"/>
    <numFmt numFmtId="259" formatCode="_(&quot;$&quot;* #,##0.0000_);_(&quot;$&quot;* \(#,##0.0000\);_(&quot;$&quot;* &quot;-&quot;??_);_(@_)"/>
    <numFmt numFmtId="260" formatCode="#,##0.0000000"/>
    <numFmt numFmtId="261" formatCode="#,##0.00000000"/>
    <numFmt numFmtId="262" formatCode="#,##0.000000000"/>
    <numFmt numFmtId="263" formatCode="#,##0.0000000000"/>
    <numFmt numFmtId="264" formatCode="_(* #,##0.00000_);_(* \(#,##0.00000\);_(* &quot;-&quot;??_);_(@_)"/>
    <numFmt numFmtId="265" formatCode="_(* #,##0.000000_);_(* \(#,##0.000000\);_(* &quot;-&quot;??_);_(@_)"/>
    <numFmt numFmtId="266" formatCode="_(* #,##0.0000000_);_(* \(#,##0.0000000\);_(* &quot;-&quot;??_);_(@_)"/>
    <numFmt numFmtId="267" formatCode="_(* #,##0.00000000_);_(* \(#,##0.00000000\);_(* &quot;-&quot;??_);_(@_)"/>
    <numFmt numFmtId="268" formatCode="&quot;$&quot;#,##0.0_)"/>
    <numFmt numFmtId="269" formatCode="&quot;$&quot;#,##0.00_)"/>
    <numFmt numFmtId="270" formatCode="&quot;$&quot;#,##0.00\);\(&quot;$&quot;#,##0.00\)"/>
    <numFmt numFmtId="271" formatCode="0.000000000"/>
    <numFmt numFmtId="272" formatCode="0.0000000000"/>
    <numFmt numFmtId="273" formatCode="0.00000000000"/>
    <numFmt numFmtId="274" formatCode="0.000000000000"/>
    <numFmt numFmtId="275" formatCode="0.0000000000000"/>
    <numFmt numFmtId="276" formatCode="d\ mmm\ yy"/>
    <numFmt numFmtId="277" formatCode="dd\ mmm\ yy\ h:mm"/>
    <numFmt numFmtId="278" formatCode="dd\ mmm\ yy\ \a\t\ h:mm"/>
    <numFmt numFmtId="279" formatCode="0.00%;[Red]\(0.00%\)"/>
    <numFmt numFmtId="280" formatCode="#,##0.000_);[Red]\(#,##0.000\)"/>
    <numFmt numFmtId="281" formatCode="#,##0.0000_);[Red]\(#,##0.0000\)"/>
    <numFmt numFmtId="282" formatCode="#,##0.0_);[Red]\(#,##0.0\)"/>
    <numFmt numFmtId="283" formatCode="#,##0.000_);\(#,##0.00\)"/>
    <numFmt numFmtId="284" formatCode="#,##0.00000_);[Red]\(#,##0.00000\)"/>
    <numFmt numFmtId="285" formatCode="#,##0.000000_);[Red]\(#,##0.000000\)"/>
    <numFmt numFmtId="286" formatCode="#,##0.0000000_);[Red]\(#,##0.0000000\)"/>
    <numFmt numFmtId="287" formatCode="0.0000%"/>
    <numFmt numFmtId="288" formatCode="m/d/yy\ "/>
    <numFmt numFmtId="289" formatCode="00"/>
    <numFmt numFmtId="290" formatCode="0,000"/>
    <numFmt numFmtId="291" formatCode="&quot;$&quot;#,##0.000000000_);\(&quot;$&quot;#,##0.000000000\)"/>
    <numFmt numFmtId="292" formatCode="&quot;$&quot;#,##0.0000000000_);\(&quot;$&quot;#,##0.0000000000\)"/>
    <numFmt numFmtId="293" formatCode="_(&quot;$&quot;* #,##0.00000_);_(&quot;$&quot;* \(#,##0.00000\);_(&quot;$&quot;* &quot;-&quot;??_);_(@_)"/>
    <numFmt numFmtId="294" formatCode="_(&quot;$&quot;* #,##0.000000_);_(&quot;$&quot;* \(#,##0.000000\);_(&quot;$&quot;* &quot;-&quot;??_);_(@_)"/>
    <numFmt numFmtId="295" formatCode="_(&quot;$&quot;* #,##0.0000000_);_(&quot;$&quot;* \(#,##0.0000000\);_(&quot;$&quot;* &quot;-&quot;??_);_(@_)"/>
    <numFmt numFmtId="296" formatCode="_(&quot;$&quot;* #,##0.00000000_);_(&quot;$&quot;* \(#,##0.00000000\);_(&quot;$&quot;* &quot;-&quot;??_);_(@_)"/>
    <numFmt numFmtId="297" formatCode="_(&quot;$&quot;* #,##0.000000000_);_(&quot;$&quot;* \(#,##0.000000000\);_(&quot;$&quot;* &quot;-&quot;??_);_(@_)"/>
    <numFmt numFmtId="298" formatCode="_(&quot;$&quot;* #,##0.0000000000_);_(&quot;$&quot;* \(#,##0.0000000000\);_(&quot;$&quot;* &quot;-&quot;??_);_(@_)"/>
    <numFmt numFmtId="299" formatCode="&quot;$&quot;#,##0.0000000;\(&quot;$&quot;#,##0.000\)"/>
    <numFmt numFmtId="300" formatCode="&quot;$&quot;#,##0.00000000;\(&quot;$&quot;#,##0.0000\)"/>
    <numFmt numFmtId="301" formatCode="&quot;$&quot;#,##0.000000000;\(&quot;$&quot;#,##0.00000\)"/>
    <numFmt numFmtId="302" formatCode="&quot;$&quot;#,##0.0000000000;\(&quot;$&quot;#,##0.000000\)"/>
    <numFmt numFmtId="303" formatCode="&quot;$&quot;#,##0.00000;\(&quot;$&quot;#,##0.0\)"/>
    <numFmt numFmtId="304" formatCode="&quot;$&quot;#,##0.0000;\(&quot;$&quot;#,##0\)"/>
    <numFmt numFmtId="305" formatCode="&quot;$&quot;#,##0.00;\(&quot;$&quot;#,##0\)"/>
    <numFmt numFmtId="306" formatCode="&quot;$&quot;#,##0.0;\(&quot;$&quot;#,##0\)"/>
    <numFmt numFmtId="307" formatCode="&quot;$&quot;#,##0.00000000"/>
    <numFmt numFmtId="308" formatCode="&quot;$&quot;#,##0.000000000"/>
    <numFmt numFmtId="309" formatCode="0_);\(0\)"/>
    <numFmt numFmtId="310" formatCode="0.000000E+00"/>
    <numFmt numFmtId="311" formatCode="0.0000000E+00"/>
    <numFmt numFmtId="312" formatCode="0.00000000E+00"/>
    <numFmt numFmtId="313" formatCode="0.000000000E+00"/>
    <numFmt numFmtId="314" formatCode="0.0000000000E+00"/>
    <numFmt numFmtId="315" formatCode="&quot;$&quot;#,##0.0000000000"/>
    <numFmt numFmtId="316" formatCode="#,##0.00000000000"/>
    <numFmt numFmtId="317" formatCode="&quot;$&quot;#,##0.00000000000"/>
    <numFmt numFmtId="318" formatCode="&quot;$&quot;#,##0.000000000000"/>
    <numFmt numFmtId="319" formatCode="&quot;$&quot;#,##0.0000000000000"/>
    <numFmt numFmtId="320" formatCode="&quot;$&quot;#,##0.00000000000000"/>
    <numFmt numFmtId="321" formatCode="&quot;$&quot;#,##0.000000000000000"/>
    <numFmt numFmtId="322" formatCode="&quot;$&quot;#,##0.0000000000000000"/>
    <numFmt numFmtId="323" formatCode="&quot;$&quot;#,##0.00000000000000000"/>
    <numFmt numFmtId="324" formatCode="&quot;$&quot;#,##0.000000000000000000"/>
    <numFmt numFmtId="325" formatCode="&quot;$&quot;#,##0.0000000000000000000"/>
    <numFmt numFmtId="326" formatCode="&quot;$&quot;#,##0.00000000000000000000"/>
    <numFmt numFmtId="327" formatCode="&quot;$&quot;#,##0.000000000000000000000"/>
    <numFmt numFmtId="328" formatCode="&quot;$&quot;#,##0.0000000000000000000000"/>
    <numFmt numFmtId="329" formatCode="&quot;$&quot;#,##0.00000000000000000000000"/>
    <numFmt numFmtId="330" formatCode="&quot;$&quot;#,##0.000000000000000000000000"/>
    <numFmt numFmtId="331" formatCode="&quot;$&quot;#,##0.0000000000000000000000000"/>
    <numFmt numFmtId="332" formatCode="&quot;$&quot;#,##0.00000000000000000000000000"/>
    <numFmt numFmtId="333" formatCode="&quot;$&quot;#,##0.000000000000000000000000000"/>
    <numFmt numFmtId="334" formatCode="&quot;$&quot;#,##0.0000000000000000000000000000"/>
    <numFmt numFmtId="335" formatCode="&quot;$&quot;#,##0.00000000000000000000000000000"/>
    <numFmt numFmtId="336" formatCode="000#"/>
    <numFmt numFmtId="337" formatCode="00\-0000"/>
    <numFmt numFmtId="338" formatCode="0000"/>
    <numFmt numFmtId="339" formatCode="[&lt;=9999999]###\-####;\(###\)\ ###\-####"/>
    <numFmt numFmtId="340" formatCode="00000\-0000"/>
    <numFmt numFmtId="341" formatCode="mm/dd/yy"/>
    <numFmt numFmtId="342" formatCode="0;[Red]0"/>
    <numFmt numFmtId="343" formatCode="&quot;£&quot;#,##0;\-&quot;£&quot;#,##0"/>
    <numFmt numFmtId="344" formatCode="&quot;£&quot;#,##0;[Red]\-&quot;£&quot;#,##0"/>
    <numFmt numFmtId="345" formatCode="&quot;£&quot;#,##0.00;\-&quot;£&quot;#,##0.00"/>
    <numFmt numFmtId="346" formatCode="&quot;£&quot;#,##0.00;[Red]\-&quot;£&quot;#,##0.00"/>
    <numFmt numFmtId="347" formatCode="_-&quot;£&quot;* #,##0_-;\-&quot;£&quot;* #,##0_-;_-&quot;£&quot;* &quot;-&quot;_-;_-@_-"/>
    <numFmt numFmtId="348" formatCode="_-&quot;£&quot;* #,##0.00_-;\-&quot;£&quot;* #,##0.00_-;_-&quot;£&quot;* &quot;-&quot;??_-;_-@_-"/>
    <numFmt numFmtId="349" formatCode="m/dd/yy"/>
    <numFmt numFmtId="350" formatCode="0.0000;[Red]0.0000"/>
    <numFmt numFmtId="351" formatCode="mmmm\-yy"/>
    <numFmt numFmtId="352" formatCode="_(&quot;$&quot;* #,##0.0000_);_(&quot;$&quot;* \(#,##0.0000\);_(&quot;$&quot;* &quot;-&quot;????_);_(@_)"/>
    <numFmt numFmtId="353" formatCode="_(&quot;$&quot;* #,##0.0_);_(&quot;$&quot;* \(#,##0.0\);_(&quot;$&quot;* &quot;-&quot;_);_(@_)"/>
    <numFmt numFmtId="354" formatCode="_(* #,##0.0_);_(* \(#,##0.0\);_(* &quot;-&quot;_);_(@_)"/>
    <numFmt numFmtId="355" formatCode="_(* #,##0.0_);_(* \(#,##0.0\);_(* &quot;-&quot;?_);_(@_)"/>
    <numFmt numFmtId="356" formatCode="_(&quot;$&quot;* #,##0.0_);_(&quot;$&quot;* \(#,##0.0\);_(&quot;$&quot;* &quot;-&quot;?_);_(@_)"/>
    <numFmt numFmtId="357" formatCode="dddd&quot;, &quot;mmmm\ dd&quot;, &quot;yyyy"/>
    <numFmt numFmtId="358" formatCode="mmmm\ d\,\ yyyy"/>
    <numFmt numFmtId="359" formatCode="#,##0&quot;£&quot;_);\(#,##0&quot;£&quot;\)"/>
    <numFmt numFmtId="360" formatCode="#,##0&quot;£&quot;_);[Red]\(#,##0&quot;£&quot;\)"/>
  </numFmts>
  <fonts count="36">
    <font>
      <sz val="12"/>
      <name val="Helv"/>
      <family val="0"/>
    </font>
    <font>
      <b/>
      <sz val="10"/>
      <name val="Arial"/>
      <family val="0"/>
    </font>
    <font>
      <i/>
      <sz val="10"/>
      <name val="Arial"/>
      <family val="0"/>
    </font>
    <font>
      <b/>
      <i/>
      <sz val="10"/>
      <name val="Arial"/>
      <family val="0"/>
    </font>
    <font>
      <sz val="10"/>
      <name val="Arial"/>
      <family val="0"/>
    </font>
    <font>
      <sz val="8"/>
      <name val="Arial"/>
      <family val="2"/>
    </font>
    <font>
      <sz val="10"/>
      <name val="MS Sans Serif"/>
      <family val="0"/>
    </font>
    <font>
      <sz val="10"/>
      <name val="Geneva"/>
      <family val="0"/>
    </font>
    <font>
      <sz val="10.05"/>
      <color indexed="8"/>
      <name val="Times New Roman"/>
      <family val="0"/>
    </font>
    <font>
      <sz val="10"/>
      <name val="Times New Roman"/>
      <family val="0"/>
    </font>
    <font>
      <sz val="10"/>
      <color indexed="8"/>
      <name val="MS Sans Serif"/>
      <family val="0"/>
    </font>
    <font>
      <sz val="10"/>
      <name val="Helv"/>
      <family val="0"/>
    </font>
    <font>
      <sz val="10"/>
      <name val="Helvetica"/>
      <family val="0"/>
    </font>
    <font>
      <b/>
      <sz val="10.05"/>
      <color indexed="8"/>
      <name val="Times New Roman"/>
      <family val="0"/>
    </font>
    <font>
      <sz val="12"/>
      <name val="Times New Roman"/>
      <family val="0"/>
    </font>
    <font>
      <sz val="9"/>
      <name val="Arial"/>
      <family val="0"/>
    </font>
    <font>
      <sz val="10"/>
      <name val="Palatino"/>
      <family val="0"/>
    </font>
    <font>
      <sz val="10"/>
      <name val="Univers (W1)"/>
      <family val="0"/>
    </font>
    <font>
      <sz val="10"/>
      <name val="Univers Cd (W1)"/>
      <family val="0"/>
    </font>
    <font>
      <sz val="10"/>
      <name val="Century Schoolbook"/>
      <family val="0"/>
    </font>
    <font>
      <sz val="11"/>
      <name val="Arial"/>
      <family val="0"/>
    </font>
    <font>
      <sz val="10"/>
      <name val="Courier"/>
      <family val="0"/>
    </font>
    <font>
      <sz val="8"/>
      <color indexed="12"/>
      <name val="Arial"/>
      <family val="2"/>
    </font>
    <font>
      <b/>
      <sz val="8"/>
      <name val="Arial"/>
      <family val="2"/>
    </font>
    <font>
      <b/>
      <sz val="9"/>
      <name val="Arial"/>
      <family val="2"/>
    </font>
    <font>
      <sz val="8"/>
      <color indexed="8"/>
      <name val="Arial"/>
      <family val="2"/>
    </font>
    <font>
      <u val="single"/>
      <sz val="12"/>
      <color indexed="12"/>
      <name val="Helv"/>
      <family val="0"/>
    </font>
    <font>
      <u val="single"/>
      <sz val="12"/>
      <color indexed="36"/>
      <name val="Helv"/>
      <family val="0"/>
    </font>
    <font>
      <b/>
      <sz val="9"/>
      <color indexed="9"/>
      <name val="Arial"/>
      <family val="2"/>
    </font>
    <font>
      <b/>
      <sz val="8"/>
      <color indexed="9"/>
      <name val="Arial"/>
      <family val="2"/>
    </font>
    <font>
      <i/>
      <sz val="8"/>
      <name val="Arial"/>
      <family val="2"/>
    </font>
    <font>
      <sz val="14"/>
      <name val="Wingdings"/>
      <family val="0"/>
    </font>
    <font>
      <b/>
      <sz val="9"/>
      <color indexed="8"/>
      <name val="Arial"/>
      <family val="2"/>
    </font>
    <font>
      <sz val="8"/>
      <color indexed="9"/>
      <name val="Arial"/>
      <family val="2"/>
    </font>
    <font>
      <sz val="8"/>
      <name val="Tahoma"/>
      <family val="0"/>
    </font>
    <font>
      <b/>
      <sz val="8"/>
      <name val="Helv"/>
      <family val="2"/>
    </font>
  </fonts>
  <fills count="3">
    <fill>
      <patternFill/>
    </fill>
    <fill>
      <patternFill patternType="gray125"/>
    </fill>
    <fill>
      <patternFill patternType="solid">
        <fgColor indexed="8"/>
        <bgColor indexed="64"/>
      </patternFill>
    </fill>
  </fills>
  <borders count="17">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hair"/>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hair"/>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758">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1" applyBorder="0">
      <alignment/>
      <protection/>
    </xf>
    <xf numFmtId="43" fontId="4" fillId="0" borderId="0" applyFont="0" applyFill="0" applyBorder="0" applyAlignment="0" applyProtection="0"/>
    <xf numFmtId="41" fontId="4" fillId="0" borderId="0" applyFont="0" applyFill="0" applyBorder="0" applyAlignment="0" applyProtection="0"/>
    <xf numFmtId="38" fontId="6"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41" fontId="4"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41" fontId="4" fillId="0" borderId="0" applyFont="0" applyFill="0" applyBorder="0" applyAlignment="0" applyProtection="0"/>
    <xf numFmtId="38" fontId="7" fillId="0" borderId="0" applyFont="0" applyFill="0" applyBorder="0" applyAlignment="0" applyProtection="0"/>
    <xf numFmtId="38"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41" fontId="4"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41" fontId="4"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41" fontId="4" fillId="0" borderId="0" applyFont="0" applyFill="0" applyBorder="0" applyAlignment="0" applyProtection="0"/>
    <xf numFmtId="38" fontId="7"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41" fontId="6" fillId="0" borderId="0" applyFont="0" applyFill="0" applyBorder="0" applyAlignment="0" applyProtection="0"/>
    <xf numFmtId="38" fontId="6" fillId="0" borderId="0" applyFont="0" applyFill="0" applyBorder="0" applyAlignment="0" applyProtection="0"/>
    <xf numFmtId="261" fontId="4" fillId="0" borderId="0" applyFont="0" applyFill="0" applyBorder="0" applyAlignment="0" applyProtection="0"/>
    <xf numFmtId="253" fontId="4" fillId="0" borderId="0" applyFont="0" applyFill="0" applyBorder="0" applyAlignment="0" applyProtection="0"/>
    <xf numFmtId="253" fontId="4" fillId="0" borderId="0" applyFont="0" applyFill="0" applyBorder="0" applyAlignment="0" applyProtection="0"/>
    <xf numFmtId="261" fontId="4" fillId="0" borderId="0" applyFont="0" applyFill="0" applyBorder="0" applyAlignment="0" applyProtection="0"/>
    <xf numFmtId="253" fontId="4" fillId="0" borderId="0" applyFont="0" applyFill="0" applyBorder="0" applyAlignment="0" applyProtection="0"/>
    <xf numFmtId="253" fontId="4" fillId="0" borderId="0" applyFont="0" applyFill="0" applyBorder="0" applyAlignment="0" applyProtection="0"/>
    <xf numFmtId="38"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261" fontId="4" fillId="0" borderId="0" applyFont="0" applyFill="0" applyBorder="0" applyAlignment="0" applyProtection="0"/>
    <xf numFmtId="253" fontId="4" fillId="0" borderId="0" applyFont="0" applyFill="0" applyBorder="0" applyAlignment="0" applyProtection="0"/>
    <xf numFmtId="253" fontId="4" fillId="0" borderId="0" applyFont="0" applyFill="0" applyBorder="0" applyAlignment="0" applyProtection="0"/>
    <xf numFmtId="41" fontId="4" fillId="0" borderId="0" applyFont="0" applyFill="0" applyBorder="0" applyAlignment="0" applyProtection="0"/>
    <xf numFmtId="261" fontId="4" fillId="0" borderId="0" applyFont="0" applyFill="0" applyBorder="0" applyAlignment="0" applyProtection="0"/>
    <xf numFmtId="253" fontId="4" fillId="0" borderId="0" applyFont="0" applyFill="0" applyBorder="0" applyAlignment="0" applyProtection="0"/>
    <xf numFmtId="253" fontId="4" fillId="0" borderId="0" applyFont="0" applyFill="0" applyBorder="0" applyAlignment="0" applyProtection="0"/>
    <xf numFmtId="38" fontId="6" fillId="0" borderId="0" applyFont="0" applyFill="0" applyBorder="0" applyAlignment="0" applyProtection="0"/>
    <xf numFmtId="41" fontId="4" fillId="0" borderId="0" applyFont="0" applyFill="0" applyBorder="0" applyAlignment="0" applyProtection="0"/>
    <xf numFmtId="261" fontId="4" fillId="0" borderId="0" applyFont="0" applyFill="0" applyBorder="0" applyAlignment="0" applyProtection="0"/>
    <xf numFmtId="253" fontId="4" fillId="0" borderId="0" applyFont="0" applyFill="0" applyBorder="0" applyAlignment="0" applyProtection="0"/>
    <xf numFmtId="253" fontId="4" fillId="0" borderId="0" applyFont="0" applyFill="0" applyBorder="0" applyAlignment="0" applyProtection="0"/>
    <xf numFmtId="38" fontId="6" fillId="0" borderId="0" applyFont="0" applyFill="0" applyBorder="0" applyAlignment="0" applyProtection="0"/>
    <xf numFmtId="41" fontId="4"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41" fontId="4" fillId="0" borderId="0" applyFont="0" applyFill="0" applyBorder="0" applyAlignment="0" applyProtection="0"/>
    <xf numFmtId="38" fontId="6" fillId="0" borderId="0" applyFont="0" applyFill="0" applyBorder="0" applyAlignment="0" applyProtection="0"/>
    <xf numFmtId="41" fontId="4" fillId="0" borderId="0" applyFont="0" applyFill="0" applyBorder="0" applyAlignment="0" applyProtection="0"/>
    <xf numFmtId="38" fontId="7" fillId="0" borderId="0" applyFont="0" applyFill="0" applyBorder="0" applyAlignment="0" applyProtection="0"/>
    <xf numFmtId="38" fontId="6" fillId="0" borderId="0" applyFont="0" applyFill="0" applyBorder="0" applyAlignment="0" applyProtection="0"/>
    <xf numFmtId="41" fontId="6" fillId="0" borderId="0" applyFont="0" applyFill="0" applyBorder="0" applyAlignment="0" applyProtection="0"/>
    <xf numFmtId="38" fontId="6" fillId="0" borderId="0" applyFont="0" applyFill="0" applyBorder="0" applyAlignment="0" applyProtection="0"/>
    <xf numFmtId="41" fontId="4" fillId="0" borderId="0" applyFont="0" applyFill="0" applyBorder="0" applyAlignment="0" applyProtection="0"/>
    <xf numFmtId="41" fontId="5"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38" fontId="7" fillId="0" borderId="0" applyFont="0" applyFill="0" applyBorder="0" applyAlignment="0" applyProtection="0"/>
    <xf numFmtId="41" fontId="5"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38" fontId="6" fillId="0" borderId="0" applyFont="0" applyFill="0" applyBorder="0" applyAlignment="0" applyProtection="0"/>
    <xf numFmtId="41" fontId="4" fillId="0" borderId="0" applyFont="0" applyFill="0" applyBorder="0" applyAlignment="0" applyProtection="0"/>
    <xf numFmtId="41" fontId="9"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41" fontId="9"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38" fontId="7" fillId="0" borderId="0" applyFont="0" applyFill="0" applyBorder="0" applyAlignment="0" applyProtection="0"/>
    <xf numFmtId="38" fontId="6" fillId="0" borderId="0" applyFont="0" applyFill="0" applyBorder="0" applyAlignment="0" applyProtection="0"/>
    <xf numFmtId="40" fontId="7" fillId="0" borderId="0" applyFont="0" applyFill="0" applyBorder="0" applyAlignment="0" applyProtection="0"/>
    <xf numFmtId="40"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6" fillId="0" borderId="0" applyFont="0" applyFill="0" applyBorder="0" applyAlignment="0" applyProtection="0"/>
    <xf numFmtId="40" fontId="6" fillId="0" borderId="0" applyFont="0" applyFill="0" applyBorder="0" applyAlignment="0" applyProtection="0"/>
    <xf numFmtId="43" fontId="4" fillId="0" borderId="0" applyFont="0" applyFill="0" applyBorder="0" applyAlignment="0" applyProtection="0"/>
    <xf numFmtId="40" fontId="7" fillId="0" borderId="0" applyFont="0" applyFill="0" applyBorder="0" applyAlignment="0" applyProtection="0"/>
    <xf numFmtId="40" fontId="7" fillId="0" borderId="0" applyFont="0" applyFill="0" applyBorder="0" applyAlignment="0" applyProtection="0"/>
    <xf numFmtId="43" fontId="4" fillId="0" borderId="0" applyFont="0" applyFill="0" applyBorder="0" applyAlignment="0" applyProtection="0"/>
    <xf numFmtId="40" fontId="7" fillId="0" borderId="0" applyFont="0" applyFill="0" applyBorder="0" applyAlignment="0" applyProtection="0"/>
    <xf numFmtId="40"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7" fillId="0" borderId="0" applyFont="0" applyFill="0" applyBorder="0" applyAlignment="0" applyProtection="0"/>
    <xf numFmtId="40" fontId="7" fillId="0" borderId="0" applyFont="0" applyFill="0" applyBorder="0" applyAlignment="0" applyProtection="0"/>
    <xf numFmtId="43" fontId="4" fillId="0" borderId="0" applyFont="0" applyFill="0" applyBorder="0" applyAlignment="0" applyProtection="0"/>
    <xf numFmtId="40" fontId="7" fillId="0" borderId="0" applyFont="0" applyFill="0" applyBorder="0" applyAlignment="0" applyProtection="0"/>
    <xf numFmtId="40" fontId="7" fillId="0" borderId="0" applyFont="0" applyFill="0" applyBorder="0" applyAlignment="0" applyProtection="0"/>
    <xf numFmtId="43" fontId="4" fillId="0" borderId="0" applyFont="0" applyFill="0" applyBorder="0" applyAlignment="0" applyProtection="0"/>
    <xf numFmtId="40" fontId="7" fillId="0" borderId="0" applyFont="0" applyFill="0" applyBorder="0" applyAlignment="0" applyProtection="0"/>
    <xf numFmtId="40" fontId="7" fillId="0" borderId="0" applyFont="0" applyFill="0" applyBorder="0" applyAlignment="0" applyProtection="0"/>
    <xf numFmtId="40" fontId="7" fillId="0" borderId="0" applyFont="0" applyFill="0" applyBorder="0" applyAlignment="0" applyProtection="0"/>
    <xf numFmtId="43" fontId="4" fillId="0" borderId="0" applyFont="0" applyFill="0" applyBorder="0" applyAlignment="0" applyProtection="0"/>
    <xf numFmtId="40" fontId="7" fillId="0" borderId="0" applyFont="0" applyFill="0" applyBorder="0" applyAlignment="0" applyProtection="0"/>
    <xf numFmtId="40" fontId="6" fillId="0" borderId="0" applyFont="0" applyFill="0" applyBorder="0" applyAlignment="0" applyProtection="0"/>
    <xf numFmtId="40" fontId="6" fillId="0" borderId="0" applyFont="0" applyFill="0" applyBorder="0" applyAlignment="0" applyProtection="0"/>
    <xf numFmtId="43" fontId="6" fillId="0" borderId="0" applyFont="0" applyFill="0" applyBorder="0" applyAlignment="0" applyProtection="0"/>
    <xf numFmtId="40" fontId="6" fillId="0" borderId="0" applyFont="0" applyFill="0" applyBorder="0" applyAlignment="0" applyProtection="0"/>
    <xf numFmtId="263" fontId="4" fillId="0" borderId="0" applyFont="0" applyFill="0" applyBorder="0" applyAlignment="0" applyProtection="0"/>
    <xf numFmtId="255" fontId="4" fillId="0" borderId="0" applyFont="0" applyFill="0" applyBorder="0" applyAlignment="0" applyProtection="0"/>
    <xf numFmtId="255" fontId="4" fillId="0" borderId="0" applyFont="0" applyFill="0" applyBorder="0" applyAlignment="0" applyProtection="0"/>
    <xf numFmtId="263" fontId="4" fillId="0" borderId="0" applyFont="0" applyFill="0" applyBorder="0" applyAlignment="0" applyProtection="0"/>
    <xf numFmtId="255" fontId="4" fillId="0" borderId="0" applyFont="0" applyFill="0" applyBorder="0" applyAlignment="0" applyProtection="0"/>
    <xf numFmtId="255" fontId="4" fillId="0" borderId="0" applyFont="0" applyFill="0" applyBorder="0" applyAlignment="0" applyProtection="0"/>
    <xf numFmtId="40"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63" fontId="4" fillId="0" borderId="0" applyFont="0" applyFill="0" applyBorder="0" applyAlignment="0" applyProtection="0"/>
    <xf numFmtId="255" fontId="4" fillId="0" borderId="0" applyFont="0" applyFill="0" applyBorder="0" applyAlignment="0" applyProtection="0"/>
    <xf numFmtId="255" fontId="4" fillId="0" borderId="0" applyFont="0" applyFill="0" applyBorder="0" applyAlignment="0" applyProtection="0"/>
    <xf numFmtId="40" fontId="6" fillId="0" borderId="0" applyFont="0" applyFill="0" applyBorder="0" applyAlignment="0" applyProtection="0"/>
    <xf numFmtId="43" fontId="4" fillId="0" borderId="0" applyFont="0" applyFill="0" applyBorder="0" applyAlignment="0" applyProtection="0"/>
    <xf numFmtId="263" fontId="4" fillId="0" borderId="0" applyFont="0" applyFill="0" applyBorder="0" applyAlignment="0" applyProtection="0"/>
    <xf numFmtId="255" fontId="4" fillId="0" borderId="0" applyFont="0" applyFill="0" applyBorder="0" applyAlignment="0" applyProtection="0"/>
    <xf numFmtId="255" fontId="4" fillId="0" borderId="0" applyFont="0" applyFill="0" applyBorder="0" applyAlignment="0" applyProtection="0"/>
    <xf numFmtId="40" fontId="6" fillId="0" borderId="0" applyFont="0" applyFill="0" applyBorder="0" applyAlignment="0" applyProtection="0"/>
    <xf numFmtId="43" fontId="4" fillId="0" borderId="0" applyFont="0" applyFill="0" applyBorder="0" applyAlignment="0" applyProtection="0"/>
    <xf numFmtId="40" fontId="6" fillId="0" borderId="0" applyFont="0" applyFill="0" applyBorder="0" applyAlignment="0" applyProtection="0"/>
    <xf numFmtId="40" fontId="6" fillId="0" borderId="0" applyFont="0" applyFill="0" applyBorder="0" applyAlignment="0" applyProtection="0"/>
    <xf numFmtId="4" fontId="11" fillId="0" borderId="0" applyFont="0" applyFill="0" applyBorder="0" applyAlignment="0" applyProtection="0"/>
    <xf numFmtId="40" fontId="6" fillId="0" borderId="0" applyFont="0" applyFill="0" applyBorder="0" applyAlignment="0" applyProtection="0"/>
    <xf numFmtId="43" fontId="4" fillId="0" borderId="0" applyFont="0" applyFill="0" applyBorder="0" applyAlignment="0" applyProtection="0"/>
    <xf numFmtId="40" fontId="7" fillId="0" borderId="0" applyFont="0" applyFill="0" applyBorder="0" applyAlignment="0" applyProtection="0"/>
    <xf numFmtId="40" fontId="6" fillId="0" borderId="0" applyFont="0" applyFill="0" applyBorder="0" applyAlignment="0" applyProtection="0"/>
    <xf numFmtId="43" fontId="6" fillId="0" borderId="0" applyFont="0" applyFill="0" applyBorder="0" applyAlignment="0" applyProtection="0"/>
    <xf numFmtId="40" fontId="6"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0" fontId="7" fillId="0" borderId="0" applyFont="0" applyFill="0" applyBorder="0" applyAlignment="0" applyProtection="0"/>
    <xf numFmtId="40" fontId="7" fillId="0" borderId="0" applyFont="0" applyFill="0" applyBorder="0" applyAlignment="0" applyProtection="0"/>
    <xf numFmtId="40" fontId="7" fillId="0" borderId="0" applyFont="0" applyFill="0" applyBorder="0" applyAlignment="0" applyProtection="0"/>
    <xf numFmtId="37" fontId="0" fillId="0" borderId="0" applyFont="0" applyFill="0" applyBorder="0" applyAlignment="0" applyProtection="0"/>
    <xf numFmtId="40"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7" fillId="0" borderId="0" applyFont="0" applyFill="0" applyBorder="0" applyAlignment="0" applyProtection="0"/>
    <xf numFmtId="43" fontId="5" fillId="0" borderId="0" applyFont="0" applyFill="0" applyBorder="0" applyAlignment="0" applyProtection="0"/>
    <xf numFmtId="40" fontId="7" fillId="0" borderId="0" applyFont="0" applyFill="0" applyBorder="0" applyAlignment="0" applyProtection="0"/>
    <xf numFmtId="40"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6"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0" fontId="6" fillId="0" borderId="0" applyFont="0" applyFill="0" applyBorder="0" applyAlignment="0" applyProtection="0"/>
    <xf numFmtId="40" fontId="6"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7" fillId="0" borderId="0" applyFont="0" applyFill="0" applyBorder="0" applyAlignment="0" applyProtection="0"/>
    <xf numFmtId="40" fontId="6" fillId="0" borderId="0" applyFont="0" applyFill="0" applyBorder="0" applyAlignment="0" applyProtection="0"/>
    <xf numFmtId="37" fontId="0"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6" fontId="6"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347" fontId="4"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42" fontId="4" fillId="0" borderId="0" applyFont="0" applyFill="0" applyBorder="0" applyAlignment="0" applyProtection="0"/>
    <xf numFmtId="6" fontId="7" fillId="0" borderId="0" applyFont="0" applyFill="0" applyBorder="0" applyAlignment="0" applyProtection="0"/>
    <xf numFmtId="6" fontId="6"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42" fontId="4"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42" fontId="4"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42" fontId="4" fillId="0" borderId="0" applyFont="0" applyFill="0" applyBorder="0" applyAlignment="0" applyProtection="0"/>
    <xf numFmtId="6" fontId="7" fillId="0" borderId="0" applyFont="0" applyFill="0" applyBorder="0" applyAlignment="0" applyProtection="0"/>
    <xf numFmtId="344" fontId="6" fillId="0" borderId="0" applyFont="0" applyFill="0" applyBorder="0" applyAlignment="0" applyProtection="0"/>
    <xf numFmtId="344" fontId="6" fillId="0" borderId="0" applyFont="0" applyFill="0" applyBorder="0" applyAlignment="0" applyProtection="0"/>
    <xf numFmtId="42" fontId="6" fillId="0" borderId="0" applyFont="0" applyFill="0" applyBorder="0" applyAlignment="0" applyProtection="0"/>
    <xf numFmtId="6" fontId="6" fillId="0" borderId="0" applyFont="0" applyFill="0" applyBorder="0" applyAlignment="0" applyProtection="0"/>
    <xf numFmtId="260"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60"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6" fontId="6"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260"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42" fontId="4" fillId="0" borderId="0" applyFont="0" applyFill="0" applyBorder="0" applyAlignment="0" applyProtection="0"/>
    <xf numFmtId="260"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6" fontId="6" fillId="0" borderId="0" applyFont="0" applyFill="0" applyBorder="0" applyAlignment="0" applyProtection="0"/>
    <xf numFmtId="347" fontId="4" fillId="0" borderId="0" applyFont="0" applyFill="0" applyBorder="0" applyAlignment="0" applyProtection="0"/>
    <xf numFmtId="260"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344" fontId="6" fillId="0" borderId="0" applyFont="0" applyFill="0" applyBorder="0" applyAlignment="0" applyProtection="0"/>
    <xf numFmtId="347" fontId="4" fillId="0" borderId="0" applyFont="0" applyFill="0" applyBorder="0" applyAlignment="0" applyProtection="0"/>
    <xf numFmtId="344" fontId="6" fillId="0" borderId="0" applyFont="0" applyFill="0" applyBorder="0" applyAlignment="0" applyProtection="0"/>
    <xf numFmtId="6" fontId="6" fillId="0" borderId="0" applyFont="0" applyFill="0" applyBorder="0" applyAlignment="0" applyProtection="0"/>
    <xf numFmtId="42" fontId="4" fillId="0" borderId="0" applyFont="0" applyFill="0" applyBorder="0" applyAlignment="0" applyProtection="0"/>
    <xf numFmtId="6" fontId="6" fillId="0" borderId="0" applyFont="0" applyFill="0" applyBorder="0" applyAlignment="0" applyProtection="0"/>
    <xf numFmtId="42" fontId="4" fillId="0" borderId="0" applyFont="0" applyFill="0" applyBorder="0" applyAlignment="0" applyProtection="0"/>
    <xf numFmtId="6" fontId="7" fillId="0" borderId="0" applyFont="0" applyFill="0" applyBorder="0" applyAlignment="0" applyProtection="0"/>
    <xf numFmtId="6" fontId="6" fillId="0" borderId="0" applyFont="0" applyFill="0" applyBorder="0" applyAlignment="0" applyProtection="0"/>
    <xf numFmtId="42" fontId="6" fillId="0" borderId="0" applyFont="0" applyFill="0" applyBorder="0" applyAlignment="0" applyProtection="0"/>
    <xf numFmtId="6" fontId="6" fillId="0" borderId="0" applyFont="0" applyFill="0" applyBorder="0" applyAlignment="0" applyProtection="0"/>
    <xf numFmtId="347" fontId="4" fillId="0" borderId="0" applyFont="0" applyFill="0" applyBorder="0" applyAlignment="0" applyProtection="0"/>
    <xf numFmtId="42" fontId="5"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6" fontId="0" fillId="0" borderId="0" applyFont="0" applyFill="0" applyBorder="0" applyAlignment="0" applyProtection="0"/>
    <xf numFmtId="344" fontId="6" fillId="0" borderId="0" applyFont="0" applyFill="0" applyBorder="0" applyAlignment="0" applyProtection="0"/>
    <xf numFmtId="347" fontId="4" fillId="0" borderId="0" applyFont="0" applyFill="0" applyBorder="0" applyAlignment="0" applyProtection="0"/>
    <xf numFmtId="347" fontId="4" fillId="0" borderId="0" applyFont="0" applyFill="0" applyBorder="0" applyAlignment="0" applyProtection="0"/>
    <xf numFmtId="6" fontId="7" fillId="0" borderId="0" applyFont="0" applyFill="0" applyBorder="0" applyAlignment="0" applyProtection="0"/>
    <xf numFmtId="42" fontId="5"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344" fontId="6" fillId="0" borderId="0" applyFont="0" applyFill="0" applyBorder="0" applyAlignment="0" applyProtection="0"/>
    <xf numFmtId="347" fontId="4" fillId="0" borderId="0" applyFont="0" applyFill="0" applyBorder="0" applyAlignment="0" applyProtection="0"/>
    <xf numFmtId="347" fontId="9" fillId="0" borderId="0" applyFont="0" applyFill="0" applyBorder="0" applyAlignment="0" applyProtection="0"/>
    <xf numFmtId="344" fontId="6" fillId="0" borderId="0" applyFont="0" applyFill="0" applyBorder="0" applyAlignment="0" applyProtection="0"/>
    <xf numFmtId="6" fontId="6" fillId="0" borderId="0" applyFont="0" applyFill="0" applyBorder="0" applyAlignment="0" applyProtection="0"/>
    <xf numFmtId="42" fontId="9"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6" fontId="7" fillId="0" borderId="0" applyFont="0" applyFill="0" applyBorder="0" applyAlignment="0" applyProtection="0"/>
    <xf numFmtId="6" fontId="6"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348" fontId="4" fillId="0" borderId="0" applyFont="0" applyFill="0" applyBorder="0" applyAlignment="0" applyProtection="0"/>
    <xf numFmtId="348" fontId="4"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348" fontId="4"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44" fontId="4" fillId="0" borderId="0" applyFont="0" applyFill="0" applyBorder="0" applyAlignment="0" applyProtection="0"/>
    <xf numFmtId="8" fontId="7" fillId="0" borderId="0" applyFont="0" applyFill="0" applyBorder="0" applyAlignment="0" applyProtection="0"/>
    <xf numFmtId="8"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44" fontId="4"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44" fontId="4"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44" fontId="4" fillId="0" borderId="0" applyFont="0" applyFill="0" applyBorder="0" applyAlignment="0" applyProtection="0"/>
    <xf numFmtId="8" fontId="7" fillId="0" borderId="0" applyFont="0" applyFill="0" applyBorder="0" applyAlignment="0" applyProtection="0"/>
    <xf numFmtId="346" fontId="6" fillId="0" borderId="0" applyFont="0" applyFill="0" applyBorder="0" applyAlignment="0" applyProtection="0"/>
    <xf numFmtId="346" fontId="6" fillId="0" borderId="0" applyFont="0" applyFill="0" applyBorder="0" applyAlignment="0" applyProtection="0"/>
    <xf numFmtId="44" fontId="6" fillId="0" borderId="0" applyFont="0" applyFill="0" applyBorder="0" applyAlignment="0" applyProtection="0"/>
    <xf numFmtId="8" fontId="6" fillId="0" borderId="0" applyFont="0" applyFill="0" applyBorder="0" applyAlignment="0" applyProtection="0"/>
    <xf numFmtId="262" fontId="4" fillId="0" borderId="0" applyFont="0" applyFill="0" applyBorder="0" applyAlignment="0" applyProtection="0"/>
    <xf numFmtId="254" fontId="4" fillId="0" borderId="0" applyFont="0" applyFill="0" applyBorder="0" applyAlignment="0" applyProtection="0"/>
    <xf numFmtId="254" fontId="4" fillId="0" borderId="0" applyFont="0" applyFill="0" applyBorder="0" applyAlignment="0" applyProtection="0"/>
    <xf numFmtId="262" fontId="4" fillId="0" borderId="0" applyFont="0" applyFill="0" applyBorder="0" applyAlignment="0" applyProtection="0"/>
    <xf numFmtId="254" fontId="4" fillId="0" borderId="0" applyFont="0" applyFill="0" applyBorder="0" applyAlignment="0" applyProtection="0"/>
    <xf numFmtId="254" fontId="4" fillId="0" borderId="0" applyFont="0" applyFill="0" applyBorder="0" applyAlignment="0" applyProtection="0"/>
    <xf numFmtId="8"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62" fontId="4" fillId="0" borderId="0" applyFont="0" applyFill="0" applyBorder="0" applyAlignment="0" applyProtection="0"/>
    <xf numFmtId="254" fontId="4" fillId="0" borderId="0" applyFont="0" applyFill="0" applyBorder="0" applyAlignment="0" applyProtection="0"/>
    <xf numFmtId="254" fontId="4" fillId="0" borderId="0" applyFont="0" applyFill="0" applyBorder="0" applyAlignment="0" applyProtection="0"/>
    <xf numFmtId="8" fontId="6" fillId="0" borderId="0" applyFont="0" applyFill="0" applyBorder="0" applyAlignment="0" applyProtection="0"/>
    <xf numFmtId="348" fontId="4" fillId="0" borderId="0" applyFont="0" applyFill="0" applyBorder="0" applyAlignment="0" applyProtection="0"/>
    <xf numFmtId="262" fontId="4" fillId="0" borderId="0" applyFont="0" applyFill="0" applyBorder="0" applyAlignment="0" applyProtection="0"/>
    <xf numFmtId="254" fontId="4" fillId="0" borderId="0" applyFont="0" applyFill="0" applyBorder="0" applyAlignment="0" applyProtection="0"/>
    <xf numFmtId="254" fontId="4" fillId="0" borderId="0" applyFont="0" applyFill="0" applyBorder="0" applyAlignment="0" applyProtection="0"/>
    <xf numFmtId="346" fontId="6" fillId="0" borderId="0" applyFont="0" applyFill="0" applyBorder="0" applyAlignment="0" applyProtection="0"/>
    <xf numFmtId="348" fontId="4" fillId="0" borderId="0" applyFont="0" applyFill="0" applyBorder="0" applyAlignment="0" applyProtection="0"/>
    <xf numFmtId="346" fontId="6" fillId="0" borderId="0" applyFont="0" applyFill="0" applyBorder="0" applyAlignment="0" applyProtection="0"/>
    <xf numFmtId="8" fontId="6" fillId="0" borderId="0" applyFont="0" applyFill="0" applyBorder="0" applyAlignment="0" applyProtection="0"/>
    <xf numFmtId="273" fontId="4" fillId="0" borderId="0" applyFont="0" applyFill="0" applyBorder="0" applyAlignment="0" applyProtection="0"/>
    <xf numFmtId="265" fontId="4" fillId="0" borderId="0" applyFont="0" applyFill="0" applyBorder="0" applyAlignment="0" applyProtection="0"/>
    <xf numFmtId="265" fontId="4" fillId="0" borderId="0" applyFont="0" applyFill="0" applyBorder="0" applyAlignment="0" applyProtection="0"/>
    <xf numFmtId="200" fontId="4" fillId="0" borderId="0" applyFont="0" applyFill="0" applyBorder="0" applyAlignment="0" applyProtection="0"/>
    <xf numFmtId="8" fontId="6" fillId="0" borderId="0" applyFont="0" applyFill="0" applyBorder="0" applyAlignment="0" applyProtection="0"/>
    <xf numFmtId="44" fontId="4" fillId="0" borderId="0" applyFont="0" applyFill="0" applyBorder="0" applyAlignment="0" applyProtection="0"/>
    <xf numFmtId="8" fontId="7" fillId="0" borderId="0" applyFont="0" applyFill="0" applyBorder="0" applyAlignment="0" applyProtection="0"/>
    <xf numFmtId="8" fontId="6" fillId="0" borderId="0" applyFont="0" applyFill="0" applyBorder="0" applyAlignment="0" applyProtection="0"/>
    <xf numFmtId="44" fontId="6" fillId="0" borderId="0" applyFont="0" applyFill="0" applyBorder="0" applyAlignment="0" applyProtection="0"/>
    <xf numFmtId="8" fontId="6" fillId="0" borderId="0" applyFont="0" applyFill="0" applyBorder="0" applyAlignment="0" applyProtection="0"/>
    <xf numFmtId="348" fontId="4" fillId="0" borderId="0" applyFont="0" applyFill="0" applyBorder="0" applyAlignment="0" applyProtection="0"/>
    <xf numFmtId="44" fontId="5"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8" fontId="0" fillId="0" borderId="0" applyFont="0" applyFill="0" applyBorder="0" applyAlignment="0" applyProtection="0"/>
    <xf numFmtId="346" fontId="6" fillId="0" borderId="0" applyFont="0" applyFill="0" applyBorder="0" applyAlignment="0" applyProtection="0"/>
    <xf numFmtId="348" fontId="4" fillId="0" borderId="0" applyFont="0" applyFill="0" applyBorder="0" applyAlignment="0" applyProtection="0"/>
    <xf numFmtId="348" fontId="4" fillId="0" borderId="0" applyFont="0" applyFill="0" applyBorder="0" applyAlignment="0" applyProtection="0"/>
    <xf numFmtId="8" fontId="7" fillId="0" borderId="0" applyFont="0" applyFill="0" applyBorder="0" applyAlignment="0" applyProtection="0"/>
    <xf numFmtId="44" fontId="5" fillId="0" borderId="0" applyFont="0" applyFill="0" applyBorder="0" applyAlignment="0" applyProtection="0"/>
    <xf numFmtId="8" fontId="7" fillId="0" borderId="0" applyFont="0" applyFill="0" applyBorder="0" applyAlignment="0" applyProtection="0"/>
    <xf numFmtId="8" fontId="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346" fontId="6" fillId="0" borderId="0" applyFont="0" applyFill="0" applyBorder="0" applyAlignment="0" applyProtection="0"/>
    <xf numFmtId="348" fontId="4" fillId="0" borderId="0" applyFont="0" applyFill="0" applyBorder="0" applyAlignment="0" applyProtection="0"/>
    <xf numFmtId="348" fontId="9" fillId="0" borderId="0" applyFont="0" applyFill="0" applyBorder="0" applyAlignment="0" applyProtection="0"/>
    <xf numFmtId="346" fontId="6" fillId="0" borderId="0" applyFont="0" applyFill="0" applyBorder="0" applyAlignment="0" applyProtection="0"/>
    <xf numFmtId="8" fontId="6"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8" fontId="7" fillId="0" borderId="0" applyFont="0" applyFill="0" applyBorder="0" applyAlignment="0" applyProtection="0"/>
    <xf numFmtId="8" fontId="6"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261" fontId="4" fillId="0" borderId="0" applyFont="0" applyFill="0" applyBorder="0" applyAlignment="0" applyProtection="0"/>
    <xf numFmtId="253" fontId="4" fillId="0" borderId="0" applyFont="0" applyFill="0" applyBorder="0" applyAlignment="0" applyProtection="0"/>
    <xf numFmtId="25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261" fontId="4" fillId="0" borderId="0" applyFont="0" applyFill="0" applyBorder="0" applyAlignment="0" applyProtection="0"/>
    <xf numFmtId="253" fontId="4" fillId="0" borderId="0" applyFont="0" applyFill="0" applyBorder="0" applyAlignment="0" applyProtection="0"/>
    <xf numFmtId="253" fontId="4"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261" fontId="4" fillId="0" borderId="0" applyFont="0" applyFill="0" applyBorder="0" applyAlignment="0" applyProtection="0"/>
    <xf numFmtId="253" fontId="4" fillId="0" borderId="0" applyFont="0" applyFill="0" applyBorder="0" applyAlignment="0" applyProtection="0"/>
    <xf numFmtId="253" fontId="4" fillId="0" borderId="0" applyFont="0" applyFill="0" applyBorder="0" applyAlignment="0" applyProtection="0"/>
    <xf numFmtId="263" fontId="4" fillId="0" borderId="0" applyFont="0" applyFill="0" applyBorder="0" applyAlignment="0" applyProtection="0"/>
    <xf numFmtId="255" fontId="4" fillId="0" borderId="0" applyFont="0" applyFill="0" applyBorder="0" applyAlignment="0" applyProtection="0"/>
    <xf numFmtId="25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63" fontId="4" fillId="0" borderId="0" applyFont="0" applyFill="0" applyBorder="0" applyAlignment="0" applyProtection="0"/>
    <xf numFmtId="255" fontId="4" fillId="0" borderId="0" applyFont="0" applyFill="0" applyBorder="0" applyAlignment="0" applyProtection="0"/>
    <xf numFmtId="255" fontId="4" fillId="0" borderId="0" applyFont="0" applyFill="0" applyBorder="0" applyAlignment="0" applyProtection="0"/>
    <xf numFmtId="40" fontId="6" fillId="0" borderId="0" applyFont="0" applyFill="0" applyBorder="0" applyAlignment="0" applyProtection="0"/>
    <xf numFmtId="40" fontId="6" fillId="0" borderId="0" applyFont="0" applyFill="0" applyBorder="0" applyAlignment="0" applyProtection="0"/>
    <xf numFmtId="263" fontId="4" fillId="0" borderId="0" applyFont="0" applyFill="0" applyBorder="0" applyAlignment="0" applyProtection="0"/>
    <xf numFmtId="255" fontId="4" fillId="0" borderId="0" applyFont="0" applyFill="0" applyBorder="0" applyAlignment="0" applyProtection="0"/>
    <xf numFmtId="255" fontId="4" fillId="0" borderId="0" applyFont="0" applyFill="0" applyBorder="0" applyAlignment="0" applyProtection="0"/>
    <xf numFmtId="260"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260"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360" fontId="0" fillId="0" borderId="0" applyFont="0" applyFill="0" applyBorder="0" applyAlignment="0" applyProtection="0"/>
    <xf numFmtId="6" fontId="6" fillId="0" borderId="0" applyFont="0" applyFill="0" applyBorder="0" applyAlignment="0" applyProtection="0"/>
    <xf numFmtId="260" fontId="4" fillId="0" borderId="0" applyFont="0" applyFill="0" applyBorder="0" applyAlignment="0" applyProtection="0"/>
    <xf numFmtId="252" fontId="4" fillId="0" borderId="0" applyFont="0" applyFill="0" applyBorder="0" applyAlignment="0" applyProtection="0"/>
    <xf numFmtId="252" fontId="4" fillId="0" borderId="0" applyFont="0" applyFill="0" applyBorder="0" applyAlignment="0" applyProtection="0"/>
    <xf numFmtId="262" fontId="4" fillId="0" borderId="0" applyFont="0" applyFill="0" applyBorder="0" applyAlignment="0" applyProtection="0"/>
    <xf numFmtId="254" fontId="4" fillId="0" borderId="0" applyFont="0" applyFill="0" applyBorder="0" applyAlignment="0" applyProtection="0"/>
    <xf numFmtId="25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62" fontId="4" fillId="0" borderId="0" applyFont="0" applyFill="0" applyBorder="0" applyAlignment="0" applyProtection="0"/>
    <xf numFmtId="254" fontId="4" fillId="0" borderId="0" applyFont="0" applyFill="0" applyBorder="0" applyAlignment="0" applyProtection="0"/>
    <xf numFmtId="254" fontId="4" fillId="0" borderId="0" applyFont="0" applyFill="0" applyBorder="0" applyAlignment="0" applyProtection="0"/>
    <xf numFmtId="259" fontId="4" fillId="0" borderId="0" applyFont="0" applyFill="0" applyBorder="0" applyAlignment="0" applyProtection="0"/>
    <xf numFmtId="251" fontId="4" fillId="0" borderId="0" applyFont="0" applyFill="0" applyBorder="0" applyAlignment="0" applyProtection="0"/>
    <xf numFmtId="251" fontId="4" fillId="0" borderId="0" applyFont="0" applyFill="0" applyBorder="0" applyAlignment="0" applyProtection="0"/>
    <xf numFmtId="8" fontId="6" fillId="0" borderId="0" applyFont="0" applyFill="0" applyBorder="0" applyAlignment="0" applyProtection="0"/>
    <xf numFmtId="262" fontId="4" fillId="0" borderId="0" applyFont="0" applyFill="0" applyBorder="0" applyAlignment="0" applyProtection="0"/>
    <xf numFmtId="254" fontId="4" fillId="0" borderId="0" applyFont="0" applyFill="0" applyBorder="0" applyAlignment="0" applyProtection="0"/>
    <xf numFmtId="254" fontId="4" fillId="0" borderId="0" applyFont="0" applyFill="0" applyBorder="0" applyAlignment="0" applyProtection="0"/>
    <xf numFmtId="200" fontId="4" fillId="0" borderId="0">
      <alignment/>
      <protection/>
    </xf>
    <xf numFmtId="200" fontId="4" fillId="0" borderId="0">
      <alignment/>
      <protection/>
    </xf>
    <xf numFmtId="0" fontId="5" fillId="0" borderId="0">
      <alignment/>
      <protection/>
    </xf>
    <xf numFmtId="0" fontId="14" fillId="0" borderId="0">
      <alignment/>
      <protection/>
    </xf>
    <xf numFmtId="0" fontId="4" fillId="0" borderId="0">
      <alignment/>
      <protection/>
    </xf>
    <xf numFmtId="0" fontId="9" fillId="0" borderId="0">
      <alignment/>
      <protection/>
    </xf>
    <xf numFmtId="0" fontId="4" fillId="0" borderId="0">
      <alignment/>
      <protection/>
    </xf>
    <xf numFmtId="0" fontId="6"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4" fillId="0" borderId="0">
      <alignment/>
      <protection/>
    </xf>
    <xf numFmtId="0" fontId="14" fillId="0" borderId="0">
      <alignment/>
      <protection/>
    </xf>
    <xf numFmtId="0" fontId="7" fillId="0" borderId="0">
      <alignment/>
      <protection/>
    </xf>
    <xf numFmtId="0" fontId="7" fillId="0" borderId="0">
      <alignment/>
      <protection/>
    </xf>
    <xf numFmtId="0" fontId="9" fillId="0" borderId="0">
      <alignment/>
      <protection/>
    </xf>
    <xf numFmtId="0" fontId="5" fillId="0" borderId="0">
      <alignment/>
      <protection/>
    </xf>
    <xf numFmtId="0" fontId="4" fillId="0" borderId="0">
      <alignment/>
      <protection/>
    </xf>
    <xf numFmtId="0" fontId="4" fillId="0" borderId="0">
      <alignment/>
      <protection/>
    </xf>
    <xf numFmtId="0" fontId="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9" fillId="0" borderId="0">
      <alignment/>
      <protection/>
    </xf>
    <xf numFmtId="0" fontId="9" fillId="0" borderId="0">
      <alignment/>
      <protection/>
    </xf>
    <xf numFmtId="0" fontId="4" fillId="0" borderId="0">
      <alignment/>
      <protection/>
    </xf>
    <xf numFmtId="0" fontId="9" fillId="0" borderId="0">
      <alignment/>
      <protection/>
    </xf>
    <xf numFmtId="0" fontId="4" fillId="0" borderId="0">
      <alignment/>
      <protection/>
    </xf>
    <xf numFmtId="0" fontId="12" fillId="0" borderId="0">
      <alignment/>
      <protection/>
    </xf>
    <xf numFmtId="0" fontId="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7" fillId="0" borderId="0">
      <alignment/>
      <protection/>
    </xf>
    <xf numFmtId="0" fontId="9" fillId="0" borderId="0">
      <alignment/>
      <protection/>
    </xf>
    <xf numFmtId="0" fontId="14" fillId="0" borderId="0">
      <alignment/>
      <protection/>
    </xf>
    <xf numFmtId="0" fontId="4" fillId="0" borderId="0">
      <alignment vertical="center"/>
      <protection/>
    </xf>
    <xf numFmtId="0" fontId="4" fillId="0" borderId="0">
      <alignment/>
      <protection/>
    </xf>
    <xf numFmtId="0" fontId="7" fillId="0" borderId="0">
      <alignment/>
      <protection/>
    </xf>
    <xf numFmtId="0" fontId="9" fillId="0" borderId="0">
      <alignment/>
      <protection/>
    </xf>
    <xf numFmtId="0" fontId="4" fillId="0" borderId="0">
      <alignment/>
      <protection/>
    </xf>
    <xf numFmtId="0" fontId="7" fillId="0" borderId="0">
      <alignment/>
      <protection/>
    </xf>
    <xf numFmtId="0" fontId="6" fillId="0" borderId="0">
      <alignment/>
      <protection/>
    </xf>
    <xf numFmtId="0" fontId="6"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7" fillId="0" borderId="0">
      <alignment/>
      <protection/>
    </xf>
    <xf numFmtId="0" fontId="7" fillId="0" borderId="0">
      <alignment/>
      <protection/>
    </xf>
    <xf numFmtId="0" fontId="4" fillId="0" borderId="0">
      <alignment/>
      <protection/>
    </xf>
    <xf numFmtId="0" fontId="7" fillId="0" borderId="0">
      <alignment/>
      <protection/>
    </xf>
    <xf numFmtId="0" fontId="7" fillId="0" borderId="0">
      <alignment/>
      <protection/>
    </xf>
    <xf numFmtId="0" fontId="7" fillId="0" borderId="0">
      <alignment/>
      <protection/>
    </xf>
    <xf numFmtId="0" fontId="4" fillId="0" borderId="0">
      <alignment/>
      <protection/>
    </xf>
    <xf numFmtId="0" fontId="7" fillId="0" borderId="0">
      <alignment/>
      <protection/>
    </xf>
    <xf numFmtId="0" fontId="7"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5" fillId="0" borderId="0">
      <alignment/>
      <protection/>
    </xf>
    <xf numFmtId="0" fontId="9" fillId="0" borderId="0">
      <alignment/>
      <protection/>
    </xf>
    <xf numFmtId="0" fontId="9"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15" fillId="0" borderId="0">
      <alignment/>
      <protection/>
    </xf>
    <xf numFmtId="0" fontId="4" fillId="0" borderId="0">
      <alignment/>
      <protection/>
    </xf>
    <xf numFmtId="0" fontId="5" fillId="0" borderId="0">
      <alignment/>
      <protection/>
    </xf>
    <xf numFmtId="0" fontId="4" fillId="0" borderId="0">
      <alignment/>
      <protection/>
    </xf>
    <xf numFmtId="0" fontId="14" fillId="0" borderId="0">
      <alignment/>
      <protection/>
    </xf>
    <xf numFmtId="0" fontId="10" fillId="0" borderId="0">
      <alignment/>
      <protection/>
    </xf>
    <xf numFmtId="0" fontId="10" fillId="0" borderId="0">
      <alignment/>
      <protection/>
    </xf>
    <xf numFmtId="0" fontId="4" fillId="0" borderId="0">
      <alignment/>
      <protection/>
    </xf>
    <xf numFmtId="0" fontId="16" fillId="0" borderId="0">
      <alignment/>
      <protection/>
    </xf>
    <xf numFmtId="0" fontId="16" fillId="0" borderId="0">
      <alignment/>
      <protection/>
    </xf>
    <xf numFmtId="0" fontId="17" fillId="0" borderId="1">
      <alignment/>
      <protection/>
    </xf>
    <xf numFmtId="0" fontId="6" fillId="0" borderId="0">
      <alignment/>
      <protection/>
    </xf>
    <xf numFmtId="0" fontId="6" fillId="0" borderId="0">
      <alignment/>
      <protection/>
    </xf>
    <xf numFmtId="0" fontId="4" fillId="0" borderId="0">
      <alignment wrapText="1"/>
      <protection/>
    </xf>
    <xf numFmtId="0" fontId="9" fillId="0" borderId="0">
      <alignment/>
      <protection/>
    </xf>
    <xf numFmtId="0" fontId="9" fillId="0" borderId="0">
      <alignment/>
      <protection/>
    </xf>
    <xf numFmtId="0" fontId="7" fillId="0" borderId="0">
      <alignment/>
      <protection/>
    </xf>
    <xf numFmtId="0" fontId="4" fillId="0" borderId="0" applyBorder="0">
      <alignment/>
      <protection/>
    </xf>
    <xf numFmtId="0" fontId="6" fillId="0" borderId="0">
      <alignment/>
      <protection/>
    </xf>
    <xf numFmtId="200" fontId="4" fillId="0" borderId="0">
      <alignment/>
      <protection/>
    </xf>
    <xf numFmtId="0" fontId="4" fillId="0" borderId="0">
      <alignment/>
      <protection/>
    </xf>
    <xf numFmtId="0" fontId="9" fillId="0" borderId="0">
      <alignment/>
      <protection/>
    </xf>
    <xf numFmtId="0" fontId="4" fillId="0" borderId="0">
      <alignment/>
      <protection/>
    </xf>
    <xf numFmtId="0" fontId="4" fillId="0" borderId="0">
      <alignment/>
      <protection/>
    </xf>
    <xf numFmtId="0" fontId="9" fillId="0" borderId="0">
      <alignment/>
      <protection/>
    </xf>
    <xf numFmtId="0" fontId="6" fillId="0" borderId="0">
      <alignment/>
      <protection/>
    </xf>
    <xf numFmtId="0" fontId="6"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7" fillId="0" borderId="0">
      <alignment/>
      <protection/>
    </xf>
    <xf numFmtId="0" fontId="11" fillId="0" borderId="0">
      <alignment/>
      <protection/>
    </xf>
    <xf numFmtId="0" fontId="4" fillId="0" borderId="0">
      <alignment/>
      <protection/>
    </xf>
    <xf numFmtId="0" fontId="4" fillId="0" borderId="0">
      <alignment/>
      <protection/>
    </xf>
    <xf numFmtId="0" fontId="14" fillId="0" borderId="0">
      <alignment/>
      <protection/>
    </xf>
    <xf numFmtId="0" fontId="6" fillId="0" borderId="0">
      <alignment/>
      <protection/>
    </xf>
    <xf numFmtId="0" fontId="4" fillId="0" borderId="0">
      <alignment/>
      <protection/>
    </xf>
    <xf numFmtId="0" fontId="7" fillId="0" borderId="0">
      <alignment/>
      <protection/>
    </xf>
    <xf numFmtId="0" fontId="18" fillId="0" borderId="0">
      <alignment/>
      <protection/>
    </xf>
    <xf numFmtId="0" fontId="4" fillId="0" borderId="0">
      <alignment/>
      <protection/>
    </xf>
    <xf numFmtId="0" fontId="6" fillId="0" borderId="0">
      <alignment/>
      <protection/>
    </xf>
    <xf numFmtId="0" fontId="5" fillId="0" borderId="0">
      <alignment/>
      <protection/>
    </xf>
    <xf numFmtId="0" fontId="6" fillId="0" borderId="0">
      <alignment/>
      <protection/>
    </xf>
    <xf numFmtId="0" fontId="18" fillId="0" borderId="0">
      <alignment/>
      <protection/>
    </xf>
    <xf numFmtId="0" fontId="9" fillId="0" borderId="0">
      <alignment/>
      <protection/>
    </xf>
    <xf numFmtId="0" fontId="6" fillId="0" borderId="0">
      <alignment/>
      <protection/>
    </xf>
    <xf numFmtId="0" fontId="9" fillId="0" borderId="0">
      <alignment/>
      <protection/>
    </xf>
    <xf numFmtId="0" fontId="4" fillId="0" borderId="0">
      <alignment/>
      <protection/>
    </xf>
    <xf numFmtId="0" fontId="4" fillId="0" borderId="0">
      <alignment/>
      <protection/>
    </xf>
    <xf numFmtId="0" fontId="5" fillId="0" borderId="0">
      <alignment/>
      <protection/>
    </xf>
    <xf numFmtId="0" fontId="4" fillId="0" borderId="0">
      <alignment/>
      <protection/>
    </xf>
    <xf numFmtId="0" fontId="19" fillId="0" borderId="0">
      <alignment/>
      <protection/>
    </xf>
    <xf numFmtId="0" fontId="4" fillId="0" borderId="0">
      <alignment/>
      <protection/>
    </xf>
    <xf numFmtId="15" fontId="4" fillId="0" borderId="0">
      <alignment horizontal="center" vertical="center"/>
      <protection/>
    </xf>
    <xf numFmtId="0" fontId="20" fillId="0" borderId="0">
      <alignment/>
      <protection/>
    </xf>
    <xf numFmtId="169" fontId="0" fillId="0" borderId="0">
      <alignment/>
      <protection/>
    </xf>
    <xf numFmtId="0" fontId="9" fillId="0" borderId="0">
      <alignment/>
      <protection/>
    </xf>
    <xf numFmtId="0" fontId="4" fillId="0" borderId="0">
      <alignment/>
      <protection/>
    </xf>
    <xf numFmtId="0" fontId="4" fillId="0" borderId="0">
      <alignment/>
      <protection/>
    </xf>
    <xf numFmtId="0" fontId="5" fillId="0" borderId="0">
      <alignment/>
      <protection/>
    </xf>
    <xf numFmtId="0" fontId="4" fillId="0" borderId="0">
      <alignment/>
      <protection/>
    </xf>
    <xf numFmtId="169" fontId="0"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9" fillId="0" borderId="0">
      <alignment/>
      <protection/>
    </xf>
    <xf numFmtId="0" fontId="14"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6" fillId="0" borderId="0">
      <alignment/>
      <protection/>
    </xf>
    <xf numFmtId="169" fontId="0" fillId="0" borderId="0">
      <alignment/>
      <protection/>
    </xf>
    <xf numFmtId="0" fontId="4" fillId="0" borderId="0">
      <alignment/>
      <protection/>
    </xf>
    <xf numFmtId="0" fontId="9" fillId="0" borderId="0">
      <alignment/>
      <protection/>
    </xf>
    <xf numFmtId="0" fontId="4" fillId="0" borderId="0">
      <alignment/>
      <protection/>
    </xf>
    <xf numFmtId="0" fontId="4" fillId="0" borderId="0">
      <alignment/>
      <protection/>
    </xf>
    <xf numFmtId="0" fontId="7" fillId="0" borderId="0">
      <alignment/>
      <protection/>
    </xf>
    <xf numFmtId="0" fontId="7" fillId="0" borderId="0">
      <alignment/>
      <protection/>
    </xf>
    <xf numFmtId="0" fontId="5" fillId="0" borderId="0">
      <alignment/>
      <protection/>
    </xf>
    <xf numFmtId="0" fontId="4" fillId="0" borderId="0">
      <alignment/>
      <protection/>
    </xf>
    <xf numFmtId="0" fontId="7"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6" fillId="0" borderId="0">
      <alignment/>
      <protection/>
    </xf>
    <xf numFmtId="0" fontId="9" fillId="0" borderId="0">
      <alignment/>
      <protection/>
    </xf>
    <xf numFmtId="0" fontId="4"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2" fillId="0" borderId="0">
      <alignment/>
      <protection/>
    </xf>
    <xf numFmtId="0" fontId="6" fillId="0" borderId="0">
      <alignment/>
      <protection/>
    </xf>
    <xf numFmtId="0" fontId="4" fillId="0" borderId="0">
      <alignment/>
      <protection/>
    </xf>
    <xf numFmtId="0" fontId="4" fillId="0" borderId="0">
      <alignment/>
      <protection/>
    </xf>
    <xf numFmtId="0" fontId="9" fillId="0" borderId="0">
      <alignment/>
      <protection/>
    </xf>
    <xf numFmtId="0" fontId="9" fillId="0" borderId="0">
      <alignment/>
      <protection/>
    </xf>
    <xf numFmtId="0" fontId="4" fillId="0" borderId="0">
      <alignment/>
      <protection/>
    </xf>
    <xf numFmtId="0" fontId="9" fillId="0" borderId="0">
      <alignment/>
      <protection/>
    </xf>
    <xf numFmtId="0" fontId="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4" fillId="0" borderId="0">
      <alignment/>
      <protection/>
    </xf>
    <xf numFmtId="0" fontId="4" fillId="0" borderId="0">
      <alignment/>
      <protection/>
    </xf>
    <xf numFmtId="0" fontId="5" fillId="0" borderId="0">
      <alignment/>
      <protection/>
    </xf>
    <xf numFmtId="0" fontId="5" fillId="0" borderId="0">
      <alignment/>
      <protection/>
    </xf>
    <xf numFmtId="0" fontId="4" fillId="0" borderId="0">
      <alignment/>
      <protection/>
    </xf>
    <xf numFmtId="0" fontId="6" fillId="0" borderId="0">
      <alignment/>
      <protection/>
    </xf>
    <xf numFmtId="0" fontId="6" fillId="0" borderId="0">
      <alignment/>
      <protection/>
    </xf>
    <xf numFmtId="0" fontId="6" fillId="0" borderId="0">
      <alignment/>
      <protection/>
    </xf>
    <xf numFmtId="0" fontId="18" fillId="0" borderId="0">
      <alignment/>
      <protection/>
    </xf>
    <xf numFmtId="0" fontId="9" fillId="0" borderId="0">
      <alignment/>
      <protection/>
    </xf>
    <xf numFmtId="0" fontId="5" fillId="0" borderId="0">
      <alignment/>
      <protection/>
    </xf>
    <xf numFmtId="0" fontId="4" fillId="0" borderId="0">
      <alignment/>
      <protection/>
    </xf>
    <xf numFmtId="0" fontId="4" fillId="0" borderId="0">
      <alignment/>
      <protection/>
    </xf>
    <xf numFmtId="0" fontId="5" fillId="0" borderId="0">
      <alignment/>
      <protection/>
    </xf>
    <xf numFmtId="0" fontId="4" fillId="0" borderId="0">
      <alignment/>
      <protection/>
    </xf>
    <xf numFmtId="0" fontId="9" fillId="0" borderId="0">
      <alignment/>
      <protection/>
    </xf>
    <xf numFmtId="0" fontId="18"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 fillId="0" borderId="0">
      <alignment/>
      <protection/>
    </xf>
    <xf numFmtId="0" fontId="18" fillId="0" borderId="0">
      <alignment/>
      <protection/>
    </xf>
    <xf numFmtId="0" fontId="9" fillId="0" borderId="0">
      <alignment/>
      <protection/>
    </xf>
    <xf numFmtId="0" fontId="18" fillId="0" borderId="0">
      <alignment/>
      <protection/>
    </xf>
    <xf numFmtId="0" fontId="4" fillId="0" borderId="0">
      <alignment/>
      <protection/>
    </xf>
    <xf numFmtId="0" fontId="9" fillId="0" borderId="0">
      <alignment/>
      <protection/>
    </xf>
    <xf numFmtId="0" fontId="4" fillId="0" borderId="0">
      <alignment/>
      <protection/>
    </xf>
    <xf numFmtId="0" fontId="4" fillId="0" borderId="0">
      <alignment/>
      <protection/>
    </xf>
    <xf numFmtId="0" fontId="4" fillId="0" borderId="0">
      <alignment/>
      <protection/>
    </xf>
    <xf numFmtId="0" fontId="14" fillId="0" borderId="0">
      <alignment/>
      <protection/>
    </xf>
    <xf numFmtId="0" fontId="7" fillId="0" borderId="0">
      <alignment/>
      <protection/>
    </xf>
    <xf numFmtId="0" fontId="9" fillId="0" borderId="0">
      <alignment/>
      <protection/>
    </xf>
    <xf numFmtId="0" fontId="4" fillId="0" borderId="0">
      <alignment/>
      <protection/>
    </xf>
    <xf numFmtId="0" fontId="4" fillId="0" borderId="0">
      <alignment/>
      <protection/>
    </xf>
    <xf numFmtId="0" fontId="9" fillId="0" borderId="0">
      <alignment/>
      <protection/>
    </xf>
    <xf numFmtId="0" fontId="9" fillId="0" borderId="0">
      <alignment/>
      <protection/>
    </xf>
    <xf numFmtId="0" fontId="9" fillId="0" borderId="0">
      <alignment/>
      <protection/>
    </xf>
    <xf numFmtId="0" fontId="4" fillId="0" borderId="0">
      <alignment/>
      <protection/>
    </xf>
    <xf numFmtId="0" fontId="9" fillId="0" borderId="0">
      <alignment/>
      <protection/>
    </xf>
    <xf numFmtId="0" fontId="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9" fillId="0" borderId="0">
      <alignment/>
      <protection/>
    </xf>
    <xf numFmtId="0" fontId="9" fillId="0" borderId="0">
      <alignment/>
      <protection/>
    </xf>
    <xf numFmtId="0" fontId="4" fillId="0" borderId="0">
      <alignment/>
      <protection/>
    </xf>
    <xf numFmtId="0" fontId="4" fillId="0" borderId="0">
      <alignment/>
      <protection/>
    </xf>
    <xf numFmtId="0" fontId="5" fillId="0" borderId="0">
      <alignment/>
      <protection/>
    </xf>
    <xf numFmtId="0" fontId="9" fillId="0" borderId="0">
      <alignment/>
      <protection/>
    </xf>
    <xf numFmtId="0" fontId="4" fillId="0" borderId="0">
      <alignment/>
      <protection/>
    </xf>
    <xf numFmtId="0" fontId="4" fillId="0" borderId="0">
      <alignment/>
      <protection/>
    </xf>
    <xf numFmtId="0" fontId="9" fillId="0" borderId="0">
      <alignment/>
      <protection/>
    </xf>
    <xf numFmtId="0" fontId="9" fillId="0" borderId="0">
      <alignment/>
      <protection/>
    </xf>
    <xf numFmtId="0" fontId="4" fillId="0" borderId="0">
      <alignment/>
      <protection/>
    </xf>
    <xf numFmtId="0" fontId="9" fillId="0" borderId="0">
      <alignment/>
      <protection/>
    </xf>
    <xf numFmtId="0" fontId="4" fillId="0" borderId="0">
      <alignment/>
      <protection/>
    </xf>
    <xf numFmtId="0" fontId="4" fillId="0" borderId="0">
      <alignment/>
      <protection/>
    </xf>
    <xf numFmtId="0" fontId="9" fillId="0" borderId="0">
      <alignment/>
      <protection/>
    </xf>
    <xf numFmtId="0" fontId="9" fillId="0" borderId="0">
      <alignment/>
      <protection/>
    </xf>
    <xf numFmtId="0" fontId="4" fillId="0" borderId="0">
      <alignment/>
      <protection/>
    </xf>
    <xf numFmtId="0" fontId="4" fillId="0" borderId="0">
      <alignment/>
      <protection/>
    </xf>
    <xf numFmtId="0" fontId="7" fillId="0" borderId="0">
      <alignment/>
      <protection/>
    </xf>
    <xf numFmtId="0" fontId="7"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169" fontId="21" fillId="0" borderId="0">
      <alignment/>
      <protection/>
    </xf>
    <xf numFmtId="0" fontId="6" fillId="0" borderId="0">
      <alignment/>
      <protection/>
    </xf>
    <xf numFmtId="0" fontId="15"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6" fillId="0" borderId="0">
      <alignment/>
      <protection/>
    </xf>
    <xf numFmtId="0" fontId="9" fillId="0" borderId="0">
      <alignment/>
      <protection/>
    </xf>
    <xf numFmtId="0" fontId="14" fillId="0" borderId="0">
      <alignment/>
      <protection/>
    </xf>
    <xf numFmtId="0" fontId="5" fillId="0" borderId="0">
      <alignment/>
      <protection/>
    </xf>
    <xf numFmtId="0" fontId="5" fillId="0" borderId="0">
      <alignment/>
      <protection/>
    </xf>
    <xf numFmtId="0" fontId="9" fillId="0" borderId="0">
      <alignment/>
      <protection/>
    </xf>
    <xf numFmtId="0" fontId="0"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9" fontId="4" fillId="0" borderId="0" applyFont="0" applyFill="0" applyBorder="0" applyAlignment="0" applyProtection="0"/>
  </cellStyleXfs>
  <cellXfs count="350">
    <xf numFmtId="37" fontId="0" fillId="0" borderId="0" xfId="0" applyAlignment="1">
      <alignment/>
    </xf>
    <xf numFmtId="0" fontId="8" fillId="0" borderId="0" xfId="0" applyAlignment="1">
      <alignment/>
    </xf>
    <xf numFmtId="0" fontId="10" fillId="0" borderId="0" xfId="0" applyAlignment="1">
      <alignment/>
    </xf>
    <xf numFmtId="0" fontId="13" fillId="0" borderId="0" xfId="0" applyAlignment="1">
      <alignment/>
    </xf>
    <xf numFmtId="0" fontId="13" fillId="0" borderId="0" xfId="0" applyAlignment="1">
      <alignment horizontal="left"/>
    </xf>
    <xf numFmtId="4" fontId="8" fillId="0" borderId="0" xfId="0" applyAlignment="1">
      <alignment/>
    </xf>
    <xf numFmtId="37" fontId="4" fillId="0" borderId="0" xfId="0" applyFont="1" applyAlignment="1">
      <alignment/>
    </xf>
    <xf numFmtId="37" fontId="5" fillId="0" borderId="0" xfId="0" applyFont="1" applyAlignment="1">
      <alignment/>
    </xf>
    <xf numFmtId="37" fontId="5" fillId="0" borderId="0" xfId="0" applyFont="1" applyAlignment="1">
      <alignment horizontal="left"/>
    </xf>
    <xf numFmtId="37" fontId="5" fillId="0" borderId="0" xfId="0" applyFont="1" applyAlignment="1" quotePrefix="1">
      <alignment horizontal="left"/>
    </xf>
    <xf numFmtId="37" fontId="5" fillId="0" borderId="0" xfId="0" applyFont="1" applyAlignment="1">
      <alignment horizontal="center" wrapText="1"/>
    </xf>
    <xf numFmtId="169" fontId="5" fillId="0" borderId="0" xfId="596" applyFont="1">
      <alignment/>
      <protection/>
    </xf>
    <xf numFmtId="37" fontId="22" fillId="0" borderId="0" xfId="0" applyFont="1" applyAlignment="1" applyProtection="1">
      <alignment/>
      <protection locked="0"/>
    </xf>
    <xf numFmtId="164" fontId="5" fillId="0" borderId="0" xfId="0" applyNumberFormat="1" applyFont="1" applyAlignment="1" applyProtection="1">
      <alignment/>
      <protection/>
    </xf>
    <xf numFmtId="37" fontId="5" fillId="0" borderId="0" xfId="0" applyFont="1" applyAlignment="1">
      <alignment horizontal="right"/>
    </xf>
    <xf numFmtId="184" fontId="5" fillId="0" borderId="0" xfId="16" applyNumberFormat="1" applyFont="1" applyAlignment="1">
      <alignment/>
    </xf>
    <xf numFmtId="264" fontId="5" fillId="0" borderId="0" xfId="16" applyNumberFormat="1" applyFont="1" applyAlignment="1">
      <alignment/>
    </xf>
    <xf numFmtId="37" fontId="5" fillId="0" borderId="0" xfId="0" applyFont="1" applyAlignment="1">
      <alignment horizontal="fill"/>
    </xf>
    <xf numFmtId="169" fontId="5" fillId="0" borderId="0" xfId="596" applyFont="1" applyAlignment="1">
      <alignment horizontal="center"/>
      <protection/>
    </xf>
    <xf numFmtId="175" fontId="5" fillId="0" borderId="0" xfId="596" applyNumberFormat="1" applyFont="1" applyAlignment="1" applyProtection="1">
      <alignment horizontal="center"/>
      <protection/>
    </xf>
    <xf numFmtId="166" fontId="5" fillId="0" borderId="0" xfId="596" applyNumberFormat="1" applyFont="1" applyProtection="1">
      <alignment/>
      <protection/>
    </xf>
    <xf numFmtId="37" fontId="5" fillId="0" borderId="2" xfId="0" applyFont="1" applyBorder="1" applyAlignment="1">
      <alignment/>
    </xf>
    <xf numFmtId="37" fontId="5" fillId="0" borderId="3" xfId="0" applyFont="1" applyBorder="1" applyAlignment="1">
      <alignment/>
    </xf>
    <xf numFmtId="37" fontId="5" fillId="0" borderId="4" xfId="0" applyFont="1" applyBorder="1" applyAlignment="1" quotePrefix="1">
      <alignment horizontal="center"/>
    </xf>
    <xf numFmtId="169" fontId="5" fillId="0" borderId="4" xfId="596" applyFont="1" applyBorder="1">
      <alignment/>
      <protection/>
    </xf>
    <xf numFmtId="37" fontId="15" fillId="0" borderId="0" xfId="0" applyFont="1" applyAlignment="1">
      <alignment/>
    </xf>
    <xf numFmtId="37" fontId="24" fillId="0" borderId="0" xfId="0" applyFont="1" applyAlignment="1">
      <alignment/>
    </xf>
    <xf numFmtId="37" fontId="15" fillId="0" borderId="0" xfId="0" applyFont="1" applyAlignment="1" quotePrefix="1">
      <alignment horizontal="left"/>
    </xf>
    <xf numFmtId="37" fontId="5" fillId="0" borderId="0" xfId="0" applyFont="1" applyAlignment="1">
      <alignment wrapText="1"/>
    </xf>
    <xf numFmtId="37" fontId="5" fillId="0" borderId="5" xfId="0" applyFont="1" applyBorder="1" applyAlignment="1">
      <alignment horizontal="center"/>
    </xf>
    <xf numFmtId="37" fontId="5" fillId="0" borderId="5" xfId="0" applyFont="1" applyBorder="1" applyAlignment="1">
      <alignment/>
    </xf>
    <xf numFmtId="37" fontId="5" fillId="0" borderId="6" xfId="0" applyFont="1" applyBorder="1" applyAlignment="1">
      <alignment/>
    </xf>
    <xf numFmtId="37" fontId="5" fillId="0" borderId="5" xfId="0" applyFont="1" applyBorder="1" applyAlignment="1" quotePrefix="1">
      <alignment horizontal="center"/>
    </xf>
    <xf numFmtId="37" fontId="5" fillId="0" borderId="5" xfId="0" applyFont="1" applyBorder="1" applyAlignment="1">
      <alignment horizontal="left"/>
    </xf>
    <xf numFmtId="37" fontId="5" fillId="0" borderId="4" xfId="0" applyFont="1" applyBorder="1" applyAlignment="1">
      <alignment horizontal="left"/>
    </xf>
    <xf numFmtId="37" fontId="23" fillId="0" borderId="4" xfId="0" applyFont="1" applyBorder="1" applyAlignment="1">
      <alignment horizontal="left"/>
    </xf>
    <xf numFmtId="37" fontId="23" fillId="0" borderId="4" xfId="0" applyFont="1" applyFill="1" applyBorder="1" applyAlignment="1">
      <alignment/>
    </xf>
    <xf numFmtId="37" fontId="23" fillId="0" borderId="7" xfId="0" applyFont="1" applyBorder="1" applyAlignment="1">
      <alignment horizontal="left"/>
    </xf>
    <xf numFmtId="37" fontId="23" fillId="0" borderId="4" xfId="0" applyFont="1" applyFill="1" applyBorder="1" applyAlignment="1">
      <alignment horizontal="left"/>
    </xf>
    <xf numFmtId="37" fontId="23" fillId="0" borderId="7" xfId="0" applyFont="1" applyFill="1" applyBorder="1" applyAlignment="1">
      <alignment horizontal="left"/>
    </xf>
    <xf numFmtId="37" fontId="5" fillId="0" borderId="8" xfId="0" applyFont="1" applyBorder="1" applyAlignment="1" quotePrefix="1">
      <alignment horizontal="center"/>
    </xf>
    <xf numFmtId="37" fontId="5" fillId="0" borderId="4" xfId="0" applyFont="1" applyBorder="1" applyAlignment="1">
      <alignment/>
    </xf>
    <xf numFmtId="39" fontId="5" fillId="0" borderId="4" xfId="0" applyNumberFormat="1" applyFont="1" applyBorder="1" applyAlignment="1" applyProtection="1">
      <alignment/>
      <protection/>
    </xf>
    <xf numFmtId="37" fontId="25" fillId="0" borderId="4" xfId="0" applyFont="1" applyBorder="1" applyAlignment="1">
      <alignment/>
    </xf>
    <xf numFmtId="37" fontId="5" fillId="0" borderId="5" xfId="0" applyFont="1" applyBorder="1" applyAlignment="1">
      <alignment wrapText="1"/>
    </xf>
    <xf numFmtId="37" fontId="5" fillId="0" borderId="6" xfId="0" applyFont="1" applyBorder="1" applyAlignment="1" quotePrefix="1">
      <alignment horizontal="center"/>
    </xf>
    <xf numFmtId="37" fontId="5" fillId="0" borderId="4" xfId="0" applyFont="1" applyBorder="1" applyAlignment="1" quotePrefix="1">
      <alignment horizontal="center" wrapText="1"/>
    </xf>
    <xf numFmtId="37" fontId="5" fillId="0" borderId="4" xfId="0" applyNumberFormat="1" applyFont="1" applyBorder="1" applyAlignment="1" applyProtection="1">
      <alignment/>
      <protection/>
    </xf>
    <xf numFmtId="37" fontId="5" fillId="0" borderId="7" xfId="0" applyFont="1" applyBorder="1" applyAlignment="1" quotePrefix="1">
      <alignment horizontal="center" wrapText="1"/>
    </xf>
    <xf numFmtId="10" fontId="5" fillId="0" borderId="4" xfId="0" applyNumberFormat="1" applyFont="1" applyBorder="1" applyAlignment="1" applyProtection="1">
      <alignment/>
      <protection/>
    </xf>
    <xf numFmtId="37" fontId="25" fillId="0" borderId="4" xfId="0" applyNumberFormat="1" applyFont="1" applyBorder="1" applyAlignment="1" applyProtection="1">
      <alignment/>
      <protection/>
    </xf>
    <xf numFmtId="10" fontId="25" fillId="0" borderId="4" xfId="0" applyNumberFormat="1" applyFont="1" applyBorder="1" applyAlignment="1" applyProtection="1">
      <alignment/>
      <protection/>
    </xf>
    <xf numFmtId="169" fontId="5" fillId="0" borderId="4" xfId="596" applyFont="1" applyBorder="1" applyAlignment="1">
      <alignment horizontal="left"/>
      <protection/>
    </xf>
    <xf numFmtId="169" fontId="5" fillId="0" borderId="4" xfId="596" applyFont="1" applyBorder="1" applyAlignment="1">
      <alignment horizontal="center"/>
      <protection/>
    </xf>
    <xf numFmtId="37" fontId="5" fillId="0" borderId="9" xfId="0" applyFont="1" applyBorder="1" applyAlignment="1">
      <alignment/>
    </xf>
    <xf numFmtId="37" fontId="5" fillId="0" borderId="5" xfId="0" applyFont="1" applyBorder="1" applyAlignment="1" quotePrefix="1">
      <alignment horizontal="center" wrapText="1"/>
    </xf>
    <xf numFmtId="169" fontId="5" fillId="0" borderId="5" xfId="596" applyFont="1" applyBorder="1" applyAlignment="1" quotePrefix="1">
      <alignment horizontal="left" wrapText="1"/>
      <protection/>
    </xf>
    <xf numFmtId="169" fontId="5" fillId="0" borderId="5" xfId="596" applyFont="1" applyBorder="1">
      <alignment/>
      <protection/>
    </xf>
    <xf numFmtId="37" fontId="5" fillId="0" borderId="10" xfId="0" applyFont="1" applyBorder="1" applyAlignment="1">
      <alignment/>
    </xf>
    <xf numFmtId="169" fontId="5" fillId="0" borderId="5" xfId="0" applyNumberFormat="1" applyFont="1" applyBorder="1" applyAlignment="1" applyProtection="1">
      <alignment horizontal="left"/>
      <protection/>
    </xf>
    <xf numFmtId="167" fontId="22" fillId="0" borderId="5" xfId="0" applyNumberFormat="1" applyFont="1" applyBorder="1" applyAlignment="1" applyProtection="1">
      <alignment/>
      <protection locked="0"/>
    </xf>
    <xf numFmtId="169" fontId="5" fillId="0" borderId="5" xfId="0" applyNumberFormat="1" applyFont="1" applyBorder="1" applyAlignment="1" applyProtection="1">
      <alignment horizontal="center"/>
      <protection/>
    </xf>
    <xf numFmtId="169" fontId="5" fillId="0" borderId="5" xfId="0" applyNumberFormat="1" applyFont="1" applyBorder="1" applyAlignment="1" applyProtection="1" quotePrefix="1">
      <alignment horizontal="center"/>
      <protection/>
    </xf>
    <xf numFmtId="37" fontId="5" fillId="0" borderId="5" xfId="0" applyFont="1" applyBorder="1" applyAlignment="1">
      <alignment horizontal="center" wrapText="1"/>
    </xf>
    <xf numFmtId="37" fontId="5" fillId="0" borderId="6" xfId="0" applyFont="1" applyBorder="1" applyAlignment="1">
      <alignment horizontal="center" wrapText="1"/>
    </xf>
    <xf numFmtId="37" fontId="23" fillId="0" borderId="7" xfId="0" applyFont="1" applyBorder="1" applyAlignment="1" quotePrefix="1">
      <alignment horizontal="left" vertical="top"/>
    </xf>
    <xf numFmtId="37" fontId="5" fillId="0" borderId="7" xfId="0" applyFont="1" applyBorder="1" applyAlignment="1">
      <alignment horizontal="center" vertical="top"/>
    </xf>
    <xf numFmtId="43" fontId="25" fillId="0" borderId="4" xfId="16" applyFont="1" applyBorder="1" applyAlignment="1" applyProtection="1">
      <alignment/>
      <protection locked="0"/>
    </xf>
    <xf numFmtId="37" fontId="5" fillId="0" borderId="0" xfId="0" applyFont="1" applyAlignment="1">
      <alignment/>
    </xf>
    <xf numFmtId="37" fontId="23" fillId="0" borderId="5" xfId="0" applyFont="1" applyBorder="1" applyAlignment="1">
      <alignment horizontal="left"/>
    </xf>
    <xf numFmtId="37" fontId="23" fillId="0" borderId="6" xfId="0" applyFont="1" applyBorder="1" applyAlignment="1">
      <alignment horizontal="left"/>
    </xf>
    <xf numFmtId="37" fontId="23" fillId="0" borderId="0" xfId="0" applyFont="1" applyBorder="1" applyAlignment="1">
      <alignment horizontal="left" vertical="top" wrapText="1"/>
    </xf>
    <xf numFmtId="37" fontId="5" fillId="0" borderId="4" xfId="0" applyFont="1" applyBorder="1" applyAlignment="1" quotePrefix="1">
      <alignment horizontal="center" vertical="top" wrapText="1"/>
    </xf>
    <xf numFmtId="37" fontId="15" fillId="0" borderId="11" xfId="0" applyFont="1" applyBorder="1" applyAlignment="1">
      <alignment vertical="top" wrapText="1"/>
    </xf>
    <xf numFmtId="37" fontId="15" fillId="0" borderId="11" xfId="0" applyFont="1" applyBorder="1" applyAlignment="1" quotePrefix="1">
      <alignment horizontal="left" vertical="top" wrapText="1"/>
    </xf>
    <xf numFmtId="37" fontId="5" fillId="0" borderId="4" xfId="0" applyFont="1" applyBorder="1" applyAlignment="1">
      <alignment horizontal="center" wrapText="1"/>
    </xf>
    <xf numFmtId="37" fontId="24" fillId="0" borderId="11" xfId="0" applyFont="1" applyBorder="1" applyAlignment="1">
      <alignment vertical="top" wrapText="1"/>
    </xf>
    <xf numFmtId="37" fontId="30" fillId="0" borderId="2" xfId="0" applyFont="1" applyBorder="1" applyAlignment="1">
      <alignment horizontal="center"/>
    </xf>
    <xf numFmtId="37" fontId="30" fillId="0" borderId="3" xfId="0" applyFont="1" applyBorder="1" applyAlignment="1">
      <alignment horizontal="center"/>
    </xf>
    <xf numFmtId="37" fontId="30" fillId="0" borderId="5" xfId="0" applyFont="1" applyBorder="1" applyAlignment="1">
      <alignment horizontal="center"/>
    </xf>
    <xf numFmtId="37" fontId="30" fillId="0" borderId="6" xfId="0" applyFont="1" applyBorder="1" applyAlignment="1">
      <alignment horizontal="center"/>
    </xf>
    <xf numFmtId="37" fontId="30" fillId="0" borderId="5" xfId="0" applyFont="1" applyBorder="1" applyAlignment="1">
      <alignment horizontal="center" wrapText="1"/>
    </xf>
    <xf numFmtId="37" fontId="30" fillId="0" borderId="6" xfId="0" applyFont="1" applyBorder="1" applyAlignment="1">
      <alignment horizontal="center" wrapText="1"/>
    </xf>
    <xf numFmtId="37" fontId="30" fillId="0" borderId="2" xfId="0" applyFont="1" applyBorder="1" applyAlignment="1">
      <alignment horizontal="center" wrapText="1"/>
    </xf>
    <xf numFmtId="37" fontId="30" fillId="0" borderId="5" xfId="0" applyFont="1" applyBorder="1" applyAlignment="1">
      <alignment horizontal="center" vertical="top"/>
    </xf>
    <xf numFmtId="37" fontId="30" fillId="0" borderId="2" xfId="0" applyFont="1" applyBorder="1" applyAlignment="1">
      <alignment horizontal="center" vertical="top"/>
    </xf>
    <xf numFmtId="37" fontId="24" fillId="0" borderId="11" xfId="0" applyFont="1" applyBorder="1" applyAlignment="1" quotePrefix="1">
      <alignment horizontal="left" vertical="top" wrapText="1"/>
    </xf>
    <xf numFmtId="37" fontId="23" fillId="0" borderId="5" xfId="0" applyFont="1" applyBorder="1" applyAlignment="1" quotePrefix="1">
      <alignment horizontal="left"/>
    </xf>
    <xf numFmtId="37" fontId="5" fillId="0" borderId="5" xfId="0" applyFont="1" applyFill="1" applyBorder="1" applyAlignment="1">
      <alignment horizontal="left"/>
    </xf>
    <xf numFmtId="37" fontId="23" fillId="0" borderId="6" xfId="0" applyFont="1" applyFill="1" applyBorder="1" applyAlignment="1">
      <alignment horizontal="left"/>
    </xf>
    <xf numFmtId="37" fontId="23" fillId="0" borderId="5" xfId="0" applyFont="1" applyFill="1" applyBorder="1" applyAlignment="1">
      <alignment horizontal="left"/>
    </xf>
    <xf numFmtId="37" fontId="23" fillId="0" borderId="4" xfId="0" applyFont="1" applyBorder="1" applyAlignment="1" quotePrefix="1">
      <alignment horizontal="left"/>
    </xf>
    <xf numFmtId="169" fontId="23" fillId="0" borderId="4" xfId="596" applyFont="1" applyBorder="1">
      <alignment/>
      <protection/>
    </xf>
    <xf numFmtId="169" fontId="23" fillId="0" borderId="7" xfId="596" applyFont="1" applyBorder="1">
      <alignment/>
      <protection/>
    </xf>
    <xf numFmtId="169" fontId="23" fillId="0" borderId="4" xfId="596" applyFont="1" applyBorder="1" applyAlignment="1">
      <alignment wrapText="1"/>
      <protection/>
    </xf>
    <xf numFmtId="37" fontId="23" fillId="0" borderId="4" xfId="0" applyFont="1" applyBorder="1" applyAlignment="1">
      <alignment horizontal="left" wrapText="1"/>
    </xf>
    <xf numFmtId="37" fontId="23" fillId="0" borderId="5" xfId="0" applyFont="1" applyBorder="1" applyAlignment="1">
      <alignment horizontal="left" vertical="top" wrapText="1"/>
    </xf>
    <xf numFmtId="37" fontId="5" fillId="0" borderId="2" xfId="0" applyFont="1" applyBorder="1" applyAlignment="1">
      <alignment vertical="top" wrapText="1"/>
    </xf>
    <xf numFmtId="37" fontId="5" fillId="0" borderId="4" xfId="0" applyFont="1" applyBorder="1" applyAlignment="1">
      <alignment horizontal="center" vertical="top" wrapText="1"/>
    </xf>
    <xf numFmtId="169" fontId="5" fillId="0" borderId="2" xfId="596" applyFont="1" applyBorder="1" applyAlignment="1">
      <alignment vertical="top" wrapText="1"/>
      <protection/>
    </xf>
    <xf numFmtId="169" fontId="5" fillId="0" borderId="3" xfId="596" applyFont="1" applyBorder="1" applyAlignment="1">
      <alignment vertical="top" wrapText="1"/>
      <protection/>
    </xf>
    <xf numFmtId="37" fontId="5" fillId="0" borderId="5" xfId="0" applyFont="1" applyBorder="1" applyAlignment="1">
      <alignment horizontal="center" vertical="top" wrapText="1"/>
    </xf>
    <xf numFmtId="37" fontId="5" fillId="0" borderId="6" xfId="0" applyFont="1" applyBorder="1" applyAlignment="1">
      <alignment vertical="top" wrapText="1"/>
    </xf>
    <xf numFmtId="37" fontId="5" fillId="0" borderId="12" xfId="0" applyFont="1" applyBorder="1" applyAlignment="1">
      <alignment horizontal="center" vertical="top" wrapText="1"/>
    </xf>
    <xf numFmtId="37" fontId="5" fillId="0" borderId="12" xfId="0" applyFont="1" applyBorder="1" applyAlignment="1" quotePrefix="1">
      <alignment horizontal="center" vertical="top" wrapText="1"/>
    </xf>
    <xf numFmtId="37" fontId="5" fillId="0" borderId="7" xfId="0" applyFont="1" applyBorder="1" applyAlignment="1" quotePrefix="1">
      <alignment horizontal="center" vertical="top" wrapText="1"/>
    </xf>
    <xf numFmtId="37" fontId="5" fillId="0" borderId="0" xfId="0" applyFont="1" applyAlignment="1">
      <alignment vertical="top" wrapText="1"/>
    </xf>
    <xf numFmtId="37" fontId="23" fillId="0" borderId="0" xfId="0" applyFont="1" applyAlignment="1" quotePrefix="1">
      <alignment horizontal="right"/>
    </xf>
    <xf numFmtId="37" fontId="31" fillId="0" borderId="0" xfId="0" applyFont="1" applyAlignment="1">
      <alignment horizontal="right"/>
    </xf>
    <xf numFmtId="186" fontId="23" fillId="0" borderId="0" xfId="16" applyNumberFormat="1" applyFont="1" applyFill="1" applyAlignment="1" quotePrefix="1">
      <alignment horizontal="right"/>
    </xf>
    <xf numFmtId="37" fontId="5" fillId="0" borderId="6" xfId="0" applyFont="1" applyBorder="1" applyAlignment="1">
      <alignment horizontal="center" vertical="top" wrapText="1"/>
    </xf>
    <xf numFmtId="37" fontId="5" fillId="0" borderId="7" xfId="0" applyFont="1" applyBorder="1" applyAlignment="1">
      <alignment horizontal="center" wrapText="1"/>
    </xf>
    <xf numFmtId="37" fontId="5" fillId="0" borderId="5" xfId="0" applyFont="1" applyBorder="1" applyAlignment="1" quotePrefix="1">
      <alignment horizontal="center" vertical="top" wrapText="1"/>
    </xf>
    <xf numFmtId="37" fontId="5" fillId="0" borderId="5" xfId="0" applyFont="1" applyBorder="1" applyAlignment="1">
      <alignment horizontal="center" vertical="top"/>
    </xf>
    <xf numFmtId="37" fontId="5" fillId="0" borderId="5" xfId="0" applyFont="1" applyBorder="1" applyAlignment="1" quotePrefix="1">
      <alignment horizontal="center" vertical="top"/>
    </xf>
    <xf numFmtId="37" fontId="32" fillId="0" borderId="11" xfId="368" applyFont="1" applyBorder="1" applyAlignment="1" quotePrefix="1">
      <alignment horizontal="left" vertical="top"/>
    </xf>
    <xf numFmtId="37" fontId="32" fillId="0" borderId="11" xfId="368" applyFont="1" applyBorder="1" applyAlignment="1">
      <alignment horizontal="left" vertical="top"/>
    </xf>
    <xf numFmtId="37" fontId="32" fillId="0" borderId="11" xfId="368" applyFont="1" applyBorder="1" applyAlignment="1">
      <alignment vertical="top"/>
    </xf>
    <xf numFmtId="37" fontId="5" fillId="0" borderId="6" xfId="0" applyFont="1" applyBorder="1" applyAlignment="1">
      <alignment vertical="top"/>
    </xf>
    <xf numFmtId="37" fontId="5" fillId="0" borderId="7" xfId="0" applyFont="1" applyBorder="1" applyAlignment="1">
      <alignment horizontal="center" vertical="top" wrapText="1"/>
    </xf>
    <xf numFmtId="37" fontId="5" fillId="0" borderId="10" xfId="0" applyFont="1" applyBorder="1" applyAlignment="1" quotePrefix="1">
      <alignment horizontal="center"/>
    </xf>
    <xf numFmtId="37" fontId="32" fillId="0" borderId="6" xfId="368" applyFont="1" applyBorder="1" applyAlignment="1" quotePrefix="1">
      <alignment horizontal="left" vertical="top"/>
    </xf>
    <xf numFmtId="37" fontId="24" fillId="0" borderId="6" xfId="0" applyFont="1" applyBorder="1" applyAlignment="1">
      <alignment vertical="top" wrapText="1"/>
    </xf>
    <xf numFmtId="37" fontId="32" fillId="0" borderId="10" xfId="368" applyFont="1" applyBorder="1" applyAlignment="1" quotePrefix="1">
      <alignment horizontal="left" vertical="top"/>
    </xf>
    <xf numFmtId="37" fontId="24" fillId="0" borderId="10" xfId="0" applyFont="1" applyBorder="1" applyAlignment="1">
      <alignment vertical="top" wrapText="1"/>
    </xf>
    <xf numFmtId="37" fontId="15" fillId="0" borderId="10" xfId="0" applyFont="1" applyBorder="1" applyAlignment="1" quotePrefix="1">
      <alignment horizontal="left" vertical="top" wrapText="1"/>
    </xf>
    <xf numFmtId="37" fontId="15" fillId="0" borderId="6" xfId="0" applyFont="1" applyBorder="1" applyAlignment="1" quotePrefix="1">
      <alignment horizontal="left" vertical="top" wrapText="1"/>
    </xf>
    <xf numFmtId="10" fontId="5" fillId="0" borderId="4" xfId="757" applyNumberFormat="1" applyFont="1" applyBorder="1" applyAlignment="1" applyProtection="1">
      <alignment/>
      <protection/>
    </xf>
    <xf numFmtId="169" fontId="5" fillId="0" borderId="5" xfId="596" applyFont="1" applyBorder="1" applyAlignment="1">
      <alignment horizontal="left"/>
      <protection/>
    </xf>
    <xf numFmtId="169" fontId="30" fillId="0" borderId="10" xfId="596" applyFont="1" applyBorder="1" applyAlignment="1">
      <alignment horizontal="center" wrapText="1"/>
      <protection/>
    </xf>
    <xf numFmtId="10" fontId="5" fillId="0" borderId="10" xfId="596" applyNumberFormat="1" applyFont="1" applyBorder="1" applyAlignment="1" applyProtection="1">
      <alignment vertical="top"/>
      <protection/>
    </xf>
    <xf numFmtId="169" fontId="30" fillId="0" borderId="5" xfId="596" applyFont="1" applyBorder="1" applyAlignment="1">
      <alignment horizontal="center" wrapText="1"/>
      <protection/>
    </xf>
    <xf numFmtId="169" fontId="5" fillId="0" borderId="5" xfId="596" applyFont="1" applyBorder="1" applyAlignment="1" quotePrefix="1">
      <alignment horizontal="left" vertical="top" wrapText="1"/>
      <protection/>
    </xf>
    <xf numFmtId="186" fontId="25" fillId="0" borderId="5" xfId="16" applyNumberFormat="1" applyFont="1" applyBorder="1" applyAlignment="1" applyProtection="1">
      <alignment vertical="top"/>
      <protection/>
    </xf>
    <xf numFmtId="10" fontId="5" fillId="0" borderId="5" xfId="596" applyNumberFormat="1" applyFont="1" applyBorder="1" applyProtection="1">
      <alignment/>
      <protection/>
    </xf>
    <xf numFmtId="186" fontId="25" fillId="0" borderId="5" xfId="16" applyNumberFormat="1" applyFont="1" applyBorder="1" applyAlignment="1" applyProtection="1">
      <alignment/>
      <protection/>
    </xf>
    <xf numFmtId="169" fontId="5" fillId="0" borderId="5" xfId="596" applyFont="1" applyBorder="1" applyAlignment="1" quotePrefix="1">
      <alignment horizontal="left"/>
      <protection/>
    </xf>
    <xf numFmtId="186" fontId="5" fillId="0" borderId="5" xfId="16" applyNumberFormat="1" applyFont="1" applyBorder="1" applyAlignment="1">
      <alignment wrapText="1"/>
    </xf>
    <xf numFmtId="186" fontId="5" fillId="0" borderId="5" xfId="16" applyNumberFormat="1" applyFont="1" applyBorder="1" applyAlignment="1" quotePrefix="1">
      <alignment horizontal="left" vertical="top" wrapText="1"/>
    </xf>
    <xf numFmtId="186" fontId="5" fillId="0" borderId="5" xfId="16" applyNumberFormat="1" applyFont="1" applyBorder="1" applyAlignment="1">
      <alignment/>
    </xf>
    <xf numFmtId="10" fontId="5" fillId="0" borderId="5" xfId="596" applyNumberFormat="1" applyFont="1" applyBorder="1" applyAlignment="1" applyProtection="1">
      <alignment vertical="top"/>
      <protection/>
    </xf>
    <xf numFmtId="186" fontId="25" fillId="0" borderId="5" xfId="16" applyNumberFormat="1" applyFont="1" applyBorder="1" applyAlignment="1">
      <alignment/>
    </xf>
    <xf numFmtId="10" fontId="5" fillId="0" borderId="6" xfId="757" applyNumberFormat="1" applyFont="1" applyBorder="1" applyAlignment="1">
      <alignment/>
    </xf>
    <xf numFmtId="169" fontId="5" fillId="0" borderId="4" xfId="596" applyFont="1" applyBorder="1" applyAlignment="1" quotePrefix="1">
      <alignment horizontal="center" vertical="top" wrapText="1"/>
      <protection/>
    </xf>
    <xf numFmtId="169" fontId="5" fillId="0" borderId="7" xfId="596" applyFont="1" applyBorder="1" applyAlignment="1" quotePrefix="1">
      <alignment horizontal="center" vertical="top" wrapText="1"/>
      <protection/>
    </xf>
    <xf numFmtId="37" fontId="5" fillId="0" borderId="2" xfId="0" applyFont="1" applyBorder="1" applyAlignment="1">
      <alignment vertical="top"/>
    </xf>
    <xf numFmtId="37" fontId="23" fillId="0" borderId="5" xfId="0" applyFont="1" applyBorder="1" applyAlignment="1">
      <alignment horizontal="left" vertical="top"/>
    </xf>
    <xf numFmtId="37" fontId="5" fillId="0" borderId="0" xfId="0" applyFont="1" applyAlignment="1">
      <alignment vertical="top"/>
    </xf>
    <xf numFmtId="37" fontId="5" fillId="0" borderId="3" xfId="0" applyFont="1" applyBorder="1" applyAlignment="1">
      <alignment vertical="top"/>
    </xf>
    <xf numFmtId="37" fontId="23" fillId="0" borderId="6" xfId="0" applyFont="1" applyBorder="1" applyAlignment="1">
      <alignment horizontal="left" vertical="top"/>
    </xf>
    <xf numFmtId="37" fontId="5" fillId="0" borderId="5" xfId="0" applyFont="1" applyBorder="1" applyAlignment="1" quotePrefix="1">
      <alignment horizontal="left" vertical="top"/>
    </xf>
    <xf numFmtId="37" fontId="5" fillId="0" borderId="5" xfId="0" applyFont="1" applyBorder="1" applyAlignment="1">
      <alignment vertical="top"/>
    </xf>
    <xf numFmtId="37" fontId="5" fillId="0" borderId="5" xfId="0" applyFont="1" applyBorder="1" applyAlignment="1">
      <alignment horizontal="left" vertical="top"/>
    </xf>
    <xf numFmtId="10" fontId="5" fillId="0" borderId="5" xfId="757" applyNumberFormat="1" applyFont="1" applyBorder="1" applyAlignment="1">
      <alignment vertical="top"/>
    </xf>
    <xf numFmtId="37" fontId="23" fillId="0" borderId="10" xfId="0" applyFont="1" applyBorder="1" applyAlignment="1">
      <alignment horizontal="left" vertical="top"/>
    </xf>
    <xf numFmtId="37" fontId="5" fillId="0" borderId="6" xfId="0" applyFont="1" applyBorder="1" applyAlignment="1" quotePrefix="1">
      <alignment horizontal="left" vertical="top"/>
    </xf>
    <xf numFmtId="37" fontId="5" fillId="0" borderId="10" xfId="0" applyFont="1" applyBorder="1" applyAlignment="1">
      <alignment horizontal="left" vertical="top"/>
    </xf>
    <xf numFmtId="167" fontId="5" fillId="0" borderId="5" xfId="0" applyNumberFormat="1" applyFont="1" applyBorder="1" applyAlignment="1" applyProtection="1">
      <alignment/>
      <protection locked="0"/>
    </xf>
    <xf numFmtId="169" fontId="5" fillId="0" borderId="6" xfId="0" applyNumberFormat="1" applyFont="1" applyBorder="1" applyAlignment="1" applyProtection="1">
      <alignment horizontal="center" vertical="top" wrapText="1"/>
      <protection/>
    </xf>
    <xf numFmtId="169" fontId="5" fillId="0" borderId="6" xfId="0" applyNumberFormat="1" applyFont="1" applyBorder="1" applyAlignment="1" applyProtection="1">
      <alignment horizontal="left" vertical="top"/>
      <protection/>
    </xf>
    <xf numFmtId="169" fontId="23" fillId="0" borderId="10" xfId="596" applyFont="1" applyBorder="1" applyAlignment="1" quotePrefix="1">
      <alignment horizontal="left" vertical="top" wrapText="1"/>
      <protection/>
    </xf>
    <xf numFmtId="169" fontId="23" fillId="0" borderId="5" xfId="596" applyFont="1" applyBorder="1" applyAlignment="1" quotePrefix="1">
      <alignment horizontal="left" wrapText="1"/>
      <protection/>
    </xf>
    <xf numFmtId="169" fontId="23" fillId="0" borderId="6" xfId="596" applyFont="1" applyBorder="1" applyAlignment="1">
      <alignment horizontal="left"/>
      <protection/>
    </xf>
    <xf numFmtId="37" fontId="1" fillId="0" borderId="0" xfId="0" applyFont="1" applyAlignment="1">
      <alignment/>
    </xf>
    <xf numFmtId="37" fontId="1" fillId="0" borderId="0" xfId="0" applyFont="1" applyAlignment="1">
      <alignment horizontal="left"/>
    </xf>
    <xf numFmtId="37" fontId="4" fillId="0" borderId="0" xfId="0" applyFont="1" applyAlignment="1" quotePrefix="1">
      <alignment horizontal="left"/>
    </xf>
    <xf numFmtId="37" fontId="1" fillId="0" borderId="0" xfId="0" applyFont="1" applyAlignment="1" quotePrefix="1">
      <alignment horizontal="left"/>
    </xf>
    <xf numFmtId="37" fontId="1" fillId="0" borderId="0" xfId="0" applyFont="1" applyAlignment="1" quotePrefix="1">
      <alignment horizontal="left" wrapText="1"/>
    </xf>
    <xf numFmtId="37" fontId="4" fillId="0" borderId="0" xfId="0" applyFont="1" applyAlignment="1">
      <alignment horizontal="left" wrapText="1"/>
    </xf>
    <xf numFmtId="37" fontId="4" fillId="0" borderId="0" xfId="0" applyFont="1" applyFill="1" applyAlignment="1">
      <alignment/>
    </xf>
    <xf numFmtId="37" fontId="4" fillId="0" borderId="0" xfId="0" applyFont="1" applyAlignment="1">
      <alignment wrapText="1"/>
    </xf>
    <xf numFmtId="37" fontId="15" fillId="0" borderId="4" xfId="0" applyFont="1" applyBorder="1" applyAlignment="1" quotePrefix="1">
      <alignment horizontal="left" wrapText="1"/>
    </xf>
    <xf numFmtId="37" fontId="24" fillId="0" borderId="4" xfId="0" applyFont="1" applyBorder="1" applyAlignment="1" quotePrefix="1">
      <alignment horizontal="left" vertical="top" wrapText="1"/>
    </xf>
    <xf numFmtId="37" fontId="24" fillId="0" borderId="13" xfId="0" applyFont="1" applyBorder="1" applyAlignment="1" quotePrefix="1">
      <alignment horizontal="left" vertical="top" wrapText="1"/>
    </xf>
    <xf numFmtId="37" fontId="15" fillId="0" borderId="4" xfId="0" applyFont="1" applyBorder="1" applyAlignment="1">
      <alignment horizontal="left"/>
    </xf>
    <xf numFmtId="37" fontId="28" fillId="2" borderId="11" xfId="0" applyFont="1" applyFill="1" applyBorder="1" applyAlignment="1">
      <alignment/>
    </xf>
    <xf numFmtId="37" fontId="28" fillId="2" borderId="11" xfId="0" applyFont="1" applyFill="1" applyBorder="1" applyAlignment="1" quotePrefix="1">
      <alignment horizontal="left"/>
    </xf>
    <xf numFmtId="37" fontId="29" fillId="2" borderId="11" xfId="0" applyFont="1" applyFill="1" applyBorder="1" applyAlignment="1">
      <alignment horizontal="center" wrapText="1"/>
    </xf>
    <xf numFmtId="37" fontId="29" fillId="2" borderId="11" xfId="0" applyFont="1" applyFill="1" applyBorder="1" applyAlignment="1">
      <alignment horizontal="left"/>
    </xf>
    <xf numFmtId="37" fontId="29" fillId="2" borderId="11" xfId="0" applyFont="1" applyFill="1" applyBorder="1" applyAlignment="1" quotePrefix="1">
      <alignment horizontal="center" wrapText="1"/>
    </xf>
    <xf numFmtId="37" fontId="29" fillId="2" borderId="11" xfId="0" applyFont="1" applyFill="1" applyBorder="1" applyAlignment="1" quotePrefix="1">
      <alignment horizontal="left" vertical="top"/>
    </xf>
    <xf numFmtId="37" fontId="29" fillId="2" borderId="11" xfId="0" applyFont="1" applyFill="1" applyBorder="1" applyAlignment="1" quotePrefix="1">
      <alignment horizontal="center" vertical="top" wrapText="1"/>
    </xf>
    <xf numFmtId="37" fontId="29" fillId="2" borderId="11" xfId="0" applyNumberFormat="1" applyFont="1" applyFill="1" applyBorder="1" applyAlignment="1" applyProtection="1" quotePrefix="1">
      <alignment horizontal="center" wrapText="1"/>
      <protection/>
    </xf>
    <xf numFmtId="169" fontId="29" fillId="2" borderId="11" xfId="0" applyNumberFormat="1" applyFont="1" applyFill="1" applyBorder="1" applyAlignment="1" applyProtection="1" quotePrefix="1">
      <alignment horizontal="center" wrapText="1"/>
      <protection/>
    </xf>
    <xf numFmtId="169" fontId="29" fillId="2" borderId="11" xfId="596" applyFont="1" applyFill="1" applyBorder="1" applyAlignment="1">
      <alignment horizontal="center" wrapText="1"/>
      <protection/>
    </xf>
    <xf numFmtId="169" fontId="29" fillId="2" borderId="11" xfId="596" applyFont="1" applyFill="1" applyBorder="1" applyAlignment="1" quotePrefix="1">
      <alignment horizontal="center" wrapText="1"/>
      <protection/>
    </xf>
    <xf numFmtId="37" fontId="15" fillId="0" borderId="4" xfId="0" applyFont="1" applyBorder="1" applyAlignment="1" quotePrefix="1">
      <alignment horizontal="left" vertical="top" wrapText="1"/>
    </xf>
    <xf numFmtId="37" fontId="15" fillId="0" borderId="7" xfId="0" applyFont="1" applyBorder="1" applyAlignment="1" quotePrefix="1">
      <alignment horizontal="left" vertical="top" wrapText="1"/>
    </xf>
    <xf numFmtId="37" fontId="15" fillId="0" borderId="13" xfId="0" applyFont="1" applyBorder="1" applyAlignment="1">
      <alignment horizontal="left" vertical="top" wrapText="1"/>
    </xf>
    <xf numFmtId="37" fontId="15" fillId="0" borderId="4" xfId="0" applyFont="1" applyBorder="1" applyAlignment="1" quotePrefix="1">
      <alignment vertical="top" wrapText="1"/>
    </xf>
    <xf numFmtId="37" fontId="15" fillId="0" borderId="14" xfId="0" applyFont="1" applyBorder="1" applyAlignment="1" quotePrefix="1">
      <alignment horizontal="center" vertical="top" wrapText="1"/>
    </xf>
    <xf numFmtId="37" fontId="15" fillId="0" borderId="2" xfId="0" applyFont="1" applyBorder="1" applyAlignment="1" quotePrefix="1">
      <alignment horizontal="center" vertical="top" wrapText="1"/>
    </xf>
    <xf numFmtId="37" fontId="15" fillId="0" borderId="3" xfId="0" applyFont="1" applyBorder="1" applyAlignment="1" quotePrefix="1">
      <alignment horizontal="center" vertical="top" wrapText="1"/>
    </xf>
    <xf numFmtId="37" fontId="15" fillId="0" borderId="11" xfId="0" applyFont="1" applyBorder="1" applyAlignment="1">
      <alignment horizontal="left" vertical="top" wrapText="1"/>
    </xf>
    <xf numFmtId="0" fontId="5" fillId="0" borderId="5" xfId="0" applyNumberFormat="1" applyFont="1" applyFill="1" applyBorder="1" applyAlignment="1" applyProtection="1">
      <alignment horizontal="center"/>
      <protection/>
    </xf>
    <xf numFmtId="0" fontId="5" fillId="0" borderId="6" xfId="0" applyNumberFormat="1" applyFont="1" applyFill="1" applyBorder="1" applyAlignment="1" applyProtection="1">
      <alignment horizontal="center"/>
      <protection/>
    </xf>
    <xf numFmtId="37" fontId="23" fillId="0" borderId="0" xfId="0" applyFont="1" applyAlignment="1">
      <alignment horizontal="right"/>
    </xf>
    <xf numFmtId="37" fontId="29" fillId="2" borderId="11" xfId="0" applyFont="1" applyFill="1" applyBorder="1" applyAlignment="1" quotePrefix="1">
      <alignment horizontal="left" wrapText="1"/>
    </xf>
    <xf numFmtId="37" fontId="4" fillId="0" borderId="0" xfId="0" applyFont="1" applyAlignment="1">
      <alignment horizontal="left"/>
    </xf>
    <xf numFmtId="37" fontId="4" fillId="0" borderId="0" xfId="0" applyFont="1" applyAlignment="1">
      <alignment/>
    </xf>
    <xf numFmtId="37" fontId="15" fillId="0" borderId="0" xfId="0" applyFont="1" applyAlignment="1">
      <alignment wrapText="1"/>
    </xf>
    <xf numFmtId="37" fontId="29" fillId="2" borderId="11" xfId="0" applyFont="1" applyFill="1" applyBorder="1" applyAlignment="1">
      <alignment horizontal="left" wrapText="1"/>
    </xf>
    <xf numFmtId="169" fontId="29" fillId="2" borderId="11" xfId="596" applyFont="1" applyFill="1" applyBorder="1" applyAlignment="1" quotePrefix="1">
      <alignment horizontal="left" wrapText="1"/>
      <protection/>
    </xf>
    <xf numFmtId="169" fontId="29" fillId="2" borderId="11" xfId="596" applyFont="1" applyFill="1" applyBorder="1" applyAlignment="1">
      <alignment horizontal="left" wrapText="1"/>
      <protection/>
    </xf>
    <xf numFmtId="181" fontId="25" fillId="0" borderId="4" xfId="0" applyNumberFormat="1" applyFont="1" applyBorder="1" applyAlignment="1" applyProtection="1">
      <alignment/>
      <protection locked="0"/>
    </xf>
    <xf numFmtId="37" fontId="30" fillId="0" borderId="15" xfId="0" applyFont="1" applyBorder="1" applyAlignment="1">
      <alignment horizontal="center" wrapText="1"/>
    </xf>
    <xf numFmtId="37" fontId="23" fillId="0" borderId="11" xfId="0" applyFont="1" applyBorder="1" applyAlignment="1">
      <alignment horizontal="left"/>
    </xf>
    <xf numFmtId="39" fontId="5" fillId="0" borderId="16" xfId="0" applyNumberFormat="1" applyFont="1" applyBorder="1" applyAlignment="1" applyProtection="1">
      <alignment/>
      <protection/>
    </xf>
    <xf numFmtId="181" fontId="25" fillId="0" borderId="16" xfId="0" applyNumberFormat="1" applyFont="1" applyBorder="1" applyAlignment="1">
      <alignment/>
    </xf>
    <xf numFmtId="37" fontId="5" fillId="0" borderId="16" xfId="0" applyFont="1" applyBorder="1" applyAlignment="1">
      <alignment/>
    </xf>
    <xf numFmtId="10" fontId="5" fillId="0" borderId="4" xfId="757" applyNumberFormat="1" applyFont="1" applyBorder="1" applyAlignment="1">
      <alignment/>
    </xf>
    <xf numFmtId="37" fontId="24" fillId="0" borderId="16" xfId="0" applyFont="1" applyBorder="1" applyAlignment="1" quotePrefix="1">
      <alignment horizontal="left" vertical="top" wrapText="1"/>
    </xf>
    <xf numFmtId="37" fontId="15" fillId="0" borderId="15" xfId="0" applyFont="1" applyBorder="1" applyAlignment="1">
      <alignment horizontal="center" vertical="top" wrapText="1"/>
    </xf>
    <xf numFmtId="37" fontId="15" fillId="0" borderId="16" xfId="0" applyFont="1" applyBorder="1" applyAlignment="1">
      <alignment horizontal="left" vertical="top" wrapText="1"/>
    </xf>
    <xf numFmtId="37" fontId="24" fillId="0" borderId="4" xfId="0" applyFont="1" applyBorder="1" applyAlignment="1" quotePrefix="1">
      <alignment horizontal="left" wrapText="1"/>
    </xf>
    <xf numFmtId="37" fontId="15" fillId="0" borderId="15" xfId="0" applyFont="1" applyBorder="1" applyAlignment="1" quotePrefix="1">
      <alignment horizontal="center" vertical="top" wrapText="1"/>
    </xf>
    <xf numFmtId="37" fontId="15" fillId="0" borderId="16" xfId="0" applyFont="1" applyBorder="1" applyAlignment="1" quotePrefix="1">
      <alignment horizontal="left" vertical="top" wrapText="1"/>
    </xf>
    <xf numFmtId="37" fontId="28" fillId="2" borderId="11" xfId="0" applyFont="1" applyFill="1" applyBorder="1" applyAlignment="1">
      <alignment horizontal="left" wrapText="1"/>
    </xf>
    <xf numFmtId="37" fontId="24" fillId="0" borderId="11" xfId="0" applyFont="1" applyBorder="1" applyAlignment="1">
      <alignment horizontal="left" vertical="top"/>
    </xf>
    <xf numFmtId="37" fontId="24" fillId="0" borderId="11" xfId="0" applyFont="1" applyBorder="1" applyAlignment="1">
      <alignment horizontal="left" vertical="top" wrapText="1"/>
    </xf>
    <xf numFmtId="37" fontId="24" fillId="0" borderId="5" xfId="0" applyFont="1" applyBorder="1" applyAlignment="1" quotePrefix="1">
      <alignment horizontal="left" vertical="top"/>
    </xf>
    <xf numFmtId="37" fontId="15" fillId="0" borderId="5" xfId="0" applyFont="1" applyBorder="1" applyAlignment="1" quotePrefix="1">
      <alignment horizontal="left" vertical="top"/>
    </xf>
    <xf numFmtId="37" fontId="24" fillId="0" borderId="10" xfId="0" applyFont="1" applyBorder="1" applyAlignment="1">
      <alignment horizontal="left" vertical="top"/>
    </xf>
    <xf numFmtId="37" fontId="15" fillId="0" borderId="5" xfId="0" applyFont="1" applyBorder="1" applyAlignment="1">
      <alignment horizontal="left" vertical="top"/>
    </xf>
    <xf numFmtId="37" fontId="15" fillId="0" borderId="6" xfId="0" applyFont="1" applyBorder="1" applyAlignment="1">
      <alignment horizontal="left" vertical="top"/>
    </xf>
    <xf numFmtId="37" fontId="24" fillId="0" borderId="5" xfId="0" applyFont="1" applyBorder="1" applyAlignment="1">
      <alignment horizontal="left" vertical="top" wrapText="1"/>
    </xf>
    <xf numFmtId="37" fontId="15" fillId="0" borderId="7" xfId="0" applyFont="1" applyBorder="1" applyAlignment="1" quotePrefix="1">
      <alignment horizontal="left" wrapText="1"/>
    </xf>
    <xf numFmtId="37" fontId="24" fillId="0" borderId="13" xfId="0" applyFont="1" applyBorder="1" applyAlignment="1">
      <alignment horizontal="left" vertical="top" wrapText="1"/>
    </xf>
    <xf numFmtId="37" fontId="15" fillId="0" borderId="5" xfId="0" applyFont="1" applyBorder="1" applyAlignment="1">
      <alignment horizontal="left"/>
    </xf>
    <xf numFmtId="37" fontId="15" fillId="0" borderId="4" xfId="0" applyFont="1" applyBorder="1" applyAlignment="1">
      <alignment horizontal="left" wrapText="1"/>
    </xf>
    <xf numFmtId="37" fontId="15" fillId="0" borderId="6" xfId="0" applyFont="1" applyBorder="1" applyAlignment="1">
      <alignment horizontal="left"/>
    </xf>
    <xf numFmtId="37" fontId="15" fillId="0" borderId="7" xfId="0" applyFont="1" applyBorder="1" applyAlignment="1">
      <alignment horizontal="left" wrapText="1"/>
    </xf>
    <xf numFmtId="169" fontId="30" fillId="0" borderId="6" xfId="596" applyFont="1" applyBorder="1" applyAlignment="1">
      <alignment horizontal="center" wrapText="1"/>
      <protection/>
    </xf>
    <xf numFmtId="37" fontId="5" fillId="0" borderId="6" xfId="0" applyFont="1" applyBorder="1" applyAlignment="1">
      <alignment horizontal="left" vertical="top"/>
    </xf>
    <xf numFmtId="0" fontId="30" fillId="0" borderId="2" xfId="0" applyNumberFormat="1" applyFont="1" applyBorder="1" applyAlignment="1">
      <alignment horizontal="center" vertical="top"/>
    </xf>
    <xf numFmtId="0" fontId="29" fillId="2" borderId="11" xfId="0" applyNumberFormat="1" applyFont="1" applyFill="1" applyBorder="1" applyAlignment="1">
      <alignment horizontal="center" vertical="top"/>
    </xf>
    <xf numFmtId="0" fontId="5" fillId="0" borderId="2" xfId="0" applyNumberFormat="1" applyFont="1" applyBorder="1" applyAlignment="1">
      <alignment horizontal="center" vertical="top"/>
    </xf>
    <xf numFmtId="0" fontId="5" fillId="0" borderId="3" xfId="0" applyNumberFormat="1" applyFont="1" applyBorder="1" applyAlignment="1">
      <alignment horizontal="center" vertical="top" wrapText="1"/>
    </xf>
    <xf numFmtId="0" fontId="30" fillId="0" borderId="3" xfId="0" applyNumberFormat="1" applyFont="1" applyBorder="1" applyAlignment="1">
      <alignment horizontal="center" vertical="top"/>
    </xf>
    <xf numFmtId="0" fontId="5" fillId="0" borderId="14" xfId="0" applyNumberFormat="1" applyFont="1" applyBorder="1" applyAlignment="1">
      <alignment horizontal="center" vertical="top"/>
    </xf>
    <xf numFmtId="0" fontId="23" fillId="0" borderId="6" xfId="0" applyNumberFormat="1" applyFont="1" applyBorder="1" applyAlignment="1">
      <alignment horizontal="center" vertical="top"/>
    </xf>
    <xf numFmtId="0" fontId="30" fillId="0" borderId="14" xfId="0" applyNumberFormat="1" applyFont="1" applyBorder="1" applyAlignment="1">
      <alignment horizontal="center" vertical="top"/>
    </xf>
    <xf numFmtId="37" fontId="23" fillId="0" borderId="10" xfId="0" applyFont="1" applyBorder="1" applyAlignment="1" quotePrefix="1">
      <alignment horizontal="left"/>
    </xf>
    <xf numFmtId="186" fontId="22" fillId="0" borderId="10" xfId="16" applyNumberFormat="1" applyFont="1" applyBorder="1" applyAlignment="1">
      <alignment vertical="top"/>
    </xf>
    <xf numFmtId="37" fontId="15" fillId="0" borderId="4" xfId="0" applyFont="1" applyBorder="1" applyAlignment="1">
      <alignment horizontal="left" vertical="top" wrapText="1"/>
    </xf>
    <xf numFmtId="10" fontId="5" fillId="0" borderId="7" xfId="757" applyNumberFormat="1" applyFont="1" applyBorder="1" applyAlignment="1" applyProtection="1">
      <alignment/>
      <protection/>
    </xf>
    <xf numFmtId="37" fontId="5" fillId="0" borderId="6" xfId="0" applyFont="1" applyBorder="1" applyAlignment="1" quotePrefix="1">
      <alignment horizontal="center" vertical="top" wrapText="1"/>
    </xf>
    <xf numFmtId="37" fontId="15" fillId="0" borderId="2" xfId="0" applyFont="1" applyBorder="1" applyAlignment="1">
      <alignment horizontal="center" vertical="top" wrapText="1"/>
    </xf>
    <xf numFmtId="169" fontId="23" fillId="0" borderId="5" xfId="596" applyFont="1" applyBorder="1" applyAlignment="1">
      <alignment horizontal="left"/>
      <protection/>
    </xf>
    <xf numFmtId="10" fontId="5" fillId="0" borderId="5" xfId="757" applyNumberFormat="1" applyFont="1" applyBorder="1" applyAlignment="1">
      <alignment/>
    </xf>
    <xf numFmtId="186" fontId="5" fillId="0" borderId="5" xfId="16" applyNumberFormat="1" applyFont="1" applyBorder="1" applyAlignment="1" applyProtection="1">
      <alignment/>
      <protection/>
    </xf>
    <xf numFmtId="186" fontId="5" fillId="0" borderId="6" xfId="16" applyNumberFormat="1" applyFont="1" applyBorder="1" applyAlignment="1" applyProtection="1">
      <alignment/>
      <protection/>
    </xf>
    <xf numFmtId="186" fontId="5" fillId="0" borderId="6" xfId="16" applyNumberFormat="1" applyFont="1" applyBorder="1" applyAlignment="1">
      <alignment/>
    </xf>
    <xf numFmtId="186" fontId="5" fillId="0" borderId="6" xfId="16" applyNumberFormat="1" applyFont="1" applyFill="1" applyBorder="1" applyAlignment="1">
      <alignment/>
    </xf>
    <xf numFmtId="186" fontId="5" fillId="0" borderId="0" xfId="0" applyNumberFormat="1" applyFont="1" applyAlignment="1">
      <alignment/>
    </xf>
    <xf numFmtId="186" fontId="5" fillId="0" borderId="5" xfId="0" applyNumberFormat="1" applyFont="1" applyBorder="1" applyAlignment="1">
      <alignment vertical="top"/>
    </xf>
    <xf numFmtId="186" fontId="5" fillId="0" borderId="4" xfId="16" applyNumberFormat="1" applyFont="1" applyBorder="1" applyAlignment="1">
      <alignment/>
    </xf>
    <xf numFmtId="186" fontId="5" fillId="0" borderId="4" xfId="16" applyNumberFormat="1" applyFont="1" applyBorder="1" applyAlignment="1">
      <alignment/>
    </xf>
    <xf numFmtId="186" fontId="5" fillId="0" borderId="4" xfId="16" applyNumberFormat="1" applyFont="1" applyBorder="1" applyAlignment="1">
      <alignment horizontal="right"/>
    </xf>
    <xf numFmtId="186" fontId="5" fillId="0" borderId="7" xfId="16" applyNumberFormat="1" applyFont="1" applyBorder="1" applyAlignment="1" quotePrefix="1">
      <alignment/>
    </xf>
    <xf numFmtId="186" fontId="5" fillId="0" borderId="7" xfId="16" applyNumberFormat="1" applyFont="1" applyBorder="1" applyAlignment="1">
      <alignment/>
    </xf>
    <xf numFmtId="186" fontId="5" fillId="0" borderId="7" xfId="16" applyNumberFormat="1" applyFont="1" applyBorder="1" applyAlignment="1">
      <alignment/>
    </xf>
    <xf numFmtId="186" fontId="5" fillId="0" borderId="4" xfId="16" applyNumberFormat="1" applyFont="1" applyBorder="1" applyAlignment="1" quotePrefix="1">
      <alignment/>
    </xf>
    <xf numFmtId="186" fontId="5" fillId="0" borderId="4" xfId="16" applyNumberFormat="1" applyFont="1" applyBorder="1" applyAlignment="1">
      <alignment wrapText="1"/>
    </xf>
    <xf numFmtId="186" fontId="5" fillId="0" borderId="7" xfId="16" applyNumberFormat="1" applyFont="1" applyBorder="1" applyAlignment="1" applyProtection="1">
      <alignment/>
      <protection/>
    </xf>
    <xf numFmtId="186" fontId="5" fillId="0" borderId="16" xfId="16" applyNumberFormat="1" applyFont="1" applyBorder="1" applyAlignment="1">
      <alignment/>
    </xf>
    <xf numFmtId="186" fontId="5" fillId="0" borderId="4" xfId="0" applyNumberFormat="1" applyFont="1" applyBorder="1" applyAlignment="1">
      <alignment/>
    </xf>
    <xf numFmtId="186" fontId="5" fillId="0" borderId="16" xfId="0" applyNumberFormat="1" applyFont="1" applyBorder="1" applyAlignment="1">
      <alignment/>
    </xf>
    <xf numFmtId="186" fontId="5" fillId="0" borderId="5" xfId="0" applyNumberFormat="1" applyFont="1" applyBorder="1" applyAlignment="1">
      <alignment/>
    </xf>
    <xf numFmtId="186" fontId="5" fillId="0" borderId="6" xfId="0" applyNumberFormat="1" applyFont="1" applyBorder="1" applyAlignment="1">
      <alignment/>
    </xf>
    <xf numFmtId="186" fontId="5" fillId="0" borderId="4" xfId="0" applyNumberFormat="1" applyFont="1" applyBorder="1" applyAlignment="1" applyProtection="1">
      <alignment/>
      <protection/>
    </xf>
    <xf numFmtId="186" fontId="5" fillId="0" borderId="7" xfId="0" applyNumberFormat="1" applyFont="1" applyBorder="1" applyAlignment="1">
      <alignment/>
    </xf>
    <xf numFmtId="186" fontId="5" fillId="0" borderId="10" xfId="16" applyNumberFormat="1" applyFont="1" applyBorder="1" applyAlignment="1" quotePrefix="1">
      <alignment horizontal="left" vertical="top" wrapText="1"/>
    </xf>
    <xf numFmtId="186" fontId="5" fillId="0" borderId="5" xfId="16" applyNumberFormat="1" applyFont="1" applyBorder="1" applyAlignment="1" quotePrefix="1">
      <alignment horizontal="left"/>
    </xf>
    <xf numFmtId="186" fontId="5" fillId="0" borderId="5" xfId="16" applyNumberFormat="1" applyFont="1" applyBorder="1" applyAlignment="1">
      <alignment horizontal="left" vertical="top"/>
    </xf>
    <xf numFmtId="186" fontId="5" fillId="0" borderId="5" xfId="16" applyNumberFormat="1" applyFont="1" applyBorder="1" applyAlignment="1" applyProtection="1">
      <alignment vertical="top"/>
      <protection/>
    </xf>
    <xf numFmtId="186" fontId="5" fillId="0" borderId="5" xfId="16" applyNumberFormat="1" applyFont="1" applyBorder="1" applyAlignment="1" quotePrefix="1">
      <alignment horizontal="left" wrapText="1"/>
    </xf>
    <xf numFmtId="186" fontId="5" fillId="0" borderId="5" xfId="16" applyNumberFormat="1" applyFont="1" applyBorder="1" applyAlignment="1">
      <alignment horizontal="center"/>
    </xf>
    <xf numFmtId="186" fontId="5" fillId="0" borderId="6" xfId="16" applyNumberFormat="1" applyFont="1" applyBorder="1" applyAlignment="1">
      <alignment horizontal="center"/>
    </xf>
    <xf numFmtId="186" fontId="5" fillId="0" borderId="4" xfId="596" applyNumberFormat="1" applyFont="1" applyBorder="1" applyProtection="1">
      <alignment/>
      <protection/>
    </xf>
    <xf numFmtId="186" fontId="5" fillId="0" borderId="7" xfId="596" applyNumberFormat="1" applyFont="1" applyBorder="1" applyProtection="1">
      <alignment/>
      <protection/>
    </xf>
    <xf numFmtId="186" fontId="5" fillId="0" borderId="4" xfId="596" applyNumberFormat="1" applyFont="1" applyBorder="1">
      <alignment/>
      <protection/>
    </xf>
    <xf numFmtId="186" fontId="5" fillId="0" borderId="7" xfId="0" applyNumberFormat="1" applyFont="1" applyBorder="1" applyAlignment="1" applyProtection="1">
      <alignment/>
      <protection/>
    </xf>
    <xf numFmtId="186" fontId="5" fillId="0" borderId="4" xfId="0" applyNumberFormat="1" applyFont="1" applyBorder="1" applyAlignment="1">
      <alignment horizontal="right"/>
    </xf>
    <xf numFmtId="186" fontId="5" fillId="0" borderId="7" xfId="0" applyNumberFormat="1" applyFont="1" applyBorder="1" applyAlignment="1" quotePrefix="1">
      <alignment horizontal="right"/>
    </xf>
    <xf numFmtId="186" fontId="5" fillId="0" borderId="7" xfId="0" applyNumberFormat="1" applyFont="1" applyBorder="1" applyAlignment="1">
      <alignment horizontal="right"/>
    </xf>
    <xf numFmtId="186" fontId="5" fillId="0" borderId="4" xfId="0" applyNumberFormat="1" applyFont="1" applyBorder="1" applyAlignment="1" quotePrefix="1">
      <alignment horizontal="right"/>
    </xf>
    <xf numFmtId="186" fontId="5" fillId="0" borderId="4" xfId="0" applyNumberFormat="1" applyFont="1" applyBorder="1" applyAlignment="1">
      <alignment horizontal="right" wrapText="1"/>
    </xf>
    <xf numFmtId="186" fontId="5" fillId="0" borderId="4" xfId="0" applyNumberFormat="1" applyFont="1" applyBorder="1" applyAlignment="1">
      <alignment wrapText="1"/>
    </xf>
    <xf numFmtId="186" fontId="5" fillId="0" borderId="5" xfId="0" applyNumberFormat="1" applyFont="1" applyBorder="1" applyAlignment="1">
      <alignment horizontal="right"/>
    </xf>
    <xf numFmtId="186" fontId="5" fillId="0" borderId="6" xfId="0" applyNumberFormat="1" applyFont="1" applyFill="1" applyBorder="1" applyAlignment="1">
      <alignment/>
    </xf>
    <xf numFmtId="186" fontId="5" fillId="0" borderId="5" xfId="0" applyNumberFormat="1" applyFont="1" applyFill="1" applyBorder="1" applyAlignment="1">
      <alignment/>
    </xf>
    <xf numFmtId="186" fontId="5" fillId="0" borderId="10" xfId="0" applyNumberFormat="1" applyFont="1" applyFill="1" applyBorder="1" applyAlignment="1">
      <alignment/>
    </xf>
    <xf numFmtId="37" fontId="23" fillId="0" borderId="7" xfId="0" applyFont="1" applyBorder="1" applyAlignment="1">
      <alignment horizontal="left" vertical="top"/>
    </xf>
    <xf numFmtId="37" fontId="30" fillId="0" borderId="11" xfId="0" applyFont="1" applyBorder="1" applyAlignment="1">
      <alignment horizontal="center"/>
    </xf>
    <xf numFmtId="169" fontId="23" fillId="0" borderId="11" xfId="0" applyNumberFormat="1" applyFont="1" applyBorder="1" applyAlignment="1" applyProtection="1">
      <alignment horizontal="left"/>
      <protection/>
    </xf>
    <xf numFmtId="186" fontId="5" fillId="0" borderId="11" xfId="0" applyNumberFormat="1" applyFont="1" applyBorder="1" applyAlignment="1">
      <alignment/>
    </xf>
    <xf numFmtId="10" fontId="5" fillId="0" borderId="11" xfId="757" applyNumberFormat="1" applyFont="1" applyBorder="1" applyAlignment="1" applyProtection="1">
      <alignment/>
      <protection locked="0"/>
    </xf>
    <xf numFmtId="169" fontId="5" fillId="0" borderId="7" xfId="596" applyFont="1" applyBorder="1" applyAlignment="1">
      <alignment horizontal="center" vertical="top" wrapText="1"/>
      <protection/>
    </xf>
    <xf numFmtId="37" fontId="24" fillId="0" borderId="10" xfId="0" applyFont="1" applyBorder="1" applyAlignment="1">
      <alignment horizontal="left" vertical="top" wrapText="1"/>
    </xf>
    <xf numFmtId="37" fontId="15" fillId="0" borderId="14" xfId="0" applyFont="1" applyBorder="1" applyAlignment="1">
      <alignment horizontal="center" vertical="top" wrapText="1"/>
    </xf>
    <xf numFmtId="37" fontId="5" fillId="0" borderId="7" xfId="0" applyFont="1" applyBorder="1" applyAlignment="1">
      <alignment horizontal="left"/>
    </xf>
    <xf numFmtId="37" fontId="25" fillId="0" borderId="7" xfId="0" applyFont="1" applyBorder="1" applyAlignment="1">
      <alignment/>
    </xf>
    <xf numFmtId="186" fontId="25" fillId="0" borderId="7" xfId="0" applyNumberFormat="1" applyFont="1" applyBorder="1" applyAlignment="1" applyProtection="1">
      <alignment/>
      <protection/>
    </xf>
    <xf numFmtId="10" fontId="5" fillId="0" borderId="4" xfId="757" applyNumberFormat="1" applyFont="1" applyBorder="1" applyAlignment="1" quotePrefix="1">
      <alignment horizontal="right"/>
    </xf>
    <xf numFmtId="37" fontId="5" fillId="0" borderId="5" xfId="0" applyFont="1" applyBorder="1" applyAlignment="1" quotePrefix="1">
      <alignment horizontal="right"/>
    </xf>
    <xf numFmtId="10" fontId="25" fillId="0" borderId="4" xfId="757" applyNumberFormat="1" applyFont="1" applyBorder="1" applyAlignment="1">
      <alignment/>
    </xf>
    <xf numFmtId="37" fontId="29" fillId="2" borderId="11" xfId="0" applyFont="1" applyFill="1" applyBorder="1" applyAlignment="1">
      <alignment horizontal="center" vertical="top" wrapText="1"/>
    </xf>
    <xf numFmtId="184" fontId="5" fillId="0" borderId="10" xfId="16" applyNumberFormat="1" applyFont="1" applyBorder="1" applyAlignment="1">
      <alignment horizontal="center" vertical="top" wrapText="1"/>
    </xf>
    <xf numFmtId="169" fontId="29" fillId="2" borderId="11" xfId="0" applyNumberFormat="1" applyFont="1" applyFill="1" applyBorder="1" applyAlignment="1" applyProtection="1">
      <alignment horizontal="center" wrapText="1"/>
      <protection/>
    </xf>
    <xf numFmtId="37" fontId="33" fillId="0" borderId="0" xfId="0" applyFont="1" applyFill="1" applyAlignment="1">
      <alignment wrapText="1"/>
    </xf>
    <xf numFmtId="37" fontId="5" fillId="0" borderId="0" xfId="0" applyFont="1" applyFill="1" applyAlignment="1">
      <alignment/>
    </xf>
    <xf numFmtId="37" fontId="5" fillId="0" borderId="0" xfId="0" applyFont="1" applyFill="1" applyAlignment="1">
      <alignment wrapText="1"/>
    </xf>
    <xf numFmtId="37" fontId="23" fillId="0" borderId="0" xfId="0" applyFont="1" applyAlignment="1">
      <alignment/>
    </xf>
    <xf numFmtId="37" fontId="29" fillId="2" borderId="0" xfId="0" applyFont="1" applyFill="1" applyAlignment="1">
      <alignment wrapText="1"/>
    </xf>
    <xf numFmtId="37" fontId="23" fillId="0" borderId="7" xfId="0" applyFont="1" applyBorder="1" applyAlignment="1" quotePrefix="1">
      <alignment horizontal="left"/>
    </xf>
    <xf numFmtId="37" fontId="23" fillId="0" borderId="4" xfId="0" applyFont="1" applyBorder="1" applyAlignment="1">
      <alignment horizontal="left" vertical="top"/>
    </xf>
    <xf numFmtId="37" fontId="23" fillId="0" borderId="4" xfId="0" applyFont="1" applyBorder="1" applyAlignment="1">
      <alignment horizontal="left" vertical="top" wrapText="1"/>
    </xf>
    <xf numFmtId="186" fontId="5" fillId="0" borderId="10" xfId="16" applyNumberFormat="1" applyFont="1" applyBorder="1" applyAlignment="1">
      <alignment/>
    </xf>
    <xf numFmtId="37" fontId="23" fillId="0" borderId="0" xfId="0" applyFont="1" applyBorder="1" applyAlignment="1">
      <alignment wrapText="1"/>
    </xf>
    <xf numFmtId="37" fontId="23" fillId="0" borderId="0" xfId="0" applyFont="1" applyAlignment="1">
      <alignment wrapText="1"/>
    </xf>
    <xf numFmtId="37" fontId="5" fillId="0" borderId="6" xfId="0" applyFont="1" applyBorder="1" applyAlignment="1">
      <alignment wrapText="1"/>
    </xf>
    <xf numFmtId="164" fontId="5" fillId="0" borderId="0" xfId="0" applyNumberFormat="1" applyFont="1" applyAlignment="1">
      <alignment/>
    </xf>
    <xf numFmtId="0" fontId="5" fillId="0" borderId="6" xfId="0" applyNumberFormat="1" applyFont="1" applyBorder="1" applyAlignment="1">
      <alignment horizontal="center" vertical="top"/>
    </xf>
    <xf numFmtId="37" fontId="23" fillId="0" borderId="4" xfId="0" applyFont="1" applyBorder="1" applyAlignment="1" quotePrefix="1">
      <alignment horizontal="left" vertical="top"/>
    </xf>
    <xf numFmtId="37" fontId="23" fillId="0" borderId="5" xfId="0" applyFont="1" applyBorder="1" applyAlignment="1" quotePrefix="1">
      <alignment horizontal="left" vertical="top"/>
    </xf>
    <xf numFmtId="37" fontId="23" fillId="0" borderId="13" xfId="0" applyFont="1" applyBorder="1" applyAlignment="1">
      <alignment horizontal="left" vertical="top"/>
    </xf>
    <xf numFmtId="37" fontId="23" fillId="0" borderId="6" xfId="0" applyFont="1" applyBorder="1" applyAlignment="1" quotePrefix="1">
      <alignment horizontal="left" vertical="top"/>
    </xf>
    <xf numFmtId="169" fontId="32" fillId="0" borderId="6" xfId="368" applyFont="1" applyBorder="1" applyAlignment="1" quotePrefix="1">
      <alignment horizontal="left" vertical="top"/>
    </xf>
    <xf numFmtId="37" fontId="24" fillId="0" borderId="6" xfId="0" applyFont="1" applyBorder="1" applyAlignment="1" quotePrefix="1">
      <alignment horizontal="left" vertical="top" wrapText="1"/>
    </xf>
    <xf numFmtId="37" fontId="15" fillId="0" borderId="6" xfId="0" applyFont="1" applyBorder="1" applyAlignment="1">
      <alignment horizontal="left" vertical="top" wrapText="1"/>
    </xf>
    <xf numFmtId="0" fontId="29" fillId="2" borderId="11" xfId="0" applyNumberFormat="1" applyFont="1" applyFill="1" applyBorder="1" applyAlignment="1" quotePrefix="1">
      <alignment horizontal="center" vertical="top"/>
    </xf>
    <xf numFmtId="37" fontId="29" fillId="2" borderId="11" xfId="0" applyFont="1" applyFill="1" applyBorder="1" applyAlignment="1" quotePrefix="1">
      <alignment horizontal="left"/>
    </xf>
    <xf numFmtId="186" fontId="5" fillId="0" borderId="5" xfId="16" applyNumberFormat="1" applyFont="1" applyBorder="1" applyAlignment="1">
      <alignment vertical="top"/>
    </xf>
    <xf numFmtId="186" fontId="5" fillId="0" borderId="10" xfId="0" applyNumberFormat="1" applyFont="1" applyBorder="1" applyAlignment="1">
      <alignment vertical="top"/>
    </xf>
    <xf numFmtId="186" fontId="5" fillId="0" borderId="6" xfId="0" applyNumberFormat="1" applyFont="1" applyBorder="1" applyAlignment="1">
      <alignment vertical="top"/>
    </xf>
    <xf numFmtId="43" fontId="5" fillId="0" borderId="10" xfId="16" applyFont="1" applyBorder="1" applyAlignment="1" applyProtection="1">
      <alignment vertical="top"/>
      <protection locked="0"/>
    </xf>
    <xf numFmtId="184" fontId="5" fillId="0" borderId="10" xfId="16" applyNumberFormat="1" applyFont="1" applyBorder="1" applyAlignment="1" applyProtection="1">
      <alignment vertical="top"/>
      <protection locked="0"/>
    </xf>
    <xf numFmtId="43" fontId="5" fillId="0" borderId="5" xfId="16" applyFont="1" applyBorder="1" applyAlignment="1" applyProtection="1">
      <alignment vertical="top"/>
      <protection locked="0"/>
    </xf>
    <xf numFmtId="184" fontId="5" fillId="0" borderId="5" xfId="16" applyNumberFormat="1" applyFont="1" applyBorder="1" applyAlignment="1" applyProtection="1">
      <alignment vertical="top"/>
      <protection locked="0"/>
    </xf>
    <xf numFmtId="43" fontId="5" fillId="0" borderId="6" xfId="16" applyFont="1" applyBorder="1" applyAlignment="1" applyProtection="1">
      <alignment vertical="top"/>
      <protection locked="0"/>
    </xf>
    <xf numFmtId="184" fontId="5" fillId="0" borderId="6" xfId="16" applyNumberFormat="1" applyFont="1" applyBorder="1" applyAlignment="1" applyProtection="1">
      <alignment vertical="top"/>
      <protection locked="0"/>
    </xf>
    <xf numFmtId="37" fontId="5" fillId="0" borderId="5" xfId="0" applyFont="1" applyBorder="1" applyAlignment="1" quotePrefix="1">
      <alignment horizontal="left"/>
    </xf>
    <xf numFmtId="10" fontId="5" fillId="0" borderId="0" xfId="757" applyNumberFormat="1" applyFont="1" applyAlignment="1">
      <alignment/>
    </xf>
    <xf numFmtId="37" fontId="5" fillId="0" borderId="10" xfId="0" applyFont="1" applyBorder="1" applyAlignment="1" quotePrefix="1">
      <alignment horizontal="left" vertical="top"/>
    </xf>
    <xf numFmtId="37" fontId="5" fillId="0" borderId="10" xfId="0" applyFont="1" applyBorder="1" applyAlignment="1" quotePrefix="1">
      <alignment horizontal="center" vertical="top" wrapText="1"/>
    </xf>
    <xf numFmtId="37" fontId="5" fillId="0" borderId="6" xfId="0" applyFont="1" applyBorder="1" applyAlignment="1" quotePrefix="1">
      <alignment horizontal="left"/>
    </xf>
    <xf numFmtId="171" fontId="5" fillId="0" borderId="4" xfId="757" applyNumberFormat="1" applyFont="1" applyBorder="1" applyAlignment="1" applyProtection="1">
      <alignment/>
      <protection/>
    </xf>
    <xf numFmtId="171" fontId="5" fillId="0" borderId="7" xfId="757" applyNumberFormat="1" applyFont="1" applyBorder="1" applyAlignment="1" applyProtection="1">
      <alignment/>
      <protection/>
    </xf>
    <xf numFmtId="171" fontId="5" fillId="0" borderId="4" xfId="757" applyNumberFormat="1" applyFont="1" applyBorder="1" applyAlignment="1">
      <alignment/>
    </xf>
  </cellXfs>
  <cellStyles count="744">
    <cellStyle name="Normal" xfId="0"/>
    <cellStyle name="ac" xfId="15"/>
    <cellStyle name="Comma" xfId="16"/>
    <cellStyle name="Comma [0]" xfId="17"/>
    <cellStyle name="Comma [0]_95PCRISK" xfId="18"/>
    <cellStyle name="Comma [0]_Budget to Current" xfId="19"/>
    <cellStyle name="Comma [0]_Budget Variance" xfId="20"/>
    <cellStyle name="Comma [0]_Consolidate" xfId="21"/>
    <cellStyle name="Comma [0]_Consolidate (2)" xfId="22"/>
    <cellStyle name="Comma [0]_Data Sheet" xfId="23"/>
    <cellStyle name="Comma [0]_DETAIL" xfId="24"/>
    <cellStyle name="Comma [0]_eds_swss" xfId="25"/>
    <cellStyle name="Comma [0]_Flash Report" xfId="26"/>
    <cellStyle name="Comma [0]_GM Base" xfId="27"/>
    <cellStyle name="Comma [0]_Gross Exp_Recovery Walk" xfId="28"/>
    <cellStyle name="Comma [0]_Gross Exp_Recovery Walk_1" xfId="29"/>
    <cellStyle name="Comma [0]_Gross Expense" xfId="30"/>
    <cellStyle name="Comma [0]_Gross Expense Trend" xfId="31"/>
    <cellStyle name="Comma [0]_Gross Expense Trend (2)" xfId="32"/>
    <cellStyle name="Comma [0]_Gross Expense Trend_1" xfId="33"/>
    <cellStyle name="Comma [0]_Gross Expense Trend_GM Base" xfId="34"/>
    <cellStyle name="Comma [0]_Gross Expense Trend_GM_Base" xfId="35"/>
    <cellStyle name="Comma [0]_Gross Expense Trend_Gross Exp_Recovery Walk" xfId="36"/>
    <cellStyle name="Comma [0]_Gross Expense Trend_New Business" xfId="37"/>
    <cellStyle name="Comma [0]_Gross Expense Trend_Print Macro" xfId="38"/>
    <cellStyle name="Comma [0]_Gross Expense Trend_Risk Schedule" xfId="39"/>
    <cellStyle name="Comma [0]_Gross Expense Trend_Summary" xfId="40"/>
    <cellStyle name="Comma [0]_Gross Expense Trend_Summary_GM Base" xfId="41"/>
    <cellStyle name="Comma [0]_Gross Expense Trend_Summary_Gross Exp_Recovery Walk" xfId="42"/>
    <cellStyle name="Comma [0]_Gross Expense Trend_Summary_Print Macro" xfId="43"/>
    <cellStyle name="Comma [0]_INTN-LSD" xfId="44"/>
    <cellStyle name="Comma [0]_INTN-LSD INV" xfId="45"/>
    <cellStyle name="Comma [0]_ISCG" xfId="46"/>
    <cellStyle name="Comma [0]_laroux" xfId="47"/>
    <cellStyle name="Comma [0]_laroux_1" xfId="48"/>
    <cellStyle name="Comma [0]_laroux_1_BindingPrices" xfId="49"/>
    <cellStyle name="Comma [0]_laroux_1_OtherBindInfo" xfId="50"/>
    <cellStyle name="Comma [0]_laroux_1_pldt" xfId="51"/>
    <cellStyle name="Comma [0]_laroux_1_pldt_BindingPrices" xfId="52"/>
    <cellStyle name="Comma [0]_laroux_1_pldt_OtherBindInfo" xfId="53"/>
    <cellStyle name="Comma [0]_laroux_1_uzpctGeSRMtpxTIMVGQCT5Fz9" xfId="54"/>
    <cellStyle name="Comma [0]_laroux_2" xfId="55"/>
    <cellStyle name="Comma [0]_laroux_2_pldt" xfId="56"/>
    <cellStyle name="Comma [0]_laroux_2_uzpctGeSRMtpxTIMVGQCT5Fz9" xfId="57"/>
    <cellStyle name="Comma [0]_laroux_2_uzpctGeSRMtpxTIMVGQCT5Fz9_BindingPrices" xfId="58"/>
    <cellStyle name="Comma [0]_laroux_2_uzpctGeSRMtpxTIMVGQCT5Fz9_OtherBindInfo" xfId="59"/>
    <cellStyle name="Comma [0]_laroux_MATERAL2" xfId="60"/>
    <cellStyle name="Comma [0]_laroux_mud plant bolted" xfId="61"/>
    <cellStyle name="Comma [0]_laroux_mud plant bolted_BindingPrices" xfId="62"/>
    <cellStyle name="Comma [0]_laroux_mud plant bolted_OtherBindInfo" xfId="63"/>
    <cellStyle name="Comma [0]_laroux_pldt" xfId="64"/>
    <cellStyle name="Comma [0]_M5SWSS07" xfId="65"/>
    <cellStyle name="Comma [0]_MATERAL2" xfId="66"/>
    <cellStyle name="Comma [0]_MATERAL2_BindingPrices" xfId="67"/>
    <cellStyle name="Comma [0]_MATERAL2_OtherBindInfo" xfId="68"/>
    <cellStyle name="Comma [0]_MERC5000" xfId="69"/>
    <cellStyle name="Comma [0]_MITCHELDEAN" xfId="70"/>
    <cellStyle name="Comma [0]_MITCH-INV" xfId="71"/>
    <cellStyle name="Comma [0]_MODEL" xfId="72"/>
    <cellStyle name="Comma [0]_mud plant bolted" xfId="73"/>
    <cellStyle name="Comma [0]_Net Expense " xfId="74"/>
    <cellStyle name="Comma [0]_New Business" xfId="75"/>
    <cellStyle name="Comma [0]_New Business_1" xfId="76"/>
    <cellStyle name="Comma [0]_Numerical" xfId="77"/>
    <cellStyle name="Comma [0]_OPS" xfId="78"/>
    <cellStyle name="Comma [0]_OVHD - adjusted" xfId="79"/>
    <cellStyle name="Comma [0]_pldt" xfId="80"/>
    <cellStyle name="Comma [0]_Print Macro" xfId="81"/>
    <cellStyle name="Comma [0]_Prior to Current" xfId="82"/>
    <cellStyle name="Comma [0]_Prior to Current Variance" xfId="83"/>
    <cellStyle name="Comma [0]_Productivity" xfId="84"/>
    <cellStyle name="Comma [0]_QTRS" xfId="85"/>
    <cellStyle name="Comma [0]_R ROYCE-LSD" xfId="86"/>
    <cellStyle name="Comma [0]_RERATE2" xfId="87"/>
    <cellStyle name="Comma [0]_RERATEAH" xfId="88"/>
    <cellStyle name="Comma [0]_Reserves" xfId="89"/>
    <cellStyle name="Comma [0]_Reserves_Productivity" xfId="90"/>
    <cellStyle name="Comma [0]_Revenue Relief Trend" xfId="91"/>
    <cellStyle name="Comma [0]_Risk Schedule" xfId="92"/>
    <cellStyle name="Comma [0]_Risk Schedule (2)" xfId="93"/>
    <cellStyle name="Comma [0]_Risk Schedule_1" xfId="94"/>
    <cellStyle name="Comma [0]_RROYCE_TELEX" xfId="95"/>
    <cellStyle name="Comma [0]_RXUK" xfId="96"/>
    <cellStyle name="Comma [0]_RXUKLSD" xfId="97"/>
    <cellStyle name="Comma [0]_RXUK-LSD" xfId="98"/>
    <cellStyle name="Comma [0]_SBU" xfId="99"/>
    <cellStyle name="Comma [0]_Sheet1" xfId="100"/>
    <cellStyle name="Comma [0]_Sheet1 (2)" xfId="101"/>
    <cellStyle name="Comma [0]_Summary" xfId="102"/>
    <cellStyle name="Comma [0]_Summary (2)" xfId="103"/>
    <cellStyle name="Comma [0]_Summary_1" xfId="104"/>
    <cellStyle name="Comma [0]_V1227" xfId="105"/>
    <cellStyle name="Comma_Budget to Current" xfId="106"/>
    <cellStyle name="Comma_Budget Variance" xfId="107"/>
    <cellStyle name="Comma_Consolidate" xfId="108"/>
    <cellStyle name="Comma_Consolidate (2)" xfId="109"/>
    <cellStyle name="Comma_Data Sheet" xfId="110"/>
    <cellStyle name="Comma_DETAIL" xfId="111"/>
    <cellStyle name="Comma_eds_swss" xfId="112"/>
    <cellStyle name="Comma_Flash Report" xfId="113"/>
    <cellStyle name="Comma_GM Base" xfId="114"/>
    <cellStyle name="Comma_Gross Exp_Recovery Walk" xfId="115"/>
    <cellStyle name="Comma_Gross Exp_Recovery Walk_1" xfId="116"/>
    <cellStyle name="Comma_Gross Expense" xfId="117"/>
    <cellStyle name="Comma_Gross Expense Trend" xfId="118"/>
    <cellStyle name="Comma_Gross Expense Trend (2)" xfId="119"/>
    <cellStyle name="Comma_Gross Expense Trend_1" xfId="120"/>
    <cellStyle name="Comma_Gross Expense Trend_GM Base" xfId="121"/>
    <cellStyle name="Comma_Gross Expense Trend_GM_Base" xfId="122"/>
    <cellStyle name="Comma_Gross Expense Trend_Gross Exp_Recovery Walk" xfId="123"/>
    <cellStyle name="Comma_Gross Expense Trend_New Business" xfId="124"/>
    <cellStyle name="Comma_Gross Expense Trend_Print Macro" xfId="125"/>
    <cellStyle name="Comma_Gross Expense Trend_Risk Schedule" xfId="126"/>
    <cellStyle name="Comma_Gross Expense Trend_Summary" xfId="127"/>
    <cellStyle name="Comma_Gross Expense Trend_Summary_GM Base" xfId="128"/>
    <cellStyle name="Comma_Gross Expense Trend_Summary_Gross Exp_Recovery Walk" xfId="129"/>
    <cellStyle name="Comma_Gross Expense Trend_Summary_Print Macro" xfId="130"/>
    <cellStyle name="Comma_INTN-LSD" xfId="131"/>
    <cellStyle name="Comma_INTN-LSD INV" xfId="132"/>
    <cellStyle name="Comma_ISCG" xfId="133"/>
    <cellStyle name="Comma_laroux" xfId="134"/>
    <cellStyle name="Comma_laroux_1" xfId="135"/>
    <cellStyle name="Comma_laroux_1_BindingPrices" xfId="136"/>
    <cellStyle name="Comma_laroux_1_OtherBindInfo" xfId="137"/>
    <cellStyle name="Comma_laroux_1_pldt" xfId="138"/>
    <cellStyle name="Comma_laroux_1_pldt_BindingPrices" xfId="139"/>
    <cellStyle name="Comma_laroux_1_pldt_OtherBindInfo" xfId="140"/>
    <cellStyle name="Comma_laroux_1_uzpctGeSRMtpxTIMVGQCT5Fz9" xfId="141"/>
    <cellStyle name="Comma_laroux_2" xfId="142"/>
    <cellStyle name="Comma_laroux_2_pldt" xfId="143"/>
    <cellStyle name="Comma_laroux_2_uzpctGeSRMtpxTIMVGQCT5Fz9" xfId="144"/>
    <cellStyle name="Comma_laroux_2_uzpctGeSRMtpxTIMVGQCT5Fz9_BindingPrices" xfId="145"/>
    <cellStyle name="Comma_laroux_2_uzpctGeSRMtpxTIMVGQCT5Fz9_OtherBindInfo" xfId="146"/>
    <cellStyle name="Comma_laroux_pldt" xfId="147"/>
    <cellStyle name="Comma_M5SWSS07" xfId="148"/>
    <cellStyle name="Comma_MATERAL2" xfId="149"/>
    <cellStyle name="Comma_MATERAL2_BindingPrices" xfId="150"/>
    <cellStyle name="Comma_MATERAL2_OtherBindInfo" xfId="151"/>
    <cellStyle name="Comma_MERC5000" xfId="152"/>
    <cellStyle name="Comma_MITCHELDEAN" xfId="153"/>
    <cellStyle name="Comma_MITCH-INV" xfId="154"/>
    <cellStyle name="Comma_MODEL" xfId="155"/>
    <cellStyle name="Comma_mud plant bolted" xfId="156"/>
    <cellStyle name="Comma_Net Expense " xfId="157"/>
    <cellStyle name="Comma_New Business" xfId="158"/>
    <cellStyle name="Comma_New Business_1" xfId="159"/>
    <cellStyle name="Comma_Numerical" xfId="160"/>
    <cellStyle name="Comma_OPS" xfId="161"/>
    <cellStyle name="Comma_OVHD - adjusted" xfId="162"/>
    <cellStyle name="Comma_pldt" xfId="163"/>
    <cellStyle name="Comma_Print Macro" xfId="164"/>
    <cellStyle name="Comma_Prior to Current" xfId="165"/>
    <cellStyle name="Comma_Prior to Current Variance" xfId="166"/>
    <cellStyle name="Comma_Productivity" xfId="167"/>
    <cellStyle name="Comma_QTRS" xfId="168"/>
    <cellStyle name="Comma_R ROYCE-LSD" xfId="169"/>
    <cellStyle name="Comma_RERATE2" xfId="170"/>
    <cellStyle name="Comma_RERATEAH" xfId="171"/>
    <cellStyle name="Comma_Reserves" xfId="172"/>
    <cellStyle name="Comma_Reserves_Productivity" xfId="173"/>
    <cellStyle name="Comma_Revenue Relief Trend" xfId="174"/>
    <cellStyle name="Comma_Risk Schedule" xfId="175"/>
    <cellStyle name="Comma_Risk Schedule (2)" xfId="176"/>
    <cellStyle name="Comma_Risk Schedule_1" xfId="177"/>
    <cellStyle name="Comma_RROYCE_TELEX" xfId="178"/>
    <cellStyle name="Comma_RXUK" xfId="179"/>
    <cellStyle name="Comma_RXUKLSD" xfId="180"/>
    <cellStyle name="Comma_RXUK-LSD" xfId="181"/>
    <cellStyle name="Comma_SBU" xfId="182"/>
    <cellStyle name="Comma_SCHEDULE 9" xfId="183"/>
    <cellStyle name="Comma_Sheet1" xfId="184"/>
    <cellStyle name="Comma_Sheet1 (2)" xfId="185"/>
    <cellStyle name="Comma_Summary" xfId="186"/>
    <cellStyle name="Comma_Summary (2)" xfId="187"/>
    <cellStyle name="Comma_Summary_1" xfId="188"/>
    <cellStyle name="Comma_V1227" xfId="189"/>
    <cellStyle name="Comma_WASHINGTON" xfId="190"/>
    <cellStyle name="Currency" xfId="191"/>
    <cellStyle name="Currency [0]" xfId="192"/>
    <cellStyle name="Currency [0]_95PCRISK" xfId="193"/>
    <cellStyle name="Currency [0]_Budget to Current" xfId="194"/>
    <cellStyle name="Currency [0]_Budget Variance" xfId="195"/>
    <cellStyle name="Currency [0]_Consolidate" xfId="196"/>
    <cellStyle name="Currency [0]_Consolidate (2)" xfId="197"/>
    <cellStyle name="Currency [0]_Data Sheet" xfId="198"/>
    <cellStyle name="Currency [0]_DETAIL" xfId="199"/>
    <cellStyle name="Currency [0]_eds_swss" xfId="200"/>
    <cellStyle name="Currency [0]_Flash Report" xfId="201"/>
    <cellStyle name="Currency [0]_GM Base" xfId="202"/>
    <cellStyle name="Currency [0]_Gross Exp_Recovery Walk" xfId="203"/>
    <cellStyle name="Currency [0]_Gross Exp_Recovery Walk_1" xfId="204"/>
    <cellStyle name="Currency [0]_Gross Expense" xfId="205"/>
    <cellStyle name="Currency [0]_Gross Expense Trend" xfId="206"/>
    <cellStyle name="Currency [0]_Gross Expense Trend (2)" xfId="207"/>
    <cellStyle name="Currency [0]_Gross Expense Trend_1" xfId="208"/>
    <cellStyle name="Currency [0]_Gross Expense Trend_GM Base" xfId="209"/>
    <cellStyle name="Currency [0]_Gross Expense Trend_GM_Base" xfId="210"/>
    <cellStyle name="Currency [0]_Gross Expense Trend_Gross Exp_Recovery Walk" xfId="211"/>
    <cellStyle name="Currency [0]_Gross Expense Trend_New Business" xfId="212"/>
    <cellStyle name="Currency [0]_Gross Expense Trend_Print Macro" xfId="213"/>
    <cellStyle name="Currency [0]_Gross Expense Trend_Risk Schedule" xfId="214"/>
    <cellStyle name="Currency [0]_Gross Expense Trend_Summary" xfId="215"/>
    <cellStyle name="Currency [0]_Gross Expense Trend_Summary_GM Base" xfId="216"/>
    <cellStyle name="Currency [0]_Gross Expense Trend_Summary_Gross Exp_Recovery Walk" xfId="217"/>
    <cellStyle name="Currency [0]_Gross Expense Trend_Summary_Print Macro" xfId="218"/>
    <cellStyle name="Currency [0]_INTN-LSD" xfId="219"/>
    <cellStyle name="Currency [0]_INTN-LSD INV" xfId="220"/>
    <cellStyle name="Currency [0]_ISCG" xfId="221"/>
    <cellStyle name="Currency [0]_laroux" xfId="222"/>
    <cellStyle name="Currency [0]_laroux_1" xfId="223"/>
    <cellStyle name="Currency [0]_laroux_1_BindingPrices" xfId="224"/>
    <cellStyle name="Currency [0]_laroux_1_OtherBindInfo" xfId="225"/>
    <cellStyle name="Currency [0]_laroux_1_pldt" xfId="226"/>
    <cellStyle name="Currency [0]_laroux_1_pldt_BindingPrices" xfId="227"/>
    <cellStyle name="Currency [0]_laroux_1_pldt_OtherBindInfo" xfId="228"/>
    <cellStyle name="Currency [0]_laroux_1_uzpctGeSRMtpxTIMVGQCT5Fz9" xfId="229"/>
    <cellStyle name="Currency [0]_laroux_2" xfId="230"/>
    <cellStyle name="Currency [0]_laroux_2_pldt" xfId="231"/>
    <cellStyle name="Currency [0]_laroux_2_uzpctGeSRMtpxTIMVGQCT5Fz9" xfId="232"/>
    <cellStyle name="Currency [0]_laroux_2_uzpctGeSRMtpxTIMVGQCT5Fz9_BindingPrices" xfId="233"/>
    <cellStyle name="Currency [0]_laroux_2_uzpctGeSRMtpxTIMVGQCT5Fz9_OtherBindInfo" xfId="234"/>
    <cellStyle name="Currency [0]_laroux_MATERAL2" xfId="235"/>
    <cellStyle name="Currency [0]_laroux_mud plant bolted" xfId="236"/>
    <cellStyle name="Currency [0]_laroux_mud plant bolted_BindingPrices" xfId="237"/>
    <cellStyle name="Currency [0]_laroux_mud plant bolted_OtherBindInfo" xfId="238"/>
    <cellStyle name="Currency [0]_laroux_pldt" xfId="239"/>
    <cellStyle name="Currency [0]_M5SWSS07" xfId="240"/>
    <cellStyle name="Currency [0]_MATERAL2" xfId="241"/>
    <cellStyle name="Currency [0]_MATERAL2_BindingPrices" xfId="242"/>
    <cellStyle name="Currency [0]_MATERAL2_OtherBindInfo" xfId="243"/>
    <cellStyle name="Currency [0]_MERC5000" xfId="244"/>
    <cellStyle name="Currency [0]_MITCHELDEAN" xfId="245"/>
    <cellStyle name="Currency [0]_MITCH-INV" xfId="246"/>
    <cellStyle name="Currency [0]_MODEL" xfId="247"/>
    <cellStyle name="Currency [0]_mud plant bolted" xfId="248"/>
    <cellStyle name="Currency [0]_Net Expense " xfId="249"/>
    <cellStyle name="Currency [0]_New Business" xfId="250"/>
    <cellStyle name="Currency [0]_New Business_1" xfId="251"/>
    <cellStyle name="Currency [0]_Numerical" xfId="252"/>
    <cellStyle name="Currency [0]_OPS" xfId="253"/>
    <cellStyle name="Currency [0]_OVHD - adjusted" xfId="254"/>
    <cellStyle name="Currency [0]_pldt" xfId="255"/>
    <cellStyle name="Currency [0]_Print Macro" xfId="256"/>
    <cellStyle name="Currency [0]_Prior to Current" xfId="257"/>
    <cellStyle name="Currency [0]_Prior to Current Variance" xfId="258"/>
    <cellStyle name="Currency [0]_Productivity" xfId="259"/>
    <cellStyle name="Currency [0]_QTRS" xfId="260"/>
    <cellStyle name="Currency [0]_R ROYCE-LSD" xfId="261"/>
    <cellStyle name="Currency [0]_RERATE2" xfId="262"/>
    <cellStyle name="Currency [0]_RERATEAH" xfId="263"/>
    <cellStyle name="Currency [0]_Reserves" xfId="264"/>
    <cellStyle name="Currency [0]_Reserves_Productivity" xfId="265"/>
    <cellStyle name="Currency [0]_Revenue Relief Trend" xfId="266"/>
    <cellStyle name="Currency [0]_Risk Schedule" xfId="267"/>
    <cellStyle name="Currency [0]_Risk Schedule (2)" xfId="268"/>
    <cellStyle name="Currency [0]_Risk Schedule_1" xfId="269"/>
    <cellStyle name="Currency [0]_RROYCE_TELEX" xfId="270"/>
    <cellStyle name="Currency [0]_RXUK" xfId="271"/>
    <cellStyle name="Currency [0]_RXUKLSD" xfId="272"/>
    <cellStyle name="Currency [0]_RXUK-LSD" xfId="273"/>
    <cellStyle name="Currency [0]_SBU" xfId="274"/>
    <cellStyle name="Currency [0]_Sheet1" xfId="275"/>
    <cellStyle name="Currency [0]_Sheet1 (2)" xfId="276"/>
    <cellStyle name="Currency [0]_Summary" xfId="277"/>
    <cellStyle name="Currency [0]_Summary (2)" xfId="278"/>
    <cellStyle name="Currency [0]_Summary_1" xfId="279"/>
    <cellStyle name="Currency [0]_V1227" xfId="280"/>
    <cellStyle name="Currency_Budget to Current" xfId="281"/>
    <cellStyle name="Currency_Budget Variance" xfId="282"/>
    <cellStyle name="Currency_Consolidate" xfId="283"/>
    <cellStyle name="Currency_Consolidate (2)" xfId="284"/>
    <cellStyle name="Currency_Data Sheet" xfId="285"/>
    <cellStyle name="Currency_DETAIL" xfId="286"/>
    <cellStyle name="Currency_eds_swss" xfId="287"/>
    <cellStyle name="Currency_Flash Report" xfId="288"/>
    <cellStyle name="Currency_GM Base" xfId="289"/>
    <cellStyle name="Currency_Gross Exp_Recovery Walk" xfId="290"/>
    <cellStyle name="Currency_Gross Exp_Recovery Walk_1" xfId="291"/>
    <cellStyle name="Currency_Gross Expense" xfId="292"/>
    <cellStyle name="Currency_Gross Expense Trend" xfId="293"/>
    <cellStyle name="Currency_Gross Expense Trend (2)" xfId="294"/>
    <cellStyle name="Currency_Gross Expense Trend_1" xfId="295"/>
    <cellStyle name="Currency_Gross Expense Trend_GM Base" xfId="296"/>
    <cellStyle name="Currency_Gross Expense Trend_GM_Base" xfId="297"/>
    <cellStyle name="Currency_Gross Expense Trend_Gross Exp_Recovery Walk" xfId="298"/>
    <cellStyle name="Currency_Gross Expense Trend_New Business" xfId="299"/>
    <cellStyle name="Currency_Gross Expense Trend_Print Macro" xfId="300"/>
    <cellStyle name="Currency_Gross Expense Trend_Risk Schedule" xfId="301"/>
    <cellStyle name="Currency_Gross Expense Trend_Summary" xfId="302"/>
    <cellStyle name="Currency_Gross Expense Trend_Summary_GM Base" xfId="303"/>
    <cellStyle name="Currency_Gross Expense Trend_Summary_Gross Exp_Recovery Walk" xfId="304"/>
    <cellStyle name="Currency_Gross Expense Trend_Summary_Print Macro" xfId="305"/>
    <cellStyle name="Currency_INTN-LSD" xfId="306"/>
    <cellStyle name="Currency_INTN-LSD INV" xfId="307"/>
    <cellStyle name="Currency_ISCG" xfId="308"/>
    <cellStyle name="Currency_laroux" xfId="309"/>
    <cellStyle name="Currency_laroux_1" xfId="310"/>
    <cellStyle name="Currency_laroux_1_BindingPrices" xfId="311"/>
    <cellStyle name="Currency_laroux_1_OtherBindInfo" xfId="312"/>
    <cellStyle name="Currency_laroux_1_pldt" xfId="313"/>
    <cellStyle name="Currency_laroux_1_pldt_BindingPrices" xfId="314"/>
    <cellStyle name="Currency_laroux_1_pldt_OtherBindInfo" xfId="315"/>
    <cellStyle name="Currency_laroux_1_uzpctGeSRMtpxTIMVGQCT5Fz9" xfId="316"/>
    <cellStyle name="Currency_laroux_2" xfId="317"/>
    <cellStyle name="Currency_laroux_2_pldt" xfId="318"/>
    <cellStyle name="Currency_laroux_2_uzpctGeSRMtpxTIMVGQCT5Fz9" xfId="319"/>
    <cellStyle name="Currency_laroux_2_uzpctGeSRMtpxTIMVGQCT5Fz9_BindingPrices" xfId="320"/>
    <cellStyle name="Currency_laroux_2_uzpctGeSRMtpxTIMVGQCT5Fz9_OtherBindInfo" xfId="321"/>
    <cellStyle name="Currency_laroux_pldt" xfId="322"/>
    <cellStyle name="Currency_M5SWSS07" xfId="323"/>
    <cellStyle name="Currency_MATERAL2" xfId="324"/>
    <cellStyle name="Currency_MATERAL2_BindingPrices" xfId="325"/>
    <cellStyle name="Currency_MATERAL2_OtherBindInfo" xfId="326"/>
    <cellStyle name="Currency_MERC5000" xfId="327"/>
    <cellStyle name="Currency_MITCHELDEAN" xfId="328"/>
    <cellStyle name="Currency_MITCH-INV" xfId="329"/>
    <cellStyle name="Currency_MODEL" xfId="330"/>
    <cellStyle name="Currency_mud plant bolted" xfId="331"/>
    <cellStyle name="Currency_mud plant bolted_BindingPrices" xfId="332"/>
    <cellStyle name="Currency_mud plant bolted_OtherBindInfo" xfId="333"/>
    <cellStyle name="Currency_mud plant bolted_pldt" xfId="334"/>
    <cellStyle name="Currency_Net Expense " xfId="335"/>
    <cellStyle name="Currency_New Business" xfId="336"/>
    <cellStyle name="Currency_New Business_1" xfId="337"/>
    <cellStyle name="Currency_Numerical" xfId="338"/>
    <cellStyle name="Currency_OPS" xfId="339"/>
    <cellStyle name="Currency_OVHD - adjusted" xfId="340"/>
    <cellStyle name="Currency_pldt" xfId="341"/>
    <cellStyle name="Currency_Print Macro" xfId="342"/>
    <cellStyle name="Currency_Prior to Current" xfId="343"/>
    <cellStyle name="Currency_Prior to Current Variance" xfId="344"/>
    <cellStyle name="Currency_Productivity" xfId="345"/>
    <cellStyle name="Currency_QTRS" xfId="346"/>
    <cellStyle name="Currency_R ROYCE-LSD" xfId="347"/>
    <cellStyle name="Currency_RERATE2" xfId="348"/>
    <cellStyle name="Currency_RERATEAH" xfId="349"/>
    <cellStyle name="Currency_Reserves" xfId="350"/>
    <cellStyle name="Currency_Reserves_Productivity" xfId="351"/>
    <cellStyle name="Currency_Revenue Relief Trend" xfId="352"/>
    <cellStyle name="Currency_Risk Schedule" xfId="353"/>
    <cellStyle name="Currency_Risk Schedule (2)" xfId="354"/>
    <cellStyle name="Currency_Risk Schedule_1" xfId="355"/>
    <cellStyle name="Currency_RROYCE_TELEX" xfId="356"/>
    <cellStyle name="Currency_RXUK" xfId="357"/>
    <cellStyle name="Currency_RXUKLSD" xfId="358"/>
    <cellStyle name="Currency_RXUK-LSD" xfId="359"/>
    <cellStyle name="Currency_SBU" xfId="360"/>
    <cellStyle name="Currency_Sheet1" xfId="361"/>
    <cellStyle name="Currency_Sheet1 (2)" xfId="362"/>
    <cellStyle name="Currency_Summary" xfId="363"/>
    <cellStyle name="Currency_Summary (2)" xfId="364"/>
    <cellStyle name="Currency_Summary_1" xfId="365"/>
    <cellStyle name="Currency_V1227" xfId="366"/>
    <cellStyle name="Followed Hyperlink" xfId="367"/>
    <cellStyle name="Hyperlink" xfId="368"/>
    <cellStyle name="Milliers [0]_EDYAN" xfId="369"/>
    <cellStyle name="Milliers [0]_EDYAN_BindingPrices" xfId="370"/>
    <cellStyle name="Milliers [0]_EDYAN_OtherBindInfo" xfId="371"/>
    <cellStyle name="Milliers [0]_FAX" xfId="372"/>
    <cellStyle name="Milliers [0]_FAX (2)" xfId="373"/>
    <cellStyle name="Milliers [0]_JF_GUERRIER" xfId="374"/>
    <cellStyle name="Milliers [0]_JF_GUERRIER_BindingPrices" xfId="375"/>
    <cellStyle name="Milliers [0]_JF_GUERRIER_OtherBindInfo" xfId="376"/>
    <cellStyle name="Milliers [0]_MEMO" xfId="377"/>
    <cellStyle name="Milliers [0]_SW$MODEL" xfId="378"/>
    <cellStyle name="Milliers [0]_T_Rollings" xfId="379"/>
    <cellStyle name="Milliers [0]_T_Rollings_BindingPrices" xfId="380"/>
    <cellStyle name="Milliers [0]_T_Rollings_OtherBindInfo" xfId="381"/>
    <cellStyle name="Milliers_EDYAN" xfId="382"/>
    <cellStyle name="Milliers_EDYAN_BindingPrices" xfId="383"/>
    <cellStyle name="Milliers_EDYAN_OtherBindInfo" xfId="384"/>
    <cellStyle name="Milliers_FAX" xfId="385"/>
    <cellStyle name="Milliers_FAX (2)" xfId="386"/>
    <cellStyle name="Milliers_JF_GUERRIER" xfId="387"/>
    <cellStyle name="Milliers_JF_GUERRIER_BindingPrices" xfId="388"/>
    <cellStyle name="Milliers_JF_GUERRIER_OtherBindInfo" xfId="389"/>
    <cellStyle name="Milliers_MEMO" xfId="390"/>
    <cellStyle name="Milliers_SW$MODEL" xfId="391"/>
    <cellStyle name="Milliers_T_Rollings" xfId="392"/>
    <cellStyle name="Milliers_T_Rollings_BindingPrices" xfId="393"/>
    <cellStyle name="Milliers_T_Rollings_OtherBindInfo" xfId="394"/>
    <cellStyle name="Monétaire [0]_EDYAN" xfId="395"/>
    <cellStyle name="Monétaire [0]_EDYAN_BindingPrices" xfId="396"/>
    <cellStyle name="Monétaire [0]_EDYAN_OtherBindInfo" xfId="397"/>
    <cellStyle name="Monétaire [0]_FAX" xfId="398"/>
    <cellStyle name="Monétaire [0]_FAX (2)" xfId="399"/>
    <cellStyle name="Monétaire [0]_JF_GUERRIER" xfId="400"/>
    <cellStyle name="Monétaire [0]_JF_GUERRIER_BindingPrices" xfId="401"/>
    <cellStyle name="Monétaire [0]_JF_GUERRIER_OtherBindInfo" xfId="402"/>
    <cellStyle name="Monétaire [0]_MEMO" xfId="403"/>
    <cellStyle name="Monétaire [0]_SW$MODEL" xfId="404"/>
    <cellStyle name="Monétaire [0]_T_Rollings" xfId="405"/>
    <cellStyle name="Monétaire [0]_T_Rollings_BindingPrices" xfId="406"/>
    <cellStyle name="Monétaire [0]_T_Rollings_OtherBindInfo" xfId="407"/>
    <cellStyle name="Monétaire_EDYAN" xfId="408"/>
    <cellStyle name="Monétaire_EDYAN_BindingPrices" xfId="409"/>
    <cellStyle name="Monétaire_EDYAN_OtherBindInfo" xfId="410"/>
    <cellStyle name="Monétaire_FAX" xfId="411"/>
    <cellStyle name="Monétaire_FAX (2)" xfId="412"/>
    <cellStyle name="Monétaire_JF_GUERRIER" xfId="413"/>
    <cellStyle name="Monétaire_JF_GUERRIER_BindingPrices" xfId="414"/>
    <cellStyle name="Monétaire_JF_GUERRIER_OtherBindInfo" xfId="415"/>
    <cellStyle name="Monétaire_MEMO" xfId="416"/>
    <cellStyle name="Monétaire_MEMO_BindingPrices" xfId="417"/>
    <cellStyle name="Monétaire_MEMO_OtherBindInfo" xfId="418"/>
    <cellStyle name="Monétaire_SW$MODEL" xfId="419"/>
    <cellStyle name="Monétaire_T_Rollings" xfId="420"/>
    <cellStyle name="Monétaire_T_Rollings_BindingPrices" xfId="421"/>
    <cellStyle name="Monétaire_T_Rollings_OtherBindInfo" xfId="422"/>
    <cellStyle name="Normal - Style1" xfId="423"/>
    <cellStyle name="Normal - Style1_pldt" xfId="424"/>
    <cellStyle name="Normal_ Promotion" xfId="425"/>
    <cellStyle name="Normal_0g839m4yytAwDaPTcNxjaUm2F" xfId="426"/>
    <cellStyle name="Normal_8wRz1lpYjaMdq5CbwW9HdlPfk" xfId="427"/>
    <cellStyle name="Normal_95_96TCV" xfId="428"/>
    <cellStyle name="Normal_95PCRISK" xfId="429"/>
    <cellStyle name="Normal_95VS94OL" xfId="430"/>
    <cellStyle name="Normal_Admin &amp; Sup Rates" xfId="431"/>
    <cellStyle name="Normal_AO v Tar - Existing" xfId="432"/>
    <cellStyle name="Normal_AO v Tar - Total" xfId="433"/>
    <cellStyle name="Normal_AO v Tar - Unsold" xfId="434"/>
    <cellStyle name="Normal_Assumptions" xfId="435"/>
    <cellStyle name="Normal_Atwood 173453" xfId="436"/>
    <cellStyle name="Normal_Bender 177412" xfId="437"/>
    <cellStyle name="Normal_Budget to Current" xfId="438"/>
    <cellStyle name="Normal_Budget Variance" xfId="439"/>
    <cellStyle name="Normal_BURGER - Slide 8" xfId="440"/>
    <cellStyle name="Normal_By Contract - xIndustry" xfId="441"/>
    <cellStyle name="Normal_CAP Prices" xfId="442"/>
    <cellStyle name="Normal_Common Size Balance Sheet" xfId="443"/>
    <cellStyle name="Normal_Common Size Balance Sheet_1" xfId="444"/>
    <cellStyle name="Normal_COMP POOL" xfId="445"/>
    <cellStyle name="Normal_COMP POOL (2)" xfId="446"/>
    <cellStyle name="Normal_COMP POOL NB95" xfId="447"/>
    <cellStyle name="Normal_COMP POOL NB95 (2)" xfId="448"/>
    <cellStyle name="Normal_COMP POOL NB96" xfId="449"/>
    <cellStyle name="Normal_COMP POOL NB96 (2)" xfId="450"/>
    <cellStyle name="Normal_Compensation Pool Results" xfId="451"/>
    <cellStyle name="Normal_Compensation Pool Results (2)" xfId="452"/>
    <cellStyle name="Normal_Consolidate" xfId="453"/>
    <cellStyle name="Normal_Consolidate (2)" xfId="454"/>
    <cellStyle name="Normal_Consumables" xfId="455"/>
    <cellStyle name="Normal_Contract End" xfId="456"/>
    <cellStyle name="Normal_Contract Review" xfId="457"/>
    <cellStyle name="Normal_Contract Review (2)" xfId="458"/>
    <cellStyle name="Normal_CORP - SLIDE 2" xfId="459"/>
    <cellStyle name="Normal_Co-wide Monthly" xfId="460"/>
    <cellStyle name="Normal_CY96 NS SUMMARY" xfId="461"/>
    <cellStyle name="Normal_Data Sheet" xfId="462"/>
    <cellStyle name="Normal_DETAIL" xfId="463"/>
    <cellStyle name="Normal_eds_swss" xfId="464"/>
    <cellStyle name="Normal_EXP 1" xfId="465"/>
    <cellStyle name="Normal_EXP 2" xfId="466"/>
    <cellStyle name="Normal_EXP 3" xfId="467"/>
    <cellStyle name="Normal_Extra Event" xfId="468"/>
    <cellStyle name="Normal_Facility Costs" xfId="469"/>
    <cellStyle name="Normal_FAX" xfId="470"/>
    <cellStyle name="Normal_FAX (2)" xfId="471"/>
    <cellStyle name="Normal_Feuil1" xfId="472"/>
    <cellStyle name="Normal_Final" xfId="473"/>
    <cellStyle name="Normal_Financial Review - 2" xfId="474"/>
    <cellStyle name="Normal_Flash Report" xfId="475"/>
    <cellStyle name="Normal_FLSHVAR" xfId="476"/>
    <cellStyle name="Normal_Ford 92329" xfId="477"/>
    <cellStyle name="Normal_G4BNFrQedyFBIfuyhscofzrLL" xfId="478"/>
    <cellStyle name="Normal_gJvF8GAvWpEk5heXOZXsrW88T" xfId="479"/>
    <cellStyle name="Normal_GM Base" xfId="480"/>
    <cellStyle name="Normal_GRAPHS" xfId="481"/>
    <cellStyle name="Normal_Gross Exp_Recovery Walk" xfId="482"/>
    <cellStyle name="Normal_Gross Exp_Recovery Walk_1" xfId="483"/>
    <cellStyle name="Normal_Gross Expense" xfId="484"/>
    <cellStyle name="Normal_GROSS EXPENSE TREND" xfId="485"/>
    <cellStyle name="Normal_Gross Expense Trend (2)" xfId="486"/>
    <cellStyle name="Normal_Gross Expense Trend_1" xfId="487"/>
    <cellStyle name="Normal_Gross Expense Trend_1_GM Base" xfId="488"/>
    <cellStyle name="Normal_Gross Expense Trend_1_GM_Base" xfId="489"/>
    <cellStyle name="Normal_Gross Expense Trend_1_Gross Exp_Recovery Walk" xfId="490"/>
    <cellStyle name="Normal_Gross Expense Trend_1_New Business" xfId="491"/>
    <cellStyle name="Normal_Gross Expense Trend_1_Print Macro" xfId="492"/>
    <cellStyle name="Normal_Gross Expense Trend_1_Risk Schedule" xfId="493"/>
    <cellStyle name="Normal_Gross Expense Trend_1_Summary" xfId="494"/>
    <cellStyle name="Normal_Gross Expense Trend_1_Summary_GM Base" xfId="495"/>
    <cellStyle name="Normal_Gross Expense Trend_1_Summary_Gross Exp_Recovery Walk" xfId="496"/>
    <cellStyle name="Normal_Gross Expense Trend_1_Summary_Print Macro" xfId="497"/>
    <cellStyle name="Normal_Gross Expense Trend_2" xfId="498"/>
    <cellStyle name="Normal_Gross Expense Trend_2_GM Base" xfId="499"/>
    <cellStyle name="Normal_Gross Expense Trend_2_GM_Base" xfId="500"/>
    <cellStyle name="Normal_Gross Expense Trend_2_Gross Exp_Recovery Walk" xfId="501"/>
    <cellStyle name="Normal_Gross Expense Trend_2_New Business" xfId="502"/>
    <cellStyle name="Normal_Gross Expense Trend_2_Print Macro" xfId="503"/>
    <cellStyle name="Normal_Gross Expense Trend_2_Risk Schedule" xfId="504"/>
    <cellStyle name="Normal_Gross Expense Trend_2_Summary" xfId="505"/>
    <cellStyle name="Normal_Gross Expense Trend_2_Summary_GM Base" xfId="506"/>
    <cellStyle name="Normal_Gross Expense Trend_2_Summary_Gross Exp_Recovery Walk" xfId="507"/>
    <cellStyle name="Normal_Gross Expense Trend_2_Summary_Print Macro" xfId="508"/>
    <cellStyle name="Normal_H4DPG7RfezGCKgvz3ud6hasMM" xfId="509"/>
    <cellStyle name="Normal_Hardware" xfId="510"/>
    <cellStyle name="Normal_Headcount &amp; People Metrics" xfId="511"/>
    <cellStyle name="Normal_Industry or Geography Split" xfId="512"/>
    <cellStyle name="Normal_INPUT DETAIL" xfId="513"/>
    <cellStyle name="Normal_INTN-LSD" xfId="514"/>
    <cellStyle name="Normal_INTN-LSD INV" xfId="515"/>
    <cellStyle name="Normal_ISCG" xfId="516"/>
    <cellStyle name="Normal_J5EQH7TggbIELixb3v26icuON" xfId="517"/>
    <cellStyle name="Normal_JF_GUERRIER" xfId="518"/>
    <cellStyle name="Normal_Jul5 Olk" xfId="519"/>
    <cellStyle name="Normal_laroux" xfId="520"/>
    <cellStyle name="Normal_laroux_1" xfId="521"/>
    <cellStyle name="Normal_laroux_1_pldt" xfId="522"/>
    <cellStyle name="Normal_laroux_1_Sheet1" xfId="523"/>
    <cellStyle name="Normal_laroux_2" xfId="524"/>
    <cellStyle name="Normal_laroux_2_pldt" xfId="525"/>
    <cellStyle name="Normal_laroux_2_Sheet1" xfId="526"/>
    <cellStyle name="Normal_laroux_3" xfId="527"/>
    <cellStyle name="Normal_laroux_3_pldt" xfId="528"/>
    <cellStyle name="Normal_laroux_3_Sheet1" xfId="529"/>
    <cellStyle name="Normal_laroux_4" xfId="530"/>
    <cellStyle name="Normal_laroux_4_pldt" xfId="531"/>
    <cellStyle name="Normal_laroux_4_Sheet1" xfId="532"/>
    <cellStyle name="Normal_laroux_5" xfId="533"/>
    <cellStyle name="Normal_laroux_6" xfId="534"/>
    <cellStyle name="Normal_laroux_7" xfId="535"/>
    <cellStyle name="Normal_laroux_8" xfId="536"/>
    <cellStyle name="Normal_laroux_pldt" xfId="537"/>
    <cellStyle name="Normal_laroux_Sheet1" xfId="538"/>
    <cellStyle name="Normal_laroux_uzpctGeSRMtpxTIMVGQCT5Fz9" xfId="539"/>
    <cellStyle name="Normal_Linenum" xfId="540"/>
    <cellStyle name="Normal_M5SWSS07" xfId="541"/>
    <cellStyle name="Normal_MATERAL2" xfId="542"/>
    <cellStyle name="Normal_MEMO" xfId="543"/>
    <cellStyle name="Normal_MERC5000" xfId="544"/>
    <cellStyle name="Normal_MITCHELDEAN" xfId="545"/>
    <cellStyle name="Normal_MITCH-INV" xfId="546"/>
    <cellStyle name="Normal_MODEL" xfId="547"/>
    <cellStyle name="Normal_MODEL_1" xfId="548"/>
    <cellStyle name="Normal_Module1" xfId="549"/>
    <cellStyle name="Normal_Module1_1" xfId="550"/>
    <cellStyle name="Normal_Module2" xfId="551"/>
    <cellStyle name="Normal_MT11INV" xfId="552"/>
    <cellStyle name="Normal_mud plant bolted" xfId="553"/>
    <cellStyle name="Normal_NB94" xfId="554"/>
    <cellStyle name="Normal_NB95" xfId="555"/>
    <cellStyle name="Normal_NEIGHBORS 3806" xfId="556"/>
    <cellStyle name="Normal_Net Expense " xfId="557"/>
    <cellStyle name="Normal_New Business" xfId="558"/>
    <cellStyle name="Normal_New Business_1" xfId="559"/>
    <cellStyle name="Normal_NEW OUTLOOK" xfId="560"/>
    <cellStyle name="Normal_NPI" xfId="561"/>
    <cellStyle name="Normal_Numerical" xfId="562"/>
    <cellStyle name="Normal_OL Var Expl (2)" xfId="563"/>
    <cellStyle name="Normal_OPS" xfId="564"/>
    <cellStyle name="Normal_Outlook Detail" xfId="565"/>
    <cellStyle name="Normal_Outlook Detail_1" xfId="566"/>
    <cellStyle name="Normal_OVHD - adjusted" xfId="567"/>
    <cellStyle name="Normal_P&amp;L Outlook Expense Detail" xfId="568"/>
    <cellStyle name="Normal_P&amp;L Summary" xfId="569"/>
    <cellStyle name="Normal_PEN" xfId="570"/>
    <cellStyle name="Normal_Personnel" xfId="571"/>
    <cellStyle name="Normal_PI_1" xfId="572"/>
    <cellStyle name="Normal_pldt" xfId="573"/>
    <cellStyle name="Normal_pldt_1" xfId="574"/>
    <cellStyle name="Normal_pldt_2" xfId="575"/>
    <cellStyle name="Normal_pldt_3" xfId="576"/>
    <cellStyle name="Normal_pldt_4" xfId="577"/>
    <cellStyle name="Normal_pldt_5" xfId="578"/>
    <cellStyle name="Normal_POOL" xfId="579"/>
    <cellStyle name="Normal_Presentation (2)" xfId="580"/>
    <cellStyle name="Normal_Price Model Total Costs" xfId="581"/>
    <cellStyle name="Normal_Price Model Total Costs_1" xfId="582"/>
    <cellStyle name="Normal_Print" xfId="583"/>
    <cellStyle name="Normal_Print Macro" xfId="584"/>
    <cellStyle name="Normal_Prior to Current" xfId="585"/>
    <cellStyle name="Normal_Prior to Current Variance" xfId="586"/>
    <cellStyle name="Normal_Productivity" xfId="587"/>
    <cellStyle name="Normal_Program Devel" xfId="588"/>
    <cellStyle name="Normal_protectDialog" xfId="589"/>
    <cellStyle name="Normal_pUkwOAZN4HoKr512Q0LXOiAuu" xfId="590"/>
    <cellStyle name="Normal_pUkwOAZN4HoKr512Q0LXOiAuu_1" xfId="591"/>
    <cellStyle name="Normal_QTRS" xfId="592"/>
    <cellStyle name="Normal_Quarter to Quarter Trends" xfId="593"/>
    <cellStyle name="Normal_Quarterly Overview" xfId="594"/>
    <cellStyle name="Normal_R ROYCE-LSD" xfId="595"/>
    <cellStyle name="Normal_RDGOVADJ" xfId="596"/>
    <cellStyle name="Normal_Reg-By Timeframe" xfId="597"/>
    <cellStyle name="Normal_Report Data" xfId="598"/>
    <cellStyle name="Normal_RERATE2" xfId="599"/>
    <cellStyle name="Normal_RERATEAH" xfId="600"/>
    <cellStyle name="Normal_Reserves" xfId="601"/>
    <cellStyle name="Normal_Reserves_1" xfId="602"/>
    <cellStyle name="Normal_Reserves_Productivity" xfId="603"/>
    <cellStyle name="Normal_RESULTS" xfId="604"/>
    <cellStyle name="Normal_Revenue Relief Trend" xfId="605"/>
    <cellStyle name="Normal_Risk Analysis" xfId="606"/>
    <cellStyle name="Normal_Risk Schedule" xfId="607"/>
    <cellStyle name="Normal_Risk Schedule (2)" xfId="608"/>
    <cellStyle name="Normal_Risk Schedule_1" xfId="609"/>
    <cellStyle name="Normal_RROYCE_TELEX" xfId="610"/>
    <cellStyle name="Normal_RUDIN 6A" xfId="611"/>
    <cellStyle name="Normal_RXUK" xfId="612"/>
    <cellStyle name="Normal_RXUKLSD" xfId="613"/>
    <cellStyle name="Normal_RXUK-LSD" xfId="614"/>
    <cellStyle name="Normal_savings" xfId="615"/>
    <cellStyle name="Normal_SBU" xfId="616"/>
    <cellStyle name="Normal_SBU &amp; SBL" xfId="617"/>
    <cellStyle name="Normal_Scenario Manager" xfId="618"/>
    <cellStyle name="Normal_SCHEDULE 1" xfId="619"/>
    <cellStyle name="Normal_SCHEDULE 1.1" xfId="620"/>
    <cellStyle name="Normal_SCHEDULE 2.1" xfId="621"/>
    <cellStyle name="Normal_SCHEDULE 3" xfId="622"/>
    <cellStyle name="Normal_SCHEDULE 3 (2)" xfId="623"/>
    <cellStyle name="Normal_SCHEDULE 4" xfId="624"/>
    <cellStyle name="Normal_SCHEDULE 4 (2)" xfId="625"/>
    <cellStyle name="Normal_SCHEDULE 4.1" xfId="626"/>
    <cellStyle name="Normal_SCHEDULE 4.2" xfId="627"/>
    <cellStyle name="Normal_SCHEDULE 5" xfId="628"/>
    <cellStyle name="Normal_SCHEDULE 6" xfId="629"/>
    <cellStyle name="Normal_SCHEDULE 6 (2)" xfId="630"/>
    <cellStyle name="Normal_SCHEDULE 7" xfId="631"/>
    <cellStyle name="Normal_SCHEDULE 9" xfId="632"/>
    <cellStyle name="Normal_Sheet1" xfId="633"/>
    <cellStyle name="Normal_Sheet1 (2)" xfId="634"/>
    <cellStyle name="Normal_Sheet1_1" xfId="635"/>
    <cellStyle name="Normal_Sheet1_1_BindingPrices" xfId="636"/>
    <cellStyle name="Normal_Sheet1_1_Financial Review - 2" xfId="637"/>
    <cellStyle name="Normal_Sheet1_1_Headcount &amp; People Metrics" xfId="638"/>
    <cellStyle name="Normal_Sheet1_1_J5EQH7TgfaHDLhwa3ve6ibtON" xfId="639"/>
    <cellStyle name="Normal_Sheet1_1_OtherBindInfo" xfId="640"/>
    <cellStyle name="Normal_Sheet1_1_SBU &amp; SBL" xfId="641"/>
    <cellStyle name="Normal_Sheet1_1_Slide 8 - SSU &amp; SBL" xfId="642"/>
    <cellStyle name="Normal_Sheet1_1_Slide 8 - SSU, SBU &amp; SBL" xfId="643"/>
    <cellStyle name="Normal_Sheet1_1_Slide 8 - Tech SSU" xfId="644"/>
    <cellStyle name="Normal_Sheet1_1_Slide 8 - Technical SSU" xfId="645"/>
    <cellStyle name="Normal_Sheet1_1_Slide 8 - Technical SSU (2)" xfId="646"/>
    <cellStyle name="Normal_Sheet1_1_Slide 9 - SSU &amp; SBL" xfId="647"/>
    <cellStyle name="Normal_Sheet1_1_Tar v AO - 3" xfId="648"/>
    <cellStyle name="Normal_Sheet1_1_Technical SSU" xfId="649"/>
    <cellStyle name="Normal_Sheet1_2" xfId="650"/>
    <cellStyle name="Normal_Sheet1_3" xfId="651"/>
    <cellStyle name="Normal_Sheet1_BindingPrices" xfId="652"/>
    <cellStyle name="Normal_Sheet1_building" xfId="653"/>
    <cellStyle name="Normal_Sheet1_Buildings by cash flow phase 1" xfId="654"/>
    <cellStyle name="Normal_Sheet1_Buildings cash flow" xfId="655"/>
    <cellStyle name="Normal_Sheet1_Detail Contracting Out" xfId="656"/>
    <cellStyle name="Normal_Sheet1_Financial Review - 2" xfId="657"/>
    <cellStyle name="Normal_Sheet1_Headcount &amp; People Metrics" xfId="658"/>
    <cellStyle name="Normal_Sheet1_J5EQH7TgfaHDLhwa3ve6ibtON" xfId="659"/>
    <cellStyle name="Normal_Sheet1_Module1" xfId="660"/>
    <cellStyle name="Normal_Sheet1_Mte by cash flow" xfId="661"/>
    <cellStyle name="Normal_Sheet1_OtherBindInfo" xfId="662"/>
    <cellStyle name="Normal_Sheet1_Risk Analysis" xfId="663"/>
    <cellStyle name="Normal_Sheet1_SBU &amp; SBL" xfId="664"/>
    <cellStyle name="Normal_Sheet1_Slide 8 - SBL" xfId="665"/>
    <cellStyle name="Normal_Sheet1_Slide 8 - SSU &amp; SBL" xfId="666"/>
    <cellStyle name="Normal_Sheet1_Slide 8 - SSU, SBU &amp; SBL" xfId="667"/>
    <cellStyle name="Normal_Sheet1_Slide 8 - Tech SSU" xfId="668"/>
    <cellStyle name="Normal_Sheet1_Slide 8 - Technical SSU" xfId="669"/>
    <cellStyle name="Normal_Sheet1_Slide 8 - Technical SSU (2)" xfId="670"/>
    <cellStyle name="Normal_Sheet1_Slide 9 - SSU &amp; SBL" xfId="671"/>
    <cellStyle name="Normal_Sheet1_sup equ by cash flow phase 1" xfId="672"/>
    <cellStyle name="Normal_Sheet1_Tar v AO - 3" xfId="673"/>
    <cellStyle name="Normal_Sheet1_Technical SSU" xfId="674"/>
    <cellStyle name="Normal_Sheet1_uzpctGeSRMtpxTIMVGQCT5Fz9" xfId="675"/>
    <cellStyle name="Normal_Sheet17" xfId="676"/>
    <cellStyle name="Normal_Sheet2" xfId="677"/>
    <cellStyle name="Normal_Sheet2_1" xfId="678"/>
    <cellStyle name="Normal_Sheet3" xfId="679"/>
    <cellStyle name="Normal_Sheet4" xfId="680"/>
    <cellStyle name="Normal_Shubert 84714" xfId="681"/>
    <cellStyle name="Normal_SIP3SW" xfId="682"/>
    <cellStyle name="Normal_SLIDE 1" xfId="683"/>
    <cellStyle name="Normal_SLIDE 1_1" xfId="684"/>
    <cellStyle name="Normal_SLIDE 10 (2)" xfId="685"/>
    <cellStyle name="Normal_SLIDE 11" xfId="686"/>
    <cellStyle name="Normal_SLIDE 11 (2)" xfId="687"/>
    <cellStyle name="Normal_SLIDE 12" xfId="688"/>
    <cellStyle name="Normal_SLIDE 13 (2)" xfId="689"/>
    <cellStyle name="Normal_SLIDE 2" xfId="690"/>
    <cellStyle name="Normal_SLIDE 2 (2)" xfId="691"/>
    <cellStyle name="Normal_SLIDE 2_1" xfId="692"/>
    <cellStyle name="Normal_SLIDE 3" xfId="693"/>
    <cellStyle name="Normal_SLIDE 5" xfId="694"/>
    <cellStyle name="Normal_SLIDE 5 (2)" xfId="695"/>
    <cellStyle name="Normal_SLIDE 6" xfId="696"/>
    <cellStyle name="Normal_SLIDE 6 (2)" xfId="697"/>
    <cellStyle name="Normal_SLIDE 7" xfId="698"/>
    <cellStyle name="Normal_SLIDE 7 (2)" xfId="699"/>
    <cellStyle name="Normal_SLIDE 7 (2)_1" xfId="700"/>
    <cellStyle name="Normal_SLIDE 8" xfId="701"/>
    <cellStyle name="Normal_Slide 8 - SBL" xfId="702"/>
    <cellStyle name="Normal_Slide 8 - SSU &amp; SBL" xfId="703"/>
    <cellStyle name="Normal_Slide 8 - SSU, SBU &amp; SBL" xfId="704"/>
    <cellStyle name="Normal_Slide 8 - Tech SSU" xfId="705"/>
    <cellStyle name="Normal_Slide 8 - Technical SSU" xfId="706"/>
    <cellStyle name="Normal_Slide 8 - Technical SSU (2)" xfId="707"/>
    <cellStyle name="Normal_SLIDE 8 (2)" xfId="708"/>
    <cellStyle name="Normal_Slide 9 - SSU &amp; SBL" xfId="709"/>
    <cellStyle name="Normal_SLIDE 9 (2)" xfId="710"/>
    <cellStyle name="Normal_Spot Color Prices" xfId="711"/>
    <cellStyle name="Normal_SUM GRAPH" xfId="712"/>
    <cellStyle name="Normal_Summary" xfId="713"/>
    <cellStyle name="Normal_Summary (2)" xfId="714"/>
    <cellStyle name="Normal_Summary (All)" xfId="715"/>
    <cellStyle name="Normal_Summary Invoice" xfId="716"/>
    <cellStyle name="Normal_Summary Invoice (2)" xfId="717"/>
    <cellStyle name="Normal_Summary_1" xfId="718"/>
    <cellStyle name="Normal_SUMMARY_BindingPrices" xfId="719"/>
    <cellStyle name="Normal_SUMMARY_J5EQH7TgfaHDLhwa3ve6ibtON" xfId="720"/>
    <cellStyle name="Normal_SUMMARY_OtherBindInfo" xfId="721"/>
    <cellStyle name="Normal_SW$MODEL" xfId="722"/>
    <cellStyle name="Normal_system cash flow" xfId="723"/>
    <cellStyle name="Normal_T_Rollings" xfId="724"/>
    <cellStyle name="Normal_Table 40-41" xfId="725"/>
    <cellStyle name="Normal_Table 46" xfId="726"/>
    <cellStyle name="Normal_Table 48" xfId="727"/>
    <cellStyle name="Normal_Tar v AO - 3" xfId="728"/>
    <cellStyle name="Normal_Tar Var Expl (2)" xfId="729"/>
    <cellStyle name="Normal_TECH SCHED 1" xfId="730"/>
    <cellStyle name="Normal_TECH SCHED 1.1" xfId="731"/>
    <cellStyle name="Normal_TECH SCHED 2" xfId="732"/>
    <cellStyle name="Normal_TECH SCHED 3" xfId="733"/>
    <cellStyle name="Normal_TECH SCHED 4" xfId="734"/>
    <cellStyle name="Normal_TECH SCHED 5" xfId="735"/>
    <cellStyle name="Normal_TECH SCHED 6" xfId="736"/>
    <cellStyle name="Normal_Technical SSU" xfId="737"/>
    <cellStyle name="Normal_template" xfId="738"/>
    <cellStyle name="Normal_TERM" xfId="739"/>
    <cellStyle name="Normal_TI Shell" xfId="740"/>
    <cellStyle name="Normal_V1227" xfId="741"/>
    <cellStyle name="Normal_VA Charts" xfId="742"/>
    <cellStyle name="Normal_Van Arsdel 3807" xfId="743"/>
    <cellStyle name="Normal_Var. Explns-AO vs. Budget" xfId="744"/>
    <cellStyle name="Normal_Var. Explns-AO vs. Target" xfId="745"/>
    <cellStyle name="Normal_Variance Explanations" xfId="746"/>
    <cellStyle name="Normal_WASHINGTON" xfId="747"/>
    <cellStyle name="Normal_x" xfId="748"/>
    <cellStyle name="Normal_xbsevIhUTO8r9VKOxJSeWPHc0" xfId="749"/>
    <cellStyle name="Normal_Year 1 Prices" xfId="750"/>
    <cellStyle name="Normal_Year 1 SC" xfId="751"/>
    <cellStyle name="Normal_Year 2 Prices" xfId="752"/>
    <cellStyle name="Normal_Year 2 SC" xfId="753"/>
    <cellStyle name="Normal_Year 3 Prices" xfId="754"/>
    <cellStyle name="Normal_Year 3 SC" xfId="755"/>
    <cellStyle name="Normal_YTD Relief Detail - Tech SSUs" xfId="756"/>
    <cellStyle name="Percent" xfId="7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i_for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
      <sheetName val="Version"/>
      <sheetName val="TRIAL BAL"/>
      <sheetName val="CS10"/>
      <sheetName val="FACTORS"/>
      <sheetName val="RPW"/>
      <sheetName val="CS10 RCS"/>
    </sheetNames>
    <definedNames>
      <definedName name="FY_LOWER" refersTo="=B!$I$13"/>
    </definedNames>
    <sheetDataSet>
      <sheetData sheetId="0">
        <row r="13">
          <cell r="I13" t="str">
            <v>Base Year 1998</v>
          </cell>
        </row>
      </sheetData>
      <sheetData sheetId="1">
        <row r="8">
          <cell r="C8">
            <v>0</v>
          </cell>
        </row>
      </sheetData>
      <sheetData sheetId="2">
        <row r="27">
          <cell r="E27">
            <v>3350692043</v>
          </cell>
        </row>
        <row r="28">
          <cell r="E28">
            <v>327523436</v>
          </cell>
        </row>
      </sheetData>
      <sheetData sheetId="3">
        <row r="12">
          <cell r="B12">
            <v>441210</v>
          </cell>
          <cell r="C12">
            <v>117416</v>
          </cell>
          <cell r="D12">
            <v>-1036</v>
          </cell>
          <cell r="E12">
            <v>57473</v>
          </cell>
        </row>
        <row r="13">
          <cell r="B13">
            <v>457552</v>
          </cell>
          <cell r="C13">
            <v>120281</v>
          </cell>
          <cell r="D13">
            <v>-884</v>
          </cell>
          <cell r="E13">
            <v>59195</v>
          </cell>
        </row>
        <row r="14">
          <cell r="B14">
            <v>454080</v>
          </cell>
          <cell r="C14">
            <v>116217</v>
          </cell>
          <cell r="D14">
            <v>-1145</v>
          </cell>
          <cell r="E14">
            <v>60070</v>
          </cell>
        </row>
        <row r="15">
          <cell r="B15">
            <v>609532</v>
          </cell>
          <cell r="C15">
            <v>164698</v>
          </cell>
          <cell r="D15">
            <v>-1413</v>
          </cell>
          <cell r="E15">
            <v>75195</v>
          </cell>
        </row>
      </sheetData>
      <sheetData sheetId="4">
        <row r="64">
          <cell r="C64">
            <v>0.4797</v>
          </cell>
        </row>
        <row r="65">
          <cell r="C65">
            <v>0.4815</v>
          </cell>
        </row>
        <row r="67">
          <cell r="C67">
            <v>564944.763</v>
          </cell>
        </row>
        <row r="68">
          <cell r="C68">
            <v>82010.465</v>
          </cell>
        </row>
        <row r="69">
          <cell r="C69">
            <v>685937.436</v>
          </cell>
        </row>
        <row r="70">
          <cell r="C70">
            <v>906828.026</v>
          </cell>
        </row>
        <row r="71">
          <cell r="C71">
            <v>745667</v>
          </cell>
        </row>
        <row r="72">
          <cell r="C72">
            <v>415085</v>
          </cell>
        </row>
        <row r="73">
          <cell r="C73">
            <v>0</v>
          </cell>
        </row>
        <row r="74">
          <cell r="C74">
            <v>28457</v>
          </cell>
        </row>
        <row r="75">
          <cell r="C75">
            <v>10438</v>
          </cell>
        </row>
        <row r="76">
          <cell r="C76">
            <v>0</v>
          </cell>
        </row>
        <row r="79">
          <cell r="C79">
            <v>0.444</v>
          </cell>
        </row>
        <row r="80">
          <cell r="C80">
            <v>0.64</v>
          </cell>
        </row>
        <row r="81">
          <cell r="C81">
            <v>0.444</v>
          </cell>
        </row>
        <row r="82">
          <cell r="C82">
            <v>0.64</v>
          </cell>
        </row>
        <row r="84">
          <cell r="C84">
            <v>0.093</v>
          </cell>
        </row>
        <row r="85">
          <cell r="C85">
            <v>0.618</v>
          </cell>
        </row>
        <row r="86">
          <cell r="C86">
            <v>0.1</v>
          </cell>
        </row>
        <row r="87">
          <cell r="C87">
            <v>0.583</v>
          </cell>
        </row>
        <row r="89">
          <cell r="C89">
            <v>4037.15</v>
          </cell>
        </row>
        <row r="90">
          <cell r="C90">
            <v>5389.7</v>
          </cell>
        </row>
        <row r="91">
          <cell r="C91">
            <v>204.17</v>
          </cell>
        </row>
        <row r="92">
          <cell r="C92">
            <v>1349.12</v>
          </cell>
        </row>
        <row r="93">
          <cell r="C93">
            <v>0.47</v>
          </cell>
        </row>
        <row r="94">
          <cell r="C94">
            <v>16.76</v>
          </cell>
        </row>
        <row r="95">
          <cell r="C95">
            <v>3413.87</v>
          </cell>
        </row>
        <row r="96">
          <cell r="C96">
            <v>445.79</v>
          </cell>
        </row>
        <row r="97">
          <cell r="C97">
            <v>2.47</v>
          </cell>
        </row>
        <row r="98">
          <cell r="C98">
            <v>0.08</v>
          </cell>
        </row>
        <row r="99">
          <cell r="C99">
            <v>1080.54</v>
          </cell>
        </row>
        <row r="100">
          <cell r="C100">
            <v>3.03</v>
          </cell>
        </row>
        <row r="101">
          <cell r="C101">
            <v>0.62</v>
          </cell>
        </row>
        <row r="102">
          <cell r="C102">
            <v>0.3</v>
          </cell>
        </row>
        <row r="103">
          <cell r="C103">
            <v>57.58</v>
          </cell>
        </row>
        <row r="104">
          <cell r="C104">
            <v>117.95</v>
          </cell>
        </row>
        <row r="106">
          <cell r="C106">
            <v>2446.73</v>
          </cell>
        </row>
        <row r="107">
          <cell r="C107">
            <v>3060.96</v>
          </cell>
        </row>
        <row r="108">
          <cell r="C108">
            <v>122.82</v>
          </cell>
        </row>
        <row r="109">
          <cell r="C109">
            <v>739.47</v>
          </cell>
        </row>
        <row r="110">
          <cell r="C110">
            <v>0.31</v>
          </cell>
        </row>
        <row r="111">
          <cell r="C111">
            <v>11.38</v>
          </cell>
        </row>
        <row r="112">
          <cell r="C112">
            <v>1575.99</v>
          </cell>
        </row>
        <row r="113">
          <cell r="C113">
            <v>692.23</v>
          </cell>
        </row>
        <row r="114">
          <cell r="C114">
            <v>1.69</v>
          </cell>
        </row>
        <row r="115">
          <cell r="C115">
            <v>0.05</v>
          </cell>
        </row>
        <row r="116">
          <cell r="C116">
            <v>640.34</v>
          </cell>
        </row>
        <row r="117">
          <cell r="C117">
            <v>1.99</v>
          </cell>
        </row>
        <row r="118">
          <cell r="C118">
            <v>0.44</v>
          </cell>
        </row>
        <row r="119">
          <cell r="C119">
            <v>0.14</v>
          </cell>
        </row>
        <row r="120">
          <cell r="C120">
            <v>45.09</v>
          </cell>
        </row>
        <row r="121">
          <cell r="C121">
            <v>87.02</v>
          </cell>
        </row>
        <row r="123">
          <cell r="C123">
            <v>0.0791</v>
          </cell>
        </row>
        <row r="124">
          <cell r="C124">
            <v>0.1416</v>
          </cell>
        </row>
        <row r="125">
          <cell r="C125">
            <v>0.333</v>
          </cell>
        </row>
        <row r="126">
          <cell r="C126">
            <v>0.04</v>
          </cell>
        </row>
        <row r="127">
          <cell r="C127">
            <v>5.5</v>
          </cell>
        </row>
        <row r="128">
          <cell r="C128">
            <v>4</v>
          </cell>
        </row>
        <row r="129">
          <cell r="C129">
            <v>0.0333</v>
          </cell>
        </row>
        <row r="130">
          <cell r="C130">
            <v>0.0444</v>
          </cell>
        </row>
        <row r="131">
          <cell r="C131">
            <v>0.2</v>
          </cell>
        </row>
        <row r="132">
          <cell r="C132">
            <v>0.25</v>
          </cell>
        </row>
        <row r="133">
          <cell r="C133">
            <v>0.04</v>
          </cell>
        </row>
        <row r="134">
          <cell r="C134">
            <v>4</v>
          </cell>
        </row>
        <row r="135">
          <cell r="C135">
            <v>2</v>
          </cell>
        </row>
        <row r="136">
          <cell r="C136">
            <v>3.5</v>
          </cell>
        </row>
        <row r="137">
          <cell r="C137">
            <v>0.5</v>
          </cell>
        </row>
        <row r="138">
          <cell r="C138">
            <v>0.2334</v>
          </cell>
        </row>
      </sheetData>
      <sheetData sheetId="5">
        <row r="12">
          <cell r="D12">
            <v>54273023.951</v>
          </cell>
        </row>
        <row r="13">
          <cell r="D13">
            <v>39355160.021</v>
          </cell>
        </row>
        <row r="14">
          <cell r="D14">
            <v>1279092.457</v>
          </cell>
        </row>
        <row r="15">
          <cell r="D15">
            <v>2971750.714</v>
          </cell>
        </row>
        <row r="16">
          <cell r="D16">
            <v>2405998.91</v>
          </cell>
        </row>
        <row r="17">
          <cell r="D17">
            <v>149124.806</v>
          </cell>
        </row>
        <row r="19">
          <cell r="D19">
            <v>100434150.859</v>
          </cell>
        </row>
        <row r="22">
          <cell r="D22">
            <v>1174425.327</v>
          </cell>
        </row>
        <row r="23">
          <cell r="D23">
            <v>66244.039</v>
          </cell>
        </row>
        <row r="24">
          <cell r="D24">
            <v>4301.905</v>
          </cell>
        </row>
        <row r="26">
          <cell r="D26">
            <v>923864.874</v>
          </cell>
        </row>
        <row r="28">
          <cell r="D28">
            <v>7195165.978</v>
          </cell>
        </row>
        <row r="29">
          <cell r="D29">
            <v>2136927.217</v>
          </cell>
        </row>
        <row r="30">
          <cell r="D30">
            <v>60793.141</v>
          </cell>
        </row>
        <row r="31">
          <cell r="D31">
            <v>10316751.21</v>
          </cell>
        </row>
        <row r="36">
          <cell r="D36">
            <v>150276.222</v>
          </cell>
        </row>
        <row r="37">
          <cell r="D37">
            <v>35087014.263</v>
          </cell>
        </row>
        <row r="38">
          <cell r="D38">
            <v>34059126.707</v>
          </cell>
        </row>
        <row r="40">
          <cell r="D40">
            <v>69146140.97</v>
          </cell>
        </row>
        <row r="41">
          <cell r="D41">
            <v>10564635.808</v>
          </cell>
        </row>
        <row r="42">
          <cell r="D42">
            <v>2647088.276</v>
          </cell>
        </row>
        <row r="44">
          <cell r="D44">
            <v>13211724.084</v>
          </cell>
        </row>
        <row r="48">
          <cell r="D48">
            <v>82508141.27600001</v>
          </cell>
        </row>
        <row r="50">
          <cell r="D50">
            <v>316147.799</v>
          </cell>
        </row>
        <row r="51">
          <cell r="D51">
            <v>488412.573</v>
          </cell>
        </row>
        <row r="52">
          <cell r="D52">
            <v>191092.991</v>
          </cell>
        </row>
        <row r="53">
          <cell r="D53">
            <v>27728.415</v>
          </cell>
        </row>
        <row r="57">
          <cell r="D57">
            <v>1023381.778</v>
          </cell>
        </row>
        <row r="58">
          <cell r="D58">
            <v>380103.182</v>
          </cell>
        </row>
        <row r="59">
          <cell r="D59">
            <v>53169.136</v>
          </cell>
        </row>
        <row r="66">
          <cell r="C66">
            <v>95611.546</v>
          </cell>
        </row>
        <row r="70">
          <cell r="C70">
            <v>626591.3520000001</v>
          </cell>
        </row>
        <row r="72">
          <cell r="C72">
            <v>5389.294</v>
          </cell>
        </row>
        <row r="77">
          <cell r="D77">
            <v>196688260.904</v>
          </cell>
        </row>
        <row r="79">
          <cell r="D79">
            <v>18623</v>
          </cell>
        </row>
        <row r="80">
          <cell r="D80">
            <v>42102</v>
          </cell>
        </row>
        <row r="81">
          <cell r="D81">
            <v>3844.074</v>
          </cell>
        </row>
        <row r="82">
          <cell r="D82">
            <v>510872</v>
          </cell>
        </row>
        <row r="83">
          <cell r="D83">
            <v>0.628</v>
          </cell>
        </row>
        <row r="84">
          <cell r="D84">
            <v>208596.544</v>
          </cell>
        </row>
        <row r="85">
          <cell r="D85">
            <v>784038.246</v>
          </cell>
        </row>
      </sheetData>
      <sheetData sheetId="6">
        <row r="13">
          <cell r="D13">
            <v>6613969</v>
          </cell>
          <cell r="E13">
            <v>765366</v>
          </cell>
          <cell r="F13">
            <v>14006</v>
          </cell>
          <cell r="H13">
            <v>66827</v>
          </cell>
          <cell r="I13">
            <v>3223</v>
          </cell>
          <cell r="J13">
            <v>0</v>
          </cell>
          <cell r="M13">
            <v>3196276</v>
          </cell>
          <cell r="N13">
            <v>9758</v>
          </cell>
          <cell r="O13">
            <v>0</v>
          </cell>
        </row>
        <row r="14">
          <cell r="D14">
            <v>8546319</v>
          </cell>
          <cell r="E14">
            <v>374354</v>
          </cell>
          <cell r="F14">
            <v>10674</v>
          </cell>
          <cell r="H14">
            <v>2406</v>
          </cell>
          <cell r="I14">
            <v>168</v>
          </cell>
          <cell r="J14">
            <v>0</v>
          </cell>
          <cell r="M14">
            <v>0</v>
          </cell>
          <cell r="N14">
            <v>0</v>
          </cell>
          <cell r="O14">
            <v>0</v>
          </cell>
        </row>
        <row r="15">
          <cell r="D15">
            <v>621441</v>
          </cell>
          <cell r="E15">
            <v>0</v>
          </cell>
          <cell r="F15">
            <v>5437</v>
          </cell>
          <cell r="H15">
            <v>0</v>
          </cell>
          <cell r="I15">
            <v>51</v>
          </cell>
          <cell r="J15">
            <v>0</v>
          </cell>
          <cell r="M15">
            <v>109296</v>
          </cell>
          <cell r="N15">
            <v>0</v>
          </cell>
          <cell r="O15">
            <v>0</v>
          </cell>
        </row>
        <row r="16">
          <cell r="D16">
            <v>512517</v>
          </cell>
          <cell r="E16">
            <v>0</v>
          </cell>
          <cell r="F16">
            <v>0</v>
          </cell>
          <cell r="H16">
            <v>0</v>
          </cell>
          <cell r="I16">
            <v>3</v>
          </cell>
          <cell r="J16">
            <v>0</v>
          </cell>
          <cell r="M16">
            <v>0</v>
          </cell>
          <cell r="N16">
            <v>0</v>
          </cell>
          <cell r="O16">
            <v>0</v>
          </cell>
        </row>
        <row r="17">
          <cell r="J17">
            <v>0</v>
          </cell>
        </row>
        <row r="18">
          <cell r="D18">
            <v>12170</v>
          </cell>
          <cell r="E18">
            <v>99083</v>
          </cell>
          <cell r="F18">
            <v>244</v>
          </cell>
          <cell r="H18">
            <v>108353</v>
          </cell>
          <cell r="I18">
            <v>842</v>
          </cell>
          <cell r="J18">
            <v>0</v>
          </cell>
          <cell r="M18">
            <v>8283</v>
          </cell>
          <cell r="N18">
            <v>2162</v>
          </cell>
          <cell r="O18">
            <v>0</v>
          </cell>
        </row>
        <row r="19">
          <cell r="D19">
            <v>0</v>
          </cell>
          <cell r="E19">
            <v>0</v>
          </cell>
          <cell r="F19">
            <v>0</v>
          </cell>
          <cell r="H19">
            <v>0</v>
          </cell>
          <cell r="I19">
            <v>0</v>
          </cell>
          <cell r="J19">
            <v>2598</v>
          </cell>
          <cell r="M19">
            <v>0</v>
          </cell>
          <cell r="N19">
            <v>0</v>
          </cell>
          <cell r="O19">
            <v>232</v>
          </cell>
        </row>
        <row r="20">
          <cell r="D20">
            <v>5113</v>
          </cell>
          <cell r="E20">
            <v>0</v>
          </cell>
          <cell r="F20">
            <v>0</v>
          </cell>
          <cell r="H20">
            <v>0</v>
          </cell>
          <cell r="I20">
            <v>0</v>
          </cell>
          <cell r="J20">
            <v>0</v>
          </cell>
          <cell r="M20">
            <v>0</v>
          </cell>
          <cell r="N20">
            <v>0</v>
          </cell>
          <cell r="O20">
            <v>0</v>
          </cell>
        </row>
        <row r="27">
          <cell r="D27">
            <v>190275</v>
          </cell>
          <cell r="E27">
            <v>2567287</v>
          </cell>
          <cell r="F27">
            <v>29304</v>
          </cell>
          <cell r="H27">
            <v>10062</v>
          </cell>
          <cell r="I27">
            <v>153</v>
          </cell>
          <cell r="J27">
            <v>0</v>
          </cell>
          <cell r="M27">
            <v>0</v>
          </cell>
          <cell r="N27">
            <v>0</v>
          </cell>
          <cell r="O27">
            <v>0</v>
          </cell>
        </row>
        <row r="29">
          <cell r="D29">
            <v>4213</v>
          </cell>
          <cell r="E29">
            <v>5882</v>
          </cell>
          <cell r="F29">
            <v>0</v>
          </cell>
          <cell r="H29">
            <v>2480</v>
          </cell>
          <cell r="I29">
            <v>27</v>
          </cell>
          <cell r="J29">
            <v>0</v>
          </cell>
          <cell r="M29">
            <v>1035</v>
          </cell>
          <cell r="N29">
            <v>212</v>
          </cell>
          <cell r="O29">
            <v>0</v>
          </cell>
        </row>
        <row r="31">
          <cell r="D31">
            <v>1935951</v>
          </cell>
          <cell r="E31">
            <v>3365060</v>
          </cell>
          <cell r="F31">
            <v>1823326</v>
          </cell>
          <cell r="H31">
            <v>0</v>
          </cell>
          <cell r="I31">
            <v>0</v>
          </cell>
          <cell r="J31">
            <v>0</v>
          </cell>
          <cell r="M31">
            <v>0</v>
          </cell>
          <cell r="N31">
            <v>0</v>
          </cell>
          <cell r="O31">
            <v>0</v>
          </cell>
        </row>
        <row r="32">
          <cell r="D32">
            <v>4109229</v>
          </cell>
          <cell r="E32">
            <v>3542673</v>
          </cell>
          <cell r="F32">
            <v>212473</v>
          </cell>
          <cell r="H32">
            <v>167513</v>
          </cell>
          <cell r="I32">
            <v>516</v>
          </cell>
          <cell r="J32">
            <v>0</v>
          </cell>
          <cell r="M32">
            <v>0</v>
          </cell>
          <cell r="N32">
            <v>0</v>
          </cell>
          <cell r="O32">
            <v>0</v>
          </cell>
        </row>
        <row r="35">
          <cell r="D35">
            <v>143508</v>
          </cell>
          <cell r="E35">
            <v>114632</v>
          </cell>
          <cell r="F35">
            <v>70930</v>
          </cell>
          <cell r="H35">
            <v>0</v>
          </cell>
          <cell r="I35">
            <v>0</v>
          </cell>
          <cell r="J35">
            <v>0</v>
          </cell>
          <cell r="M35">
            <v>0</v>
          </cell>
          <cell r="N35">
            <v>0</v>
          </cell>
          <cell r="O35">
            <v>0</v>
          </cell>
        </row>
        <row r="36">
          <cell r="D36">
            <v>1472216</v>
          </cell>
          <cell r="E36">
            <v>496583</v>
          </cell>
          <cell r="F36">
            <v>27012</v>
          </cell>
          <cell r="H36">
            <v>9420</v>
          </cell>
          <cell r="I36">
            <v>48</v>
          </cell>
          <cell r="J36">
            <v>0</v>
          </cell>
          <cell r="M36">
            <v>0</v>
          </cell>
          <cell r="N36">
            <v>0</v>
          </cell>
          <cell r="O36">
            <v>0</v>
          </cell>
        </row>
        <row r="40">
          <cell r="D40">
            <v>1531</v>
          </cell>
          <cell r="E40">
            <v>8916</v>
          </cell>
          <cell r="F40">
            <v>0</v>
          </cell>
          <cell r="H40">
            <v>69032</v>
          </cell>
          <cell r="I40">
            <v>113</v>
          </cell>
          <cell r="J40">
            <v>0</v>
          </cell>
          <cell r="M40">
            <v>1633</v>
          </cell>
          <cell r="N40">
            <v>1282</v>
          </cell>
          <cell r="O40">
            <v>0</v>
          </cell>
        </row>
        <row r="41">
          <cell r="D41">
            <v>913</v>
          </cell>
          <cell r="E41">
            <v>38860</v>
          </cell>
          <cell r="F41">
            <v>3498</v>
          </cell>
          <cell r="H41">
            <v>62952</v>
          </cell>
          <cell r="I41">
            <v>332</v>
          </cell>
          <cell r="J41">
            <v>0</v>
          </cell>
          <cell r="M41">
            <v>572</v>
          </cell>
          <cell r="N41">
            <v>291</v>
          </cell>
          <cell r="O41">
            <v>0</v>
          </cell>
        </row>
        <row r="42">
          <cell r="D42">
            <v>611</v>
          </cell>
          <cell r="E42">
            <v>8308</v>
          </cell>
          <cell r="F42">
            <v>0</v>
          </cell>
          <cell r="H42">
            <v>22229</v>
          </cell>
          <cell r="I42">
            <v>174</v>
          </cell>
          <cell r="J42">
            <v>0</v>
          </cell>
          <cell r="M42">
            <v>739</v>
          </cell>
          <cell r="N42">
            <v>550</v>
          </cell>
          <cell r="O42">
            <v>0</v>
          </cell>
        </row>
        <row r="43">
          <cell r="D43">
            <v>615</v>
          </cell>
          <cell r="E43">
            <v>1406</v>
          </cell>
          <cell r="F43">
            <v>61</v>
          </cell>
          <cell r="H43">
            <v>2612</v>
          </cell>
          <cell r="I43">
            <v>37</v>
          </cell>
          <cell r="J43">
            <v>0</v>
          </cell>
          <cell r="M43">
            <v>236</v>
          </cell>
          <cell r="N43">
            <v>363</v>
          </cell>
          <cell r="O43">
            <v>0</v>
          </cell>
        </row>
        <row r="45">
          <cell r="D45">
            <v>26301</v>
          </cell>
          <cell r="E45">
            <v>3609</v>
          </cell>
          <cell r="F45">
            <v>4272</v>
          </cell>
          <cell r="H45">
            <v>235</v>
          </cell>
          <cell r="I45">
            <v>0</v>
          </cell>
          <cell r="J45">
            <v>0</v>
          </cell>
          <cell r="M45">
            <v>845</v>
          </cell>
          <cell r="N45">
            <v>32</v>
          </cell>
          <cell r="O45">
            <v>0</v>
          </cell>
        </row>
        <row r="46">
          <cell r="D46">
            <v>3543</v>
          </cell>
          <cell r="E46">
            <v>3229</v>
          </cell>
          <cell r="F46">
            <v>0</v>
          </cell>
          <cell r="H46">
            <v>2876</v>
          </cell>
          <cell r="I46">
            <v>0</v>
          </cell>
          <cell r="J46">
            <v>0</v>
          </cell>
          <cell r="M46">
            <v>0</v>
          </cell>
          <cell r="N46">
            <v>0</v>
          </cell>
          <cell r="O46">
            <v>0</v>
          </cell>
        </row>
        <row r="57">
          <cell r="D57">
            <v>48662</v>
          </cell>
          <cell r="E57">
            <v>8996</v>
          </cell>
          <cell r="F57">
            <v>426</v>
          </cell>
          <cell r="H57">
            <v>2430</v>
          </cell>
          <cell r="I57">
            <v>18</v>
          </cell>
          <cell r="J57">
            <v>0</v>
          </cell>
          <cell r="M57">
            <v>3684</v>
          </cell>
          <cell r="N57">
            <v>121</v>
          </cell>
          <cell r="O57">
            <v>0</v>
          </cell>
        </row>
        <row r="58">
          <cell r="D58">
            <v>0</v>
          </cell>
          <cell r="E58">
            <v>0</v>
          </cell>
          <cell r="F58">
            <v>0</v>
          </cell>
          <cell r="H58">
            <v>1137</v>
          </cell>
          <cell r="I58">
            <v>27</v>
          </cell>
          <cell r="J58">
            <v>0</v>
          </cell>
          <cell r="M58">
            <v>167</v>
          </cell>
          <cell r="N58">
            <v>3</v>
          </cell>
          <cell r="O58">
            <v>0</v>
          </cell>
        </row>
        <row r="60">
          <cell r="J60">
            <v>1080</v>
          </cell>
          <cell r="O60">
            <v>206</v>
          </cell>
        </row>
        <row r="61">
          <cell r="J61">
            <v>26309</v>
          </cell>
          <cell r="O61">
            <v>3243</v>
          </cell>
        </row>
        <row r="62">
          <cell r="J62">
            <v>2070</v>
          </cell>
          <cell r="O62">
            <v>139</v>
          </cell>
        </row>
        <row r="63">
          <cell r="J63">
            <v>0</v>
          </cell>
          <cell r="O63">
            <v>0</v>
          </cell>
        </row>
        <row r="66">
          <cell r="O66">
            <v>46</v>
          </cell>
        </row>
        <row r="67">
          <cell r="O67">
            <v>10940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7"/>
  <sheetViews>
    <sheetView workbookViewId="0" topLeftCell="A1">
      <selection activeCell="A2" sqref="A2"/>
    </sheetView>
  </sheetViews>
  <sheetFormatPr defaultColWidth="8.88671875" defaultRowHeight="15.75"/>
  <cols>
    <col min="1" max="1" width="12.21484375" style="25" customWidth="1"/>
    <col min="2" max="2" width="22.77734375" style="25" customWidth="1"/>
    <col min="3" max="3" width="60.3359375" style="25" customWidth="1"/>
    <col min="4" max="16384" width="8.88671875" style="25" customWidth="1"/>
  </cols>
  <sheetData>
    <row r="1" s="6" customFormat="1" ht="12.75" customHeight="1">
      <c r="A1" s="163" t="str">
        <f>IF(Doc!$A$5=Doc!$B$5,[1]!FY_LOWER&amp;" - PRC Version",[1]!FY_LOWER&amp;" - USPS Version")</f>
        <v>Base Year 1998 - USPS Version</v>
      </c>
    </row>
    <row r="2" s="6" customFormat="1" ht="12.75" customHeight="1">
      <c r="A2" s="163" t="s">
        <v>0</v>
      </c>
    </row>
    <row r="3" s="6" customFormat="1" ht="12.75" customHeight="1">
      <c r="A3" s="164" t="s">
        <v>1</v>
      </c>
    </row>
    <row r="4" s="6" customFormat="1" ht="12.75" customHeight="1">
      <c r="A4" s="164"/>
    </row>
    <row r="5" spans="1:2" s="68" customFormat="1" ht="12" customHeight="1" hidden="1">
      <c r="A5" s="68">
        <f>'[1]Version'!$C$8</f>
        <v>0</v>
      </c>
      <c r="B5" s="68">
        <v>1</v>
      </c>
    </row>
    <row r="6" spans="1:3" ht="12">
      <c r="A6" s="175" t="s">
        <v>2</v>
      </c>
      <c r="B6" s="176" t="s">
        <v>3</v>
      </c>
      <c r="C6" s="175" t="s">
        <v>4</v>
      </c>
    </row>
    <row r="7" spans="1:3" ht="36">
      <c r="A7" s="328" t="s">
        <v>5</v>
      </c>
      <c r="B7" s="329" t="s">
        <v>6</v>
      </c>
      <c r="C7" s="330" t="s">
        <v>7</v>
      </c>
    </row>
    <row r="8" spans="1:3" ht="24">
      <c r="A8" s="115" t="s">
        <v>8</v>
      </c>
      <c r="B8" s="76" t="s">
        <v>8</v>
      </c>
      <c r="C8" s="193" t="s">
        <v>9</v>
      </c>
    </row>
    <row r="9" spans="1:3" ht="24">
      <c r="A9" s="116" t="s">
        <v>10</v>
      </c>
      <c r="B9" s="86" t="s">
        <v>11</v>
      </c>
      <c r="C9" s="74" t="s">
        <v>12</v>
      </c>
    </row>
    <row r="10" spans="1:3" ht="36">
      <c r="A10" s="117" t="s">
        <v>13</v>
      </c>
      <c r="B10" s="86" t="s">
        <v>14</v>
      </c>
      <c r="C10" s="193" t="s">
        <v>15</v>
      </c>
    </row>
    <row r="11" spans="1:3" ht="24">
      <c r="A11" s="117" t="s">
        <v>16</v>
      </c>
      <c r="B11" s="76" t="s">
        <v>17</v>
      </c>
      <c r="C11" s="193" t="s">
        <v>18</v>
      </c>
    </row>
    <row r="12" spans="1:3" ht="36">
      <c r="A12" s="117" t="s">
        <v>19</v>
      </c>
      <c r="B12" s="86" t="s">
        <v>20</v>
      </c>
      <c r="C12" s="74" t="str">
        <f>"This worksheet splits the evaluated routes total volume variable cost from "&amp;A10&amp;" into costs for each evaluation item, using the amount of time spent per week per evaluation item on the average route."</f>
        <v>This worksheet splits the evaluated routes total volume variable cost from WS 10.0.1 into costs for each evaluation item, using the amount of time spent per week per evaluation item on the average route.</v>
      </c>
    </row>
    <row r="13" spans="1:3" ht="36">
      <c r="A13" s="117" t="s">
        <v>21</v>
      </c>
      <c r="B13" s="86" t="s">
        <v>22</v>
      </c>
      <c r="C13" s="74" t="str">
        <f>"This worksheet splits the other routes total volume variable cost from "&amp;A10&amp;" into costs for each evaluation item, using the amount of time spent per week per evaluation item on the average route."</f>
        <v>This worksheet splits the other routes total volume variable cost from WS 10.0.1 into costs for each evaluation item, using the amount of time spent per week per evaluation item on the average route.</v>
      </c>
    </row>
    <row r="14" spans="1:3" ht="24">
      <c r="A14" s="117" t="s">
        <v>23</v>
      </c>
      <c r="B14" s="76" t="s">
        <v>24</v>
      </c>
      <c r="C14" s="73" t="s">
        <v>25</v>
      </c>
    </row>
    <row r="15" spans="1:3" ht="36">
      <c r="A15" s="123" t="s">
        <v>26</v>
      </c>
      <c r="B15" s="124" t="s">
        <v>27</v>
      </c>
      <c r="C15" s="125" t="str">
        <f>"This worksheet applies the percentage from "&amp;A14&amp;" to convert Rural CCS letters to flats.  The USPS version pulls out a portion of adjusted Rural CCS letters estimated to be DPS or sector segment, as Rural CCS counts DPS mail with letters."</f>
        <v>This worksheet applies the percentage from WS 10.0.3 P1 to convert Rural CCS letters to flats.  The USPS version pulls out a portion of adjusted Rural CCS letters estimated to be DPS or sector segment, as Rural CCS counts DPS mail with letters.</v>
      </c>
    </row>
    <row r="16" spans="1:3" ht="24">
      <c r="A16" s="121"/>
      <c r="B16" s="122"/>
      <c r="C16" s="126" t="s">
        <v>28</v>
      </c>
    </row>
    <row r="17" spans="1:3" ht="24">
      <c r="A17" s="116" t="s">
        <v>29</v>
      </c>
      <c r="B17" s="76" t="s">
        <v>30</v>
      </c>
      <c r="C17" s="74" t="str">
        <f>"This worksheet contains distribution keys by rural evaluation category.  Letter, flats, and DPS/sector segment distribution keys are adjusted in "&amp;A15&amp;"."</f>
        <v>This worksheet contains distribution keys by rural evaluation category.  Letter, flats, and DPS/sector segment distribution keys are adjusted in WS 10.0.3 P2.</v>
      </c>
    </row>
    <row r="18" spans="1:3" ht="24">
      <c r="A18" s="117" t="s">
        <v>31</v>
      </c>
      <c r="B18" s="86" t="s">
        <v>32</v>
      </c>
      <c r="C18" s="74" t="str">
        <f>"This worksheet distributes the evaluated routes volume variable cost for each evaluation item using the distribution keys in "&amp;A17&amp;"."</f>
        <v>This worksheet distributes the evaluated routes volume variable cost for each evaluation item using the distribution keys in WS 10.0.4.</v>
      </c>
    </row>
    <row r="19" spans="1:3" ht="24">
      <c r="A19" s="115" t="s">
        <v>33</v>
      </c>
      <c r="B19" s="86" t="s">
        <v>34</v>
      </c>
      <c r="C19" s="74" t="str">
        <f>"This worksheet distributes the other routes volume variable cost for each evaluation item using the distribution keys on "&amp;A17&amp;"."</f>
        <v>This worksheet distributes the other routes volume variable cost for each evaluation item using the distribution keys on WS 10.0.4.</v>
      </c>
    </row>
    <row r="20" spans="1:3" ht="12">
      <c r="A20" s="116" t="s">
        <v>35</v>
      </c>
      <c r="B20" s="76" t="s">
        <v>35</v>
      </c>
      <c r="C20" s="193" t="s">
        <v>36</v>
      </c>
    </row>
    <row r="21" ht="12">
      <c r="A21" s="26"/>
    </row>
    <row r="22" ht="12">
      <c r="A22" s="26"/>
    </row>
    <row r="23" ht="12">
      <c r="A23" s="26"/>
    </row>
    <row r="24" ht="12">
      <c r="A24" s="26"/>
    </row>
    <row r="25" ht="12">
      <c r="A25" s="26"/>
    </row>
    <row r="26" ht="12">
      <c r="A26" s="26"/>
    </row>
    <row r="27" ht="12">
      <c r="A27" s="26"/>
    </row>
  </sheetData>
  <printOptions/>
  <pageMargins left="0.5" right="0.5" top="1" bottom="0.5" header="0.75" footer="0.25"/>
  <pageSetup fitToHeight="1" fitToWidth="1" horizontalDpi="300" verticalDpi="300" orientation="landscape" scale="99"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M28"/>
  <sheetViews>
    <sheetView workbookViewId="0" topLeftCell="A1">
      <selection activeCell="N1" sqref="N1:P16384"/>
    </sheetView>
  </sheetViews>
  <sheetFormatPr defaultColWidth="8.88671875" defaultRowHeight="15.75"/>
  <cols>
    <col min="1" max="1" width="3.21484375" style="7" customWidth="1"/>
    <col min="2" max="2" width="16.77734375" style="7" customWidth="1"/>
    <col min="3" max="5" width="8.4453125" style="7" customWidth="1"/>
    <col min="6" max="7" width="8.77734375" style="7" customWidth="1"/>
    <col min="8" max="8" width="9.10546875" style="7" customWidth="1"/>
    <col min="9" max="9" width="9.88671875" style="7" customWidth="1"/>
    <col min="10" max="10" width="8.6640625" style="7" customWidth="1"/>
    <col min="11" max="11" width="8.77734375" style="7" customWidth="1"/>
    <col min="12" max="12" width="8.4453125" style="7" customWidth="1"/>
    <col min="13" max="13" width="4.99609375" style="7" customWidth="1"/>
    <col min="14" max="16384" width="8.88671875" style="7" customWidth="1"/>
  </cols>
  <sheetData>
    <row r="1" s="6" customFormat="1" ht="12.75" customHeight="1">
      <c r="A1" s="163" t="str">
        <f>Doc!A1</f>
        <v>Base Year 1998 - USPS Version</v>
      </c>
    </row>
    <row r="2" s="6" customFormat="1" ht="12.75" customHeight="1">
      <c r="A2" s="163" t="str">
        <f>Doc!A2</f>
        <v>C/S 10 RURAL CARRIERS</v>
      </c>
    </row>
    <row r="3" spans="1:2" s="6" customFormat="1" ht="12.75" customHeight="1">
      <c r="A3" s="166" t="str">
        <f>Doc!A12&amp;" "&amp;Doc!B12</f>
        <v>WS 10.1.1 DEVELOPMENT OF EVALUATED ROUTE VVC</v>
      </c>
      <c r="B3" s="167"/>
    </row>
    <row r="4" spans="1:2" s="6" customFormat="1" ht="12.75" customHeight="1">
      <c r="A4" s="198"/>
      <c r="B4" s="199"/>
    </row>
    <row r="5" spans="1:13" s="320" customFormat="1" ht="33.75">
      <c r="A5" s="177" t="s">
        <v>37</v>
      </c>
      <c r="B5" s="201" t="s">
        <v>215</v>
      </c>
      <c r="C5" s="179" t="s">
        <v>216</v>
      </c>
      <c r="D5" s="177" t="str">
        <f>Inputs!E49</f>
        <v>EVALUATION FACTOR</v>
      </c>
      <c r="E5" s="179" t="s">
        <v>217</v>
      </c>
      <c r="F5" s="177" t="s">
        <v>218</v>
      </c>
      <c r="G5" s="177" t="s">
        <v>219</v>
      </c>
      <c r="H5" s="179" t="s">
        <v>220</v>
      </c>
      <c r="I5" s="177" t="s">
        <v>32</v>
      </c>
      <c r="J5" s="177" t="s">
        <v>221</v>
      </c>
      <c r="K5" s="177" t="s">
        <v>222</v>
      </c>
      <c r="L5" s="177" t="s">
        <v>223</v>
      </c>
      <c r="M5" s="319"/>
    </row>
    <row r="6" spans="1:13" ht="11.25" customHeight="1">
      <c r="A6" s="21"/>
      <c r="B6" s="154" t="s">
        <v>43</v>
      </c>
      <c r="C6" s="23">
        <v>-1</v>
      </c>
      <c r="D6" s="23">
        <f>C6-1</f>
        <v>-2</v>
      </c>
      <c r="E6" s="23">
        <f aca="true" t="shared" si="0" ref="E6:L6">D6-1</f>
        <v>-3</v>
      </c>
      <c r="F6" s="23">
        <f t="shared" si="0"/>
        <v>-4</v>
      </c>
      <c r="G6" s="23">
        <f t="shared" si="0"/>
        <v>-5</v>
      </c>
      <c r="H6" s="23">
        <f t="shared" si="0"/>
        <v>-6</v>
      </c>
      <c r="I6" s="23">
        <f t="shared" si="0"/>
        <v>-7</v>
      </c>
      <c r="J6" s="23">
        <f t="shared" si="0"/>
        <v>-8</v>
      </c>
      <c r="K6" s="23">
        <f t="shared" si="0"/>
        <v>-9</v>
      </c>
      <c r="L6" s="23">
        <f t="shared" si="0"/>
        <v>-10</v>
      </c>
      <c r="M6" s="21"/>
    </row>
    <row r="7" spans="1:13" ht="22.5">
      <c r="A7" s="21"/>
      <c r="B7" s="146" t="s">
        <v>185</v>
      </c>
      <c r="C7" s="113"/>
      <c r="D7" s="113"/>
      <c r="E7" s="114" t="str">
        <f>"=C"&amp;-C6&amp;"xC"&amp;-D6</f>
        <v>=C1xC2</v>
      </c>
      <c r="F7" s="101" t="str">
        <f>"C"&amp;-E$6&amp;"L"&amp;A$25&amp;" dist on C"&amp;-E$6&amp;"L"&amp;A$11&amp;"...L"&amp;A$20</f>
        <v>C3L16 dist on C3L2...L11</v>
      </c>
      <c r="G7" s="101" t="str">
        <f>"C"&amp;-E$6&amp;"L"&amp;A$26&amp;" dist on C"&amp;-E$6&amp;"L"&amp;A$11&amp;"...L"&amp;A$20</f>
        <v>C3L17 dist on C3L2...L11</v>
      </c>
      <c r="H7" s="114" t="str">
        <f>"=C"&amp;-E6&amp;"...C"&amp;-G6</f>
        <v>=C3...C5</v>
      </c>
      <c r="I7" s="101" t="str">
        <f>"C"&amp;-I6&amp;"L"&amp;A27&amp;" dist on C"&amp;-H6</f>
        <v>C7L18 dist on C6</v>
      </c>
      <c r="J7" s="101"/>
      <c r="K7" s="101" t="str">
        <f>"-C"&amp;-K6&amp;"L"&amp;A13&amp;" dist on C"&amp;-I6&amp;"L"&amp;A11&amp;"...L"&amp;A12</f>
        <v>-C9L4 dist on C7L2...L3</v>
      </c>
      <c r="L7" s="114" t="str">
        <f>"=C"&amp;-I6&amp;"+C"&amp;-K6</f>
        <v>=C7+C9</v>
      </c>
      <c r="M7" s="21"/>
    </row>
    <row r="8" spans="1:13" ht="11.25">
      <c r="A8" s="21"/>
      <c r="B8" s="146" t="s">
        <v>44</v>
      </c>
      <c r="C8" s="101" t="str">
        <f>Inputs!C50</f>
        <v>Pieces/ Week</v>
      </c>
      <c r="D8" s="113" t="str">
        <f>Inputs!E50</f>
        <v>Minutes/ Piece</v>
      </c>
      <c r="E8" s="113" t="s">
        <v>224</v>
      </c>
      <c r="F8" s="113" t="str">
        <f>E8</f>
        <v>Minutes/ Week</v>
      </c>
      <c r="G8" s="113" t="str">
        <f>E8</f>
        <v>Minutes/ Week</v>
      </c>
      <c r="H8" s="113" t="str">
        <f>E8</f>
        <v>Minutes/ Week</v>
      </c>
      <c r="I8" s="114" t="s">
        <v>45</v>
      </c>
      <c r="J8" s="113" t="s">
        <v>107</v>
      </c>
      <c r="K8" s="114" t="s">
        <v>45</v>
      </c>
      <c r="L8" s="114" t="s">
        <v>45</v>
      </c>
      <c r="M8" s="21"/>
    </row>
    <row r="9" spans="1:13" ht="22.5">
      <c r="A9" s="22"/>
      <c r="B9" s="149" t="s">
        <v>46</v>
      </c>
      <c r="C9" s="110" t="str">
        <f>Inputs!C52</f>
        <v>R97-1, LR-H-192</v>
      </c>
      <c r="D9" s="110" t="str">
        <f>Inputs!E52</f>
        <v>R97-1, LR H-33, Sec VI</v>
      </c>
      <c r="E9" s="102"/>
      <c r="F9" s="110" t="str">
        <f>"C"&amp;-F$6&amp;"L"&amp;A$25&amp;" =
-C"&amp;-E6&amp;"L"&amp;A$25</f>
        <v>C4L16 =
-C3L16</v>
      </c>
      <c r="G9" s="110" t="str">
        <f>"C"&amp;-G$6&amp;"L"&amp;A$26&amp;" =
-C"&amp;-E6&amp;"L"&amp;A$26</f>
        <v>C5L17 =
-C3L17</v>
      </c>
      <c r="H9" s="102"/>
      <c r="I9" s="110" t="str">
        <f>"C"&amp;-I6&amp;"L"&amp;A27&amp;" from "&amp;Doc!A10&amp;" C"&amp;-'10.0.1'!F6&amp;"L"&amp;'10.0.1'!A10</f>
        <v>C7L18 from WS 10.0.1 C4L1</v>
      </c>
      <c r="J9" s="110" t="str">
        <f>Endnotes!C6</f>
        <v>[a]</v>
      </c>
      <c r="K9" s="110" t="str">
        <f>"C"&amp;-K6&amp;"L"&amp;A13&amp;" =
-C"&amp;-I6&amp;"L"&amp;A13&amp;"xC"&amp;-J6&amp;"L"&amp;A13</f>
        <v>C9L4 =
-C7L4xC8L4</v>
      </c>
      <c r="L9" s="102"/>
      <c r="M9" s="21"/>
    </row>
    <row r="10" spans="1:13" ht="11.25">
      <c r="A10" s="83">
        <v>1</v>
      </c>
      <c r="B10" s="69" t="s">
        <v>225</v>
      </c>
      <c r="C10" s="41"/>
      <c r="D10" s="41"/>
      <c r="E10" s="41"/>
      <c r="F10" s="41"/>
      <c r="G10" s="41"/>
      <c r="H10" s="41"/>
      <c r="I10" s="41"/>
      <c r="J10" s="41"/>
      <c r="K10" s="41"/>
      <c r="L10" s="41"/>
      <c r="M10" s="21"/>
    </row>
    <row r="11" spans="1:13" ht="11.25">
      <c r="A11" s="83">
        <f aca="true" t="shared" si="1" ref="A11:A26">A10+1</f>
        <v>2</v>
      </c>
      <c r="B11" s="33" t="str">
        <f>Inputs!B53</f>
        <v> LETTERS DELIVERED</v>
      </c>
      <c r="C11" s="67">
        <f>Inputs!C53</f>
        <v>4037.15</v>
      </c>
      <c r="D11" s="204">
        <f>Inputs!E53</f>
        <v>0.0791</v>
      </c>
      <c r="E11" s="42">
        <f>C11*D11</f>
        <v>319.338565</v>
      </c>
      <c r="F11" s="42">
        <f>$E$25*E11/SUM($E$11:$E$20)</f>
        <v>6.5292516729582495</v>
      </c>
      <c r="G11" s="42">
        <f>$E$26*E11/SUM($E$11:$E$20)</f>
        <v>6.24339110136347</v>
      </c>
      <c r="H11" s="42">
        <f aca="true" t="shared" si="2" ref="H11:H24">SUM(E11:G11)</f>
        <v>332.1112077743217</v>
      </c>
      <c r="I11" s="257">
        <f aca="true" t="shared" si="3" ref="I11:I24">IF($H$27=0,0,H11/$H$27*$I$27)</f>
        <v>318912.72816805507</v>
      </c>
      <c r="J11" s="41"/>
      <c r="K11" s="266">
        <f>-I11/SUM($I$11,$I$12)*$K$13</f>
        <v>42.92346152683707</v>
      </c>
      <c r="L11" s="266">
        <f>SUM(I11,K11)</f>
        <v>318955.65162958193</v>
      </c>
      <c r="M11" s="21"/>
    </row>
    <row r="12" spans="1:13" ht="11.25">
      <c r="A12" s="83">
        <f t="shared" si="1"/>
        <v>3</v>
      </c>
      <c r="B12" s="33" t="str">
        <f>Inputs!B54</f>
        <v> FLATS DELIVERED</v>
      </c>
      <c r="C12" s="67">
        <f>Inputs!C54</f>
        <v>5389.7</v>
      </c>
      <c r="D12" s="204">
        <f>Inputs!E54</f>
        <v>0.1416</v>
      </c>
      <c r="E12" s="42">
        <f aca="true" t="shared" si="4" ref="E12:E26">C12*D12</f>
        <v>763.18152</v>
      </c>
      <c r="F12" s="42">
        <f aca="true" t="shared" si="5" ref="F12:F20">$E$25*E12/SUM($E$11:$E$20)</f>
        <v>15.604141692785584</v>
      </c>
      <c r="G12" s="42">
        <f aca="true" t="shared" si="6" ref="G12:G20">$E$26*E12/SUM($E$11:$E$20)</f>
        <v>14.920968629933709</v>
      </c>
      <c r="H12" s="42">
        <f t="shared" si="2"/>
        <v>793.7066303227192</v>
      </c>
      <c r="I12" s="257">
        <f t="shared" si="3"/>
        <v>762163.8201782582</v>
      </c>
      <c r="J12" s="41"/>
      <c r="K12" s="266">
        <f>-I12/SUM($I$11,$I$12)*$K$13</f>
        <v>102.58201232824175</v>
      </c>
      <c r="L12" s="266">
        <f aca="true" t="shared" si="7" ref="L12:L24">SUM(I12,K12)</f>
        <v>762266.4021905864</v>
      </c>
      <c r="M12" s="21"/>
    </row>
    <row r="13" spans="1:13" ht="11.25">
      <c r="A13" s="83">
        <f t="shared" si="1"/>
        <v>4</v>
      </c>
      <c r="B13" s="33" t="str">
        <f>Inputs!B55</f>
        <v> PARCELS DELIVERED</v>
      </c>
      <c r="C13" s="67">
        <f>Inputs!C55</f>
        <v>204.17</v>
      </c>
      <c r="D13" s="204">
        <f>Inputs!E55</f>
        <v>0.333</v>
      </c>
      <c r="E13" s="42">
        <f t="shared" si="4"/>
        <v>67.98861</v>
      </c>
      <c r="F13" s="42">
        <f t="shared" si="5"/>
        <v>1.3901069092128158</v>
      </c>
      <c r="G13" s="42">
        <f t="shared" si="6"/>
        <v>1.3292459138722297</v>
      </c>
      <c r="H13" s="42">
        <f t="shared" si="2"/>
        <v>70.70796282308504</v>
      </c>
      <c r="I13" s="257">
        <f t="shared" si="3"/>
        <v>67897.94743223046</v>
      </c>
      <c r="J13" s="210">
        <f>'10.0.4'!D48/('10.0.4'!D48+'10.0.4'!D62)</f>
        <v>0.002143002540692546</v>
      </c>
      <c r="K13" s="266">
        <f>-I13*J13</f>
        <v>-145.5054738550788</v>
      </c>
      <c r="L13" s="266">
        <f t="shared" si="7"/>
        <v>67752.44195837538</v>
      </c>
      <c r="M13" s="21"/>
    </row>
    <row r="14" spans="1:13" ht="11.25">
      <c r="A14" s="83">
        <f t="shared" si="1"/>
        <v>5</v>
      </c>
      <c r="B14" s="33" t="str">
        <f>Inputs!B56</f>
        <v> BOXHOLDERS DELIVERED</v>
      </c>
      <c r="C14" s="67">
        <f>Inputs!C56</f>
        <v>1349.12</v>
      </c>
      <c r="D14" s="204">
        <f>Inputs!E56</f>
        <v>0.04</v>
      </c>
      <c r="E14" s="42">
        <f t="shared" si="4"/>
        <v>53.9648</v>
      </c>
      <c r="F14" s="42">
        <f t="shared" si="5"/>
        <v>1.1033736582390457</v>
      </c>
      <c r="G14" s="42">
        <f t="shared" si="6"/>
        <v>1.055066280851044</v>
      </c>
      <c r="H14" s="42">
        <f t="shared" si="2"/>
        <v>56.123239939090084</v>
      </c>
      <c r="I14" s="257">
        <f t="shared" si="3"/>
        <v>53892.8381326053</v>
      </c>
      <c r="J14" s="41"/>
      <c r="K14" s="266"/>
      <c r="L14" s="266">
        <f t="shared" si="7"/>
        <v>53892.8381326053</v>
      </c>
      <c r="M14" s="21"/>
    </row>
    <row r="15" spans="1:13" ht="11.25">
      <c r="A15" s="83">
        <f t="shared" si="1"/>
        <v>6</v>
      </c>
      <c r="B15" s="33" t="str">
        <f>Inputs!B57</f>
        <v> COD DELIVERED</v>
      </c>
      <c r="C15" s="67">
        <f>Inputs!C57</f>
        <v>0.47</v>
      </c>
      <c r="D15" s="204">
        <f>Inputs!E57</f>
        <v>5.5</v>
      </c>
      <c r="E15" s="42">
        <f t="shared" si="4"/>
        <v>2.585</v>
      </c>
      <c r="F15" s="42">
        <f t="shared" si="5"/>
        <v>0.052853358236256476</v>
      </c>
      <c r="G15" s="42">
        <f t="shared" si="6"/>
        <v>0.05053935780360437</v>
      </c>
      <c r="H15" s="42">
        <f t="shared" si="2"/>
        <v>2.6883927160398606</v>
      </c>
      <c r="I15" s="257">
        <f t="shared" si="3"/>
        <v>2581.5529117644223</v>
      </c>
      <c r="J15" s="41"/>
      <c r="K15" s="266"/>
      <c r="L15" s="266">
        <f t="shared" si="7"/>
        <v>2581.5529117644223</v>
      </c>
      <c r="M15" s="21"/>
    </row>
    <row r="16" spans="1:13" ht="11.25">
      <c r="A16" s="83">
        <f t="shared" si="1"/>
        <v>7</v>
      </c>
      <c r="B16" s="33" t="str">
        <f>Inputs!B58</f>
        <v> ACCOUNTABLES DELIVERED</v>
      </c>
      <c r="C16" s="67">
        <f>Inputs!C58</f>
        <v>16.76</v>
      </c>
      <c r="D16" s="204">
        <f>Inputs!E58</f>
        <v>4</v>
      </c>
      <c r="E16" s="42">
        <f t="shared" si="4"/>
        <v>67.04</v>
      </c>
      <c r="F16" s="42">
        <f t="shared" si="5"/>
        <v>1.3707114646648488</v>
      </c>
      <c r="G16" s="42">
        <f t="shared" si="6"/>
        <v>1.3106996313940569</v>
      </c>
      <c r="H16" s="42">
        <f t="shared" si="2"/>
        <v>69.72141109605892</v>
      </c>
      <c r="I16" s="257">
        <f t="shared" si="3"/>
        <v>66950.60240026572</v>
      </c>
      <c r="J16" s="41"/>
      <c r="K16" s="266"/>
      <c r="L16" s="266">
        <f t="shared" si="7"/>
        <v>66950.60240026572</v>
      </c>
      <c r="M16" s="21"/>
    </row>
    <row r="17" spans="1:13" ht="11.25">
      <c r="A17" s="83">
        <f t="shared" si="1"/>
        <v>8</v>
      </c>
      <c r="B17" s="33" t="str">
        <f>Inputs!B59</f>
        <v> DPS</v>
      </c>
      <c r="C17" s="67">
        <f>Inputs!C59</f>
        <v>3413.87</v>
      </c>
      <c r="D17" s="204">
        <f>Inputs!E59</f>
        <v>0.0333</v>
      </c>
      <c r="E17" s="42">
        <f t="shared" si="4"/>
        <v>113.681871</v>
      </c>
      <c r="F17" s="42">
        <f t="shared" si="5"/>
        <v>2.324359246781778</v>
      </c>
      <c r="G17" s="42">
        <f t="shared" si="6"/>
        <v>2.2225952627668066</v>
      </c>
      <c r="H17" s="42">
        <f t="shared" si="2"/>
        <v>118.22882550954859</v>
      </c>
      <c r="I17" s="257">
        <f t="shared" si="3"/>
        <v>113530.27663244777</v>
      </c>
      <c r="J17" s="41"/>
      <c r="K17" s="266"/>
      <c r="L17" s="266">
        <f t="shared" si="7"/>
        <v>113530.27663244777</v>
      </c>
      <c r="M17" s="21"/>
    </row>
    <row r="18" spans="1:13" ht="11.25">
      <c r="A18" s="83">
        <f t="shared" si="1"/>
        <v>9</v>
      </c>
      <c r="B18" s="33" t="str">
        <f>Inputs!B60</f>
        <v> SECTOR SEGMENT</v>
      </c>
      <c r="C18" s="67">
        <f>Inputs!C60</f>
        <v>445.79</v>
      </c>
      <c r="D18" s="204">
        <f>Inputs!E60</f>
        <v>0.0444</v>
      </c>
      <c r="E18" s="42">
        <f t="shared" si="4"/>
        <v>19.793076000000003</v>
      </c>
      <c r="F18" s="42">
        <f t="shared" si="5"/>
        <v>0.40469266399437154</v>
      </c>
      <c r="G18" s="42">
        <f t="shared" si="6"/>
        <v>0.3869746034808257</v>
      </c>
      <c r="H18" s="42">
        <f t="shared" si="2"/>
        <v>20.5847432674752</v>
      </c>
      <c r="I18" s="257">
        <f t="shared" si="3"/>
        <v>19766.682004090722</v>
      </c>
      <c r="J18" s="41"/>
      <c r="K18" s="266"/>
      <c r="L18" s="266">
        <f t="shared" si="7"/>
        <v>19766.682004090722</v>
      </c>
      <c r="M18" s="21"/>
    </row>
    <row r="19" spans="1:13" ht="11.25">
      <c r="A19" s="83">
        <f t="shared" si="1"/>
        <v>10</v>
      </c>
      <c r="B19" s="33" t="str">
        <f>Inputs!B61</f>
        <v> POSTAGE DUE</v>
      </c>
      <c r="C19" s="67">
        <f>Inputs!C61</f>
        <v>2.47</v>
      </c>
      <c r="D19" s="204">
        <f>Inputs!E61</f>
        <v>0.2</v>
      </c>
      <c r="E19" s="42">
        <f t="shared" si="4"/>
        <v>0.49400000000000005</v>
      </c>
      <c r="F19" s="42">
        <f t="shared" si="5"/>
        <v>0.010100409659075705</v>
      </c>
      <c r="G19" s="42">
        <f t="shared" si="6"/>
        <v>0.009658198357826135</v>
      </c>
      <c r="H19" s="42">
        <f t="shared" si="2"/>
        <v>0.5137586080169019</v>
      </c>
      <c r="I19" s="257">
        <f t="shared" si="3"/>
        <v>493.3412527704545</v>
      </c>
      <c r="J19" s="41"/>
      <c r="K19" s="266"/>
      <c r="L19" s="266">
        <f t="shared" si="7"/>
        <v>493.3412527704545</v>
      </c>
      <c r="M19" s="21"/>
    </row>
    <row r="20" spans="1:13" ht="11.25">
      <c r="A20" s="83">
        <f t="shared" si="1"/>
        <v>11</v>
      </c>
      <c r="B20" s="33" t="str">
        <f>Inputs!B62</f>
        <v> RETURN RECEIPTS</v>
      </c>
      <c r="C20" s="67">
        <f>Inputs!C62</f>
        <v>0.08</v>
      </c>
      <c r="D20" s="204">
        <f>Inputs!E62</f>
        <v>0.25</v>
      </c>
      <c r="E20" s="42">
        <f t="shared" si="4"/>
        <v>0.02</v>
      </c>
      <c r="F20" s="42">
        <f t="shared" si="5"/>
        <v>0.00040892346797877346</v>
      </c>
      <c r="G20" s="42">
        <f t="shared" si="6"/>
        <v>0.0003910201764302079</v>
      </c>
      <c r="H20" s="42">
        <f t="shared" si="2"/>
        <v>0.020799943644408982</v>
      </c>
      <c r="I20" s="257">
        <f t="shared" si="3"/>
        <v>19.97333007167832</v>
      </c>
      <c r="J20" s="41"/>
      <c r="K20" s="266"/>
      <c r="L20" s="266">
        <f t="shared" si="7"/>
        <v>19.97333007167832</v>
      </c>
      <c r="M20" s="21"/>
    </row>
    <row r="21" spans="1:13" ht="11.25">
      <c r="A21" s="83">
        <f t="shared" si="1"/>
        <v>12</v>
      </c>
      <c r="B21" s="33" t="str">
        <f>Inputs!B63</f>
        <v> LETTERS/FLATS COLLECTED</v>
      </c>
      <c r="C21" s="67">
        <f>Inputs!C63</f>
        <v>1080.54</v>
      </c>
      <c r="D21" s="204">
        <f>Inputs!E63</f>
        <v>0.04</v>
      </c>
      <c r="E21" s="42">
        <f t="shared" si="4"/>
        <v>43.2216</v>
      </c>
      <c r="F21" s="42"/>
      <c r="G21" s="42"/>
      <c r="H21" s="42">
        <f t="shared" si="2"/>
        <v>43.2216</v>
      </c>
      <c r="I21" s="257">
        <f t="shared" si="3"/>
        <v>41503.92413481855</v>
      </c>
      <c r="J21" s="41"/>
      <c r="K21" s="266"/>
      <c r="L21" s="266">
        <f t="shared" si="7"/>
        <v>41503.92413481855</v>
      </c>
      <c r="M21" s="21"/>
    </row>
    <row r="22" spans="1:13" ht="11.25">
      <c r="A22" s="83">
        <f t="shared" si="1"/>
        <v>13</v>
      </c>
      <c r="B22" s="33" t="str">
        <f>Inputs!B64</f>
        <v> PARCELS ACCEPTED</v>
      </c>
      <c r="C22" s="67">
        <f>Inputs!C64</f>
        <v>3.03</v>
      </c>
      <c r="D22" s="204">
        <f>Inputs!E64</f>
        <v>4</v>
      </c>
      <c r="E22" s="42">
        <f t="shared" si="4"/>
        <v>12.12</v>
      </c>
      <c r="F22" s="42"/>
      <c r="G22" s="42"/>
      <c r="H22" s="42">
        <f t="shared" si="2"/>
        <v>12.12</v>
      </c>
      <c r="I22" s="257">
        <f t="shared" si="3"/>
        <v>11638.33732471729</v>
      </c>
      <c r="J22" s="41"/>
      <c r="K22" s="266"/>
      <c r="L22" s="266">
        <f t="shared" si="7"/>
        <v>11638.33732471729</v>
      </c>
      <c r="M22" s="21"/>
    </row>
    <row r="23" spans="1:13" ht="11.25">
      <c r="A23" s="83">
        <f t="shared" si="1"/>
        <v>14</v>
      </c>
      <c r="B23" s="33" t="str">
        <f>Inputs!B65</f>
        <v> ACCOUNTABLES ACCEPTED</v>
      </c>
      <c r="C23" s="67">
        <f>Inputs!C65</f>
        <v>0.62</v>
      </c>
      <c r="D23" s="204">
        <f>Inputs!E65</f>
        <v>2</v>
      </c>
      <c r="E23" s="42">
        <f t="shared" si="4"/>
        <v>1.24</v>
      </c>
      <c r="F23" s="42"/>
      <c r="G23" s="42"/>
      <c r="H23" s="42">
        <f t="shared" si="2"/>
        <v>1.24</v>
      </c>
      <c r="I23" s="257">
        <f t="shared" si="3"/>
        <v>1190.7209804166205</v>
      </c>
      <c r="J23" s="41"/>
      <c r="K23" s="266"/>
      <c r="L23" s="266">
        <f t="shared" si="7"/>
        <v>1190.7209804166205</v>
      </c>
      <c r="M23" s="21"/>
    </row>
    <row r="24" spans="1:13" ht="11.25">
      <c r="A24" s="83">
        <f t="shared" si="1"/>
        <v>15</v>
      </c>
      <c r="B24" s="33" t="str">
        <f>Inputs!B66</f>
        <v> MONEY ORDERS</v>
      </c>
      <c r="C24" s="67">
        <f>Inputs!C66</f>
        <v>0.3</v>
      </c>
      <c r="D24" s="204">
        <f>Inputs!E66</f>
        <v>3.5</v>
      </c>
      <c r="E24" s="42">
        <f t="shared" si="4"/>
        <v>1.05</v>
      </c>
      <c r="F24" s="42"/>
      <c r="G24" s="42"/>
      <c r="H24" s="42">
        <f t="shared" si="2"/>
        <v>1.05</v>
      </c>
      <c r="I24" s="257">
        <f t="shared" si="3"/>
        <v>1008.2717979334285</v>
      </c>
      <c r="J24" s="41"/>
      <c r="K24" s="266"/>
      <c r="L24" s="266">
        <f t="shared" si="7"/>
        <v>1008.2717979334285</v>
      </c>
      <c r="M24" s="21"/>
    </row>
    <row r="25" spans="1:13" ht="11.25">
      <c r="A25" s="83">
        <f t="shared" si="1"/>
        <v>16</v>
      </c>
      <c r="B25" s="33" t="str">
        <f>Inputs!B67</f>
        <v> VEHICLE LOADING</v>
      </c>
      <c r="C25" s="67">
        <f>Inputs!C67</f>
        <v>57.58</v>
      </c>
      <c r="D25" s="204">
        <f>Inputs!E67</f>
        <v>0.5</v>
      </c>
      <c r="E25" s="42">
        <f t="shared" si="4"/>
        <v>28.79</v>
      </c>
      <c r="F25" s="42">
        <f>-E25</f>
        <v>-28.79</v>
      </c>
      <c r="G25" s="42"/>
      <c r="H25" s="42"/>
      <c r="I25" s="257"/>
      <c r="J25" s="41"/>
      <c r="K25" s="266"/>
      <c r="L25" s="266"/>
      <c r="M25" s="21"/>
    </row>
    <row r="26" spans="1:13" ht="11.25">
      <c r="A26" s="83">
        <f t="shared" si="1"/>
        <v>17</v>
      </c>
      <c r="B26" s="33" t="str">
        <f>Inputs!B68</f>
        <v> MARKUPS</v>
      </c>
      <c r="C26" s="67">
        <f>Inputs!C68</f>
        <v>117.95</v>
      </c>
      <c r="D26" s="204">
        <f>Inputs!E68</f>
        <v>0.2334</v>
      </c>
      <c r="E26" s="42">
        <f t="shared" si="4"/>
        <v>27.52953</v>
      </c>
      <c r="F26" s="42"/>
      <c r="G26" s="42">
        <f>-E26</f>
        <v>-27.52953</v>
      </c>
      <c r="H26" s="42"/>
      <c r="I26" s="257"/>
      <c r="J26" s="41"/>
      <c r="K26" s="266"/>
      <c r="L26" s="266"/>
      <c r="M26" s="21"/>
    </row>
    <row r="27" spans="1:13" ht="11.25">
      <c r="A27" s="205">
        <f>A26+1</f>
        <v>18</v>
      </c>
      <c r="B27" s="206" t="s">
        <v>192</v>
      </c>
      <c r="C27" s="207">
        <f aca="true" t="shared" si="8" ref="C27:K27">SUM(C11:C26)</f>
        <v>16119.6</v>
      </c>
      <c r="D27" s="208"/>
      <c r="E27" s="207">
        <f t="shared" si="8"/>
        <v>1522.0385719999997</v>
      </c>
      <c r="F27" s="207">
        <f t="shared" si="8"/>
        <v>0</v>
      </c>
      <c r="G27" s="207">
        <f t="shared" si="8"/>
        <v>0</v>
      </c>
      <c r="H27" s="207">
        <f t="shared" si="8"/>
        <v>1522.0385720000002</v>
      </c>
      <c r="I27" s="265">
        <f>'10.0.1'!F10</f>
        <v>1461551.016680446</v>
      </c>
      <c r="J27" s="209"/>
      <c r="K27" s="267">
        <f t="shared" si="8"/>
        <v>0</v>
      </c>
      <c r="L27" s="267">
        <f>SUM(I27,K27)</f>
        <v>1461551.016680446</v>
      </c>
      <c r="M27" s="21"/>
    </row>
    <row r="28" spans="1:11" ht="11.25">
      <c r="A28" s="54"/>
      <c r="B28" s="54"/>
      <c r="C28" s="54"/>
      <c r="D28" s="54"/>
      <c r="E28" s="54"/>
      <c r="F28" s="54"/>
      <c r="K28" s="322"/>
    </row>
  </sheetData>
  <printOptions/>
  <pageMargins left="0.5" right="0.5" top="1" bottom="0.5" header="0.75" footer="0.25"/>
  <pageSetup fitToHeight="1" fitToWidth="1" horizontalDpi="300" verticalDpi="300" orientation="landscape" scale="88" r:id="rId1"/>
</worksheet>
</file>

<file path=xl/worksheets/sheet11.xml><?xml version="1.0" encoding="utf-8"?>
<worksheet xmlns="http://schemas.openxmlformats.org/spreadsheetml/2006/main" xmlns:r="http://schemas.openxmlformats.org/officeDocument/2006/relationships">
  <dimension ref="A1:AF64"/>
  <sheetViews>
    <sheetView workbookViewId="0" topLeftCell="A34">
      <selection activeCell="A1" sqref="A1"/>
    </sheetView>
  </sheetViews>
  <sheetFormatPr defaultColWidth="8.88671875" defaultRowHeight="15.75"/>
  <cols>
    <col min="1" max="1" width="3.6640625" style="7" customWidth="1"/>
    <col min="2" max="2" width="38.77734375" style="7" customWidth="1"/>
    <col min="3" max="4" width="10.3359375" style="7" customWidth="1"/>
    <col min="5" max="5" width="8.77734375" style="7" customWidth="1"/>
    <col min="6" max="6" width="8.6640625" style="7" customWidth="1"/>
    <col min="7" max="7" width="8.88671875" style="7" customWidth="1"/>
    <col min="8" max="8" width="10.3359375" style="7" customWidth="1"/>
    <col min="9" max="9" width="8.6640625" style="7" customWidth="1"/>
    <col min="10" max="11" width="9.5546875" style="7" customWidth="1"/>
    <col min="12" max="12" width="9.10546875" style="7" customWidth="1"/>
    <col min="13" max="13" width="7.88671875" style="7" customWidth="1"/>
    <col min="14" max="14" width="8.6640625" style="7" customWidth="1"/>
    <col min="15" max="15" width="3.88671875" style="7" customWidth="1"/>
    <col min="16" max="16384" width="8.88671875" style="7" customWidth="1"/>
  </cols>
  <sheetData>
    <row r="1" spans="1:2" s="6" customFormat="1" ht="12.75" customHeight="1">
      <c r="A1" s="163" t="str">
        <f>Doc!A1</f>
        <v>Base Year 1998 - USPS Version</v>
      </c>
      <c r="B1" s="163"/>
    </row>
    <row r="2" spans="1:2" s="6" customFormat="1" ht="12.75" customHeight="1">
      <c r="A2" s="163" t="str">
        <f>Doc!A2</f>
        <v>C/S 10 RURAL CARRIERS</v>
      </c>
      <c r="B2" s="163"/>
    </row>
    <row r="3" spans="1:2" s="6" customFormat="1" ht="12.75" customHeight="1">
      <c r="A3" s="166" t="str">
        <f>Doc!A18&amp;" "&amp;Doc!B18</f>
        <v>WS 10.1.2 DISTRIBUTION OF EVALUATED ROUTES VVC</v>
      </c>
      <c r="B3" s="170"/>
    </row>
    <row r="4" spans="1:2" s="6" customFormat="1" ht="12.75" customHeight="1">
      <c r="A4" s="163"/>
      <c r="B4" s="166"/>
    </row>
    <row r="5" spans="1:32" s="314" customFormat="1" ht="22.5">
      <c r="A5" s="177" t="s">
        <v>37</v>
      </c>
      <c r="B5" s="201" t="s">
        <v>38</v>
      </c>
      <c r="C5" s="177" t="s">
        <v>226</v>
      </c>
      <c r="D5" s="177" t="s">
        <v>227</v>
      </c>
      <c r="E5" s="177" t="s">
        <v>168</v>
      </c>
      <c r="F5" s="177" t="s">
        <v>169</v>
      </c>
      <c r="G5" s="177" t="s">
        <v>170</v>
      </c>
      <c r="H5" s="177" t="s">
        <v>228</v>
      </c>
      <c r="I5" s="177" t="s">
        <v>171</v>
      </c>
      <c r="J5" s="177" t="s">
        <v>229</v>
      </c>
      <c r="K5" s="177" t="s">
        <v>173</v>
      </c>
      <c r="L5" s="177" t="s">
        <v>174</v>
      </c>
      <c r="M5" s="177" t="s">
        <v>230</v>
      </c>
      <c r="N5" s="177" t="s">
        <v>192</v>
      </c>
      <c r="O5" s="313"/>
      <c r="P5" s="313"/>
      <c r="Q5" s="313"/>
      <c r="R5" s="313"/>
      <c r="S5" s="313"/>
      <c r="T5" s="313"/>
      <c r="U5" s="313"/>
      <c r="V5" s="313"/>
      <c r="W5" s="313"/>
      <c r="X5" s="313"/>
      <c r="Y5" s="313"/>
      <c r="Z5" s="313"/>
      <c r="AA5" s="313"/>
      <c r="AB5" s="313"/>
      <c r="AC5" s="313"/>
      <c r="AD5" s="313"/>
      <c r="AE5" s="313"/>
      <c r="AF5" s="313"/>
    </row>
    <row r="6" spans="1:14" ht="11.25">
      <c r="A6" s="58"/>
      <c r="B6" s="154" t="s">
        <v>43</v>
      </c>
      <c r="C6" s="120">
        <v>-1</v>
      </c>
      <c r="D6" s="23">
        <f>C6-1</f>
        <v>-2</v>
      </c>
      <c r="E6" s="23">
        <f aca="true" t="shared" si="0" ref="E6:N6">D6-1</f>
        <v>-3</v>
      </c>
      <c r="F6" s="23">
        <f t="shared" si="0"/>
        <v>-4</v>
      </c>
      <c r="G6" s="23">
        <f t="shared" si="0"/>
        <v>-5</v>
      </c>
      <c r="H6" s="23">
        <f t="shared" si="0"/>
        <v>-6</v>
      </c>
      <c r="I6" s="23">
        <f t="shared" si="0"/>
        <v>-7</v>
      </c>
      <c r="J6" s="23">
        <f t="shared" si="0"/>
        <v>-8</v>
      </c>
      <c r="K6" s="23">
        <f t="shared" si="0"/>
        <v>-9</v>
      </c>
      <c r="L6" s="23">
        <f t="shared" si="0"/>
        <v>-10</v>
      </c>
      <c r="M6" s="23">
        <f t="shared" si="0"/>
        <v>-11</v>
      </c>
      <c r="N6" s="23">
        <f t="shared" si="0"/>
        <v>-12</v>
      </c>
    </row>
    <row r="7" spans="1:14" s="28" customFormat="1" ht="22.5">
      <c r="A7" s="44"/>
      <c r="B7" s="146" t="s">
        <v>185</v>
      </c>
      <c r="C7" s="55" t="str">
        <f>"C"&amp;-C6&amp;"L"&amp;A61&amp;" dist on "&amp;Doc!A15&amp;", C"&amp;-'10.0.3 P2'!G6</f>
        <v>C1L52 dist on WS 10.0.3 P2, C5</v>
      </c>
      <c r="D7" s="55" t="str">
        <f>"C"&amp;-D6&amp;"L"&amp;A61&amp;" dist on "&amp;Doc!A15&amp;", C"&amp;-'10.0.3 P2'!J6</f>
        <v>C2L52 dist on WS 10.0.3 P2, C8</v>
      </c>
      <c r="E7" s="55" t="str">
        <f>"C"&amp;-E6&amp;"L"&amp;A61&amp;" dist on "&amp;Doc!A17&amp;" C"&amp;-'10.0.4'!D6</f>
        <v>C3L52 dist on WS 10.0.4 C2</v>
      </c>
      <c r="F7" s="55" t="str">
        <f>"C"&amp;-F6&amp;"L"&amp;A61&amp;" dist on "&amp;Doc!A17&amp;" C"&amp;-'10.0.4'!E6</f>
        <v>C4L52 dist on WS 10.0.4 C3</v>
      </c>
      <c r="G7" s="55" t="str">
        <f>"C"&amp;-G6&amp;"L"&amp;A61&amp;" dist on "&amp;Doc!A17&amp;" C"&amp;-'10.0.4'!F6</f>
        <v>C5L52 dist on WS 10.0.4 C4</v>
      </c>
      <c r="H7" s="55" t="str">
        <f>"C"&amp;-H6&amp;"L"&amp;A61&amp;" dist on "&amp;Doc!A15&amp;", C"&amp;-'10.0.3 P2'!F6</f>
        <v>C6L52 dist on WS 10.0.3 P2, C4</v>
      </c>
      <c r="I7" s="55" t="str">
        <f>"C"&amp;-I6&amp;"L"&amp;A61&amp;" dist on "&amp;Doc!A17&amp;" C"&amp;-'10.0.4'!G6</f>
        <v>C7L52 dist on WS 10.0.4 C5</v>
      </c>
      <c r="J7" s="55" t="str">
        <f>"C"&amp;-J6&amp;"L"&amp;A61&amp;" dist on "&amp;Doc!A17&amp;" C"&amp;-'10.0.4'!H6</f>
        <v>C8L52 dist on WS 10.0.4 C6</v>
      </c>
      <c r="K7" s="55" t="str">
        <f>"C"&amp;-K6&amp;"L"&amp;A61&amp;" dist on "&amp;Doc!A17&amp;" C"&amp;-'10.0.4'!I6</f>
        <v>C9L52 dist on WS 10.0.4 C7</v>
      </c>
      <c r="L7" s="55" t="str">
        <f>"C"&amp;-L6&amp;"L"&amp;A61&amp;" dist on "&amp;Doc!A17&amp;" C"&amp;-'10.0.4'!J6</f>
        <v>C10L52 dist on WS 10.0.4 C8</v>
      </c>
      <c r="M7" s="71"/>
      <c r="N7" s="101" t="str">
        <f>"=C"&amp;-C6&amp;"...C"&amp;-M6&amp;", "&amp;Endnotes!C16</f>
        <v>=C1...C11, [d]</v>
      </c>
    </row>
    <row r="8" spans="1:14" ht="11.25">
      <c r="A8" s="30"/>
      <c r="B8" s="146" t="s">
        <v>44</v>
      </c>
      <c r="C8" s="29" t="s">
        <v>45</v>
      </c>
      <c r="D8" s="40" t="s">
        <v>45</v>
      </c>
      <c r="E8" s="40" t="s">
        <v>45</v>
      </c>
      <c r="F8" s="40" t="s">
        <v>45</v>
      </c>
      <c r="G8" s="40" t="s">
        <v>45</v>
      </c>
      <c r="H8" s="40" t="s">
        <v>45</v>
      </c>
      <c r="I8" s="32" t="s">
        <v>45</v>
      </c>
      <c r="J8" s="32" t="s">
        <v>45</v>
      </c>
      <c r="K8" s="40" t="s">
        <v>45</v>
      </c>
      <c r="L8" s="40" t="s">
        <v>45</v>
      </c>
      <c r="M8" s="40" t="s">
        <v>45</v>
      </c>
      <c r="N8" s="40" t="s">
        <v>45</v>
      </c>
    </row>
    <row r="9" spans="1:14" s="106" customFormat="1" ht="33.75">
      <c r="A9" s="102"/>
      <c r="B9" s="327" t="s">
        <v>46</v>
      </c>
      <c r="C9" s="110" t="str">
        <f>"C"&amp;-C6&amp;"L"&amp;A61&amp;" from "&amp;Doc!A12&amp;" C"&amp;-'10.1.1'!L6&amp;"L"&amp;'10.1.1'!A11</f>
        <v>C1L52 from WS 10.1.1 C10L2</v>
      </c>
      <c r="D9" s="103" t="str">
        <f>"C"&amp;-D6&amp;"L"&amp;A61&amp;" from "&amp;Doc!A12&amp;" C"&amp;-'10.1.1'!L6&amp;"L"&amp;'10.1.1'!A12</f>
        <v>C2L52 from WS 10.1.1 C10L3</v>
      </c>
      <c r="E9" s="104" t="str">
        <f>"C"&amp;-E6&amp;"L"&amp;A61&amp;" from "&amp;Doc!A12&amp;" C"&amp;-'10.1.1'!L6&amp;"L"&amp;'10.1.1'!A13&amp;"; "&amp;Endnotes!C13</f>
        <v>C3L52 from WS 10.1.1 C10L4; [a]</v>
      </c>
      <c r="F9" s="103" t="str">
        <f>"C"&amp;-F6&amp;"L"&amp;A61&amp;" from "&amp;Doc!A12&amp;" C"&amp;-'10.1.1'!L6&amp;"L"&amp;'10.1.1'!A14</f>
        <v>C4L52 from WS 10.1.1 C10L5</v>
      </c>
      <c r="G9" s="103" t="str">
        <f>"C"&amp;-G6&amp;"L"&amp;A61&amp;" from "&amp;Doc!A12&amp;" C"&amp;-'10.1.1'!L6&amp;"L"&amp;'10.1.1'!A16</f>
        <v>C5L52 from WS 10.1.1 C10L7</v>
      </c>
      <c r="H9" s="103" t="str">
        <f>"C"&amp;-H6&amp;"L"&amp;A61&amp;" = "&amp;Doc!A12&amp;" C"&amp;-'10.1.1'!L6&amp;"L"&amp;'10.1.1'!A17&amp;" + C"&amp;-'10.1.1'!L6&amp;"L"&amp;'10.1.1'!A18</f>
        <v>C6L52 = WS 10.1.1 C10L8 + C10L9</v>
      </c>
      <c r="I9" s="104" t="str">
        <f>"C"&amp;-I6&amp;"L"&amp;A61&amp;" from "&amp;Doc!A12&amp;" C"&amp;-'10.1.1'!L6&amp;"L"&amp;'10.1.1'!A19&amp;"; "&amp;Endnotes!C13</f>
        <v>C7L52 from WS 10.1.1 C10L10; [a]</v>
      </c>
      <c r="J9" s="104" t="str">
        <f>"C"&amp;-J6&amp;"L"&amp;A61&amp;" from "&amp;Doc!A12&amp;" C"&amp;-'10.1.1'!L6&amp;"L"&amp;'10.1.1'!A21&amp;"; "&amp;Endnotes!C13</f>
        <v>C8L52 from WS 10.1.1 C10L12; [a]</v>
      </c>
      <c r="K9" s="103" t="str">
        <f>"C"&amp;-K6&amp;"L"&amp;A61&amp;" from "&amp;Doc!A12&amp;" C"&amp;-'10.1.1'!L6&amp;"L"&amp;'10.1.1'!A22</f>
        <v>C9L52 from WS 10.1.1 C10L13</v>
      </c>
      <c r="L9" s="104" t="str">
        <f>"C"&amp;-L6&amp;"L"&amp;A61&amp;" from "&amp;Doc!A12&amp;" C"&amp;-'10.1.1'!L6&amp;"L"&amp;'10.1.1'!A23&amp;"; "&amp;Endnotes!C14</f>
        <v>C10L52 from WS 10.1.1 C10L14; [b]</v>
      </c>
      <c r="M9" s="104" t="str">
        <f>Endnotes!C15</f>
        <v>[c]</v>
      </c>
      <c r="N9" s="105"/>
    </row>
    <row r="10" spans="1:14" ht="11.25">
      <c r="A10" s="81">
        <v>1</v>
      </c>
      <c r="B10" s="35" t="s">
        <v>48</v>
      </c>
      <c r="C10" s="30"/>
      <c r="D10" s="30"/>
      <c r="E10" s="30"/>
      <c r="F10" s="30"/>
      <c r="G10" s="30"/>
      <c r="H10" s="30"/>
      <c r="I10" s="30"/>
      <c r="J10" s="30"/>
      <c r="K10" s="30"/>
      <c r="L10" s="30"/>
      <c r="M10" s="30"/>
      <c r="N10" s="30"/>
    </row>
    <row r="11" spans="1:14" ht="11.25">
      <c r="A11" s="81">
        <f aca="true" t="shared" si="1" ref="A11:A42">A10+1</f>
        <v>2</v>
      </c>
      <c r="B11" s="34" t="str">
        <f>'10.0.4'!B11</f>
        <v>   SINGLE-PIECE LETTERS</v>
      </c>
      <c r="C11" s="268">
        <f>IF('10.0.3 P2'!$G$61=0,0,'10.0.3 P2'!G11/'10.0.3 P2'!$G$61*C$61)</f>
        <v>100014.15695407303</v>
      </c>
      <c r="D11" s="268">
        <f>IF('10.0.3 P2'!$J$61=0,0,'10.0.3 P2'!J11/'10.0.3 P2'!$J$61*D$61)</f>
        <v>86224.87610846132</v>
      </c>
      <c r="E11" s="268">
        <f>IF('10.0.4'!D$62=0,0,'10.0.4'!D11/'10.0.4'!D$62*E$61)</f>
        <v>8552.061830530653</v>
      </c>
      <c r="F11" s="268">
        <f>IF('10.0.4'!E$62=0,0,'10.0.4'!E11/'10.0.4'!E$62*F$61)</f>
        <v>342.84224737631047</v>
      </c>
      <c r="G11" s="268">
        <f>IF('10.0.4'!F$62=0,0,'10.0.4'!F11/'10.0.4'!F$62*G$61)</f>
        <v>0</v>
      </c>
      <c r="H11" s="268">
        <f>IF('10.0.3 P2'!F$61=0,0,'10.0.3 P2'!F11/'10.0.3 P2'!F$61*H$61)</f>
        <v>30837.71925747715</v>
      </c>
      <c r="I11" s="268">
        <f>IF('10.0.4'!G$62=0,0,'10.0.4'!G11/'10.0.4'!G$62*I$61)</f>
        <v>278.7097033618186</v>
      </c>
      <c r="J11" s="268">
        <f>IF('10.0.4'!H$62=0,0,'10.0.4'!H11/'10.0.4'!H$62*J$61)</f>
        <v>39925.972594929844</v>
      </c>
      <c r="K11" s="268">
        <f>IF('10.0.4'!I$62=0,0,'10.0.4'!I11/'10.0.4'!I$62*K$61)</f>
        <v>7688.504205171709</v>
      </c>
      <c r="L11" s="268">
        <f>IF('10.0.4'!J$62=0,0,'10.0.4'!J11/'10.0.4'!J$62*L$61)</f>
        <v>0</v>
      </c>
      <c r="M11" s="268"/>
      <c r="N11" s="268">
        <f aca="true" t="shared" si="2" ref="N11:N20">SUM(C11:M11)</f>
        <v>273864.84290138184</v>
      </c>
    </row>
    <row r="12" spans="1:14" ht="11.25">
      <c r="A12" s="81">
        <f t="shared" si="1"/>
        <v>3</v>
      </c>
      <c r="B12" s="34" t="str">
        <f>'10.0.4'!B12</f>
        <v>   PRESORT LETTERS</v>
      </c>
      <c r="C12" s="268">
        <f>IF('10.0.3 P2'!$G$61=0,0,'10.0.3 P2'!G12/'10.0.3 P2'!$G$61*C$61)</f>
        <v>83677.00588279084</v>
      </c>
      <c r="D12" s="268">
        <f>IF('10.0.3 P2'!$J$61=0,0,'10.0.3 P2'!J12/'10.0.3 P2'!$J$61*D$61)</f>
        <v>78961.31345812931</v>
      </c>
      <c r="E12" s="268">
        <f>IF('10.0.4'!D$62=0,0,'10.0.4'!D12/'10.0.4'!D$62*E$61)</f>
        <v>307.90340377776573</v>
      </c>
      <c r="F12" s="268">
        <f>IF('10.0.4'!E$62=0,0,'10.0.4'!E12/'10.0.4'!E$62*F$61)</f>
        <v>261.2807474292973</v>
      </c>
      <c r="G12" s="268">
        <f>IF('10.0.4'!F$62=0,0,'10.0.4'!F12/'10.0.4'!F$62*G$61)</f>
        <v>0</v>
      </c>
      <c r="H12" s="268">
        <f>IF('10.0.3 P2'!F$61=0,0,'10.0.3 P2'!F12/'10.0.3 P2'!F$61*H$61)</f>
        <v>57437.588576561815</v>
      </c>
      <c r="I12" s="268">
        <f>IF('10.0.4'!G$62=0,0,'10.0.4'!G12/'10.0.4'!G$62*I$61)</f>
        <v>14.527840572381482</v>
      </c>
      <c r="J12" s="268">
        <f>IF('10.0.4'!H$62=0,0,'10.0.4'!H12/'10.0.4'!H$62*J$61)</f>
        <v>0</v>
      </c>
      <c r="K12" s="268">
        <f>IF('10.0.4'!I$62=0,0,'10.0.4'!I12/'10.0.4'!I$62*K$61)</f>
        <v>0</v>
      </c>
      <c r="L12" s="268">
        <f>IF('10.0.4'!J$62=0,0,'10.0.4'!J12/'10.0.4'!J$62*L$61)</f>
        <v>0</v>
      </c>
      <c r="M12" s="268"/>
      <c r="N12" s="268">
        <f t="shared" si="2"/>
        <v>220659.61990926138</v>
      </c>
    </row>
    <row r="13" spans="1:14" ht="11.25">
      <c r="A13" s="81">
        <f t="shared" si="1"/>
        <v>4</v>
      </c>
      <c r="B13" s="34" t="str">
        <f>'10.0.4'!B13</f>
        <v>        TOTAL LETTERS</v>
      </c>
      <c r="C13" s="268">
        <f>SUM(C11:C12)</f>
        <v>183691.16283686386</v>
      </c>
      <c r="D13" s="268">
        <f aca="true" t="shared" si="3" ref="D13:L13">SUM(D11:D12)</f>
        <v>165186.18956659065</v>
      </c>
      <c r="E13" s="268">
        <f t="shared" si="3"/>
        <v>8859.965234308418</v>
      </c>
      <c r="F13" s="268">
        <f t="shared" si="3"/>
        <v>604.1229948056077</v>
      </c>
      <c r="G13" s="268">
        <f t="shared" si="3"/>
        <v>0</v>
      </c>
      <c r="H13" s="268">
        <f t="shared" si="3"/>
        <v>88275.30783403896</v>
      </c>
      <c r="I13" s="268">
        <f t="shared" si="3"/>
        <v>293.23754393420006</v>
      </c>
      <c r="J13" s="268">
        <f t="shared" si="3"/>
        <v>39925.972594929844</v>
      </c>
      <c r="K13" s="268">
        <f t="shared" si="3"/>
        <v>7688.504205171709</v>
      </c>
      <c r="L13" s="268">
        <f t="shared" si="3"/>
        <v>0</v>
      </c>
      <c r="M13" s="268"/>
      <c r="N13" s="268">
        <f>SUM(N11:N12)</f>
        <v>494524.46281064325</v>
      </c>
    </row>
    <row r="14" spans="1:14" ht="11.25">
      <c r="A14" s="81">
        <f t="shared" si="1"/>
        <v>5</v>
      </c>
      <c r="B14" s="34" t="str">
        <f>'10.0.4'!B14</f>
        <v>   SINGLE-PIECE CARDS</v>
      </c>
      <c r="C14" s="268">
        <f>IF('10.0.3 P2'!$G$61=0,0,'10.0.3 P2'!G14/'10.0.3 P2'!$G$61*C$61)</f>
        <v>10815.887888935165</v>
      </c>
      <c r="D14" s="268">
        <f>IF('10.0.3 P2'!$J$61=0,0,'10.0.3 P2'!J14/'10.0.3 P2'!$J$61*D$61)</f>
        <v>0</v>
      </c>
      <c r="E14" s="268">
        <f>IF('10.0.4'!D$62=0,0,'10.0.4'!D14/'10.0.4'!D$62*E$61)</f>
        <v>0</v>
      </c>
      <c r="F14" s="268">
        <f>IF('10.0.4'!E$62=0,0,'10.0.4'!E14/'10.0.4'!E$62*F$61)</f>
        <v>133.0881978427103</v>
      </c>
      <c r="G14" s="268">
        <f>IF('10.0.4'!F$62=0,0,'10.0.4'!F14/'10.0.4'!F$62*G$61)</f>
        <v>0</v>
      </c>
      <c r="H14" s="268">
        <f>IF('10.0.3 P2'!F$61=0,0,'10.0.3 P2'!F14/'10.0.3 P2'!F$61*H$61)</f>
        <v>3334.901021987235</v>
      </c>
      <c r="I14" s="268">
        <f>IF('10.0.4'!G$62=0,0,'10.0.4'!G14/'10.0.4'!G$62*I$61)</f>
        <v>4.410237316615807</v>
      </c>
      <c r="J14" s="268">
        <f>IF('10.0.4'!H$62=0,0,'10.0.4'!H14/'10.0.4'!H$62*J$61)</f>
        <v>1365.2604157887029</v>
      </c>
      <c r="K14" s="268">
        <f>IF('10.0.4'!I$62=0,0,'10.0.4'!I14/'10.0.4'!I$62*K$61)</f>
        <v>0</v>
      </c>
      <c r="L14" s="268">
        <f>IF('10.0.4'!J$62=0,0,'10.0.4'!J14/'10.0.4'!J$62*L$61)</f>
        <v>0</v>
      </c>
      <c r="M14" s="268"/>
      <c r="N14" s="268">
        <f t="shared" si="2"/>
        <v>15653.547761870428</v>
      </c>
    </row>
    <row r="15" spans="1:14" ht="11.25">
      <c r="A15" s="81">
        <f t="shared" si="1"/>
        <v>6</v>
      </c>
      <c r="B15" s="34" t="str">
        <f>'10.0.4'!B15</f>
        <v>   PRESORT CARDS</v>
      </c>
      <c r="C15" s="268">
        <f>IF('10.0.3 P2'!$G$61=0,0,'10.0.3 P2'!G15/'10.0.3 P2'!$G$61*C$61)</f>
        <v>5775.615307671075</v>
      </c>
      <c r="D15" s="268">
        <f>IF('10.0.3 P2'!$J$61=0,0,'10.0.3 P2'!J15/'10.0.3 P2'!$J$61*D$61)</f>
        <v>0</v>
      </c>
      <c r="E15" s="268">
        <f>IF('10.0.4'!D$62=0,0,'10.0.4'!D15/'10.0.4'!D$62*E$61)</f>
        <v>0</v>
      </c>
      <c r="F15" s="268">
        <f>IF('10.0.4'!E$62=0,0,'10.0.4'!E15/'10.0.4'!E$62*F$61)</f>
        <v>0</v>
      </c>
      <c r="G15" s="268">
        <f>IF('10.0.4'!F$62=0,0,'10.0.4'!F15/'10.0.4'!F$62*G$61)</f>
        <v>0</v>
      </c>
      <c r="H15" s="268">
        <f>IF('10.0.3 P2'!F$61=0,0,'10.0.3 P2'!F15/'10.0.3 P2'!F$61*H$61)</f>
        <v>3964.499115601475</v>
      </c>
      <c r="I15" s="268">
        <f>IF('10.0.4'!G$62=0,0,'10.0.4'!G15/'10.0.4'!G$62*I$61)</f>
        <v>0.25942572450681217</v>
      </c>
      <c r="J15" s="268">
        <f>IF('10.0.4'!H$62=0,0,'10.0.4'!H15/'10.0.4'!H$62*J$61)</f>
        <v>0</v>
      </c>
      <c r="K15" s="268">
        <f>IF('10.0.4'!I$62=0,0,'10.0.4'!I15/'10.0.4'!I$62*K$61)</f>
        <v>0</v>
      </c>
      <c r="L15" s="268">
        <f>IF('10.0.4'!J$62=0,0,'10.0.4'!J15/'10.0.4'!J$62*L$61)</f>
        <v>0</v>
      </c>
      <c r="M15" s="268"/>
      <c r="N15" s="268">
        <f t="shared" si="2"/>
        <v>9740.373848997056</v>
      </c>
    </row>
    <row r="16" spans="1:14" ht="11.25">
      <c r="A16" s="81">
        <f t="shared" si="1"/>
        <v>7</v>
      </c>
      <c r="B16" s="34" t="str">
        <f>'10.0.4'!B16</f>
        <v>        TOTAL CARDS</v>
      </c>
      <c r="C16" s="268">
        <f>SUM(C14:C15)</f>
        <v>16591.50319660624</v>
      </c>
      <c r="D16" s="268">
        <f aca="true" t="shared" si="4" ref="D16:L16">SUM(D14:D15)</f>
        <v>0</v>
      </c>
      <c r="E16" s="268">
        <f t="shared" si="4"/>
        <v>0</v>
      </c>
      <c r="F16" s="268">
        <f t="shared" si="4"/>
        <v>133.0881978427103</v>
      </c>
      <c r="G16" s="268">
        <f t="shared" si="4"/>
        <v>0</v>
      </c>
      <c r="H16" s="268">
        <f t="shared" si="4"/>
        <v>7299.400137588709</v>
      </c>
      <c r="I16" s="268">
        <f t="shared" si="4"/>
        <v>4.669663041122619</v>
      </c>
      <c r="J16" s="268">
        <f t="shared" si="4"/>
        <v>1365.2604157887029</v>
      </c>
      <c r="K16" s="268">
        <f t="shared" si="4"/>
        <v>0</v>
      </c>
      <c r="L16" s="268">
        <f t="shared" si="4"/>
        <v>0</v>
      </c>
      <c r="M16" s="268"/>
      <c r="N16" s="268">
        <f>SUM(N14:N15)</f>
        <v>25393.921610867485</v>
      </c>
    </row>
    <row r="17" spans="1:14" ht="11.25">
      <c r="A17" s="82">
        <f t="shared" si="1"/>
        <v>8</v>
      </c>
      <c r="B17" s="37" t="str">
        <f>'10.0.4'!B17</f>
        <v>TOTAL FIRST-CLASS </v>
      </c>
      <c r="C17" s="285">
        <f>SUM(C13,C16)</f>
        <v>200282.6660334701</v>
      </c>
      <c r="D17" s="285">
        <f aca="true" t="shared" si="5" ref="D17:L17">SUM(D13,D16)</f>
        <v>165186.18956659065</v>
      </c>
      <c r="E17" s="285">
        <f t="shared" si="5"/>
        <v>8859.965234308418</v>
      </c>
      <c r="F17" s="285">
        <f t="shared" si="5"/>
        <v>737.211192648318</v>
      </c>
      <c r="G17" s="285">
        <f t="shared" si="5"/>
        <v>0</v>
      </c>
      <c r="H17" s="285">
        <f t="shared" si="5"/>
        <v>95574.70797162768</v>
      </c>
      <c r="I17" s="285">
        <f t="shared" si="5"/>
        <v>297.9072069753227</v>
      </c>
      <c r="J17" s="285">
        <f t="shared" si="5"/>
        <v>41291.23301071855</v>
      </c>
      <c r="K17" s="285">
        <f t="shared" si="5"/>
        <v>7688.504205171709</v>
      </c>
      <c r="L17" s="285">
        <f t="shared" si="5"/>
        <v>0</v>
      </c>
      <c r="M17" s="285"/>
      <c r="N17" s="285">
        <f>SUM(N13,N16)</f>
        <v>519918.38442151074</v>
      </c>
    </row>
    <row r="18" spans="1:14" ht="11.25">
      <c r="A18" s="81">
        <f t="shared" si="1"/>
        <v>9</v>
      </c>
      <c r="B18" s="35" t="str">
        <f>'10.0.4'!B18</f>
        <v>PRIORITY MAIL</v>
      </c>
      <c r="C18" s="268">
        <f>IF('10.0.3 P2'!$G$61=0,0,'10.0.3 P2'!G18/'10.0.3 P2'!$G$61*C$61)</f>
        <v>330.99018081272595</v>
      </c>
      <c r="D18" s="268">
        <f>IF('10.0.3 P2'!$J$61=0,0,'10.0.3 P2'!J18/'10.0.3 P2'!$J$61*D$61)</f>
        <v>5316.3748296267695</v>
      </c>
      <c r="E18" s="268">
        <f>IF('10.0.4'!D$62=0,0,'10.0.4'!D18/'10.0.4'!D$62*E$61)</f>
        <v>13866.274941617725</v>
      </c>
      <c r="F18" s="268">
        <f>IF('10.0.4'!E$62=0,0,'10.0.4'!E18/'10.0.4'!E$62*F$61)</f>
        <v>5.972690872470352</v>
      </c>
      <c r="G18" s="268">
        <f>IF('10.0.4'!F$62=0,0,'10.0.4'!F18/'10.0.4'!F$62*G$61)</f>
        <v>0</v>
      </c>
      <c r="H18" s="268">
        <f>IF('10.0.3 P2'!F$61=0,0,'10.0.3 P2'!F18/'10.0.3 P2'!F$61*H$61)</f>
        <v>0</v>
      </c>
      <c r="I18" s="268">
        <f>IF('10.0.4'!G$62=0,0,'10.0.4'!G18/'10.0.4'!G$62*I$61)</f>
        <v>72.81215334491195</v>
      </c>
      <c r="J18" s="268">
        <f>IF('10.0.4'!H$62=0,0,'10.0.4'!H18/'10.0.4'!H$62*J$61)</f>
        <v>103.46629358785158</v>
      </c>
      <c r="K18" s="268">
        <f>IF('10.0.4'!I$62=0,0,'10.0.4'!I18/'10.0.4'!I$62*K$61)</f>
        <v>1703.478796021852</v>
      </c>
      <c r="L18" s="268">
        <f>IF('10.0.4'!J$62=0,0,'10.0.4'!J18/'10.0.4'!J$62*L$61)</f>
        <v>0</v>
      </c>
      <c r="M18" s="268"/>
      <c r="N18" s="268">
        <f t="shared" si="2"/>
        <v>21399.369885884305</v>
      </c>
    </row>
    <row r="19" spans="1:14" ht="11.25">
      <c r="A19" s="81">
        <f t="shared" si="1"/>
        <v>10</v>
      </c>
      <c r="B19" s="35" t="str">
        <f>'10.0.4'!B19</f>
        <v>EXPRESS MAIL</v>
      </c>
      <c r="C19" s="268">
        <f>IF('10.0.3 P2'!$G$61=0,0,'10.0.3 P2'!G19/'10.0.3 P2'!$G$61*C$61)</f>
        <v>0</v>
      </c>
      <c r="D19" s="268">
        <f>IF('10.0.3 P2'!$J$61=0,0,'10.0.3 P2'!J19/'10.0.3 P2'!$J$61*D$61)</f>
        <v>0</v>
      </c>
      <c r="E19" s="268">
        <f>IF('10.0.4'!D$62=0,0,'10.0.4'!D19/'10.0.4'!D$62*E$61)</f>
        <v>0</v>
      </c>
      <c r="F19" s="268">
        <f>IF('10.0.4'!E$62=0,0,'10.0.4'!E19/'10.0.4'!E$62*F$61)</f>
        <v>0</v>
      </c>
      <c r="G19" s="268">
        <f>IF('10.0.4'!F$62=0,0,'10.0.4'!F19/'10.0.4'!F$62*G$61)</f>
        <v>5425.887170848499</v>
      </c>
      <c r="H19" s="268">
        <f>IF('10.0.3 P2'!F$61=0,0,'10.0.3 P2'!F19/'10.0.3 P2'!F$61*H$61)</f>
        <v>0</v>
      </c>
      <c r="I19" s="268">
        <f>IF('10.0.4'!G$62=0,0,'10.0.4'!G19/'10.0.4'!G$62*I$61)</f>
        <v>0</v>
      </c>
      <c r="J19" s="268">
        <f>IF('10.0.4'!H$62=0,0,'10.0.4'!H19/'10.0.4'!H$62*J$61)</f>
        <v>0</v>
      </c>
      <c r="K19" s="268">
        <f>IF('10.0.4'!I$62=0,0,'10.0.4'!I19/'10.0.4'!I$62*K$61)</f>
        <v>0</v>
      </c>
      <c r="L19" s="268">
        <f>IF('10.0.4'!J$62=0,0,'10.0.4'!J19/'10.0.4'!J$62*L$61)</f>
        <v>72.31603860121884</v>
      </c>
      <c r="M19" s="268"/>
      <c r="N19" s="268">
        <f t="shared" si="2"/>
        <v>5498.203209449718</v>
      </c>
    </row>
    <row r="20" spans="1:14" ht="11.25">
      <c r="A20" s="82">
        <f t="shared" si="1"/>
        <v>11</v>
      </c>
      <c r="B20" s="37" t="str">
        <f>'10.0.4'!B20</f>
        <v>MAILGRAMS</v>
      </c>
      <c r="C20" s="285">
        <f>IF('10.0.3 P2'!$G$61=0,0,'10.0.3 P2'!G20/'10.0.3 P2'!$G$61*C$61)</f>
        <v>160.05279970183216</v>
      </c>
      <c r="D20" s="285">
        <f>IF('10.0.3 P2'!$J$61=0,0,'10.0.3 P2'!J20/'10.0.3 P2'!$J$61*D$61)</f>
        <v>0</v>
      </c>
      <c r="E20" s="285">
        <f>IF('10.0.4'!D$62=0,0,'10.0.4'!D20/'10.0.4'!D$62*E$61)</f>
        <v>0</v>
      </c>
      <c r="F20" s="285">
        <f>IF('10.0.4'!E$62=0,0,'10.0.4'!E20/'10.0.4'!E$62*F$61)</f>
        <v>0</v>
      </c>
      <c r="G20" s="285">
        <f>IF('10.0.4'!F$62=0,0,'10.0.4'!F20/'10.0.4'!F$62*G$61)</f>
        <v>0</v>
      </c>
      <c r="H20" s="269">
        <f>IF('10.0.3 P2'!F$61=0,0,'10.0.3 P2'!F20/'10.0.3 P2'!F$61*H$61)</f>
        <v>0</v>
      </c>
      <c r="I20" s="285">
        <f>IF('10.0.4'!G$62=0,0,'10.0.4'!G20/'10.0.4'!G$62*I$61)</f>
        <v>0</v>
      </c>
      <c r="J20" s="285">
        <f>IF('10.0.4'!H$62=0,0,'10.0.4'!H20/'10.0.4'!H$62*J$61)</f>
        <v>0</v>
      </c>
      <c r="K20" s="285">
        <f>IF('10.0.4'!I$62=0,0,'10.0.4'!I20/'10.0.4'!I$62*K$61)</f>
        <v>0</v>
      </c>
      <c r="L20" s="285">
        <f>IF('10.0.4'!J$62=0,0,'10.0.4'!J20/'10.0.4'!J$62*L$61)</f>
        <v>0</v>
      </c>
      <c r="M20" s="269"/>
      <c r="N20" s="269">
        <f t="shared" si="2"/>
        <v>160.05279970183216</v>
      </c>
    </row>
    <row r="21" spans="1:14" ht="11.25">
      <c r="A21" s="81">
        <f t="shared" si="1"/>
        <v>12</v>
      </c>
      <c r="B21" s="35" t="str">
        <f>'10.0.4'!B21</f>
        <v>PERIODICALS:</v>
      </c>
      <c r="C21" s="268"/>
      <c r="D21" s="268"/>
      <c r="E21" s="268"/>
      <c r="F21" s="268"/>
      <c r="G21" s="268"/>
      <c r="H21" s="268"/>
      <c r="I21" s="268"/>
      <c r="J21" s="268"/>
      <c r="K21" s="268"/>
      <c r="L21" s="268"/>
      <c r="M21" s="268"/>
      <c r="N21" s="268"/>
    </row>
    <row r="22" spans="1:14" ht="11.25">
      <c r="A22" s="81">
        <f t="shared" si="1"/>
        <v>13</v>
      </c>
      <c r="B22" s="34" t="str">
        <f>'10.0.4'!B22</f>
        <v>   IN-COUNTY</v>
      </c>
      <c r="C22" s="289"/>
      <c r="D22" s="289"/>
      <c r="E22" s="289"/>
      <c r="F22" s="289"/>
      <c r="G22" s="289"/>
      <c r="H22" s="289"/>
      <c r="I22" s="289"/>
      <c r="J22" s="289"/>
      <c r="K22" s="289"/>
      <c r="L22" s="289"/>
      <c r="M22" s="268"/>
      <c r="N22" s="268">
        <f>'10.0.4'!C22/'10.0.4'!C$27*N$27</f>
        <v>12902.071503703903</v>
      </c>
    </row>
    <row r="23" spans="1:14" ht="11.25">
      <c r="A23" s="81">
        <f t="shared" si="1"/>
        <v>14</v>
      </c>
      <c r="B23" s="34" t="str">
        <f>'10.0.4'!B23</f>
        <v>   OUTSIDE COUNTY:</v>
      </c>
      <c r="C23" s="268"/>
      <c r="D23" s="268"/>
      <c r="E23" s="268"/>
      <c r="F23" s="268"/>
      <c r="G23" s="268"/>
      <c r="H23" s="268"/>
      <c r="I23" s="268"/>
      <c r="J23" s="268"/>
      <c r="K23" s="268"/>
      <c r="L23" s="268"/>
      <c r="M23" s="268"/>
      <c r="N23" s="268"/>
    </row>
    <row r="24" spans="1:14" ht="11.25">
      <c r="A24" s="81">
        <f t="shared" si="1"/>
        <v>15</v>
      </c>
      <c r="B24" s="34" t="str">
        <f>'10.0.4'!B24</f>
        <v>      REGULAR</v>
      </c>
      <c r="C24" s="289"/>
      <c r="D24" s="289"/>
      <c r="E24" s="289"/>
      <c r="F24" s="289"/>
      <c r="G24" s="289"/>
      <c r="H24" s="289"/>
      <c r="I24" s="289"/>
      <c r="J24" s="289"/>
      <c r="K24" s="289"/>
      <c r="L24" s="289"/>
      <c r="M24" s="268"/>
      <c r="N24" s="268">
        <f>'10.0.4'!C24/'10.0.4'!C$27*N$27</f>
        <v>100482.81793336547</v>
      </c>
    </row>
    <row r="25" spans="1:14" ht="11.25">
      <c r="A25" s="81">
        <f t="shared" si="1"/>
        <v>16</v>
      </c>
      <c r="B25" s="34" t="str">
        <f>'10.0.4'!B25</f>
        <v>      NON-PROFIT</v>
      </c>
      <c r="C25" s="289"/>
      <c r="D25" s="289"/>
      <c r="E25" s="289"/>
      <c r="F25" s="289"/>
      <c r="G25" s="289"/>
      <c r="H25" s="289"/>
      <c r="I25" s="289"/>
      <c r="J25" s="289"/>
      <c r="K25" s="289"/>
      <c r="L25" s="289"/>
      <c r="M25" s="268"/>
      <c r="N25" s="268">
        <f>'10.0.4'!C25/'10.0.4'!C$27*N$27</f>
        <v>29842.879113450297</v>
      </c>
    </row>
    <row r="26" spans="1:14" ht="11.25">
      <c r="A26" s="81">
        <f t="shared" si="1"/>
        <v>17</v>
      </c>
      <c r="B26" s="34" t="str">
        <f>'10.0.4'!B26</f>
        <v>      CLASSROOM</v>
      </c>
      <c r="C26" s="289"/>
      <c r="D26" s="289"/>
      <c r="E26" s="289"/>
      <c r="F26" s="289"/>
      <c r="G26" s="289"/>
      <c r="H26" s="289"/>
      <c r="I26" s="289"/>
      <c r="J26" s="289"/>
      <c r="K26" s="289"/>
      <c r="L26" s="289"/>
      <c r="M26" s="268"/>
      <c r="N26" s="268">
        <f>'10.0.4'!C26/'10.0.4'!C$27*N$27</f>
        <v>848.9958587999671</v>
      </c>
    </row>
    <row r="27" spans="1:14" ht="11.25">
      <c r="A27" s="82">
        <f t="shared" si="1"/>
        <v>18</v>
      </c>
      <c r="B27" s="39" t="str">
        <f>'10.0.4'!B27</f>
        <v>TOTAL PERIODICALS</v>
      </c>
      <c r="C27" s="290">
        <f>IF('10.0.3 P2'!$G$61=0,0,'10.0.3 P2'!G27/'10.0.3 P2'!$G$61*C$61)</f>
        <v>5174.951245204718</v>
      </c>
      <c r="D27" s="290">
        <f>IF('10.0.3 P2'!$J$61=0,0,'10.0.3 P2'!J27/'10.0.3 P2'!$J$61*D$61)</f>
        <v>136883.60621397887</v>
      </c>
      <c r="E27" s="290">
        <f>IF('10.0.4'!D$62=0,0,'10.0.4'!D27/'10.0.4'!D$62*E$61)</f>
        <v>1287.665855699035</v>
      </c>
      <c r="F27" s="290">
        <f>IF('10.0.4'!E$62=0,0,'10.0.4'!E27/'10.0.4'!E$62*F$61)</f>
        <v>717.310382487177</v>
      </c>
      <c r="G27" s="290">
        <f>IF('10.0.4'!F$62=0,0,'10.0.4'!F27/'10.0.4'!F$62*G$61)</f>
        <v>0</v>
      </c>
      <c r="H27" s="269">
        <f>IF('10.0.3 P2'!F$61=0,0,'10.0.3 P2'!F27/'10.0.3 P2'!F$61*H$61)</f>
        <v>0</v>
      </c>
      <c r="I27" s="290">
        <f>IF('10.0.4'!G$62=0,0,'10.0.4'!G27/'10.0.4'!G$62*I$61)</f>
        <v>13.230711949847421</v>
      </c>
      <c r="J27" s="290">
        <f>IF('10.0.4'!H$62=0,0,'10.0.4'!H27/'10.0.4'!H$62*J$61)</f>
        <v>0</v>
      </c>
      <c r="K27" s="290">
        <f>IF('10.0.4'!I$62=0,0,'10.0.4'!I27/'10.0.4'!I$62*K$61)</f>
        <v>0</v>
      </c>
      <c r="L27" s="290">
        <f>IF('10.0.4'!J$62=0,0,'10.0.4'!J27/'10.0.4'!J$62*L$61)</f>
        <v>0</v>
      </c>
      <c r="M27" s="290"/>
      <c r="N27" s="290">
        <f>SUM(C27:M27)</f>
        <v>144076.76440931964</v>
      </c>
    </row>
    <row r="28" spans="1:14" ht="11.25">
      <c r="A28" s="81">
        <f t="shared" si="1"/>
        <v>19</v>
      </c>
      <c r="B28" s="35" t="str">
        <f>'10.0.4'!B28</f>
        <v>STANDARD MAIL (A):</v>
      </c>
      <c r="C28" s="268"/>
      <c r="D28" s="268"/>
      <c r="E28" s="268"/>
      <c r="F28" s="268"/>
      <c r="G28" s="268"/>
      <c r="H28" s="268"/>
      <c r="I28" s="268"/>
      <c r="J28" s="268"/>
      <c r="K28" s="268"/>
      <c r="L28" s="268"/>
      <c r="M28" s="268"/>
      <c r="N28" s="268"/>
    </row>
    <row r="29" spans="1:14" ht="11.25">
      <c r="A29" s="81">
        <f t="shared" si="1"/>
        <v>20</v>
      </c>
      <c r="B29" s="34" t="str">
        <f>'10.0.4'!B29</f>
        <v>   SINGLE-PIECE RATE</v>
      </c>
      <c r="C29" s="268">
        <f>IF('10.0.3 P2'!$G$61=0,0,'10.0.3 P2'!G29/'10.0.3 P2'!$G$61*C$61)</f>
        <v>114.58189250320576</v>
      </c>
      <c r="D29" s="268">
        <f>IF('10.0.3 P2'!$J$61=0,0,'10.0.3 P2'!J29/'10.0.3 P2'!$J$61*D$61)</f>
        <v>339.77940366406693</v>
      </c>
      <c r="E29" s="268">
        <f>IF('10.0.4'!D$62=0,0,'10.0.4'!D29/'10.0.4'!D$62*E$61)</f>
        <v>317.37341702778843</v>
      </c>
      <c r="F29" s="268">
        <f>IF('10.0.4'!E$62=0,0,'10.0.4'!E29/'10.0.4'!E$62*F$61)</f>
        <v>0</v>
      </c>
      <c r="G29" s="268">
        <f>IF('10.0.4'!F$62=0,0,'10.0.4'!F29/'10.0.4'!F$62*G$61)</f>
        <v>0</v>
      </c>
      <c r="H29" s="268">
        <f>IF('10.0.3 P2'!F$61=0,0,'10.0.3 P2'!F29/'10.0.3 P2'!F$61*H$61)</f>
        <v>0</v>
      </c>
      <c r="I29" s="268">
        <f>IF('10.0.4'!G$62=0,0,'10.0.4'!G29/'10.0.4'!G$62*I$61)</f>
        <v>2.3348315205613095</v>
      </c>
      <c r="J29" s="268">
        <f>IF('10.0.4'!H$62=0,0,'10.0.4'!H29/'10.0.4'!H$62*J$61)</f>
        <v>12.928602422241505</v>
      </c>
      <c r="K29" s="268">
        <f>IF('10.0.4'!I$62=0,0,'10.0.4'!I29/'10.0.4'!I$62*K$61)</f>
        <v>167.03862384673113</v>
      </c>
      <c r="L29" s="268">
        <f>IF('10.0.4'!J$62=0,0,'10.0.4'!J29/'10.0.4'!J$62*L$61)</f>
        <v>0</v>
      </c>
      <c r="M29" s="268"/>
      <c r="N29" s="268">
        <f>SUM(C29:M29)</f>
        <v>954.0367709845953</v>
      </c>
    </row>
    <row r="30" spans="1:14" ht="11.25">
      <c r="A30" s="81">
        <f t="shared" si="1"/>
        <v>21</v>
      </c>
      <c r="B30" s="34" t="str">
        <f>'10.0.4'!B30</f>
        <v>   COMMERCIAL STANDARD:</v>
      </c>
      <c r="C30" s="268"/>
      <c r="D30" s="268"/>
      <c r="E30" s="268"/>
      <c r="F30" s="268"/>
      <c r="G30" s="268"/>
      <c r="H30" s="268"/>
      <c r="I30" s="268"/>
      <c r="J30" s="268"/>
      <c r="K30" s="268"/>
      <c r="L30" s="268"/>
      <c r="M30" s="268"/>
      <c r="N30" s="268"/>
    </row>
    <row r="31" spans="1:14" ht="11.25">
      <c r="A31" s="81">
        <f t="shared" si="1"/>
        <v>22</v>
      </c>
      <c r="B31" s="34" t="str">
        <f>'10.0.4'!B31</f>
        <v>    ENHANCED CARR RTE</v>
      </c>
      <c r="C31" s="268">
        <f>IF('10.0.3 P2'!$G$61=0,0,'10.0.3 P2'!G31/'10.0.3 P2'!$G$61*C$61)</f>
        <v>47755.80606260164</v>
      </c>
      <c r="D31" s="268">
        <f>IF('10.0.3 P2'!$J$61=0,0,'10.0.3 P2'!J31/'10.0.3 P2'!$J$61*D$61)</f>
        <v>191100.95530715268</v>
      </c>
      <c r="E31" s="268">
        <f>IF('10.0.4'!D$62=0,0,'10.0.4'!D31/'10.0.4'!D$62*E$61)</f>
        <v>0</v>
      </c>
      <c r="F31" s="268">
        <f>IF('10.0.4'!E$62=0,0,'10.0.4'!E31/'10.0.4'!E$62*F$61)</f>
        <v>44631.81376122081</v>
      </c>
      <c r="G31" s="268">
        <f>IF('10.0.4'!F$62=0,0,'10.0.4'!F31/'10.0.4'!F$62*G$61)</f>
        <v>0</v>
      </c>
      <c r="H31" s="268">
        <f>IF('10.0.3 P2'!F$61=0,0,'10.0.3 P2'!F31/'10.0.3 P2'!F$61*H$61)</f>
        <v>1890.6643471559323</v>
      </c>
      <c r="I31" s="268">
        <f>IF('10.0.4'!G$62=0,0,'10.0.4'!G31/'10.0.4'!G$62*I$61)</f>
        <v>0</v>
      </c>
      <c r="J31" s="268">
        <f>IF('10.0.4'!H$62=0,0,'10.0.4'!H31/'10.0.4'!H$62*J$61)</f>
        <v>0</v>
      </c>
      <c r="K31" s="268">
        <f>IF('10.0.4'!I$62=0,0,'10.0.4'!I31/'10.0.4'!I$62*K$61)</f>
        <v>0</v>
      </c>
      <c r="L31" s="268">
        <f>IF('10.0.4'!J$62=0,0,'10.0.4'!J31/'10.0.4'!J$62*L$61)</f>
        <v>0</v>
      </c>
      <c r="M31" s="268"/>
      <c r="N31" s="268">
        <f>SUM(C31:M31)</f>
        <v>285379.23947813106</v>
      </c>
    </row>
    <row r="32" spans="1:14" ht="11.25">
      <c r="A32" s="81">
        <f t="shared" si="1"/>
        <v>23</v>
      </c>
      <c r="B32" s="34" t="str">
        <f>'10.0.4'!B32</f>
        <v>    REGULAR</v>
      </c>
      <c r="C32" s="268">
        <f>IF('10.0.3 P2'!$G$61=0,0,'10.0.3 P2'!G32/'10.0.3 P2'!$G$61*C$61)</f>
        <v>42692.1708947874</v>
      </c>
      <c r="D32" s="268">
        <f>IF('10.0.3 P2'!$J$61=0,0,'10.0.3 P2'!J32/'10.0.3 P2'!$J$61*D$61)</f>
        <v>215532.38124033896</v>
      </c>
      <c r="E32" s="268">
        <f>IF('10.0.4'!D$62=0,0,'10.0.4'!D32/'10.0.4'!D$62*E$61)</f>
        <v>21437.166615554805</v>
      </c>
      <c r="F32" s="268">
        <f>IF('10.0.4'!E$62=0,0,'10.0.4'!E32/'10.0.4'!E$62*F$61)</f>
        <v>5200.965359616365</v>
      </c>
      <c r="G32" s="268">
        <f>IF('10.0.4'!F$62=0,0,'10.0.4'!F32/'10.0.4'!F$62*G$61)</f>
        <v>0</v>
      </c>
      <c r="H32" s="268">
        <f>IF('10.0.3 P2'!F$61=0,0,'10.0.3 P2'!F32/'10.0.3 P2'!F$61*H$61)</f>
        <v>26667.72357004037</v>
      </c>
      <c r="I32" s="268">
        <f>IF('10.0.4'!G$62=0,0,'10.0.4'!G32/'10.0.4'!G$62*I$61)</f>
        <v>44.62122461517169</v>
      </c>
      <c r="J32" s="268">
        <f>IF('10.0.4'!H$62=0,0,'10.0.4'!H32/'10.0.4'!H$62*J$61)</f>
        <v>0</v>
      </c>
      <c r="K32" s="268">
        <f>IF('10.0.4'!I$62=0,0,'10.0.4'!I32/'10.0.4'!I$62*K$61)</f>
        <v>0</v>
      </c>
      <c r="L32" s="268">
        <f>IF('10.0.4'!J$62=0,0,'10.0.4'!J32/'10.0.4'!J$62*L$61)</f>
        <v>0</v>
      </c>
      <c r="M32" s="268"/>
      <c r="N32" s="268">
        <f>SUM(C32:M32)</f>
        <v>311575.02890495316</v>
      </c>
    </row>
    <row r="33" spans="1:14" ht="11.25">
      <c r="A33" s="81">
        <f t="shared" si="1"/>
        <v>24</v>
      </c>
      <c r="B33" s="38" t="str">
        <f>'10.0.4'!B33</f>
        <v>      TOTAL COMMERCIAL</v>
      </c>
      <c r="C33" s="291">
        <f>SUM(C31:C32)</f>
        <v>90447.97695738904</v>
      </c>
      <c r="D33" s="291">
        <f aca="true" t="shared" si="6" ref="D33:L33">SUM(D31:D32)</f>
        <v>406633.3365474916</v>
      </c>
      <c r="E33" s="291">
        <f t="shared" si="6"/>
        <v>21437.166615554805</v>
      </c>
      <c r="F33" s="291">
        <f t="shared" si="6"/>
        <v>49832.77912083717</v>
      </c>
      <c r="G33" s="291">
        <f t="shared" si="6"/>
        <v>0</v>
      </c>
      <c r="H33" s="291">
        <f t="shared" si="6"/>
        <v>28558.3879171963</v>
      </c>
      <c r="I33" s="291">
        <f t="shared" si="6"/>
        <v>44.62122461517169</v>
      </c>
      <c r="J33" s="291">
        <f t="shared" si="6"/>
        <v>0</v>
      </c>
      <c r="K33" s="291">
        <f t="shared" si="6"/>
        <v>0</v>
      </c>
      <c r="L33" s="291">
        <f t="shared" si="6"/>
        <v>0</v>
      </c>
      <c r="M33" s="291"/>
      <c r="N33" s="291">
        <f>SUM(N31:N32)</f>
        <v>596954.2683830842</v>
      </c>
    </row>
    <row r="34" spans="1:14" ht="11.25">
      <c r="A34" s="81">
        <f t="shared" si="1"/>
        <v>25</v>
      </c>
      <c r="B34" s="34" t="str">
        <f>'10.0.4'!B34</f>
        <v>   AGGREGATE NONPROFIT:</v>
      </c>
      <c r="C34" s="268"/>
      <c r="D34" s="268"/>
      <c r="E34" s="268"/>
      <c r="F34" s="268"/>
      <c r="G34" s="268"/>
      <c r="H34" s="268"/>
      <c r="I34" s="268"/>
      <c r="J34" s="268"/>
      <c r="K34" s="268"/>
      <c r="L34" s="268"/>
      <c r="M34" s="268"/>
      <c r="N34" s="268"/>
    </row>
    <row r="35" spans="1:14" ht="11.25">
      <c r="A35" s="81">
        <f t="shared" si="1"/>
        <v>26</v>
      </c>
      <c r="B35" s="34" t="str">
        <f>'10.0.4'!B35</f>
        <v>    NONPROF ENH CARR RTE</v>
      </c>
      <c r="C35" s="268">
        <f>IF('10.0.3 P2'!$G$61=0,0,'10.0.3 P2'!G35/'10.0.3 P2'!$G$61*C$61)</f>
        <v>3512.7169253299426</v>
      </c>
      <c r="D35" s="268">
        <f>IF('10.0.3 P2'!$J$61=0,0,'10.0.3 P2'!J35/'10.0.3 P2'!$J$61*D$61)</f>
        <v>7047.114088761827</v>
      </c>
      <c r="E35" s="268">
        <f>IF('10.0.4'!D$62=0,0,'10.0.4'!D35/'10.0.4'!D$62*E$61)</f>
        <v>0</v>
      </c>
      <c r="F35" s="268">
        <f>IF('10.0.4'!E$62=0,0,'10.0.4'!E35/'10.0.4'!E$62*F$61)</f>
        <v>1736.241654034107</v>
      </c>
      <c r="G35" s="268">
        <f>IF('10.0.4'!F$62=0,0,'10.0.4'!F35/'10.0.4'!F$62*G$61)</f>
        <v>0</v>
      </c>
      <c r="H35" s="268">
        <f>IF('10.0.3 P2'!F$61=0,0,'10.0.3 P2'!F35/'10.0.3 P2'!F$61*H$61)</f>
        <v>150.69999474052133</v>
      </c>
      <c r="I35" s="268">
        <f>IF('10.0.4'!G$62=0,0,'10.0.4'!G35/'10.0.4'!G$62*I$61)</f>
        <v>0</v>
      </c>
      <c r="J35" s="268">
        <f>IF('10.0.4'!H$62=0,0,'10.0.4'!H35/'10.0.4'!H$62*J$61)</f>
        <v>0</v>
      </c>
      <c r="K35" s="268">
        <f>IF('10.0.4'!I$62=0,0,'10.0.4'!I35/'10.0.4'!I$62*K$61)</f>
        <v>0</v>
      </c>
      <c r="L35" s="268">
        <f>IF('10.0.4'!J$62=0,0,'10.0.4'!J35/'10.0.4'!J$62*L$61)</f>
        <v>0</v>
      </c>
      <c r="M35" s="268"/>
      <c r="N35" s="268">
        <f>SUM(C35:M35)</f>
        <v>12446.772662866399</v>
      </c>
    </row>
    <row r="36" spans="1:14" ht="11.25">
      <c r="A36" s="81">
        <f t="shared" si="1"/>
        <v>27</v>
      </c>
      <c r="B36" s="34" t="str">
        <f>'10.0.4'!B36</f>
        <v>    NONPROFIT</v>
      </c>
      <c r="C36" s="268">
        <f>IF('10.0.3 P2'!$G$61=0,0,'10.0.3 P2'!G36/'10.0.3 P2'!$G$61*C$61)</f>
        <v>16696.756753883063</v>
      </c>
      <c r="D36" s="268">
        <f>IF('10.0.3 P2'!$J$61=0,0,'10.0.3 P2'!J36/'10.0.3 P2'!$J$61*D$61)</f>
        <v>36418.956349686036</v>
      </c>
      <c r="E36" s="268">
        <f>IF('10.0.4'!D$62=0,0,'10.0.4'!D36/'10.0.4'!D$62*E$61)</f>
        <v>1205.5070920974867</v>
      </c>
      <c r="F36" s="268">
        <f>IF('10.0.4'!E$62=0,0,'10.0.4'!E36/'10.0.4'!E$62*F$61)</f>
        <v>661.2062534720047</v>
      </c>
      <c r="G36" s="268">
        <f>IF('10.0.4'!F$62=0,0,'10.0.4'!F36/'10.0.4'!F$62*G$61)</f>
        <v>0</v>
      </c>
      <c r="H36" s="268">
        <f>IF('10.0.3 P2'!F$61=0,0,'10.0.3 P2'!F36/'10.0.3 P2'!F$61*H$61)</f>
        <v>9013.162752974002</v>
      </c>
      <c r="I36" s="268">
        <f>IF('10.0.4'!G$62=0,0,'10.0.4'!G36/'10.0.4'!G$62*I$61)</f>
        <v>4.150811592108995</v>
      </c>
      <c r="J36" s="268">
        <f>IF('10.0.4'!H$62=0,0,'10.0.4'!H36/'10.0.4'!H$62*J$61)</f>
        <v>0</v>
      </c>
      <c r="K36" s="268">
        <f>IF('10.0.4'!I$62=0,0,'10.0.4'!I36/'10.0.4'!I$62*K$61)</f>
        <v>0</v>
      </c>
      <c r="L36" s="268">
        <f>IF('10.0.4'!J$62=0,0,'10.0.4'!J36/'10.0.4'!J$62*L$61)</f>
        <v>0</v>
      </c>
      <c r="M36" s="268"/>
      <c r="N36" s="268">
        <f>SUM(C36:M36)</f>
        <v>63999.74001370469</v>
      </c>
    </row>
    <row r="37" spans="1:14" ht="11.25">
      <c r="A37" s="81">
        <f t="shared" si="1"/>
        <v>28</v>
      </c>
      <c r="B37" s="38" t="str">
        <f>'10.0.4'!B37</f>
        <v>       TOTAL AGGREG NONPROFIT</v>
      </c>
      <c r="C37" s="291">
        <f>SUM(C35:C36)</f>
        <v>20209.473679213006</v>
      </c>
      <c r="D37" s="291">
        <f aca="true" t="shared" si="7" ref="D37:L37">SUM(D35:D36)</f>
        <v>43466.07043844786</v>
      </c>
      <c r="E37" s="291">
        <f t="shared" si="7"/>
        <v>1205.5070920974867</v>
      </c>
      <c r="F37" s="291">
        <f t="shared" si="7"/>
        <v>2397.4479075061117</v>
      </c>
      <c r="G37" s="291">
        <f t="shared" si="7"/>
        <v>0</v>
      </c>
      <c r="H37" s="291">
        <f t="shared" si="7"/>
        <v>9163.862747714524</v>
      </c>
      <c r="I37" s="291">
        <f t="shared" si="7"/>
        <v>4.150811592108995</v>
      </c>
      <c r="J37" s="291">
        <f t="shared" si="7"/>
        <v>0</v>
      </c>
      <c r="K37" s="291">
        <f t="shared" si="7"/>
        <v>0</v>
      </c>
      <c r="L37" s="291">
        <f t="shared" si="7"/>
        <v>0</v>
      </c>
      <c r="M37" s="291"/>
      <c r="N37" s="291">
        <f>SUM(N35:N36)</f>
        <v>76446.51267657109</v>
      </c>
    </row>
    <row r="38" spans="1:14" ht="11.25">
      <c r="A38" s="82">
        <f t="shared" si="1"/>
        <v>29</v>
      </c>
      <c r="B38" s="39" t="str">
        <f>'10.0.4'!B38</f>
        <v>TOTAL STANDARD (A)</v>
      </c>
      <c r="C38" s="290">
        <f>SUM(C29,C33,C37)</f>
        <v>110772.03252910526</v>
      </c>
      <c r="D38" s="290">
        <f aca="true" t="shared" si="8" ref="D38:L38">SUM(D29,D33,D37)</f>
        <v>450439.18638960354</v>
      </c>
      <c r="E38" s="290">
        <f t="shared" si="8"/>
        <v>22960.04712468008</v>
      </c>
      <c r="F38" s="290">
        <f t="shared" si="8"/>
        <v>52230.22702834328</v>
      </c>
      <c r="G38" s="290">
        <f t="shared" si="8"/>
        <v>0</v>
      </c>
      <c r="H38" s="290">
        <f t="shared" si="8"/>
        <v>37722.250664910825</v>
      </c>
      <c r="I38" s="290">
        <f t="shared" si="8"/>
        <v>51.106867727841994</v>
      </c>
      <c r="J38" s="290">
        <f t="shared" si="8"/>
        <v>12.928602422241505</v>
      </c>
      <c r="K38" s="290">
        <f t="shared" si="8"/>
        <v>167.03862384673113</v>
      </c>
      <c r="L38" s="290">
        <f t="shared" si="8"/>
        <v>0</v>
      </c>
      <c r="M38" s="290"/>
      <c r="N38" s="290">
        <f>SUM(N29,N33,N37)</f>
        <v>674354.8178306399</v>
      </c>
    </row>
    <row r="39" spans="1:14" ht="11.25">
      <c r="A39" s="81">
        <f t="shared" si="1"/>
        <v>30</v>
      </c>
      <c r="B39" s="35" t="str">
        <f>'10.0.4'!B39</f>
        <v>STANDARD MAIL (B):</v>
      </c>
      <c r="C39" s="268"/>
      <c r="D39" s="268"/>
      <c r="E39" s="268"/>
      <c r="F39" s="268"/>
      <c r="G39" s="268"/>
      <c r="H39" s="268"/>
      <c r="I39" s="268"/>
      <c r="J39" s="268"/>
      <c r="K39" s="268"/>
      <c r="L39" s="268"/>
      <c r="M39" s="268"/>
      <c r="N39" s="268"/>
    </row>
    <row r="40" spans="1:14" ht="11.25">
      <c r="A40" s="81">
        <f t="shared" si="1"/>
        <v>31</v>
      </c>
      <c r="B40" s="34" t="str">
        <f>'10.0.4'!B40</f>
        <v>   PARCELS ZONE RATE</v>
      </c>
      <c r="C40" s="268">
        <f>IF('10.0.3 P2'!$G$61=0,0,'10.0.3 P2'!G40/'10.0.3 P2'!$G$61*C$61)</f>
        <v>41.63894550733635</v>
      </c>
      <c r="D40" s="268">
        <f>IF('10.0.3 P2'!$J$61=0,0,'10.0.3 P2'!J40/'10.0.3 P2'!$J$61*D$61)</f>
        <v>481.4138574173453</v>
      </c>
      <c r="E40" s="268">
        <f>IF('10.0.4'!D$62=0,0,'10.0.4'!D40/'10.0.4'!D$62*E$61)</f>
        <v>8834.242630750923</v>
      </c>
      <c r="F40" s="268">
        <f>IF('10.0.4'!E$62=0,0,'10.0.4'!E40/'10.0.4'!E$62*F$61)</f>
        <v>0</v>
      </c>
      <c r="G40" s="268">
        <f>IF('10.0.4'!F$62=0,0,'10.0.4'!F40/'10.0.4'!F$62*G$61)</f>
        <v>0</v>
      </c>
      <c r="H40" s="268">
        <f>IF('10.0.3 P2'!F$61=0,0,'10.0.3 P2'!F40/'10.0.3 P2'!F$61*H$61)</f>
        <v>0</v>
      </c>
      <c r="I40" s="268">
        <f>IF('10.0.4'!G$62=0,0,'10.0.4'!G40/'10.0.4'!G$62*I$61)</f>
        <v>9.771702289756593</v>
      </c>
      <c r="J40" s="268">
        <f>IF('10.0.4'!H$62=0,0,'10.0.4'!H40/'10.0.4'!H$62*J$61)</f>
        <v>20.3984615995366</v>
      </c>
      <c r="K40" s="268">
        <f>IF('10.0.4'!I$62=0,0,'10.0.4'!I40/'10.0.4'!I$62*K$61)</f>
        <v>1010.1109234505154</v>
      </c>
      <c r="L40" s="268">
        <f>IF('10.0.4'!J$62=0,0,'10.0.4'!J40/'10.0.4'!J$62*L$61)</f>
        <v>0</v>
      </c>
      <c r="M40" s="268"/>
      <c r="N40" s="268">
        <f aca="true" t="shared" si="9" ref="N40:N47">SUM(C40:M40)</f>
        <v>10397.576521015411</v>
      </c>
    </row>
    <row r="41" spans="1:14" ht="11.25">
      <c r="A41" s="81">
        <f t="shared" si="1"/>
        <v>32</v>
      </c>
      <c r="B41" s="34" t="str">
        <f>'10.0.4'!B41</f>
        <v>   BOUND PRINTED MATTER</v>
      </c>
      <c r="C41" s="268">
        <f>IF('10.0.3 P2'!$G$61=0,0,'10.0.3 P2'!G41/'10.0.3 P2'!$G$61*C$61)</f>
        <v>24.831062866229967</v>
      </c>
      <c r="D41" s="268">
        <f>IF('10.0.3 P2'!$J$61=0,0,'10.0.3 P2'!J41/'10.0.3 P2'!$J$61*D$61)</f>
        <v>2058.3279371628046</v>
      </c>
      <c r="E41" s="268">
        <f>IF('10.0.4'!D$62=0,0,'10.0.4'!D41/'10.0.4'!D$62*E$61)</f>
        <v>8056.1658664247325</v>
      </c>
      <c r="F41" s="268">
        <f>IF('10.0.4'!E$62=0,0,'10.0.4'!E41/'10.0.4'!E$62*F$61)</f>
        <v>85.62488799959546</v>
      </c>
      <c r="G41" s="268">
        <f>IF('10.0.4'!F$62=0,0,'10.0.4'!F41/'10.0.4'!F$62*G$61)</f>
        <v>0</v>
      </c>
      <c r="H41" s="268">
        <f>IF('10.0.3 P2'!F$61=0,0,'10.0.3 P2'!F41/'10.0.3 P2'!F$61*H$61)</f>
        <v>0</v>
      </c>
      <c r="I41" s="268">
        <f>IF('10.0.4'!G$62=0,0,'10.0.4'!G41/'10.0.4'!G$62*I$61)</f>
        <v>28.70978017875388</v>
      </c>
      <c r="J41" s="268">
        <f>IF('10.0.4'!H$62=0,0,'10.0.4'!H41/'10.0.4'!H$62*J$61)</f>
        <v>7.14508269132574</v>
      </c>
      <c r="K41" s="268">
        <f>IF('10.0.4'!I$62=0,0,'10.0.4'!I41/'10.0.4'!I$62*K$61)</f>
        <v>229.28414877074886</v>
      </c>
      <c r="L41" s="268">
        <f>IF('10.0.4'!J$62=0,0,'10.0.4'!J41/'10.0.4'!J$62*L$61)</f>
        <v>0</v>
      </c>
      <c r="M41" s="268"/>
      <c r="N41" s="268">
        <f t="shared" si="9"/>
        <v>10490.08876609419</v>
      </c>
    </row>
    <row r="42" spans="1:14" ht="11.25">
      <c r="A42" s="81">
        <f t="shared" si="1"/>
        <v>33</v>
      </c>
      <c r="B42" s="34" t="str">
        <f>'10.0.4'!B42</f>
        <v>   SPECIAL STANDARD</v>
      </c>
      <c r="C42" s="268">
        <f>IF('10.0.3 P2'!$G$61=0,0,'10.0.3 P2'!G42/'10.0.3 P2'!$G$61*C$61)</f>
        <v>16.61750209339158</v>
      </c>
      <c r="D42" s="268">
        <f>IF('10.0.3 P2'!$J$61=0,0,'10.0.3 P2'!J42/'10.0.3 P2'!$J$61*D$61)</f>
        <v>442.9362801261502</v>
      </c>
      <c r="E42" s="268">
        <f>IF('10.0.4'!D$62=0,0,'10.0.4'!D42/'10.0.4'!D$62*E$61)</f>
        <v>2844.7151964156083</v>
      </c>
      <c r="F42" s="268">
        <f>IF('10.0.4'!E$62=0,0,'10.0.4'!E42/'10.0.4'!E$62*F$61)</f>
        <v>0</v>
      </c>
      <c r="G42" s="268">
        <f>IF('10.0.4'!F$62=0,0,'10.0.4'!F42/'10.0.4'!F$62*G$61)</f>
        <v>0</v>
      </c>
      <c r="H42" s="268">
        <f>IF('10.0.3 P2'!F$61=0,0,'10.0.3 P2'!F42/'10.0.3 P2'!F$61*H$61)</f>
        <v>0</v>
      </c>
      <c r="I42" s="268">
        <f>IF('10.0.4'!G$62=0,0,'10.0.4'!G42/'10.0.4'!G$62*I$61)</f>
        <v>15.046692021395106</v>
      </c>
      <c r="J42" s="268">
        <f>IF('10.0.4'!H$62=0,0,'10.0.4'!H42/'10.0.4'!H$62*J$61)</f>
        <v>9.231147043513499</v>
      </c>
      <c r="K42" s="268">
        <f>IF('10.0.4'!I$62=0,0,'10.0.4'!I42/'10.0.4'!I$62*K$61)</f>
        <v>433.35492035708546</v>
      </c>
      <c r="L42" s="268">
        <f>IF('10.0.4'!J$62=0,0,'10.0.4'!J42/'10.0.4'!J$62*L$61)</f>
        <v>0</v>
      </c>
      <c r="M42" s="268"/>
      <c r="N42" s="268">
        <f t="shared" si="9"/>
        <v>3761.9017380571445</v>
      </c>
    </row>
    <row r="43" spans="1:14" ht="11.25">
      <c r="A43" s="81">
        <f aca="true" t="shared" si="10" ref="A43:A60">A42+1</f>
        <v>34</v>
      </c>
      <c r="B43" s="34" t="str">
        <f>'10.0.4'!B43</f>
        <v>   LIBRARY MAIL</v>
      </c>
      <c r="C43" s="268">
        <f>IF('10.0.3 P2'!$G$61=0,0,'10.0.3 P2'!G43/'10.0.3 P2'!$G$61*C$61)</f>
        <v>16.726290977800037</v>
      </c>
      <c r="D43" s="268">
        <f>IF('10.0.3 P2'!$J$61=0,0,'10.0.3 P2'!J43/'10.0.3 P2'!$J$61*D$61)</f>
        <v>78.50351707977647</v>
      </c>
      <c r="E43" s="268">
        <f>IF('10.0.4'!D$62=0,0,'10.0.4'!D43/'10.0.4'!D$62*E$61)</f>
        <v>334.2658730953965</v>
      </c>
      <c r="F43" s="268">
        <f>IF('10.0.4'!E$62=0,0,'10.0.4'!E43/'10.0.4'!E$62*F$61)</f>
        <v>1.493172718117588</v>
      </c>
      <c r="G43" s="268">
        <f>IF('10.0.4'!F$62=0,0,'10.0.4'!F43/'10.0.4'!F$62*G$61)</f>
        <v>0</v>
      </c>
      <c r="H43" s="268">
        <f>IF('10.0.3 P2'!F$61=0,0,'10.0.3 P2'!F43/'10.0.3 P2'!F$61*H$61)</f>
        <v>0</v>
      </c>
      <c r="I43" s="268">
        <f>IF('10.0.4'!G$62=0,0,'10.0.4'!G43/'10.0.4'!G$62*I$61)</f>
        <v>3.199583935584017</v>
      </c>
      <c r="J43" s="268">
        <f>IF('10.0.4'!H$62=0,0,'10.0.4'!H43/'10.0.4'!H$62*J$61)</f>
        <v>2.947971180337193</v>
      </c>
      <c r="K43" s="268">
        <f>IF('10.0.4'!I$62=0,0,'10.0.4'!I43/'10.0.4'!I$62*K$61)</f>
        <v>286.0142474356764</v>
      </c>
      <c r="L43" s="268">
        <f>IF('10.0.4'!J$62=0,0,'10.0.4'!J43/'10.0.4'!J$62*L$61)</f>
        <v>0</v>
      </c>
      <c r="M43" s="268"/>
      <c r="N43" s="268">
        <f t="shared" si="9"/>
        <v>723.1506564226883</v>
      </c>
    </row>
    <row r="44" spans="1:14" ht="11.25">
      <c r="A44" s="82">
        <f t="shared" si="10"/>
        <v>35</v>
      </c>
      <c r="B44" s="39" t="str">
        <f>'10.0.4'!B44</f>
        <v>TOTAL STANDARD (B)</v>
      </c>
      <c r="C44" s="290">
        <f>SUM(C40:C43)</f>
        <v>99.81380144475793</v>
      </c>
      <c r="D44" s="290">
        <f aca="true" t="shared" si="11" ref="D44:L44">SUM(D40:D43)</f>
        <v>3061.1815917860768</v>
      </c>
      <c r="E44" s="290">
        <f t="shared" si="11"/>
        <v>20069.38956668666</v>
      </c>
      <c r="F44" s="290">
        <f t="shared" si="11"/>
        <v>87.11806071771305</v>
      </c>
      <c r="G44" s="290">
        <f t="shared" si="11"/>
        <v>0</v>
      </c>
      <c r="H44" s="290">
        <f t="shared" si="11"/>
        <v>0</v>
      </c>
      <c r="I44" s="290">
        <f t="shared" si="11"/>
        <v>56.7277584254896</v>
      </c>
      <c r="J44" s="290">
        <f t="shared" si="11"/>
        <v>39.72266251471303</v>
      </c>
      <c r="K44" s="290">
        <f t="shared" si="11"/>
        <v>1958.7642400140264</v>
      </c>
      <c r="L44" s="290">
        <f t="shared" si="11"/>
        <v>0</v>
      </c>
      <c r="M44" s="290"/>
      <c r="N44" s="290">
        <f>SUM(N40:N43)</f>
        <v>25372.717681589435</v>
      </c>
    </row>
    <row r="45" spans="1:14" ht="11.25">
      <c r="A45" s="81">
        <f t="shared" si="10"/>
        <v>36</v>
      </c>
      <c r="B45" s="35" t="str">
        <f>'10.0.4'!B45</f>
        <v>US POSTAL SERVICE</v>
      </c>
      <c r="C45" s="268">
        <f>IF('10.0.3 P2'!$G$61=0,0,'10.0.3 P2'!G45/'10.0.3 P2'!$G$61*C$61)</f>
        <v>715.3141122066971</v>
      </c>
      <c r="D45" s="268">
        <f>IF('10.0.3 P2'!$J$61=0,0,'10.0.3 P2'!J45/'10.0.3 P2'!$J$61*D$61)</f>
        <v>372.7394688536471</v>
      </c>
      <c r="E45" s="268">
        <f>IF('10.0.4'!D$62=0,0,'10.0.4'!D45/'10.0.4'!D$62*E$61)</f>
        <v>30.073690726423496</v>
      </c>
      <c r="F45" s="268">
        <f>IF('10.0.4'!E$62=0,0,'10.0.4'!E45/'10.0.4'!E$62*F$61)</f>
        <v>104.57104675079239</v>
      </c>
      <c r="G45" s="268">
        <f>IF('10.0.4'!F$62=0,0,'10.0.4'!F45/'10.0.4'!F$62*G$61)</f>
        <v>0</v>
      </c>
      <c r="H45" s="268">
        <f>IF('10.0.3 P2'!F$61=0,0,'10.0.3 P2'!F45/'10.0.3 P2'!F$61*H$61)</f>
        <v>0</v>
      </c>
      <c r="I45" s="268">
        <f>IF('10.0.4'!G$62=0,0,'10.0.4'!G45/'10.0.4'!G$62*I$61)</f>
        <v>0</v>
      </c>
      <c r="J45" s="268">
        <f>IF('10.0.4'!H$62=0,0,'10.0.4'!H45/'10.0.4'!H$62*J$61)</f>
        <v>10.555235794003934</v>
      </c>
      <c r="K45" s="268">
        <f>IF('10.0.4'!I$62=0,0,'10.0.4'!I45/'10.0.4'!I$62*K$61)</f>
        <v>25.21337718441224</v>
      </c>
      <c r="L45" s="268">
        <f>IF('10.0.4'!J$62=0,0,'10.0.4'!J45/'10.0.4'!J$62*L$61)</f>
        <v>0</v>
      </c>
      <c r="M45" s="268"/>
      <c r="N45" s="268">
        <f t="shared" si="9"/>
        <v>1258.4669315159763</v>
      </c>
    </row>
    <row r="46" spans="1:14" ht="11.25">
      <c r="A46" s="81">
        <f t="shared" si="10"/>
        <v>37</v>
      </c>
      <c r="B46" s="95" t="str">
        <f>'10.0.4'!B46</f>
        <v>FREE MAIL</v>
      </c>
      <c r="C46" s="268">
        <f>IF('10.0.3 P2'!$G$61=0,0,'10.0.3 P2'!G46/'10.0.3 P2'!$G$61*C$61)</f>
        <v>96.35975436478948</v>
      </c>
      <c r="D46" s="268">
        <f>IF('10.0.3 P2'!$J$61=0,0,'10.0.3 P2'!J46/'10.0.3 P2'!$J$61*D$61)</f>
        <v>195.04704582430878</v>
      </c>
      <c r="E46" s="268">
        <f>IF('10.0.4'!D$62=0,0,'10.0.4'!D46/'10.0.4'!D$62*E$61)</f>
        <v>368.0507852306127</v>
      </c>
      <c r="F46" s="268">
        <f>IF('10.0.4'!E$62=0,0,'10.0.4'!E46/'10.0.4'!E$62*F$61)</f>
        <v>0</v>
      </c>
      <c r="G46" s="268">
        <f>IF('10.0.4'!F$62=0,0,'10.0.4'!F46/'10.0.4'!F$62*G$61)</f>
        <v>0</v>
      </c>
      <c r="H46" s="268">
        <f>IF('10.0.3 P2'!F$61=0,0,'10.0.3 P2'!F46/'10.0.3 P2'!F$61*H$61)</f>
        <v>0</v>
      </c>
      <c r="I46" s="268">
        <f>IF('10.0.4'!G$62=0,0,'10.0.4'!G46/'10.0.4'!G$62*I$61)</f>
        <v>0</v>
      </c>
      <c r="J46" s="268">
        <f>IF('10.0.4'!H$62=0,0,'10.0.4'!H46/'10.0.4'!H$62*J$61)</f>
        <v>0</v>
      </c>
      <c r="K46" s="268">
        <f>IF('10.0.4'!I$62=0,0,'10.0.4'!I46/'10.0.4'!I$62*K$61)</f>
        <v>0</v>
      </c>
      <c r="L46" s="268">
        <f>IF('10.0.4'!J$62=0,0,'10.0.4'!J46/'10.0.4'!J$62*L$61)</f>
        <v>0</v>
      </c>
      <c r="M46" s="268"/>
      <c r="N46" s="268">
        <f t="shared" si="9"/>
        <v>659.457585419711</v>
      </c>
    </row>
    <row r="47" spans="1:14" ht="11.25">
      <c r="A47" s="81">
        <f t="shared" si="10"/>
        <v>38</v>
      </c>
      <c r="B47" s="35" t="str">
        <f>'10.0.4'!B47</f>
        <v>INTERNATIONAL MAIL</v>
      </c>
      <c r="C47" s="268">
        <f>IF('10.0.3 P2'!$G$61=0,0,'10.0.3 P2'!G47/'10.0.3 P2'!$G$61*C$61)</f>
        <v>1323.4711732710655</v>
      </c>
      <c r="D47" s="268">
        <f>IF('10.0.3 P2'!$J$61=0,0,'10.0.3 P2'!J47/'10.0.3 P2'!$J$61*D$61)</f>
        <v>812.0770843225202</v>
      </c>
      <c r="E47" s="268">
        <f>IF('10.0.4'!D$62=0,0,'10.0.4'!D47/'10.0.4'!D$62*E$61)</f>
        <v>310.9747594264217</v>
      </c>
      <c r="F47" s="268">
        <f>IF('10.0.4'!E$62=0,0,'10.0.4'!E47/'10.0.4'!E$62*F$61)</f>
        <v>10.427730785542499</v>
      </c>
      <c r="G47" s="268">
        <f>IF('10.0.4'!F$62=0,0,'10.0.4'!F47/'10.0.4'!F$62*G$61)</f>
        <v>0</v>
      </c>
      <c r="H47" s="268">
        <f>IF('10.0.3 P2'!F$61=0,0,'10.0.3 P2'!F47/'10.0.3 P2'!F$61*H$61)</f>
        <v>0</v>
      </c>
      <c r="I47" s="268">
        <f>IF('10.0.4'!G$62=0,0,'10.0.4'!G47/'10.0.4'!G$62*I$61)</f>
        <v>1.556554347040873</v>
      </c>
      <c r="J47" s="268">
        <f>IF('10.0.4'!H$62=0,0,'10.0.4'!H47/'10.0.4'!H$62*J$61)</f>
        <v>46.01832978119585</v>
      </c>
      <c r="K47" s="268">
        <f>IF('10.0.4'!I$62=0,0,'10.0.4'!I47/'10.0.4'!I$62*K$61)</f>
        <v>95.33808247855879</v>
      </c>
      <c r="L47" s="268">
        <f>IF('10.0.4'!J$62=0,0,'10.0.4'!J47/'10.0.4'!J$62*L$61)</f>
        <v>0</v>
      </c>
      <c r="M47" s="268"/>
      <c r="N47" s="268">
        <f t="shared" si="9"/>
        <v>2599.863714412345</v>
      </c>
    </row>
    <row r="48" spans="1:14" ht="11.25">
      <c r="A48" s="82">
        <f t="shared" si="10"/>
        <v>39</v>
      </c>
      <c r="B48" s="39" t="str">
        <f>'10.0.4'!B49</f>
        <v>TOTAL MAIL</v>
      </c>
      <c r="C48" s="290">
        <f>SUM(C17:C20,C27,C38,C44:C47)</f>
        <v>318955.65162958193</v>
      </c>
      <c r="D48" s="290">
        <f aca="true" t="shared" si="12" ref="D48:N48">SUM(D17:D20,D27,D38,D44:D47)</f>
        <v>762266.4021905866</v>
      </c>
      <c r="E48" s="290">
        <f t="shared" si="12"/>
        <v>67752.44195837538</v>
      </c>
      <c r="F48" s="290">
        <f t="shared" si="12"/>
        <v>53892.8381326053</v>
      </c>
      <c r="G48" s="290">
        <f t="shared" si="12"/>
        <v>5425.887170848499</v>
      </c>
      <c r="H48" s="290">
        <f t="shared" si="12"/>
        <v>133296.9586365385</v>
      </c>
      <c r="I48" s="290">
        <f t="shared" si="12"/>
        <v>493.34125277045456</v>
      </c>
      <c r="J48" s="290">
        <f t="shared" si="12"/>
        <v>41503.92413481855</v>
      </c>
      <c r="K48" s="290">
        <f t="shared" si="12"/>
        <v>11638.33732471729</v>
      </c>
      <c r="L48" s="290">
        <f t="shared" si="12"/>
        <v>72.31603860121884</v>
      </c>
      <c r="M48" s="290"/>
      <c r="N48" s="290">
        <f t="shared" si="12"/>
        <v>1395298.0984694439</v>
      </c>
    </row>
    <row r="49" spans="1:14" ht="11.25">
      <c r="A49" s="81">
        <f t="shared" si="10"/>
        <v>40</v>
      </c>
      <c r="B49" s="35" t="str">
        <f>'10.0.4'!B50</f>
        <v>SPECIAL SERVICES:</v>
      </c>
      <c r="C49" s="268"/>
      <c r="D49" s="268"/>
      <c r="E49" s="268"/>
      <c r="F49" s="268"/>
      <c r="G49" s="268"/>
      <c r="H49" s="268"/>
      <c r="I49" s="268"/>
      <c r="J49" s="268"/>
      <c r="K49" s="268"/>
      <c r="L49" s="268"/>
      <c r="M49" s="268"/>
      <c r="N49" s="268"/>
    </row>
    <row r="50" spans="1:14" ht="11.25">
      <c r="A50" s="81">
        <f t="shared" si="10"/>
        <v>41</v>
      </c>
      <c r="B50" s="34" t="str">
        <f>'10.0.4'!B51</f>
        <v>   REGISTRY</v>
      </c>
      <c r="C50" s="268">
        <f>IF('10.0.3 P2'!$G$61=0,0,'10.0.3 P2'!G50/'10.0.3 P2'!$G$61*C$61)</f>
        <v>0</v>
      </c>
      <c r="D50" s="268">
        <f>IF('10.0.3 P2'!$J$61=0,0,'10.0.3 P2'!J50/'10.0.3 P2'!$J$61*D$61)</f>
        <v>0</v>
      </c>
      <c r="E50" s="268">
        <f>IF('10.0.4'!D$62=0,0,'10.0.4'!D51/'10.0.4'!D$62*E$61)</f>
        <v>0</v>
      </c>
      <c r="F50" s="268">
        <f>IF('10.0.4'!E$62=0,0,'10.0.4'!E51/'10.0.4'!E$62*F$61)</f>
        <v>0</v>
      </c>
      <c r="G50" s="268">
        <f>IF('10.0.4'!F$62=0,0,'10.0.4'!F51/'10.0.4'!F$62*G$61)</f>
        <v>2255.565105664503</v>
      </c>
      <c r="H50" s="268">
        <f>IF('10.0.3 P2'!F$61=0,0,'10.0.3 P2'!F50/'10.0.3 P2'!F$61*H$61)</f>
        <v>0</v>
      </c>
      <c r="I50" s="268">
        <f>IF('10.0.4'!G$62=0,0,'10.0.4'!G51/'10.0.4'!G$62*I$61)</f>
        <v>0</v>
      </c>
      <c r="J50" s="268">
        <f>IF('10.0.4'!H$62=0,0,'10.0.4'!H51/'10.0.4'!H$62*J$61)</f>
        <v>0</v>
      </c>
      <c r="K50" s="268">
        <f>IF('10.0.4'!I$62=0,0,'10.0.4'!I51/'10.0.4'!I$62*K$61)</f>
        <v>0</v>
      </c>
      <c r="L50" s="268">
        <f>IF('10.0.4'!J$62=0,0,'10.0.4'!J51/'10.0.4'!J$62*L$61)</f>
        <v>64.21165496487535</v>
      </c>
      <c r="M50" s="268"/>
      <c r="N50" s="268">
        <f aca="true" t="shared" si="13" ref="N50:N59">SUM(C50:M50)</f>
        <v>2319.7767606293783</v>
      </c>
    </row>
    <row r="51" spans="1:14" ht="11.25">
      <c r="A51" s="81">
        <f t="shared" si="10"/>
        <v>42</v>
      </c>
      <c r="B51" s="34" t="str">
        <f>'10.0.4'!B52</f>
        <v>   CERTIFIED</v>
      </c>
      <c r="C51" s="268">
        <f>IF('10.0.3 P2'!$G$61=0,0,'10.0.3 P2'!G51/'10.0.3 P2'!$G$61*C$61)</f>
        <v>0</v>
      </c>
      <c r="D51" s="268">
        <f>IF('10.0.3 P2'!$J$61=0,0,'10.0.3 P2'!J51/'10.0.3 P2'!$J$61*D$61)</f>
        <v>0</v>
      </c>
      <c r="E51" s="268">
        <f>IF('10.0.4'!D$62=0,0,'10.0.4'!D52/'10.0.4'!D$62*E$61)</f>
        <v>0</v>
      </c>
      <c r="F51" s="268">
        <f>IF('10.0.4'!E$62=0,0,'10.0.4'!E52/'10.0.4'!E$62*F$61)</f>
        <v>0</v>
      </c>
      <c r="G51" s="268">
        <f>IF('10.0.4'!F$62=0,0,'10.0.4'!F52/'10.0.4'!F$62*G$61)</f>
        <v>54945.983671229085</v>
      </c>
      <c r="H51" s="268">
        <f>IF('10.0.3 P2'!F$61=0,0,'10.0.3 P2'!F51/'10.0.3 P2'!F$61*H$61)</f>
        <v>0</v>
      </c>
      <c r="I51" s="268">
        <f>IF('10.0.4'!G$62=0,0,'10.0.4'!G52/'10.0.4'!G$62*I$61)</f>
        <v>0</v>
      </c>
      <c r="J51" s="268">
        <f>IF('10.0.4'!H$62=0,0,'10.0.4'!H52/'10.0.4'!H$62*J$61)</f>
        <v>0</v>
      </c>
      <c r="K51" s="268">
        <f>IF('10.0.4'!I$62=0,0,'10.0.4'!I52/'10.0.4'!I$62*K$61)</f>
        <v>0</v>
      </c>
      <c r="L51" s="268">
        <f>IF('10.0.4'!J$62=0,0,'10.0.4'!J52/'10.0.4'!J$62*L$61)</f>
        <v>1010.8660051023822</v>
      </c>
      <c r="M51" s="268"/>
      <c r="N51" s="268">
        <f t="shared" si="13"/>
        <v>55956.84967633147</v>
      </c>
    </row>
    <row r="52" spans="1:14" ht="11.25">
      <c r="A52" s="81">
        <f t="shared" si="10"/>
        <v>43</v>
      </c>
      <c r="B52" s="34" t="str">
        <f>'10.0.4'!B53</f>
        <v>   INSURANCE</v>
      </c>
      <c r="C52" s="268">
        <f>IF('10.0.3 P2'!$G$61=0,0,'10.0.3 P2'!G52/'10.0.3 P2'!$G$61*C$61)</f>
        <v>0</v>
      </c>
      <c r="D52" s="268">
        <f>IF('10.0.3 P2'!$J$61=0,0,'10.0.3 P2'!J52/'10.0.3 P2'!$J$61*D$61)</f>
        <v>0</v>
      </c>
      <c r="E52" s="268">
        <f>IF('10.0.4'!D$62=0,0,'10.0.4'!D53/'10.0.4'!D$62*E$61)</f>
        <v>0</v>
      </c>
      <c r="F52" s="268">
        <f>IF('10.0.4'!E$62=0,0,'10.0.4'!E53/'10.0.4'!E$62*F$61)</f>
        <v>0</v>
      </c>
      <c r="G52" s="268">
        <f>IF('10.0.4'!F$62=0,0,'10.0.4'!F53/'10.0.4'!F$62*G$61)</f>
        <v>4323.166452523631</v>
      </c>
      <c r="H52" s="268">
        <f>IF('10.0.3 P2'!F$61=0,0,'10.0.3 P2'!F52/'10.0.3 P2'!F$61*H$61)</f>
        <v>0</v>
      </c>
      <c r="I52" s="268">
        <f>IF('10.0.4'!G$62=0,0,'10.0.4'!G53/'10.0.4'!G$62*I$61)</f>
        <v>0</v>
      </c>
      <c r="J52" s="268">
        <f>IF('10.0.4'!H$62=0,0,'10.0.4'!H53/'10.0.4'!H$62*J$61)</f>
        <v>0</v>
      </c>
      <c r="K52" s="268">
        <f>IF('10.0.4'!I$62=0,0,'10.0.4'!I53/'10.0.4'!I$62*K$61)</f>
        <v>0</v>
      </c>
      <c r="L52" s="268">
        <f>IF('10.0.4'!J$62=0,0,'10.0.4'!J53/'10.0.4'!J$62*L$61)</f>
        <v>43.32728174814404</v>
      </c>
      <c r="M52" s="268"/>
      <c r="N52" s="268">
        <f t="shared" si="13"/>
        <v>4366.493734271775</v>
      </c>
    </row>
    <row r="53" spans="1:14" ht="11.25">
      <c r="A53" s="81">
        <f t="shared" si="10"/>
        <v>44</v>
      </c>
      <c r="B53" s="34" t="str">
        <f>'10.0.4'!B54</f>
        <v>   COD</v>
      </c>
      <c r="C53" s="268">
        <f>IF('10.0.3 P2'!$G$61=0,0,'10.0.3 P2'!G53/'10.0.3 P2'!$G$61*C$61)</f>
        <v>0</v>
      </c>
      <c r="D53" s="268">
        <f>IF('10.0.3 P2'!$J$61=0,0,'10.0.3 P2'!J53/'10.0.3 P2'!$J$61*D$61)</f>
        <v>0</v>
      </c>
      <c r="E53" s="268">
        <f>IF('10.0.4'!D$62=0,0,'10.0.4'!D54/'10.0.4'!D$62*E$61)</f>
        <v>0</v>
      </c>
      <c r="F53" s="268">
        <f>IF('10.0.4'!E$62=0,0,'10.0.4'!E54/'10.0.4'!E$62*F$61)</f>
        <v>0</v>
      </c>
      <c r="G53" s="268">
        <f>IF('10.0.4'!F$62=0,0,'10.0.4'!F54/'10.0.4'!F$62*G$61)</f>
        <v>0</v>
      </c>
      <c r="H53" s="268">
        <f>IF('10.0.3 P2'!F$61=0,0,'10.0.3 P2'!F53/'10.0.3 P2'!F$61*H$61)</f>
        <v>0</v>
      </c>
      <c r="I53" s="268">
        <f>IF('10.0.4'!G$62=0,0,'10.0.4'!G54/'10.0.4'!G$62*I$61)</f>
        <v>0</v>
      </c>
      <c r="J53" s="268">
        <f>IF('10.0.4'!H$62=0,0,'10.0.4'!H54/'10.0.4'!H$62*J$61)</f>
        <v>0</v>
      </c>
      <c r="K53" s="268">
        <f>IF('10.0.4'!I$62=0,0,'10.0.4'!I54/'10.0.4'!I$62*K$61)</f>
        <v>0</v>
      </c>
      <c r="L53" s="268">
        <f>IF('10.0.4'!J$62=0,0,'10.0.4'!J54/'10.0.4'!J$62*L$61)</f>
        <v>0</v>
      </c>
      <c r="M53" s="268">
        <f>'10.1.1'!L15</f>
        <v>2581.5529117644223</v>
      </c>
      <c r="N53" s="268">
        <f t="shared" si="13"/>
        <v>2581.5529117644223</v>
      </c>
    </row>
    <row r="54" spans="1:14" ht="11.25">
      <c r="A54" s="81">
        <f t="shared" si="10"/>
        <v>45</v>
      </c>
      <c r="B54" s="34" t="str">
        <f>'10.0.4'!B55</f>
        <v>   SPECIAL DELIVERY</v>
      </c>
      <c r="C54" s="268">
        <f>IF('10.0.3 P2'!$G$61=0,0,'10.0.3 P2'!G54/'10.0.3 P2'!$G$61*C$61)</f>
        <v>0</v>
      </c>
      <c r="D54" s="268">
        <f>IF('10.0.3 P2'!$J$61=0,0,'10.0.3 P2'!J54/'10.0.3 P2'!$J$61*D$61)</f>
        <v>0</v>
      </c>
      <c r="E54" s="268">
        <f>IF('10.0.4'!D$62=0,0,'10.0.4'!D55/'10.0.4'!D$62*E$61)</f>
        <v>0</v>
      </c>
      <c r="F54" s="268">
        <f>IF('10.0.4'!E$62=0,0,'10.0.4'!E55/'10.0.4'!E$62*F$61)</f>
        <v>0</v>
      </c>
      <c r="G54" s="268">
        <f>IF('10.0.4'!F$62=0,0,'10.0.4'!F55/'10.0.4'!F$62*G$61)</f>
        <v>0</v>
      </c>
      <c r="H54" s="268">
        <f>IF('10.0.3 P2'!F$61=0,0,'10.0.3 P2'!F54/'10.0.3 P2'!F$61*H$61)</f>
        <v>0</v>
      </c>
      <c r="I54" s="268">
        <f>IF('10.0.4'!G$62=0,0,'10.0.4'!G55/'10.0.4'!G$62*I$61)</f>
        <v>0</v>
      </c>
      <c r="J54" s="268">
        <f>IF('10.0.4'!H$62=0,0,'10.0.4'!H55/'10.0.4'!H$62*J$61)</f>
        <v>0</v>
      </c>
      <c r="K54" s="268">
        <f>IF('10.0.4'!I$62=0,0,'10.0.4'!I55/'10.0.4'!I$62*K$61)</f>
        <v>0</v>
      </c>
      <c r="L54" s="268">
        <f>IF('10.0.4'!J$62=0,0,'10.0.4'!J55/'10.0.4'!J$62*L$61)</f>
        <v>0</v>
      </c>
      <c r="M54" s="268"/>
      <c r="N54" s="268">
        <f t="shared" si="13"/>
        <v>0</v>
      </c>
    </row>
    <row r="55" spans="1:14" ht="11.25">
      <c r="A55" s="81">
        <f t="shared" si="10"/>
        <v>46</v>
      </c>
      <c r="B55" s="34" t="str">
        <f>'10.0.4'!B56</f>
        <v>   MONEY ORDERS</v>
      </c>
      <c r="C55" s="268">
        <f>IF('10.0.3 P2'!$G$61=0,0,'10.0.3 P2'!G55/'10.0.3 P2'!$G$61*C$61)</f>
        <v>0</v>
      </c>
      <c r="D55" s="268">
        <f>IF('10.0.3 P2'!$J$61=0,0,'10.0.3 P2'!J55/'10.0.3 P2'!$J$61*D$61)</f>
        <v>0</v>
      </c>
      <c r="E55" s="268">
        <f>IF('10.0.4'!D$62=0,0,'10.0.4'!D56/'10.0.4'!D$62*E$61)</f>
        <v>0</v>
      </c>
      <c r="F55" s="268">
        <f>IF('10.0.4'!E$62=0,0,'10.0.4'!E56/'10.0.4'!E$62*F$61)</f>
        <v>0</v>
      </c>
      <c r="G55" s="268">
        <f>IF('10.0.4'!F$62=0,0,'10.0.4'!F56/'10.0.4'!F$62*G$61)</f>
        <v>0</v>
      </c>
      <c r="H55" s="268">
        <f>IF('10.0.3 P2'!F$61=0,0,'10.0.3 P2'!F55/'10.0.3 P2'!F$61*H$61)</f>
        <v>0</v>
      </c>
      <c r="I55" s="268">
        <f>IF('10.0.4'!G$62=0,0,'10.0.4'!G56/'10.0.4'!G$62*I$61)</f>
        <v>0</v>
      </c>
      <c r="J55" s="268">
        <f>IF('10.0.4'!H$62=0,0,'10.0.4'!H56/'10.0.4'!H$62*J$61)</f>
        <v>0</v>
      </c>
      <c r="K55" s="268">
        <f>IF('10.0.4'!I$62=0,0,'10.0.4'!I56/'10.0.4'!I$62*K$61)</f>
        <v>0</v>
      </c>
      <c r="L55" s="268">
        <f>IF('10.0.4'!J$62=0,0,'10.0.4'!J56/'10.0.4'!J$62*L$61)</f>
        <v>0</v>
      </c>
      <c r="M55" s="268">
        <f>'10.1.1'!L24</f>
        <v>1008.2717979334285</v>
      </c>
      <c r="N55" s="268">
        <f t="shared" si="13"/>
        <v>1008.2717979334285</v>
      </c>
    </row>
    <row r="56" spans="1:14" ht="11.25">
      <c r="A56" s="81">
        <f t="shared" si="10"/>
        <v>47</v>
      </c>
      <c r="B56" s="34" t="str">
        <f>'10.0.4'!B57</f>
        <v>   STMPD CARDS &amp; ENVELOPES</v>
      </c>
      <c r="C56" s="268">
        <f>IF('10.0.3 P2'!$G$61=0,0,'10.0.3 P2'!G56/'10.0.3 P2'!$G$61*C$61)</f>
        <v>0</v>
      </c>
      <c r="D56" s="268">
        <f>IF('10.0.3 P2'!$J$61=0,0,'10.0.3 P2'!J56/'10.0.3 P2'!$J$61*D$61)</f>
        <v>0</v>
      </c>
      <c r="E56" s="268">
        <f>IF('10.0.4'!D$62=0,0,'10.0.4'!D57/'10.0.4'!D$62*E$61)</f>
        <v>0</v>
      </c>
      <c r="F56" s="268">
        <f>IF('10.0.4'!E$62=0,0,'10.0.4'!E57/'10.0.4'!E$62*F$61)</f>
        <v>0</v>
      </c>
      <c r="G56" s="268">
        <f>IF('10.0.4'!F$62=0,0,'10.0.4'!F57/'10.0.4'!F$62*G$61)</f>
        <v>0</v>
      </c>
      <c r="H56" s="268">
        <f>IF('10.0.3 P2'!F$61=0,0,'10.0.3 P2'!F56/'10.0.3 P2'!F$61*H$61)</f>
        <v>0</v>
      </c>
      <c r="I56" s="268">
        <f>IF('10.0.4'!G$62=0,0,'10.0.4'!G57/'10.0.4'!G$62*I$61)</f>
        <v>0</v>
      </c>
      <c r="J56" s="268">
        <f>IF('10.0.4'!H$62=0,0,'10.0.4'!H57/'10.0.4'!H$62*J$61)</f>
        <v>0</v>
      </c>
      <c r="K56" s="268">
        <f>IF('10.0.4'!I$62=0,0,'10.0.4'!I57/'10.0.4'!I$62*K$61)</f>
        <v>0</v>
      </c>
      <c r="L56" s="268">
        <f>IF('10.0.4'!J$62=0,0,'10.0.4'!J57/'10.0.4'!J$62*L$61)</f>
        <v>0</v>
      </c>
      <c r="M56" s="268"/>
      <c r="N56" s="268">
        <f t="shared" si="13"/>
        <v>0</v>
      </c>
    </row>
    <row r="57" spans="1:14" ht="11.25">
      <c r="A57" s="81">
        <f t="shared" si="10"/>
        <v>48</v>
      </c>
      <c r="B57" s="34" t="str">
        <f>'10.0.4'!B58</f>
        <v>   SPECIAL HANDLING</v>
      </c>
      <c r="C57" s="268">
        <f>IF('10.0.3 P2'!$G$61=0,0,'10.0.3 P2'!G57/'10.0.3 P2'!$G$61*C$61)</f>
        <v>0</v>
      </c>
      <c r="D57" s="268">
        <f>IF('10.0.3 P2'!$J$61=0,0,'10.0.3 P2'!J57/'10.0.3 P2'!$J$61*D$61)</f>
        <v>0</v>
      </c>
      <c r="E57" s="268">
        <f>IF('10.0.4'!D$62=0,0,'10.0.4'!D58/'10.0.4'!D$62*E$61)</f>
        <v>0</v>
      </c>
      <c r="F57" s="268">
        <f>IF('10.0.4'!E$62=0,0,'10.0.4'!E58/'10.0.4'!E$62*F$61)</f>
        <v>0</v>
      </c>
      <c r="G57" s="268">
        <f>IF('10.0.4'!F$62=0,0,'10.0.4'!F58/'10.0.4'!F$62*G$61)</f>
        <v>0</v>
      </c>
      <c r="H57" s="268">
        <f>IF('10.0.3 P2'!F$61=0,0,'10.0.3 P2'!F57/'10.0.3 P2'!F$61*H$61)</f>
        <v>0</v>
      </c>
      <c r="I57" s="268">
        <f>IF('10.0.4'!G$62=0,0,'10.0.4'!G58/'10.0.4'!G$62*I$61)</f>
        <v>0</v>
      </c>
      <c r="J57" s="268">
        <f>IF('10.0.4'!H$62=0,0,'10.0.4'!H58/'10.0.4'!H$62*J$61)</f>
        <v>0</v>
      </c>
      <c r="K57" s="268">
        <f>IF('10.0.4'!I$62=0,0,'10.0.4'!I58/'10.0.4'!I$62*K$61)</f>
        <v>0</v>
      </c>
      <c r="L57" s="268">
        <f>IF('10.0.4'!J$62=0,0,'10.0.4'!J58/'10.0.4'!J$62*L$61)</f>
        <v>0</v>
      </c>
      <c r="M57" s="268"/>
      <c r="N57" s="268">
        <f t="shared" si="13"/>
        <v>0</v>
      </c>
    </row>
    <row r="58" spans="1:14" ht="11.25">
      <c r="A58" s="81">
        <f t="shared" si="10"/>
        <v>49</v>
      </c>
      <c r="B58" s="34" t="str">
        <f>'10.0.4'!B59</f>
        <v>   POST OFFICE BOX</v>
      </c>
      <c r="C58" s="268">
        <f>IF('10.0.3 P2'!$G$61=0,0,'10.0.3 P2'!G58/'10.0.3 P2'!$G$61*C$61)</f>
        <v>0</v>
      </c>
      <c r="D58" s="268">
        <f>IF('10.0.3 P2'!$J$61=0,0,'10.0.3 P2'!J58/'10.0.3 P2'!$J$61*D$61)</f>
        <v>0</v>
      </c>
      <c r="E58" s="268">
        <f>IF('10.0.4'!D$62=0,0,'10.0.4'!D59/'10.0.4'!D$62*E$61)</f>
        <v>0</v>
      </c>
      <c r="F58" s="268">
        <f>IF('10.0.4'!E$62=0,0,'10.0.4'!E59/'10.0.4'!E$62*F$61)</f>
        <v>0</v>
      </c>
      <c r="G58" s="268">
        <f>IF('10.0.4'!F$62=0,0,'10.0.4'!F59/'10.0.4'!F$62*G$61)</f>
        <v>0</v>
      </c>
      <c r="H58" s="268">
        <f>IF('10.0.3 P2'!F$61=0,0,'10.0.3 P2'!F58/'10.0.3 P2'!F$61*H$61)</f>
        <v>0</v>
      </c>
      <c r="I58" s="268">
        <f>IF('10.0.4'!G$62=0,0,'10.0.4'!G59/'10.0.4'!G$62*I$61)</f>
        <v>0</v>
      </c>
      <c r="J58" s="268">
        <f>IF('10.0.4'!H$62=0,0,'10.0.4'!H59/'10.0.4'!H$62*J$61)</f>
        <v>0</v>
      </c>
      <c r="K58" s="268">
        <f>IF('10.0.4'!I$62=0,0,'10.0.4'!I59/'10.0.4'!I$62*K$61)</f>
        <v>0</v>
      </c>
      <c r="L58" s="268">
        <f>IF('10.0.4'!J$62=0,0,'10.0.4'!J59/'10.0.4'!J$62*L$61)</f>
        <v>0</v>
      </c>
      <c r="M58" s="268"/>
      <c r="N58" s="268">
        <f t="shared" si="13"/>
        <v>0</v>
      </c>
    </row>
    <row r="59" spans="1:14" ht="11.25">
      <c r="A59" s="81">
        <f t="shared" si="10"/>
        <v>50</v>
      </c>
      <c r="B59" s="34" t="str">
        <f>'10.0.4'!B60</f>
        <v>   OTHER</v>
      </c>
      <c r="C59" s="268">
        <f>IF('10.0.3 P2'!$G$61=0,0,'10.0.3 P2'!G59/'10.0.3 P2'!$G$61*C$61)</f>
        <v>0</v>
      </c>
      <c r="D59" s="268">
        <f>IF('10.0.3 P2'!$J$61=0,0,'10.0.3 P2'!J59/'10.0.3 P2'!$J$61*D$61)</f>
        <v>0</v>
      </c>
      <c r="E59" s="268">
        <f>IF('10.0.4'!D$62=0,0,'10.0.4'!D60/'10.0.4'!D$62*E$61)</f>
        <v>0</v>
      </c>
      <c r="F59" s="268">
        <f>IF('10.0.4'!E$62=0,0,'10.0.4'!E60/'10.0.4'!E$62*F$61)</f>
        <v>0</v>
      </c>
      <c r="G59" s="268">
        <f>IF('10.0.4'!F$62=0,0,'10.0.4'!F60/'10.0.4'!F$62*G$61)</f>
        <v>0</v>
      </c>
      <c r="H59" s="268">
        <f>IF('10.0.3 P2'!F$61=0,0,'10.0.3 P2'!F59/'10.0.3 P2'!F$61*H$61)</f>
        <v>0</v>
      </c>
      <c r="I59" s="268">
        <f>IF('10.0.4'!G$62=0,0,'10.0.4'!G60/'10.0.4'!G$62*I$61)</f>
        <v>0</v>
      </c>
      <c r="J59" s="268">
        <f>IF('10.0.4'!H$62=0,0,'10.0.4'!H60/'10.0.4'!H$62*J$61)</f>
        <v>0</v>
      </c>
      <c r="K59" s="268">
        <f>IF('10.0.4'!I$62=0,0,'10.0.4'!I60/'10.0.4'!I$62*K$61)</f>
        <v>0</v>
      </c>
      <c r="L59" s="268">
        <f>IF('10.0.4'!J$62=0,0,'10.0.4'!J60/'10.0.4'!J$62*L$61)</f>
        <v>0</v>
      </c>
      <c r="M59" s="268">
        <f>'10.1.1'!L20</f>
        <v>19.97333007167832</v>
      </c>
      <c r="N59" s="268">
        <f t="shared" si="13"/>
        <v>19.97333007167832</v>
      </c>
    </row>
    <row r="60" spans="1:14" ht="11.25">
      <c r="A60" s="82">
        <f t="shared" si="10"/>
        <v>51</v>
      </c>
      <c r="B60" s="39" t="str">
        <f>'10.0.4'!B61</f>
        <v>TOTAL SPECIAL SERVICES</v>
      </c>
      <c r="C60" s="269">
        <f>SUM(C50:C59)</f>
        <v>0</v>
      </c>
      <c r="D60" s="269">
        <f aca="true" t="shared" si="14" ref="D60:N60">SUM(D50:D59)</f>
        <v>0</v>
      </c>
      <c r="E60" s="269">
        <f t="shared" si="14"/>
        <v>0</v>
      </c>
      <c r="F60" s="269">
        <f t="shared" si="14"/>
        <v>0</v>
      </c>
      <c r="G60" s="269">
        <f t="shared" si="14"/>
        <v>61524.71522941722</v>
      </c>
      <c r="H60" s="269">
        <f t="shared" si="14"/>
        <v>0</v>
      </c>
      <c r="I60" s="269">
        <f t="shared" si="14"/>
        <v>0</v>
      </c>
      <c r="J60" s="269">
        <f t="shared" si="14"/>
        <v>0</v>
      </c>
      <c r="K60" s="269">
        <f t="shared" si="14"/>
        <v>0</v>
      </c>
      <c r="L60" s="269">
        <f t="shared" si="14"/>
        <v>1118.4049418154016</v>
      </c>
      <c r="M60" s="269">
        <f t="shared" si="14"/>
        <v>3609.798039769529</v>
      </c>
      <c r="N60" s="269">
        <f t="shared" si="14"/>
        <v>66252.91821100215</v>
      </c>
    </row>
    <row r="61" spans="1:14" ht="11.25">
      <c r="A61" s="81">
        <f>A60+1</f>
        <v>52</v>
      </c>
      <c r="B61" s="36" t="str">
        <f>"TOTAL VOLUME VARIABLE"</f>
        <v>TOTAL VOLUME VARIABLE</v>
      </c>
      <c r="C61" s="291">
        <f>'10.1.1'!L11</f>
        <v>318955.65162958193</v>
      </c>
      <c r="D61" s="291">
        <f>'10.1.1'!L12</f>
        <v>762266.4021905864</v>
      </c>
      <c r="E61" s="291">
        <f>'10.1.1'!L13</f>
        <v>67752.44195837538</v>
      </c>
      <c r="F61" s="291">
        <f>'10.1.1'!L14</f>
        <v>53892.8381326053</v>
      </c>
      <c r="G61" s="291">
        <f>'10.1.1'!L16</f>
        <v>66950.60240026572</v>
      </c>
      <c r="H61" s="291">
        <f>'10.1.1'!L17+'10.1.1'!L18</f>
        <v>133296.9586365385</v>
      </c>
      <c r="I61" s="291">
        <f>'10.1.1'!L19</f>
        <v>493.3412527704545</v>
      </c>
      <c r="J61" s="291">
        <f>'10.1.1'!L21</f>
        <v>41503.92413481855</v>
      </c>
      <c r="K61" s="291">
        <f>'10.1.1'!L22</f>
        <v>11638.33732471729</v>
      </c>
      <c r="L61" s="291">
        <f>'10.1.1'!L23</f>
        <v>1190.7209804166205</v>
      </c>
      <c r="M61" s="291">
        <f>M48+M60</f>
        <v>3609.798039769529</v>
      </c>
      <c r="N61" s="291">
        <f>SUM(C61:M61)</f>
        <v>1461551.0166804455</v>
      </c>
    </row>
    <row r="62" spans="1:14" ht="11.25">
      <c r="A62" s="81">
        <f>A61+1</f>
        <v>53</v>
      </c>
      <c r="B62" s="35" t="s">
        <v>100</v>
      </c>
      <c r="C62" s="268"/>
      <c r="D62" s="268"/>
      <c r="E62" s="268"/>
      <c r="F62" s="268"/>
      <c r="G62" s="268"/>
      <c r="H62" s="268"/>
      <c r="I62" s="268"/>
      <c r="J62" s="268"/>
      <c r="K62" s="268"/>
      <c r="L62" s="268"/>
      <c r="M62" s="268"/>
      <c r="N62" s="268">
        <f>'10.0.1'!G10</f>
        <v>1585251.1861138963</v>
      </c>
    </row>
    <row r="63" spans="1:14" ht="11.25">
      <c r="A63" s="82">
        <f>A62+1</f>
        <v>54</v>
      </c>
      <c r="B63" s="37" t="s">
        <v>101</v>
      </c>
      <c r="C63" s="269"/>
      <c r="D63" s="269"/>
      <c r="E63" s="269"/>
      <c r="F63" s="269"/>
      <c r="G63" s="269"/>
      <c r="H63" s="269"/>
      <c r="I63" s="269"/>
      <c r="J63" s="269"/>
      <c r="K63" s="269"/>
      <c r="L63" s="269"/>
      <c r="M63" s="269"/>
      <c r="N63" s="269">
        <f>N61+N62</f>
        <v>3046802.202794342</v>
      </c>
    </row>
    <row r="64" spans="1:14" ht="11.25">
      <c r="A64" s="54"/>
      <c r="B64" s="54"/>
      <c r="C64" s="54"/>
      <c r="D64" s="54"/>
      <c r="E64" s="54"/>
      <c r="F64" s="54"/>
      <c r="G64" s="54"/>
      <c r="H64" s="54"/>
      <c r="I64" s="54"/>
      <c r="J64" s="54"/>
      <c r="K64" s="54"/>
      <c r="L64" s="54"/>
      <c r="M64" s="54"/>
      <c r="N64" s="54"/>
    </row>
  </sheetData>
  <printOptions/>
  <pageMargins left="0.5" right="0.5" top="1" bottom="0.5" header="0.75" footer="0.25"/>
  <pageSetup horizontalDpi="300" verticalDpi="300" orientation="landscape" scale="85" r:id="rId1"/>
  <rowBreaks count="1" manualBreakCount="1">
    <brk id="38" max="65535" man="1"/>
  </rowBreaks>
</worksheet>
</file>

<file path=xl/worksheets/sheet12.xml><?xml version="1.0" encoding="utf-8"?>
<worksheet xmlns="http://schemas.openxmlformats.org/spreadsheetml/2006/main" xmlns:r="http://schemas.openxmlformats.org/officeDocument/2006/relationships">
  <sheetPr>
    <pageSetUpPr fitToPage="1"/>
  </sheetPr>
  <dimension ref="A1:M28"/>
  <sheetViews>
    <sheetView workbookViewId="0" topLeftCell="A1">
      <selection activeCell="A1" sqref="A1"/>
    </sheetView>
  </sheetViews>
  <sheetFormatPr defaultColWidth="8.88671875" defaultRowHeight="15.75"/>
  <cols>
    <col min="1" max="1" width="3.21484375" style="7" customWidth="1"/>
    <col min="2" max="2" width="17.77734375" style="7" customWidth="1"/>
    <col min="3" max="3" width="11.10546875" style="7" customWidth="1"/>
    <col min="4" max="5" width="8.4453125" style="7" customWidth="1"/>
    <col min="6" max="7" width="8.77734375" style="7" customWidth="1"/>
    <col min="8" max="8" width="9.10546875" style="7" customWidth="1"/>
    <col min="9" max="9" width="9.88671875" style="7" customWidth="1"/>
    <col min="10" max="10" width="8.6640625" style="7" customWidth="1"/>
    <col min="11" max="11" width="8.77734375" style="7" customWidth="1"/>
    <col min="12" max="12" width="8.4453125" style="7" customWidth="1"/>
    <col min="13" max="13" width="4.99609375" style="7" customWidth="1"/>
    <col min="14" max="16384" width="8.88671875" style="7" customWidth="1"/>
  </cols>
  <sheetData>
    <row r="1" s="6" customFormat="1" ht="12.75" customHeight="1">
      <c r="A1" s="163" t="str">
        <f>Doc!A1</f>
        <v>Base Year 1998 - USPS Version</v>
      </c>
    </row>
    <row r="2" s="6" customFormat="1" ht="12.75" customHeight="1">
      <c r="A2" s="163" t="str">
        <f>Doc!A2</f>
        <v>C/S 10 RURAL CARRIERS</v>
      </c>
    </row>
    <row r="3" spans="1:2" s="6" customFormat="1" ht="12.75" customHeight="1">
      <c r="A3" s="166" t="str">
        <f>Doc!A13&amp;" "&amp;Doc!B13</f>
        <v>WS 10.2.1 DEVELOPMENT OF OTHER ROUTE VVC</v>
      </c>
      <c r="B3" s="167"/>
    </row>
    <row r="4" spans="1:2" s="6" customFormat="1" ht="12.75" customHeight="1">
      <c r="A4" s="198"/>
      <c r="B4" s="199"/>
    </row>
    <row r="5" spans="1:13" s="320" customFormat="1" ht="33.75">
      <c r="A5" s="177" t="s">
        <v>37</v>
      </c>
      <c r="B5" s="201" t="s">
        <v>215</v>
      </c>
      <c r="C5" s="179" t="s">
        <v>216</v>
      </c>
      <c r="D5" s="177" t="str">
        <f>Inputs!E49</f>
        <v>EVALUATION FACTOR</v>
      </c>
      <c r="E5" s="179" t="s">
        <v>217</v>
      </c>
      <c r="F5" s="177" t="s">
        <v>218</v>
      </c>
      <c r="G5" s="177" t="s">
        <v>219</v>
      </c>
      <c r="H5" s="179" t="s">
        <v>220</v>
      </c>
      <c r="I5" s="177" t="s">
        <v>34</v>
      </c>
      <c r="J5" s="177" t="s">
        <v>221</v>
      </c>
      <c r="K5" s="177" t="s">
        <v>222</v>
      </c>
      <c r="L5" s="177" t="s">
        <v>223</v>
      </c>
      <c r="M5" s="319"/>
    </row>
    <row r="6" spans="1:13" ht="11.25" customHeight="1">
      <c r="A6" s="21"/>
      <c r="B6" s="154" t="s">
        <v>43</v>
      </c>
      <c r="C6" s="23">
        <v>-1</v>
      </c>
      <c r="D6" s="23">
        <f aca="true" t="shared" si="0" ref="D6:L6">C6-1</f>
        <v>-2</v>
      </c>
      <c r="E6" s="23">
        <f t="shared" si="0"/>
        <v>-3</v>
      </c>
      <c r="F6" s="23">
        <f t="shared" si="0"/>
        <v>-4</v>
      </c>
      <c r="G6" s="23">
        <f t="shared" si="0"/>
        <v>-5</v>
      </c>
      <c r="H6" s="23">
        <f t="shared" si="0"/>
        <v>-6</v>
      </c>
      <c r="I6" s="23">
        <f t="shared" si="0"/>
        <v>-7</v>
      </c>
      <c r="J6" s="23">
        <f t="shared" si="0"/>
        <v>-8</v>
      </c>
      <c r="K6" s="23">
        <f t="shared" si="0"/>
        <v>-9</v>
      </c>
      <c r="L6" s="23">
        <f t="shared" si="0"/>
        <v>-10</v>
      </c>
      <c r="M6" s="21"/>
    </row>
    <row r="7" spans="1:13" ht="22.5">
      <c r="A7" s="21"/>
      <c r="B7" s="146" t="s">
        <v>185</v>
      </c>
      <c r="C7" s="113"/>
      <c r="D7" s="113"/>
      <c r="E7" s="114" t="str">
        <f>"=C"&amp;-C6&amp;"xC"&amp;-D6</f>
        <v>=C1xC2</v>
      </c>
      <c r="F7" s="101" t="str">
        <f>"C"&amp;-E$6&amp;"L"&amp;A$25&amp;" dist on C"&amp;-E$6&amp;"L"&amp;A$11&amp;"...L"&amp;A$20</f>
        <v>C3L16 dist on C3L2...L11</v>
      </c>
      <c r="G7" s="101" t="str">
        <f>"C"&amp;-E$6&amp;"L"&amp;A$26&amp;" dist on C"&amp;-E$6&amp;"L"&amp;A$11&amp;"...L"&amp;A$20</f>
        <v>C3L17 dist on C3L2...L11</v>
      </c>
      <c r="H7" s="114" t="str">
        <f>"=C"&amp;-E6&amp;"...C"&amp;-G6</f>
        <v>=C3...C5</v>
      </c>
      <c r="I7" s="101" t="str">
        <f>"C"&amp;-I6&amp;"L"&amp;A27&amp;" dist on C"&amp;-H6</f>
        <v>C7L18 dist on C6</v>
      </c>
      <c r="J7" s="101"/>
      <c r="K7" s="101" t="str">
        <f>"-C"&amp;-K6&amp;"L"&amp;A13&amp;" dist on C"&amp;-I6&amp;"L"&amp;A11&amp;"..L"&amp;A12</f>
        <v>-C9L4 dist on C7L2..L3</v>
      </c>
      <c r="L7" s="114" t="str">
        <f>"=C"&amp;-I6&amp;"+C"&amp;-K6</f>
        <v>=C7+C9</v>
      </c>
      <c r="M7" s="21"/>
    </row>
    <row r="8" spans="1:13" ht="22.5">
      <c r="A8" s="21"/>
      <c r="B8" s="146" t="s">
        <v>44</v>
      </c>
      <c r="C8" s="101" t="str">
        <f>Inputs!C50</f>
        <v>Pieces/ Week</v>
      </c>
      <c r="D8" s="101" t="str">
        <f>Inputs!E50</f>
        <v>Minutes/ Piece</v>
      </c>
      <c r="E8" s="101" t="s">
        <v>224</v>
      </c>
      <c r="F8" s="101" t="str">
        <f>E8</f>
        <v>Minutes/ Week</v>
      </c>
      <c r="G8" s="101" t="str">
        <f>E8</f>
        <v>Minutes/ Week</v>
      </c>
      <c r="H8" s="101" t="str">
        <f>E8</f>
        <v>Minutes/ Week</v>
      </c>
      <c r="I8" s="112" t="s">
        <v>45</v>
      </c>
      <c r="J8" s="101" t="s">
        <v>107</v>
      </c>
      <c r="K8" s="112" t="s">
        <v>45</v>
      </c>
      <c r="L8" s="112" t="s">
        <v>45</v>
      </c>
      <c r="M8" s="21"/>
    </row>
    <row r="9" spans="1:13" ht="22.5">
      <c r="A9" s="22"/>
      <c r="B9" s="149" t="s">
        <v>46</v>
      </c>
      <c r="C9" s="64" t="str">
        <f>Inputs!D52</f>
        <v>R97-1, LR-H-192</v>
      </c>
      <c r="D9" s="64" t="str">
        <f>Inputs!E52</f>
        <v>R97-1, LR H-33, Sec VI</v>
      </c>
      <c r="E9" s="321"/>
      <c r="F9" s="64" t="str">
        <f>"C"&amp;-F$6&amp;"L"&amp;A$25&amp;" =
-C"&amp;-E6&amp;"L"&amp;A$25</f>
        <v>C4L16 =
-C3L16</v>
      </c>
      <c r="G9" s="64" t="str">
        <f>"C"&amp;-G$6&amp;"L"&amp;A$26&amp;" =
-C"&amp;-E6&amp;"L"&amp;A$26</f>
        <v>C5L17 =
-C3L17</v>
      </c>
      <c r="H9" s="321"/>
      <c r="I9" s="64" t="str">
        <f>"C"&amp;-I6&amp;"L"&amp;A27&amp;" from "&amp;Doc!A10&amp;" C"&amp;-'10.0.1'!F6&amp;"L"&amp;'10.0.1'!A11</f>
        <v>C7L18 from WS 10.0.1 C4L2</v>
      </c>
      <c r="J9" s="64" t="str">
        <f>Endnotes!C7</f>
        <v>[a]</v>
      </c>
      <c r="K9" s="64" t="str">
        <f>"C"&amp;-K6&amp;"L"&amp;A13&amp;" =
-C"&amp;-I6&amp;"L"&amp;A13&amp;"xC"&amp;-J6&amp;"L"&amp;A13</f>
        <v>C9L4 =
-C7L4xC8L4</v>
      </c>
      <c r="L9" s="321"/>
      <c r="M9" s="21"/>
    </row>
    <row r="10" spans="1:13" ht="11.25">
      <c r="A10" s="83">
        <v>1</v>
      </c>
      <c r="B10" s="69" t="s">
        <v>225</v>
      </c>
      <c r="C10" s="41"/>
      <c r="D10" s="41"/>
      <c r="E10" s="41"/>
      <c r="F10" s="41"/>
      <c r="G10" s="41"/>
      <c r="H10" s="41"/>
      <c r="I10" s="41"/>
      <c r="J10" s="41"/>
      <c r="K10" s="41"/>
      <c r="L10" s="41"/>
      <c r="M10" s="21"/>
    </row>
    <row r="11" spans="1:13" ht="11.25">
      <c r="A11" s="83">
        <f aca="true" t="shared" si="1" ref="A11:A27">A10+1</f>
        <v>2</v>
      </c>
      <c r="B11" s="33" t="str">
        <f>Inputs!B53</f>
        <v> LETTERS DELIVERED</v>
      </c>
      <c r="C11" s="67">
        <f>Inputs!D53</f>
        <v>2446.73</v>
      </c>
      <c r="D11" s="204">
        <f>Inputs!E53</f>
        <v>0.0791</v>
      </c>
      <c r="E11" s="42">
        <f aca="true" t="shared" si="2" ref="E11:E26">C11*D11</f>
        <v>193.53634300000002</v>
      </c>
      <c r="F11" s="42">
        <f aca="true" t="shared" si="3" ref="F11:F20">$E$25*E11/SUM($E$11:$E$20)</f>
        <v>5.268149371850539</v>
      </c>
      <c r="G11" s="42">
        <f aca="true" t="shared" si="4" ref="G11:G20">$E$26*E11/SUM($E$11:$E$20)</f>
        <v>4.746000409677998</v>
      </c>
      <c r="H11" s="42">
        <f aca="true" t="shared" si="5" ref="H11:H24">SUM(E11:G11)</f>
        <v>203.55049278152856</v>
      </c>
      <c r="I11" s="266">
        <f aca="true" t="shared" si="6" ref="I11:I24">IF($H$27=0,0,H11/$H$27*$I$27)</f>
        <v>32872.98087911613</v>
      </c>
      <c r="J11" s="41"/>
      <c r="K11" s="266">
        <f>-I11/SUM($I$11,$I$12)*$K$13</f>
        <v>4.595465722252842</v>
      </c>
      <c r="L11" s="266">
        <f>SUM(I11,K11)</f>
        <v>32877.57634483838</v>
      </c>
      <c r="M11" s="21"/>
    </row>
    <row r="12" spans="1:13" ht="11.25">
      <c r="A12" s="83">
        <f t="shared" si="1"/>
        <v>3</v>
      </c>
      <c r="B12" s="33" t="str">
        <f>Inputs!B54</f>
        <v> FLATS DELIVERED</v>
      </c>
      <c r="C12" s="67">
        <f>Inputs!D54</f>
        <v>3060.96</v>
      </c>
      <c r="D12" s="204">
        <f>Inputs!E54</f>
        <v>0.1416</v>
      </c>
      <c r="E12" s="42">
        <f t="shared" si="2"/>
        <v>433.431936</v>
      </c>
      <c r="F12" s="42">
        <f t="shared" si="3"/>
        <v>11.798219114734243</v>
      </c>
      <c r="G12" s="42">
        <f t="shared" si="4"/>
        <v>10.6288468301973</v>
      </c>
      <c r="H12" s="42">
        <f t="shared" si="5"/>
        <v>455.85900194493155</v>
      </c>
      <c r="I12" s="266">
        <f t="shared" si="6"/>
        <v>73620.2799105607</v>
      </c>
      <c r="J12" s="41"/>
      <c r="K12" s="266">
        <f>-I12/SUM($I$11,$I$12)*$K$13</f>
        <v>10.291718722915457</v>
      </c>
      <c r="L12" s="266">
        <f aca="true" t="shared" si="7" ref="L12:L24">SUM(I12,K12)</f>
        <v>73630.57162928362</v>
      </c>
      <c r="M12" s="21"/>
    </row>
    <row r="13" spans="1:13" ht="11.25">
      <c r="A13" s="83">
        <f t="shared" si="1"/>
        <v>4</v>
      </c>
      <c r="B13" s="33" t="str">
        <f>Inputs!B55</f>
        <v> PARCELS DELIVERED</v>
      </c>
      <c r="C13" s="67">
        <f>Inputs!D55</f>
        <v>122.82</v>
      </c>
      <c r="D13" s="204">
        <f>Inputs!E55</f>
        <v>0.333</v>
      </c>
      <c r="E13" s="42">
        <f t="shared" si="2"/>
        <v>40.89906</v>
      </c>
      <c r="F13" s="42">
        <f t="shared" si="3"/>
        <v>1.1132914568313275</v>
      </c>
      <c r="G13" s="42">
        <f t="shared" si="4"/>
        <v>1.0029483481324486</v>
      </c>
      <c r="H13" s="42">
        <f t="shared" si="5"/>
        <v>43.015299804963774</v>
      </c>
      <c r="I13" s="266">
        <f t="shared" si="6"/>
        <v>6946.88137903806</v>
      </c>
      <c r="J13" s="210">
        <f>'10.0.4'!D48/('10.0.4'!D48+'10.0.4'!D62)</f>
        <v>0.002143002540692546</v>
      </c>
      <c r="K13" s="266">
        <f>-I13*J13</f>
        <v>-14.8871844451683</v>
      </c>
      <c r="L13" s="266">
        <f t="shared" si="7"/>
        <v>6931.994194592891</v>
      </c>
      <c r="M13" s="21"/>
    </row>
    <row r="14" spans="1:13" ht="11.25">
      <c r="A14" s="83">
        <f t="shared" si="1"/>
        <v>5</v>
      </c>
      <c r="B14" s="33" t="str">
        <f>Inputs!B56</f>
        <v> BOXHOLDERS DELIVERED</v>
      </c>
      <c r="C14" s="67">
        <f>Inputs!D56</f>
        <v>739.47</v>
      </c>
      <c r="D14" s="204">
        <f>Inputs!E56</f>
        <v>0.04</v>
      </c>
      <c r="E14" s="42">
        <f t="shared" si="2"/>
        <v>29.5788</v>
      </c>
      <c r="F14" s="42">
        <f t="shared" si="3"/>
        <v>0.8051487086334617</v>
      </c>
      <c r="G14" s="42">
        <f t="shared" si="4"/>
        <v>0.7253469541779218</v>
      </c>
      <c r="H14" s="42">
        <f t="shared" si="5"/>
        <v>31.109295662811384</v>
      </c>
      <c r="I14" s="266">
        <f t="shared" si="6"/>
        <v>5024.086493290823</v>
      </c>
      <c r="J14" s="41"/>
      <c r="K14" s="266"/>
      <c r="L14" s="266">
        <f t="shared" si="7"/>
        <v>5024.086493290823</v>
      </c>
      <c r="M14" s="21"/>
    </row>
    <row r="15" spans="1:13" ht="11.25">
      <c r="A15" s="83">
        <f t="shared" si="1"/>
        <v>6</v>
      </c>
      <c r="B15" s="33" t="str">
        <f>Inputs!B57</f>
        <v> COD DELIVERED</v>
      </c>
      <c r="C15" s="67">
        <f>Inputs!D57</f>
        <v>0.31</v>
      </c>
      <c r="D15" s="204">
        <f>Inputs!E57</f>
        <v>5.5</v>
      </c>
      <c r="E15" s="42">
        <f t="shared" si="2"/>
        <v>1.705</v>
      </c>
      <c r="F15" s="42">
        <f t="shared" si="3"/>
        <v>0.0464108938908966</v>
      </c>
      <c r="G15" s="42">
        <f t="shared" si="4"/>
        <v>0.04181091041128635</v>
      </c>
      <c r="H15" s="42">
        <f t="shared" si="5"/>
        <v>1.793221804302183</v>
      </c>
      <c r="I15" s="266">
        <f t="shared" si="6"/>
        <v>289.6015886736735</v>
      </c>
      <c r="J15" s="41"/>
      <c r="K15" s="266"/>
      <c r="L15" s="266">
        <f t="shared" si="7"/>
        <v>289.6015886736735</v>
      </c>
      <c r="M15" s="21"/>
    </row>
    <row r="16" spans="1:13" ht="11.25">
      <c r="A16" s="83">
        <f t="shared" si="1"/>
        <v>7</v>
      </c>
      <c r="B16" s="33" t="str">
        <f>Inputs!B58</f>
        <v> ACCOUNTABLES DELIVERED</v>
      </c>
      <c r="C16" s="67">
        <f>Inputs!D58</f>
        <v>11.38</v>
      </c>
      <c r="D16" s="204">
        <f>Inputs!E58</f>
        <v>4</v>
      </c>
      <c r="E16" s="42">
        <f t="shared" si="2"/>
        <v>45.52</v>
      </c>
      <c r="F16" s="42">
        <f t="shared" si="3"/>
        <v>1.2390755952572512</v>
      </c>
      <c r="G16" s="42">
        <f t="shared" si="4"/>
        <v>1.116265479132994</v>
      </c>
      <c r="H16" s="42">
        <f t="shared" si="5"/>
        <v>47.87534107439025</v>
      </c>
      <c r="I16" s="266">
        <f t="shared" si="6"/>
        <v>7731.767927522357</v>
      </c>
      <c r="J16" s="41"/>
      <c r="K16" s="266"/>
      <c r="L16" s="266">
        <f t="shared" si="7"/>
        <v>7731.767927522357</v>
      </c>
      <c r="M16" s="21"/>
    </row>
    <row r="17" spans="1:13" ht="11.25">
      <c r="A17" s="83">
        <f t="shared" si="1"/>
        <v>8</v>
      </c>
      <c r="B17" s="33" t="str">
        <f>Inputs!B59</f>
        <v> DPS</v>
      </c>
      <c r="C17" s="67">
        <f>Inputs!D59</f>
        <v>1575.99</v>
      </c>
      <c r="D17" s="204">
        <f>Inputs!E59</f>
        <v>0.0333</v>
      </c>
      <c r="E17" s="42">
        <f t="shared" si="2"/>
        <v>52.480467000000004</v>
      </c>
      <c r="F17" s="42">
        <f t="shared" si="3"/>
        <v>1.4285427479658068</v>
      </c>
      <c r="G17" s="42">
        <f t="shared" si="4"/>
        <v>1.286953726732827</v>
      </c>
      <c r="H17" s="42">
        <f t="shared" si="5"/>
        <v>55.19596347469864</v>
      </c>
      <c r="I17" s="266">
        <f t="shared" si="6"/>
        <v>8914.033206766157</v>
      </c>
      <c r="J17" s="41"/>
      <c r="K17" s="266"/>
      <c r="L17" s="266">
        <f t="shared" si="7"/>
        <v>8914.033206766157</v>
      </c>
      <c r="M17" s="21"/>
    </row>
    <row r="18" spans="1:13" ht="11.25">
      <c r="A18" s="83">
        <f t="shared" si="1"/>
        <v>9</v>
      </c>
      <c r="B18" s="33" t="str">
        <f>Inputs!B60</f>
        <v> SECTOR SEGMENT</v>
      </c>
      <c r="C18" s="67">
        <f>Inputs!D60</f>
        <v>692.23</v>
      </c>
      <c r="D18" s="204">
        <f>Inputs!E60</f>
        <v>0.0444</v>
      </c>
      <c r="E18" s="42">
        <f t="shared" si="2"/>
        <v>30.735012</v>
      </c>
      <c r="F18" s="42">
        <f t="shared" si="3"/>
        <v>0.8366213376348585</v>
      </c>
      <c r="G18" s="42">
        <f t="shared" si="4"/>
        <v>0.7537001954380123</v>
      </c>
      <c r="H18" s="42">
        <f t="shared" si="5"/>
        <v>32.32533353307287</v>
      </c>
      <c r="I18" s="266">
        <f t="shared" si="6"/>
        <v>5220.474078067108</v>
      </c>
      <c r="J18" s="41"/>
      <c r="K18" s="266"/>
      <c r="L18" s="266">
        <f t="shared" si="7"/>
        <v>5220.474078067108</v>
      </c>
      <c r="M18" s="21"/>
    </row>
    <row r="19" spans="1:13" ht="11.25">
      <c r="A19" s="83">
        <f t="shared" si="1"/>
        <v>10</v>
      </c>
      <c r="B19" s="33" t="str">
        <f>Inputs!B61</f>
        <v> POSTAGE DUE</v>
      </c>
      <c r="C19" s="67">
        <f>Inputs!D61</f>
        <v>1.69</v>
      </c>
      <c r="D19" s="204">
        <f>Inputs!E61</f>
        <v>0.2</v>
      </c>
      <c r="E19" s="42">
        <f t="shared" si="2"/>
        <v>0.338</v>
      </c>
      <c r="F19" s="42">
        <f t="shared" si="3"/>
        <v>0.009200517381303841</v>
      </c>
      <c r="G19" s="42">
        <f t="shared" si="4"/>
        <v>0.008288614497955886</v>
      </c>
      <c r="H19" s="42">
        <f t="shared" si="5"/>
        <v>0.35548913187925973</v>
      </c>
      <c r="I19" s="266">
        <f t="shared" si="6"/>
        <v>57.4107548221124</v>
      </c>
      <c r="J19" s="41"/>
      <c r="K19" s="266"/>
      <c r="L19" s="266">
        <f t="shared" si="7"/>
        <v>57.4107548221124</v>
      </c>
      <c r="M19" s="21"/>
    </row>
    <row r="20" spans="1:13" ht="11.25">
      <c r="A20" s="83">
        <f t="shared" si="1"/>
        <v>11</v>
      </c>
      <c r="B20" s="33" t="str">
        <f>Inputs!B62</f>
        <v> RETURN RECEIPTS</v>
      </c>
      <c r="C20" s="67">
        <f>Inputs!D62</f>
        <v>0.05</v>
      </c>
      <c r="D20" s="204">
        <f>Inputs!E62</f>
        <v>0.25</v>
      </c>
      <c r="E20" s="42">
        <f t="shared" si="2"/>
        <v>0.0125</v>
      </c>
      <c r="F20" s="42">
        <f t="shared" si="3"/>
        <v>0.00034025582031449117</v>
      </c>
      <c r="G20" s="42">
        <f t="shared" si="4"/>
        <v>0.000306531601255765</v>
      </c>
      <c r="H20" s="42">
        <f t="shared" si="5"/>
        <v>0.013146787421570256</v>
      </c>
      <c r="I20" s="266">
        <f t="shared" si="6"/>
        <v>2.123178802592914</v>
      </c>
      <c r="J20" s="41"/>
      <c r="K20" s="266"/>
      <c r="L20" s="266">
        <f t="shared" si="7"/>
        <v>2.123178802592914</v>
      </c>
      <c r="M20" s="21"/>
    </row>
    <row r="21" spans="1:13" ht="11.25">
      <c r="A21" s="83">
        <f t="shared" si="1"/>
        <v>12</v>
      </c>
      <c r="B21" s="33" t="str">
        <f>Inputs!B63</f>
        <v> LETTERS/FLATS COLLECTED</v>
      </c>
      <c r="C21" s="67">
        <f>Inputs!D63</f>
        <v>640.34</v>
      </c>
      <c r="D21" s="204">
        <f>Inputs!E63</f>
        <v>0.04</v>
      </c>
      <c r="E21" s="42">
        <f t="shared" si="2"/>
        <v>25.6136</v>
      </c>
      <c r="F21" s="42"/>
      <c r="G21" s="42"/>
      <c r="H21" s="42">
        <f t="shared" si="5"/>
        <v>25.6136</v>
      </c>
      <c r="I21" s="266">
        <f t="shared" si="6"/>
        <v>4136.543083435546</v>
      </c>
      <c r="J21" s="41"/>
      <c r="K21" s="266"/>
      <c r="L21" s="266">
        <f t="shared" si="7"/>
        <v>4136.543083435546</v>
      </c>
      <c r="M21" s="21"/>
    </row>
    <row r="22" spans="1:13" ht="11.25">
      <c r="A22" s="83">
        <f t="shared" si="1"/>
        <v>13</v>
      </c>
      <c r="B22" s="33" t="str">
        <f>Inputs!B64</f>
        <v> PARCELS ACCEPTED</v>
      </c>
      <c r="C22" s="67">
        <f>Inputs!D64</f>
        <v>1.99</v>
      </c>
      <c r="D22" s="204">
        <f>Inputs!E64</f>
        <v>4</v>
      </c>
      <c r="E22" s="42">
        <f t="shared" si="2"/>
        <v>7.96</v>
      </c>
      <c r="F22" s="42"/>
      <c r="G22" s="42"/>
      <c r="H22" s="42">
        <f t="shared" si="5"/>
        <v>7.96</v>
      </c>
      <c r="I22" s="266">
        <f t="shared" si="6"/>
        <v>1285.5234306831894</v>
      </c>
      <c r="J22" s="41"/>
      <c r="K22" s="266"/>
      <c r="L22" s="266">
        <f t="shared" si="7"/>
        <v>1285.5234306831894</v>
      </c>
      <c r="M22" s="21"/>
    </row>
    <row r="23" spans="1:13" ht="11.25">
      <c r="A23" s="83">
        <f t="shared" si="1"/>
        <v>14</v>
      </c>
      <c r="B23" s="33" t="str">
        <f>Inputs!B65</f>
        <v> ACCOUNTABLES ACCEPTED</v>
      </c>
      <c r="C23" s="67">
        <f>Inputs!D65</f>
        <v>0.44</v>
      </c>
      <c r="D23" s="204">
        <f>Inputs!E65</f>
        <v>2</v>
      </c>
      <c r="E23" s="42">
        <f t="shared" si="2"/>
        <v>0.88</v>
      </c>
      <c r="F23" s="42"/>
      <c r="G23" s="42"/>
      <c r="H23" s="42">
        <f t="shared" si="5"/>
        <v>0.88</v>
      </c>
      <c r="I23" s="266">
        <f t="shared" si="6"/>
        <v>142.118168216232</v>
      </c>
      <c r="J23" s="41"/>
      <c r="K23" s="266"/>
      <c r="L23" s="266">
        <f t="shared" si="7"/>
        <v>142.118168216232</v>
      </c>
      <c r="M23" s="21"/>
    </row>
    <row r="24" spans="1:13" ht="11.25">
      <c r="A24" s="83">
        <f t="shared" si="1"/>
        <v>15</v>
      </c>
      <c r="B24" s="33" t="str">
        <f>Inputs!B66</f>
        <v> MONEY ORDERS</v>
      </c>
      <c r="C24" s="67">
        <f>Inputs!D66</f>
        <v>0.14</v>
      </c>
      <c r="D24" s="204">
        <f>Inputs!E66</f>
        <v>3.5</v>
      </c>
      <c r="E24" s="42">
        <f t="shared" si="2"/>
        <v>0.49000000000000005</v>
      </c>
      <c r="F24" s="42"/>
      <c r="G24" s="42"/>
      <c r="H24" s="42">
        <f t="shared" si="5"/>
        <v>0.49000000000000005</v>
      </c>
      <c r="I24" s="266">
        <f t="shared" si="6"/>
        <v>79.13398002949282</v>
      </c>
      <c r="J24" s="41"/>
      <c r="K24" s="266"/>
      <c r="L24" s="266">
        <f t="shared" si="7"/>
        <v>79.13398002949282</v>
      </c>
      <c r="M24" s="21"/>
    </row>
    <row r="25" spans="1:13" ht="11.25">
      <c r="A25" s="83">
        <f t="shared" si="1"/>
        <v>16</v>
      </c>
      <c r="B25" s="33" t="str">
        <f>Inputs!B67</f>
        <v> VEHICLE LOADING</v>
      </c>
      <c r="C25" s="67">
        <f>Inputs!D67</f>
        <v>45.09</v>
      </c>
      <c r="D25" s="204">
        <f>Inputs!E67</f>
        <v>0.5</v>
      </c>
      <c r="E25" s="42">
        <f t="shared" si="2"/>
        <v>22.545</v>
      </c>
      <c r="F25" s="42">
        <f>-E25</f>
        <v>-22.545</v>
      </c>
      <c r="G25" s="42"/>
      <c r="H25" s="42"/>
      <c r="I25" s="266"/>
      <c r="J25" s="41"/>
      <c r="K25" s="266"/>
      <c r="L25" s="266"/>
      <c r="M25" s="21"/>
    </row>
    <row r="26" spans="1:13" ht="11.25">
      <c r="A26" s="83">
        <f t="shared" si="1"/>
        <v>17</v>
      </c>
      <c r="B26" s="33" t="str">
        <f>Inputs!B68</f>
        <v> MARKUPS</v>
      </c>
      <c r="C26" s="67">
        <f>Inputs!D68</f>
        <v>87.02</v>
      </c>
      <c r="D26" s="204">
        <f>Inputs!E68</f>
        <v>0.2334</v>
      </c>
      <c r="E26" s="42">
        <f t="shared" si="2"/>
        <v>20.310468</v>
      </c>
      <c r="F26" s="42"/>
      <c r="G26" s="42">
        <f>-E26</f>
        <v>-20.310468</v>
      </c>
      <c r="H26" s="42"/>
      <c r="I26" s="266"/>
      <c r="J26" s="41"/>
      <c r="K26" s="266"/>
      <c r="L26" s="266"/>
      <c r="M26" s="21"/>
    </row>
    <row r="27" spans="1:13" ht="11.25">
      <c r="A27" s="205">
        <f t="shared" si="1"/>
        <v>18</v>
      </c>
      <c r="B27" s="206" t="s">
        <v>99</v>
      </c>
      <c r="C27" s="207">
        <f>SUM(C11:C26)</f>
        <v>9426.650000000001</v>
      </c>
      <c r="D27" s="208"/>
      <c r="E27" s="207">
        <f>SUM(E11:E26)</f>
        <v>906.036186</v>
      </c>
      <c r="F27" s="207">
        <f>SUM(F11:F26)</f>
        <v>0</v>
      </c>
      <c r="G27" s="207">
        <f>SUM(G11:G26)</f>
        <v>0</v>
      </c>
      <c r="H27" s="207">
        <f>SUM(H11:H26)</f>
        <v>906.0361860000002</v>
      </c>
      <c r="I27" s="267">
        <f>'10.0.1'!F11</f>
        <v>146322.95805902418</v>
      </c>
      <c r="J27" s="209"/>
      <c r="K27" s="267">
        <f>SUM(K11:K26)</f>
        <v>0</v>
      </c>
      <c r="L27" s="267">
        <f>SUM(I27,K27)</f>
        <v>146322.95805902418</v>
      </c>
      <c r="M27" s="21"/>
    </row>
    <row r="28" spans="1:6" ht="11.25">
      <c r="A28" s="54"/>
      <c r="B28" s="54"/>
      <c r="C28" s="54"/>
      <c r="D28" s="54"/>
      <c r="E28" s="54"/>
      <c r="F28" s="54"/>
    </row>
  </sheetData>
  <printOptions/>
  <pageMargins left="0.5" right="0.5" top="1" bottom="0.5" header="0.75" footer="0.25"/>
  <pageSetup fitToHeight="1" fitToWidth="1" horizontalDpi="300" verticalDpi="300" orientation="landscape" scale="85" r:id="rId1"/>
</worksheet>
</file>

<file path=xl/worksheets/sheet13.xml><?xml version="1.0" encoding="utf-8"?>
<worksheet xmlns="http://schemas.openxmlformats.org/spreadsheetml/2006/main" xmlns:r="http://schemas.openxmlformats.org/officeDocument/2006/relationships">
  <dimension ref="A1:S63"/>
  <sheetViews>
    <sheetView workbookViewId="0" topLeftCell="A27">
      <selection activeCell="A1" sqref="A1"/>
    </sheetView>
  </sheetViews>
  <sheetFormatPr defaultColWidth="8.88671875" defaultRowHeight="15.75"/>
  <cols>
    <col min="1" max="1" width="3.3359375" style="7" customWidth="1"/>
    <col min="2" max="2" width="34.77734375" style="7" customWidth="1"/>
    <col min="3" max="4" width="10.3359375" style="7" customWidth="1"/>
    <col min="5" max="7" width="8.10546875" style="7" customWidth="1"/>
    <col min="8" max="8" width="10.3359375" style="7" customWidth="1"/>
    <col min="9" max="10" width="8.10546875" style="7" customWidth="1"/>
    <col min="11" max="11" width="8.99609375" style="7" customWidth="1"/>
    <col min="12" max="12" width="9.21484375" style="7" customWidth="1"/>
    <col min="13" max="13" width="8.77734375" style="7" customWidth="1"/>
    <col min="14" max="14" width="8.4453125" style="7" customWidth="1"/>
    <col min="15" max="15" width="3.88671875" style="7" customWidth="1"/>
    <col min="16" max="19" width="8.88671875" style="7" customWidth="1"/>
    <col min="20" max="16384" width="8.88671875" style="311" customWidth="1"/>
  </cols>
  <sheetData>
    <row r="1" spans="1:19" s="169" customFormat="1" ht="12.75" customHeight="1">
      <c r="A1" s="163" t="str">
        <f>Doc!A1</f>
        <v>Base Year 1998 - USPS Version</v>
      </c>
      <c r="B1" s="163"/>
      <c r="C1" s="6"/>
      <c r="D1" s="6"/>
      <c r="E1" s="6"/>
      <c r="F1" s="6"/>
      <c r="G1" s="6"/>
      <c r="H1" s="6"/>
      <c r="I1" s="6"/>
      <c r="J1" s="6"/>
      <c r="K1" s="6"/>
      <c r="L1" s="6"/>
      <c r="M1" s="6"/>
      <c r="N1" s="6"/>
      <c r="O1" s="6"/>
      <c r="P1" s="6"/>
      <c r="Q1" s="6"/>
      <c r="R1" s="6"/>
      <c r="S1" s="6"/>
    </row>
    <row r="2" spans="1:19" s="169" customFormat="1" ht="12.75" customHeight="1">
      <c r="A2" s="163" t="str">
        <f>Doc!A2</f>
        <v>C/S 10 RURAL CARRIERS</v>
      </c>
      <c r="B2" s="163"/>
      <c r="C2" s="6"/>
      <c r="D2" s="6"/>
      <c r="E2" s="6"/>
      <c r="F2" s="6"/>
      <c r="G2" s="6"/>
      <c r="H2" s="6"/>
      <c r="I2" s="6"/>
      <c r="J2" s="6"/>
      <c r="K2" s="6"/>
      <c r="L2" s="6"/>
      <c r="M2" s="6"/>
      <c r="N2" s="6"/>
      <c r="O2" s="6"/>
      <c r="P2" s="6"/>
      <c r="Q2" s="6"/>
      <c r="R2" s="6"/>
      <c r="S2" s="6"/>
    </row>
    <row r="3" spans="1:19" s="169" customFormat="1" ht="12.75" customHeight="1">
      <c r="A3" s="164" t="str">
        <f>Doc!A19&amp;" "&amp;Doc!B19</f>
        <v>WS 10.2.2 DISTRIBUTION OF OTHER ROUTES VVC</v>
      </c>
      <c r="B3" s="168"/>
      <c r="C3" s="6"/>
      <c r="D3" s="6"/>
      <c r="E3" s="6"/>
      <c r="F3" s="6"/>
      <c r="G3" s="6"/>
      <c r="H3" s="6"/>
      <c r="I3" s="6"/>
      <c r="J3" s="6"/>
      <c r="K3" s="6"/>
      <c r="L3" s="6"/>
      <c r="M3" s="6"/>
      <c r="N3" s="6"/>
      <c r="O3" s="6"/>
      <c r="P3" s="6"/>
      <c r="Q3" s="6"/>
      <c r="R3" s="6"/>
      <c r="S3" s="6"/>
    </row>
    <row r="4" spans="1:19" s="169" customFormat="1" ht="12.75" customHeight="1">
      <c r="A4" s="163"/>
      <c r="B4" s="166"/>
      <c r="C4" s="6"/>
      <c r="D4" s="6"/>
      <c r="E4" s="6"/>
      <c r="F4" s="6"/>
      <c r="G4" s="6"/>
      <c r="H4" s="6"/>
      <c r="I4" s="6"/>
      <c r="J4" s="6"/>
      <c r="K4" s="6"/>
      <c r="L4" s="6"/>
      <c r="M4" s="6"/>
      <c r="N4" s="6"/>
      <c r="O4" s="6"/>
      <c r="P4" s="6"/>
      <c r="Q4" s="6"/>
      <c r="R4" s="6"/>
      <c r="S4" s="6"/>
    </row>
    <row r="5" spans="1:19" s="310" customFormat="1" ht="22.5">
      <c r="A5" s="177" t="s">
        <v>37</v>
      </c>
      <c r="B5" s="201" t="s">
        <v>38</v>
      </c>
      <c r="C5" s="177" t="s">
        <v>226</v>
      </c>
      <c r="D5" s="177" t="s">
        <v>227</v>
      </c>
      <c r="E5" s="177" t="s">
        <v>168</v>
      </c>
      <c r="F5" s="177" t="s">
        <v>169</v>
      </c>
      <c r="G5" s="177" t="s">
        <v>170</v>
      </c>
      <c r="H5" s="177" t="s">
        <v>228</v>
      </c>
      <c r="I5" s="177" t="s">
        <v>171</v>
      </c>
      <c r="J5" s="177" t="s">
        <v>229</v>
      </c>
      <c r="K5" s="177" t="s">
        <v>173</v>
      </c>
      <c r="L5" s="177" t="s">
        <v>174</v>
      </c>
      <c r="M5" s="177" t="s">
        <v>230</v>
      </c>
      <c r="N5" s="177" t="s">
        <v>192</v>
      </c>
      <c r="O5" s="7"/>
      <c r="P5" s="7"/>
      <c r="Q5" s="7"/>
      <c r="R5" s="7"/>
      <c r="S5" s="7"/>
    </row>
    <row r="6" spans="1:14" ht="11.25">
      <c r="A6" s="58"/>
      <c r="B6" s="154" t="s">
        <v>43</v>
      </c>
      <c r="C6" s="120">
        <v>-1</v>
      </c>
      <c r="D6" s="23">
        <f>C6-1</f>
        <v>-2</v>
      </c>
      <c r="E6" s="23">
        <f aca="true" t="shared" si="0" ref="E6:N6">D6-1</f>
        <v>-3</v>
      </c>
      <c r="F6" s="23">
        <f t="shared" si="0"/>
        <v>-4</v>
      </c>
      <c r="G6" s="23">
        <f t="shared" si="0"/>
        <v>-5</v>
      </c>
      <c r="H6" s="23">
        <f t="shared" si="0"/>
        <v>-6</v>
      </c>
      <c r="I6" s="23">
        <f t="shared" si="0"/>
        <v>-7</v>
      </c>
      <c r="J6" s="23">
        <f t="shared" si="0"/>
        <v>-8</v>
      </c>
      <c r="K6" s="23">
        <f t="shared" si="0"/>
        <v>-9</v>
      </c>
      <c r="L6" s="23">
        <f t="shared" si="0"/>
        <v>-10</v>
      </c>
      <c r="M6" s="23">
        <f t="shared" si="0"/>
        <v>-11</v>
      </c>
      <c r="N6" s="23">
        <f t="shared" si="0"/>
        <v>-12</v>
      </c>
    </row>
    <row r="7" spans="1:19" s="312" customFormat="1" ht="22.5">
      <c r="A7" s="44"/>
      <c r="B7" s="146" t="s">
        <v>185</v>
      </c>
      <c r="C7" s="55" t="str">
        <f>"C"&amp;-C6&amp;"L"&amp;A61&amp;" dist on "&amp;Doc!A15&amp;", C"&amp;-'10.0.3 P2'!G6</f>
        <v>C1L52 dist on WS 10.0.3 P2, C5</v>
      </c>
      <c r="D7" s="55" t="str">
        <f>"C"&amp;-D6&amp;"L"&amp;A61&amp;" dist on "&amp;Doc!A15&amp;", C"&amp;-'10.0.3 P2'!J6</f>
        <v>C2L52 dist on WS 10.0.3 P2, C8</v>
      </c>
      <c r="E7" s="55" t="str">
        <f>"C"&amp;-E6&amp;"L"&amp;A61&amp;" dist on "&amp;Doc!A17&amp;" C"&amp;-'10.0.4'!D6</f>
        <v>C3L52 dist on WS 10.0.4 C2</v>
      </c>
      <c r="F7" s="55" t="str">
        <f>"C"&amp;-F6&amp;"L"&amp;A61&amp;" dist on "&amp;Doc!A17&amp;" C"&amp;-'10.0.4'!E6</f>
        <v>C4L52 dist on WS 10.0.4 C3</v>
      </c>
      <c r="G7" s="55" t="str">
        <f>"C"&amp;-G6&amp;"L"&amp;A61&amp;" dist on "&amp;Doc!A17&amp;" C"&amp;-'10.0.4'!F6</f>
        <v>C5L52 dist on WS 10.0.4 C4</v>
      </c>
      <c r="H7" s="55" t="str">
        <f>"C"&amp;-H6&amp;"L"&amp;A61&amp;" dist on "&amp;Doc!A15&amp;", C"&amp;-'10.0.3 P2'!F6</f>
        <v>C6L52 dist on WS 10.0.3 P2, C4</v>
      </c>
      <c r="I7" s="55" t="str">
        <f>"C"&amp;-I6&amp;"L"&amp;A61&amp;" dist on "&amp;Doc!A17&amp;" C"&amp;-'10.0.4'!G6</f>
        <v>C7L52 dist on WS 10.0.4 C5</v>
      </c>
      <c r="J7" s="55" t="str">
        <f>"C"&amp;-J6&amp;"L"&amp;A61&amp;" dist on "&amp;Doc!A17&amp;" C"&amp;-'10.0.4'!H6</f>
        <v>C8L52 dist on WS 10.0.4 C6</v>
      </c>
      <c r="K7" s="55" t="str">
        <f>"C"&amp;-K6&amp;"L"&amp;A61&amp;" dist on "&amp;Doc!A17&amp;" C"&amp;-'10.0.4'!I6</f>
        <v>C9L52 dist on WS 10.0.4 C7</v>
      </c>
      <c r="L7" s="55" t="str">
        <f>"C"&amp;-L6&amp;"L"&amp;A61&amp;" dist on "&amp;Doc!A17&amp;" C"&amp;-'10.0.4'!J6</f>
        <v>C10L52 dist on WS 10.0.4 C8</v>
      </c>
      <c r="M7" s="55"/>
      <c r="N7" s="72" t="str">
        <f>"=C"&amp;-C6&amp;"...C"&amp;-M6&amp;", "&amp;Endnotes!C20</f>
        <v>=C1...C11, [d]</v>
      </c>
      <c r="O7" s="28"/>
      <c r="P7" s="28"/>
      <c r="Q7" s="28"/>
      <c r="R7" s="28"/>
      <c r="S7" s="28"/>
    </row>
    <row r="8" spans="1:14" ht="11.25">
      <c r="A8" s="30"/>
      <c r="B8" s="146" t="s">
        <v>44</v>
      </c>
      <c r="C8" s="29" t="s">
        <v>45</v>
      </c>
      <c r="D8" s="40" t="s">
        <v>45</v>
      </c>
      <c r="E8" s="40" t="s">
        <v>45</v>
      </c>
      <c r="F8" s="40" t="s">
        <v>45</v>
      </c>
      <c r="G8" s="40" t="s">
        <v>45</v>
      </c>
      <c r="H8" s="40" t="s">
        <v>45</v>
      </c>
      <c r="I8" s="40" t="s">
        <v>45</v>
      </c>
      <c r="J8" s="40" t="s">
        <v>45</v>
      </c>
      <c r="K8" s="40" t="s">
        <v>45</v>
      </c>
      <c r="L8" s="40" t="s">
        <v>45</v>
      </c>
      <c r="M8" s="40" t="s">
        <v>45</v>
      </c>
      <c r="N8" s="40" t="s">
        <v>45</v>
      </c>
    </row>
    <row r="9" spans="1:14" ht="33.75">
      <c r="A9" s="31"/>
      <c r="B9" s="327" t="s">
        <v>46</v>
      </c>
      <c r="C9" s="110" t="str">
        <f>"C"&amp;-C6&amp;"L"&amp;$A61&amp;" from "&amp;Doc!$A13&amp;" C"&amp;-'10.2.1'!$L6&amp;"L"&amp;'10.2.1'!$A11</f>
        <v>C1L52 from WS 10.2.1 C10L2</v>
      </c>
      <c r="D9" s="110" t="str">
        <f>"C"&amp;-D6&amp;"L"&amp;$A61&amp;" from "&amp;Doc!$A13&amp;" C"&amp;-'10.2.1'!$L6&amp;"L"&amp;'10.2.1'!$A12</f>
        <v>C2L52 from WS 10.2.1 C10L3</v>
      </c>
      <c r="E9" s="104" t="str">
        <f>"C"&amp;-E6&amp;"L"&amp;$A61&amp;" from "&amp;Doc!$A13&amp;" C"&amp;-'10.2.1'!$L6&amp;"L"&amp;'10.2.1'!$A13&amp;", "&amp;Endnotes!C17</f>
        <v>C3L52 from WS 10.2.1 C10L4, [a]</v>
      </c>
      <c r="F9" s="110" t="str">
        <f>"C"&amp;-F6&amp;"L"&amp;$A61&amp;" from "&amp;Doc!$A13&amp;" C"&amp;-'10.2.1'!$L6&amp;"L"&amp;'10.2.1'!$A14</f>
        <v>C4L52 from WS 10.2.1 C10L5</v>
      </c>
      <c r="G9" s="110" t="str">
        <f>"C"&amp;-G6&amp;"L"&amp;$A61&amp;" from "&amp;Doc!$A13&amp;" C"&amp;-'10.2.1'!$L6&amp;"L"&amp;'10.2.1'!$A16</f>
        <v>C5L52 from WS 10.2.1 C10L7</v>
      </c>
      <c r="H9" s="110" t="str">
        <f>"C"&amp;-H6&amp;"L"&amp;A61&amp;" = "&amp;Doc!A12&amp;" C"&amp;-'10.2.1'!L6&amp;"L"&amp;'10.2.1'!A17&amp;" + C"&amp;-'10.2.1'!L6&amp;"L"&amp;'10.2.1'!A18</f>
        <v>C6L52 = WS 10.1.1 C10L8 + C10L9</v>
      </c>
      <c r="I9" s="110" t="str">
        <f>"C"&amp;-I6&amp;"L"&amp;$A61&amp;" from "&amp;Doc!$A13&amp;" C"&amp;-'10.2.1'!$L6&amp;"L"&amp;'10.2.1'!$A19&amp;", "&amp;Endnotes!C17</f>
        <v>C7L52 from WS 10.2.1 C10L10, [a]</v>
      </c>
      <c r="J9" s="110" t="str">
        <f>"C"&amp;-J6&amp;"L"&amp;$A61&amp;" from "&amp;Doc!$A13&amp;" C"&amp;-'10.2.1'!$L6&amp;"L"&amp;'10.2.1'!$A21&amp;", "&amp;Endnotes!C17</f>
        <v>C8L52 from WS 10.2.1 C10L12, [a]</v>
      </c>
      <c r="K9" s="110" t="str">
        <f>"C"&amp;-K6&amp;"L"&amp;$A61&amp;" from "&amp;Doc!$A13&amp;" C"&amp;-'10.2.1'!$L6&amp;"L"&amp;'10.2.1'!$A22</f>
        <v>C9L52 from WS 10.2.1 C10L13</v>
      </c>
      <c r="L9" s="110" t="str">
        <f>"C"&amp;-L6&amp;"L"&amp;$A61&amp;" from "&amp;Doc!$A13&amp;" C"&amp;-'10.2.1'!$L6&amp;"L"&amp;'10.2.1'!$A23&amp;", "&amp;Endnotes!C18</f>
        <v>C10L52 from WS 10.2.1 C10L14, [b]</v>
      </c>
      <c r="M9" s="110" t="str">
        <f>Endnotes!C19</f>
        <v>[c]</v>
      </c>
      <c r="N9" s="110"/>
    </row>
    <row r="10" spans="1:14" ht="11.25">
      <c r="A10" s="79">
        <v>1</v>
      </c>
      <c r="B10" s="35" t="s">
        <v>48</v>
      </c>
      <c r="C10" s="30"/>
      <c r="D10" s="30"/>
      <c r="E10" s="30"/>
      <c r="F10" s="30"/>
      <c r="G10" s="30"/>
      <c r="H10" s="30"/>
      <c r="I10" s="30"/>
      <c r="J10" s="30"/>
      <c r="K10" s="30"/>
      <c r="L10" s="30"/>
      <c r="M10" s="30"/>
      <c r="N10" s="30"/>
    </row>
    <row r="11" spans="1:14" ht="11.25">
      <c r="A11" s="79">
        <f aca="true" t="shared" si="1" ref="A11:A42">A10+1</f>
        <v>2</v>
      </c>
      <c r="B11" s="34" t="str">
        <f>'10.0.4'!B11</f>
        <v>   SINGLE-PIECE LETTERS</v>
      </c>
      <c r="C11" s="268">
        <f>IF('10.0.3 P2'!$G$61=0,0,'10.0.3 P2'!G11/'10.0.3 P2'!$G$61*C$61)</f>
        <v>10309.342581083816</v>
      </c>
      <c r="D11" s="268">
        <f>IF('10.0.3 P2'!$J$61=0,0,'10.0.3 P2'!J11/'10.0.3 P2'!$J$61*D$61)</f>
        <v>8328.829525065183</v>
      </c>
      <c r="E11" s="268">
        <f>IF('10.0.4'!D$62=0,0,'10.0.4'!D11/'10.0.4'!D$62*E$61)</f>
        <v>874.9919744215144</v>
      </c>
      <c r="F11" s="268">
        <f>IF('10.0.4'!E$62=0,0,'10.0.4'!E11/'10.0.4'!E$62*F$61)</f>
        <v>31.961001944907675</v>
      </c>
      <c r="G11" s="268">
        <f>IF('10.0.4'!F$62=0,0,'10.0.4'!F11/'10.0.4'!F$62*G$61)</f>
        <v>0</v>
      </c>
      <c r="H11" s="268">
        <f>IF('10.0.3 P2'!F$61=0,0,'10.0.3 P2'!F11/'10.0.3 P2'!F$61*H$61)</f>
        <v>3269.961835220555</v>
      </c>
      <c r="I11" s="268">
        <f>IF('10.0.4'!G$62=0,0,'10.0.4'!G11/'10.0.4'!G$62*I$61)</f>
        <v>32.4338059231671</v>
      </c>
      <c r="J11" s="268">
        <f>IF('10.0.4'!H$62=0,0,'10.0.4'!H11/'10.0.4'!H$62*J$61)</f>
        <v>3979.2744717466753</v>
      </c>
      <c r="K11" s="268">
        <f>IF('10.0.4'!I$62=0,0,'10.0.4'!I11/'10.0.4'!I$62*K$61)</f>
        <v>849.2409204933019</v>
      </c>
      <c r="L11" s="268">
        <f>IF('10.0.4'!J$62=0,0,'10.0.4'!J11/'10.0.4'!J$62*L$61)</f>
        <v>0</v>
      </c>
      <c r="M11" s="268"/>
      <c r="N11" s="268">
        <f aca="true" t="shared" si="2" ref="N11:N20">SUM(C11:M11)</f>
        <v>27676.036115899118</v>
      </c>
    </row>
    <row r="12" spans="1:14" ht="11.25">
      <c r="A12" s="79">
        <f t="shared" si="1"/>
        <v>3</v>
      </c>
      <c r="B12" s="34" t="str">
        <f>'10.0.4'!B12</f>
        <v>   PRESORT LETTERS</v>
      </c>
      <c r="C12" s="268">
        <f>IF('10.0.3 P2'!$G$61=0,0,'10.0.3 P2'!G12/'10.0.3 P2'!$G$61*C$61)</f>
        <v>8625.328114310774</v>
      </c>
      <c r="D12" s="268">
        <f>IF('10.0.3 P2'!$J$61=0,0,'10.0.3 P2'!J12/'10.0.3 P2'!$J$61*D$61)</f>
        <v>7627.21094595412</v>
      </c>
      <c r="E12" s="268">
        <f>IF('10.0.4'!D$62=0,0,'10.0.4'!D12/'10.0.4'!D$62*E$61)</f>
        <v>31.502696372097564</v>
      </c>
      <c r="F12" s="268">
        <f>IF('10.0.4'!E$62=0,0,'10.0.4'!E12/'10.0.4'!E$62*F$61)</f>
        <v>24.35754210766418</v>
      </c>
      <c r="G12" s="268">
        <f>IF('10.0.4'!F$62=0,0,'10.0.4'!F12/'10.0.4'!F$62*G$61)</f>
        <v>0</v>
      </c>
      <c r="H12" s="268">
        <f>IF('10.0.3 P2'!F$61=0,0,'10.0.3 P2'!F12/'10.0.3 P2'!F$61*H$61)</f>
        <v>6090.551670967601</v>
      </c>
      <c r="I12" s="268">
        <f>IF('10.0.4'!G$62=0,0,'10.0.4'!G12/'10.0.4'!G$62*I$61)</f>
        <v>1.6906234548842916</v>
      </c>
      <c r="J12" s="268">
        <f>IF('10.0.4'!H$62=0,0,'10.0.4'!H12/'10.0.4'!H$62*J$61)</f>
        <v>0</v>
      </c>
      <c r="K12" s="268">
        <f>IF('10.0.4'!I$62=0,0,'10.0.4'!I12/'10.0.4'!I$62*K$61)</f>
        <v>0</v>
      </c>
      <c r="L12" s="268">
        <f>IF('10.0.4'!J$62=0,0,'10.0.4'!J12/'10.0.4'!J$62*L$61)</f>
        <v>0</v>
      </c>
      <c r="M12" s="268"/>
      <c r="N12" s="268">
        <f t="shared" si="2"/>
        <v>22400.64159316714</v>
      </c>
    </row>
    <row r="13" spans="1:14" ht="11.25">
      <c r="A13" s="79">
        <f t="shared" si="1"/>
        <v>4</v>
      </c>
      <c r="B13" s="34" t="str">
        <f>'10.0.4'!B13</f>
        <v>        TOTAL LETTERS</v>
      </c>
      <c r="C13" s="268">
        <f>SUM(C11:C12)</f>
        <v>18934.67069539459</v>
      </c>
      <c r="D13" s="268">
        <f aca="true" t="shared" si="3" ref="D13:L13">SUM(D11:D12)</f>
        <v>15956.040471019303</v>
      </c>
      <c r="E13" s="268">
        <f t="shared" si="3"/>
        <v>906.494670793612</v>
      </c>
      <c r="F13" s="268">
        <f t="shared" si="3"/>
        <v>56.31854405257185</v>
      </c>
      <c r="G13" s="268">
        <f t="shared" si="3"/>
        <v>0</v>
      </c>
      <c r="H13" s="268">
        <f t="shared" si="3"/>
        <v>9360.513506188156</v>
      </c>
      <c r="I13" s="268">
        <f t="shared" si="3"/>
        <v>34.12442937805139</v>
      </c>
      <c r="J13" s="268">
        <f t="shared" si="3"/>
        <v>3979.2744717466753</v>
      </c>
      <c r="K13" s="268">
        <f t="shared" si="3"/>
        <v>849.2409204933019</v>
      </c>
      <c r="L13" s="268">
        <f t="shared" si="3"/>
        <v>0</v>
      </c>
      <c r="M13" s="268"/>
      <c r="N13" s="268">
        <f>SUM(N11:N12)</f>
        <v>50076.67770906626</v>
      </c>
    </row>
    <row r="14" spans="1:14" ht="11.25">
      <c r="A14" s="79">
        <f t="shared" si="1"/>
        <v>5</v>
      </c>
      <c r="B14" s="34" t="str">
        <f>'10.0.4'!B14</f>
        <v>   SINGLE-PIECE CARDS</v>
      </c>
      <c r="C14" s="268">
        <f>IF('10.0.3 P2'!$G$61=0,0,'10.0.3 P2'!G14/'10.0.3 P2'!$G$61*C$61)</f>
        <v>1114.8891013182415</v>
      </c>
      <c r="D14" s="268">
        <f>IF('10.0.3 P2'!$J$61=0,0,'10.0.3 P2'!J14/'10.0.3 P2'!$J$61*D$61)</f>
        <v>0</v>
      </c>
      <c r="E14" s="268">
        <f>IF('10.0.4'!D$62=0,0,'10.0.4'!D14/'10.0.4'!D$62*E$61)</f>
        <v>0</v>
      </c>
      <c r="F14" s="268">
        <f>IF('10.0.4'!E$62=0,0,'10.0.4'!E14/'10.0.4'!E$62*F$61)</f>
        <v>12.406966126978654</v>
      </c>
      <c r="G14" s="268">
        <f>IF('10.0.4'!F$62=0,0,'10.0.4'!F14/'10.0.4'!F$62*G$61)</f>
        <v>0</v>
      </c>
      <c r="H14" s="268">
        <f>IF('10.0.3 P2'!F$61=0,0,'10.0.3 P2'!F14/'10.0.3 P2'!F$61*H$61)</f>
        <v>353.62534353094776</v>
      </c>
      <c r="I14" s="268">
        <f>IF('10.0.4'!G$62=0,0,'10.0.4'!G14/'10.0.4'!G$62*I$61)</f>
        <v>0.5132249773755885</v>
      </c>
      <c r="J14" s="268">
        <f>IF('10.0.4'!H$62=0,0,'10.0.4'!H14/'10.0.4'!H$62*J$61)</f>
        <v>136.070471593825</v>
      </c>
      <c r="K14" s="268">
        <f>IF('10.0.4'!I$62=0,0,'10.0.4'!I14/'10.0.4'!I$62*K$61)</f>
        <v>0</v>
      </c>
      <c r="L14" s="268">
        <f>IF('10.0.4'!J$62=0,0,'10.0.4'!J14/'10.0.4'!J$62*L$61)</f>
        <v>0</v>
      </c>
      <c r="M14" s="268"/>
      <c r="N14" s="268">
        <f t="shared" si="2"/>
        <v>1617.5051075473684</v>
      </c>
    </row>
    <row r="15" spans="1:14" ht="11.25">
      <c r="A15" s="79">
        <f t="shared" si="1"/>
        <v>6</v>
      </c>
      <c r="B15" s="34" t="str">
        <f>'10.0.4'!B15</f>
        <v>   PRESORT CARDS</v>
      </c>
      <c r="C15" s="268">
        <f>IF('10.0.3 P2'!$G$61=0,0,'10.0.3 P2'!G15/'10.0.3 P2'!$G$61*C$61)</f>
        <v>595.3436857011678</v>
      </c>
      <c r="D15" s="268">
        <f>IF('10.0.3 P2'!$J$61=0,0,'10.0.3 P2'!J15/'10.0.3 P2'!$J$61*D$61)</f>
        <v>0</v>
      </c>
      <c r="E15" s="268">
        <f>IF('10.0.4'!D$62=0,0,'10.0.4'!D15/'10.0.4'!D$62*E$61)</f>
        <v>0</v>
      </c>
      <c r="F15" s="268">
        <f>IF('10.0.4'!E$62=0,0,'10.0.4'!E15/'10.0.4'!E$62*F$61)</f>
        <v>0</v>
      </c>
      <c r="G15" s="268">
        <f>IF('10.0.4'!F$62=0,0,'10.0.4'!F15/'10.0.4'!F$62*G$61)</f>
        <v>0</v>
      </c>
      <c r="H15" s="268">
        <f>IF('10.0.3 P2'!F$61=0,0,'10.0.3 P2'!F15/'10.0.3 P2'!F$61*H$61)</f>
        <v>420.3864979618806</v>
      </c>
      <c r="I15" s="268">
        <f>IF('10.0.4'!G$62=0,0,'10.0.4'!G15/'10.0.4'!G$62*I$61)</f>
        <v>0.030189704551505204</v>
      </c>
      <c r="J15" s="268">
        <f>IF('10.0.4'!H$62=0,0,'10.0.4'!H15/'10.0.4'!H$62*J$61)</f>
        <v>0</v>
      </c>
      <c r="K15" s="268">
        <f>IF('10.0.4'!I$62=0,0,'10.0.4'!I15/'10.0.4'!I$62*K$61)</f>
        <v>0</v>
      </c>
      <c r="L15" s="268">
        <f>IF('10.0.4'!J$62=0,0,'10.0.4'!J15/'10.0.4'!J$62*L$61)</f>
        <v>0</v>
      </c>
      <c r="M15" s="268"/>
      <c r="N15" s="268">
        <f t="shared" si="2"/>
        <v>1015.7603733675999</v>
      </c>
    </row>
    <row r="16" spans="1:14" ht="11.25">
      <c r="A16" s="79">
        <f t="shared" si="1"/>
        <v>7</v>
      </c>
      <c r="B16" s="34" t="str">
        <f>'10.0.4'!B16</f>
        <v>        TOTAL CARDS</v>
      </c>
      <c r="C16" s="268">
        <f>SUM(C14:C15)</f>
        <v>1710.2327870194094</v>
      </c>
      <c r="D16" s="268">
        <f aca="true" t="shared" si="4" ref="D16:L16">SUM(D14:D15)</f>
        <v>0</v>
      </c>
      <c r="E16" s="268">
        <f t="shared" si="4"/>
        <v>0</v>
      </c>
      <c r="F16" s="268">
        <f t="shared" si="4"/>
        <v>12.406966126978654</v>
      </c>
      <c r="G16" s="268">
        <f t="shared" si="4"/>
        <v>0</v>
      </c>
      <c r="H16" s="268">
        <f t="shared" si="4"/>
        <v>774.0118414928284</v>
      </c>
      <c r="I16" s="268">
        <f t="shared" si="4"/>
        <v>0.5434146819270936</v>
      </c>
      <c r="J16" s="268">
        <f t="shared" si="4"/>
        <v>136.070471593825</v>
      </c>
      <c r="K16" s="268">
        <f t="shared" si="4"/>
        <v>0</v>
      </c>
      <c r="L16" s="268">
        <f t="shared" si="4"/>
        <v>0</v>
      </c>
      <c r="M16" s="268"/>
      <c r="N16" s="268">
        <f>SUM(N14:N15)</f>
        <v>2633.265480914968</v>
      </c>
    </row>
    <row r="17" spans="1:14" ht="11.25">
      <c r="A17" s="80">
        <f t="shared" si="1"/>
        <v>8</v>
      </c>
      <c r="B17" s="37" t="str">
        <f>'10.0.4'!B17</f>
        <v>TOTAL FIRST-CLASS </v>
      </c>
      <c r="C17" s="285">
        <f>SUM(C13,C16)</f>
        <v>20644.903482414</v>
      </c>
      <c r="D17" s="285">
        <f aca="true" t="shared" si="5" ref="D17:L17">SUM(D13,D16)</f>
        <v>15956.040471019303</v>
      </c>
      <c r="E17" s="285">
        <f t="shared" si="5"/>
        <v>906.494670793612</v>
      </c>
      <c r="F17" s="285">
        <f t="shared" si="5"/>
        <v>68.72551017955051</v>
      </c>
      <c r="G17" s="285">
        <f t="shared" si="5"/>
        <v>0</v>
      </c>
      <c r="H17" s="285">
        <f t="shared" si="5"/>
        <v>10134.525347680985</v>
      </c>
      <c r="I17" s="285">
        <f t="shared" si="5"/>
        <v>34.667844059978485</v>
      </c>
      <c r="J17" s="285">
        <f t="shared" si="5"/>
        <v>4115.3449433405</v>
      </c>
      <c r="K17" s="285">
        <f t="shared" si="5"/>
        <v>849.2409204933019</v>
      </c>
      <c r="L17" s="285">
        <f t="shared" si="5"/>
        <v>0</v>
      </c>
      <c r="M17" s="285"/>
      <c r="N17" s="285">
        <f>SUM(N13,N16)</f>
        <v>52709.943189981226</v>
      </c>
    </row>
    <row r="18" spans="1:14" ht="11.25">
      <c r="A18" s="79">
        <f t="shared" si="1"/>
        <v>9</v>
      </c>
      <c r="B18" s="35" t="str">
        <f>'10.0.4'!B18</f>
        <v>PRIORITY MAIL</v>
      </c>
      <c r="C18" s="268">
        <f>IF('10.0.3 P2'!$G$61=0,0,'10.0.3 P2'!G18/'10.0.3 P2'!$G$61*C$61)</f>
        <v>34.118081568594405</v>
      </c>
      <c r="D18" s="268">
        <f>IF('10.0.3 P2'!$J$61=0,0,'10.0.3 P2'!J18/'10.0.3 P2'!$J$61*D$61)</f>
        <v>513.5313803363489</v>
      </c>
      <c r="E18" s="268">
        <f>IF('10.0.4'!D$62=0,0,'10.0.4'!D18/'10.0.4'!D$62*E$61)</f>
        <v>1418.7080881154977</v>
      </c>
      <c r="F18" s="268">
        <f>IF('10.0.4'!E$62=0,0,'10.0.4'!E18/'10.0.4'!E$62*F$61)</f>
        <v>0.5567959784776148</v>
      </c>
      <c r="G18" s="268">
        <f>IF('10.0.4'!F$62=0,0,'10.0.4'!F18/'10.0.4'!F$62*G$61)</f>
        <v>0</v>
      </c>
      <c r="H18" s="268">
        <f>IF('10.0.3 P2'!F$61=0,0,'10.0.3 P2'!F18/'10.0.3 P2'!F$61*H$61)</f>
        <v>0</v>
      </c>
      <c r="I18" s="268">
        <f>IF('10.0.4'!G$62=0,0,'10.0.4'!G18/'10.0.4'!G$62*I$61)</f>
        <v>8.473243744122462</v>
      </c>
      <c r="J18" s="268">
        <f>IF('10.0.4'!H$62=0,0,'10.0.4'!H18/'10.0.4'!H$62*J$61)</f>
        <v>10.312103976464396</v>
      </c>
      <c r="K18" s="268">
        <f>IF('10.0.4'!I$62=0,0,'10.0.4'!I18/'10.0.4'!I$62*K$61)</f>
        <v>188.1593431140109</v>
      </c>
      <c r="L18" s="268">
        <f>IF('10.0.4'!J$62=0,0,'10.0.4'!J18/'10.0.4'!J$62*L$61)</f>
        <v>0</v>
      </c>
      <c r="M18" s="268"/>
      <c r="N18" s="268">
        <f t="shared" si="2"/>
        <v>2173.8590368335167</v>
      </c>
    </row>
    <row r="19" spans="1:14" ht="11.25">
      <c r="A19" s="79">
        <f t="shared" si="1"/>
        <v>10</v>
      </c>
      <c r="B19" s="35" t="str">
        <f>'10.0.4'!B19</f>
        <v>EXPRESS MAIL</v>
      </c>
      <c r="C19" s="268">
        <f>IF('10.0.3 P2'!$G$61=0,0,'10.0.3 P2'!G19/'10.0.3 P2'!$G$61*C$61)</f>
        <v>0</v>
      </c>
      <c r="D19" s="268">
        <f>IF('10.0.3 P2'!$J$61=0,0,'10.0.3 P2'!J19/'10.0.3 P2'!$J$61*D$61)</f>
        <v>0</v>
      </c>
      <c r="E19" s="268">
        <f>IF('10.0.4'!D$62=0,0,'10.0.4'!D19/'10.0.4'!D$62*E$61)</f>
        <v>0</v>
      </c>
      <c r="F19" s="268">
        <f>IF('10.0.4'!E$62=0,0,'10.0.4'!E19/'10.0.4'!E$62*F$61)</f>
        <v>0</v>
      </c>
      <c r="G19" s="268">
        <f>IF('10.0.4'!F$62=0,0,'10.0.4'!F19/'10.0.4'!F$62*G$61)</f>
        <v>626.606765315004</v>
      </c>
      <c r="H19" s="268">
        <f>IF('10.0.3 P2'!F$61=0,0,'10.0.3 P2'!F19/'10.0.3 P2'!F$61*H$61)</f>
        <v>0</v>
      </c>
      <c r="I19" s="268">
        <f>IF('10.0.4'!G$62=0,0,'10.0.4'!G19/'10.0.4'!G$62*I$61)</f>
        <v>0</v>
      </c>
      <c r="J19" s="268">
        <f>IF('10.0.4'!H$62=0,0,'10.0.4'!H19/'10.0.4'!H$62*J$61)</f>
        <v>0</v>
      </c>
      <c r="K19" s="268">
        <f>IF('10.0.4'!I$62=0,0,'10.0.4'!I19/'10.0.4'!I$62*K$61)</f>
        <v>0</v>
      </c>
      <c r="L19" s="268">
        <f>IF('10.0.4'!J$62=0,0,'10.0.4'!J19/'10.0.4'!J$62*L$61)</f>
        <v>8.63126047805388</v>
      </c>
      <c r="M19" s="268"/>
      <c r="N19" s="268">
        <f t="shared" si="2"/>
        <v>635.2380257930579</v>
      </c>
    </row>
    <row r="20" spans="1:14" ht="11.25">
      <c r="A20" s="80">
        <f t="shared" si="1"/>
        <v>11</v>
      </c>
      <c r="B20" s="37" t="str">
        <f>'10.0.4'!B20</f>
        <v>MAILGRAMS</v>
      </c>
      <c r="C20" s="285">
        <f>IF('10.0.3 P2'!$G$61=0,0,'10.0.3 P2'!G20/'10.0.3 P2'!$G$61*C$61)</f>
        <v>16.498055809693852</v>
      </c>
      <c r="D20" s="285">
        <f>IF('10.0.3 P2'!$J$61=0,0,'10.0.3 P2'!J20/'10.0.3 P2'!$J$61*D$61)</f>
        <v>0</v>
      </c>
      <c r="E20" s="285">
        <f>IF('10.0.4'!D$62=0,0,'10.0.4'!D20/'10.0.4'!D$62*E$61)</f>
        <v>0</v>
      </c>
      <c r="F20" s="285">
        <f>IF('10.0.4'!E$62=0,0,'10.0.4'!E20/'10.0.4'!E$62*F$61)</f>
        <v>0</v>
      </c>
      <c r="G20" s="285">
        <f>IF('10.0.4'!F$62=0,0,'10.0.4'!F20/'10.0.4'!F$62*G$61)</f>
        <v>0</v>
      </c>
      <c r="H20" s="285">
        <f>IF('10.0.3 P2'!F$61=0,0,'10.0.3 P2'!F20/'10.0.3 P2'!F$61*H$61)</f>
        <v>0</v>
      </c>
      <c r="I20" s="285">
        <f>IF('10.0.4'!G$62=0,0,'10.0.4'!G20/'10.0.4'!G$62*I$61)</f>
        <v>0</v>
      </c>
      <c r="J20" s="285">
        <f>IF('10.0.4'!H$62=0,0,'10.0.4'!H20/'10.0.4'!H$62*J$61)</f>
        <v>0</v>
      </c>
      <c r="K20" s="285">
        <f>IF('10.0.4'!I$62=0,0,'10.0.4'!I20/'10.0.4'!I$62*K$61)</f>
        <v>0</v>
      </c>
      <c r="L20" s="285">
        <f>IF('10.0.4'!J$62=0,0,'10.0.4'!J20/'10.0.4'!J$62*L$61)</f>
        <v>0</v>
      </c>
      <c r="M20" s="269"/>
      <c r="N20" s="269">
        <f t="shared" si="2"/>
        <v>16.498055809693852</v>
      </c>
    </row>
    <row r="21" spans="1:14" ht="11.25">
      <c r="A21" s="79">
        <f t="shared" si="1"/>
        <v>12</v>
      </c>
      <c r="B21" s="35" t="str">
        <f>'10.0.4'!B21</f>
        <v>PERIODICALS:</v>
      </c>
      <c r="C21" s="268"/>
      <c r="D21" s="268"/>
      <c r="E21" s="268"/>
      <c r="F21" s="268"/>
      <c r="G21" s="268"/>
      <c r="H21" s="268"/>
      <c r="I21" s="268"/>
      <c r="J21" s="268"/>
      <c r="K21" s="268"/>
      <c r="L21" s="268"/>
      <c r="M21" s="268"/>
      <c r="N21" s="268"/>
    </row>
    <row r="22" spans="1:14" ht="11.25">
      <c r="A22" s="79">
        <f t="shared" si="1"/>
        <v>13</v>
      </c>
      <c r="B22" s="34" t="str">
        <f>'10.0.4'!B22</f>
        <v>   IN-COUNTY</v>
      </c>
      <c r="C22" s="268">
        <f>IF('10.0.3 P2'!$G$61=0,0,'10.0.3 P2'!G22/'10.0.3 P2'!$G$61*C$61)</f>
        <v>533.4279351244289</v>
      </c>
      <c r="D22" s="268">
        <f>IF('10.0.3 P2'!$J$61=0,0,'10.0.3 P2'!J22/'10.0.3 P2'!$J$61*D$61)</f>
        <v>13222.172908642846</v>
      </c>
      <c r="E22" s="268">
        <f>IF('10.0.4'!D$62=0,0,'10.0.4'!D22/'10.0.4'!D$62*E$61)</f>
        <v>131.74569031423346</v>
      </c>
      <c r="F22" s="268">
        <f>IF('10.0.4'!E$62=0,0,'10.0.4'!E22/'10.0.4'!E$62*F$61)</f>
        <v>66.87028423486893</v>
      </c>
      <c r="G22" s="268">
        <f>IF('10.0.4'!F$62=0,0,'10.0.4'!F22/'10.0.4'!F$62*G$61)</f>
        <v>0</v>
      </c>
      <c r="H22" s="268">
        <f>IF('10.0.4'!G$62=0,0,'10.0.4'!G22/'10.0.4'!G$62*H$61)</f>
        <v>379.067417104205</v>
      </c>
      <c r="I22" s="268">
        <f>IF('10.0.4'!G$62=0,0,'10.0.4'!G22/'10.0.4'!G$62*I$61)</f>
        <v>1.5396749321267655</v>
      </c>
      <c r="J22" s="268">
        <f>IF('10.0.4'!H$62=0,0,'10.0.4'!H22/'10.0.4'!H$62*J$61)</f>
        <v>0</v>
      </c>
      <c r="K22" s="268">
        <f>IF('10.0.4'!I$62=0,0,'10.0.4'!I22/'10.0.4'!I$62*K$61)</f>
        <v>0</v>
      </c>
      <c r="L22" s="268">
        <f>IF('10.0.4'!J$62=0,0,'10.0.4'!J22/'10.0.4'!J$62*L$61)</f>
        <v>0</v>
      </c>
      <c r="M22" s="268"/>
      <c r="N22" s="268">
        <f>'10.0.4'!C22/'10.0.4'!C$27*'10.2.2'!N$27</f>
        <v>1249.7377276784896</v>
      </c>
    </row>
    <row r="23" spans="1:14" ht="11.25">
      <c r="A23" s="79">
        <f t="shared" si="1"/>
        <v>14</v>
      </c>
      <c r="B23" s="34" t="str">
        <f>'10.0.4'!B23</f>
        <v>   OUTSIDE COUNTY:</v>
      </c>
      <c r="C23" s="268"/>
      <c r="D23" s="268"/>
      <c r="E23" s="268"/>
      <c r="F23" s="268"/>
      <c r="G23" s="268"/>
      <c r="H23" s="268"/>
      <c r="I23" s="268"/>
      <c r="J23" s="268"/>
      <c r="K23" s="268"/>
      <c r="L23" s="268"/>
      <c r="M23" s="268"/>
      <c r="N23" s="268"/>
    </row>
    <row r="24" spans="1:14" ht="11.25">
      <c r="A24" s="79">
        <f t="shared" si="1"/>
        <v>15</v>
      </c>
      <c r="B24" s="34" t="str">
        <f>'10.0.4'!B24</f>
        <v>      REGULAR</v>
      </c>
      <c r="C24" s="289"/>
      <c r="D24" s="289"/>
      <c r="E24" s="289"/>
      <c r="F24" s="289"/>
      <c r="G24" s="289"/>
      <c r="H24" s="289"/>
      <c r="I24" s="289"/>
      <c r="J24" s="289"/>
      <c r="K24" s="289"/>
      <c r="L24" s="289"/>
      <c r="M24" s="268"/>
      <c r="N24" s="268">
        <f>'10.0.4'!C24/'10.0.4'!C$27*'10.2.2'!N$27</f>
        <v>9733.101271274547</v>
      </c>
    </row>
    <row r="25" spans="1:14" ht="11.25">
      <c r="A25" s="79">
        <f t="shared" si="1"/>
        <v>16</v>
      </c>
      <c r="B25" s="34" t="str">
        <f>'10.0.4'!B25</f>
        <v>      NON-PROFIT</v>
      </c>
      <c r="C25" s="289"/>
      <c r="D25" s="289"/>
      <c r="E25" s="289"/>
      <c r="F25" s="289"/>
      <c r="G25" s="289"/>
      <c r="H25" s="289"/>
      <c r="I25" s="289"/>
      <c r="J25" s="289"/>
      <c r="K25" s="289"/>
      <c r="L25" s="289"/>
      <c r="M25" s="268"/>
      <c r="N25" s="268">
        <f>'10.0.4'!C25/'10.0.4'!C$27*'10.2.2'!N$27</f>
        <v>2890.68092049563</v>
      </c>
    </row>
    <row r="26" spans="1:14" ht="11.25">
      <c r="A26" s="79">
        <f t="shared" si="1"/>
        <v>17</v>
      </c>
      <c r="B26" s="34" t="str">
        <f>'10.0.4'!B26</f>
        <v>      CLASSROOM</v>
      </c>
      <c r="C26" s="289"/>
      <c r="D26" s="289"/>
      <c r="E26" s="289"/>
      <c r="F26" s="289"/>
      <c r="G26" s="289"/>
      <c r="H26" s="289"/>
      <c r="I26" s="289"/>
      <c r="J26" s="289"/>
      <c r="K26" s="289"/>
      <c r="L26" s="289"/>
      <c r="M26" s="268"/>
      <c r="N26" s="268">
        <f>'10.0.4'!C26/'10.0.4'!C$27*'10.2.2'!N$27</f>
        <v>82.23657379983692</v>
      </c>
    </row>
    <row r="27" spans="1:14" ht="11.25">
      <c r="A27" s="80">
        <f t="shared" si="1"/>
        <v>18</v>
      </c>
      <c r="B27" s="39" t="str">
        <f>'10.0.4'!B27</f>
        <v>TOTAL PERIODICALS</v>
      </c>
      <c r="C27" s="290">
        <f>SUM(C22:C26)</f>
        <v>533.4279351244289</v>
      </c>
      <c r="D27" s="290">
        <f aca="true" t="shared" si="6" ref="D27:L27">SUM(D22:D26)</f>
        <v>13222.172908642846</v>
      </c>
      <c r="E27" s="290">
        <f t="shared" si="6"/>
        <v>131.74569031423346</v>
      </c>
      <c r="F27" s="290">
        <f t="shared" si="6"/>
        <v>66.87028423486893</v>
      </c>
      <c r="G27" s="290">
        <f t="shared" si="6"/>
        <v>0</v>
      </c>
      <c r="H27" s="290">
        <f>IF('10.0.3 P2'!F$61=0,0,'10.0.3 P2'!F27/'10.0.3 P2'!F$61*H$61)</f>
        <v>0</v>
      </c>
      <c r="I27" s="290">
        <f t="shared" si="6"/>
        <v>1.5396749321267655</v>
      </c>
      <c r="J27" s="290">
        <f t="shared" si="6"/>
        <v>0</v>
      </c>
      <c r="K27" s="290">
        <f t="shared" si="6"/>
        <v>0</v>
      </c>
      <c r="L27" s="290">
        <f t="shared" si="6"/>
        <v>0</v>
      </c>
      <c r="M27" s="290"/>
      <c r="N27" s="290">
        <f>SUM(C27:M27)</f>
        <v>13955.756493248504</v>
      </c>
    </row>
    <row r="28" spans="1:14" ht="11.25">
      <c r="A28" s="79">
        <f t="shared" si="1"/>
        <v>19</v>
      </c>
      <c r="B28" s="35" t="str">
        <f>'10.0.4'!B28</f>
        <v>STANDARD MAIL (A):</v>
      </c>
      <c r="C28" s="268"/>
      <c r="D28" s="268"/>
      <c r="E28" s="268"/>
      <c r="F28" s="268"/>
      <c r="G28" s="268"/>
      <c r="H28" s="268"/>
      <c r="I28" s="268"/>
      <c r="J28" s="268"/>
      <c r="K28" s="268"/>
      <c r="L28" s="268"/>
      <c r="M28" s="268"/>
      <c r="N28" s="268"/>
    </row>
    <row r="29" spans="1:14" ht="11.25">
      <c r="A29" s="79">
        <f t="shared" si="1"/>
        <v>20</v>
      </c>
      <c r="B29" s="34" t="str">
        <f>'10.0.4'!B29</f>
        <v>   SINGLE-PIECE RATE</v>
      </c>
      <c r="C29" s="268">
        <f>IF('10.0.3 P2'!$G$61=0,0,'10.0.3 P2'!G29/'10.0.3 P2'!$G$61*C$61)</f>
        <v>11.810967760763205</v>
      </c>
      <c r="D29" s="268">
        <f>IF('10.0.3 P2'!$J$61=0,0,'10.0.3 P2'!J29/'10.0.3 P2'!$J$61*D$61)</f>
        <v>32.82074567073358</v>
      </c>
      <c r="E29" s="268">
        <f>IF('10.0.4'!D$62=0,0,'10.0.4'!D29/'10.0.4'!D$62*E$61)</f>
        <v>32.47160723308477</v>
      </c>
      <c r="F29" s="268">
        <f>IF('10.0.4'!E$62=0,0,'10.0.4'!E29/'10.0.4'!E$62*F$61)</f>
        <v>0</v>
      </c>
      <c r="G29" s="268">
        <f>IF('10.0.4'!F$62=0,0,'10.0.4'!F29/'10.0.4'!F$62*G$61)</f>
        <v>0</v>
      </c>
      <c r="H29" s="268">
        <f>IF('10.0.3 P2'!F$61=0,0,'10.0.3 P2'!F29/'10.0.3 P2'!F$61*H$61)</f>
        <v>0</v>
      </c>
      <c r="I29" s="268">
        <f>IF('10.0.4'!G$62=0,0,'10.0.4'!G29/'10.0.4'!G$62*I$61)</f>
        <v>0.2717073409635469</v>
      </c>
      <c r="J29" s="268">
        <f>IF('10.0.4'!H$62=0,0,'10.0.4'!H29/'10.0.4'!H$62*J$61)</f>
        <v>1.2885461325172824</v>
      </c>
      <c r="K29" s="268">
        <f>IF('10.0.4'!I$62=0,0,'10.0.4'!I29/'10.0.4'!I$62*K$61)</f>
        <v>18.450407372881738</v>
      </c>
      <c r="L29" s="268">
        <f>IF('10.0.4'!J$62=0,0,'10.0.4'!J29/'10.0.4'!J$62*L$61)</f>
        <v>0</v>
      </c>
      <c r="M29" s="268"/>
      <c r="N29" s="268">
        <f>SUM(C29:M29)</f>
        <v>97.11398151094413</v>
      </c>
    </row>
    <row r="30" spans="1:14" ht="11.25">
      <c r="A30" s="79">
        <f t="shared" si="1"/>
        <v>21</v>
      </c>
      <c r="B30" s="34" t="str">
        <f>'10.0.4'!B30</f>
        <v>   COMMERCIAL STANDARD:</v>
      </c>
      <c r="C30" s="268"/>
      <c r="D30" s="268"/>
      <c r="E30" s="268"/>
      <c r="F30" s="268"/>
      <c r="G30" s="268"/>
      <c r="H30" s="268"/>
      <c r="I30" s="268"/>
      <c r="J30" s="268"/>
      <c r="K30" s="268"/>
      <c r="L30" s="268"/>
      <c r="M30" s="268"/>
      <c r="N30" s="268"/>
    </row>
    <row r="31" spans="1:14" ht="11.25">
      <c r="A31" s="79">
        <f t="shared" si="1"/>
        <v>22</v>
      </c>
      <c r="B31" s="34" t="str">
        <f>'10.0.4'!B31</f>
        <v>    ENHANCED CARR RTE</v>
      </c>
      <c r="C31" s="268">
        <f>IF('10.0.3 P2'!$G$61=0,0,'10.0.3 P2'!G31/'10.0.3 P2'!$G$61*C$61)</f>
        <v>4922.612757324349</v>
      </c>
      <c r="D31" s="268">
        <f>IF('10.0.3 P2'!$J$61=0,0,'10.0.3 P2'!J31/'10.0.3 P2'!$J$61*D$61)</f>
        <v>18459.25851871633</v>
      </c>
      <c r="E31" s="268">
        <f>IF('10.0.4'!D$62=0,0,'10.0.4'!D31/'10.0.4'!D$62*E$61)</f>
        <v>0</v>
      </c>
      <c r="F31" s="268">
        <f>IF('10.0.4'!E$62=0,0,'10.0.4'!E31/'10.0.4'!E$62*F$61)</f>
        <v>4160.740099400308</v>
      </c>
      <c r="G31" s="268">
        <f>IF('10.0.4'!F$62=0,0,'10.0.4'!F31/'10.0.4'!F$62*G$61)</f>
        <v>0</v>
      </c>
      <c r="H31" s="268">
        <f>IF('10.0.3 P2'!F$61=0,0,'10.0.3 P2'!F31/'10.0.3 P2'!F$61*H$61)</f>
        <v>200.4817608848635</v>
      </c>
      <c r="I31" s="268">
        <f>IF('10.0.4'!G$62=0,0,'10.0.4'!G31/'10.0.4'!G$62*I$61)</f>
        <v>0</v>
      </c>
      <c r="J31" s="268">
        <f>IF('10.0.4'!H$62=0,0,'10.0.4'!H31/'10.0.4'!H$62*J$61)</f>
        <v>0</v>
      </c>
      <c r="K31" s="268">
        <f>IF('10.0.4'!I$62=0,0,'10.0.4'!I31/'10.0.4'!I$62*K$61)</f>
        <v>0</v>
      </c>
      <c r="L31" s="268">
        <f>IF('10.0.4'!J$62=0,0,'10.0.4'!J31/'10.0.4'!J$62*L$61)</f>
        <v>0</v>
      </c>
      <c r="M31" s="268"/>
      <c r="N31" s="268">
        <f>SUM(C31:M31)</f>
        <v>27743.093136325853</v>
      </c>
    </row>
    <row r="32" spans="1:14" ht="11.25">
      <c r="A32" s="79">
        <f t="shared" si="1"/>
        <v>23</v>
      </c>
      <c r="B32" s="34" t="str">
        <f>'10.0.4'!B32</f>
        <v>    REGULAR</v>
      </c>
      <c r="C32" s="268">
        <f>IF('10.0.3 P2'!$G$61=0,0,'10.0.3 P2'!G32/'10.0.3 P2'!$G$61*C$61)</f>
        <v>4400.65915355011</v>
      </c>
      <c r="D32" s="268">
        <f>IF('10.0.3 P2'!$J$61=0,0,'10.0.3 P2'!J32/'10.0.3 P2'!$J$61*D$61)</f>
        <v>20819.194430897907</v>
      </c>
      <c r="E32" s="268">
        <f>IF('10.0.4'!D$62=0,0,'10.0.4'!D32/'10.0.4'!D$62*E$61)</f>
        <v>2193.3130413047293</v>
      </c>
      <c r="F32" s="268">
        <f>IF('10.0.4'!E$62=0,0,'10.0.4'!E32/'10.0.4'!E$62*F$61)</f>
        <v>484.8529177666977</v>
      </c>
      <c r="G32" s="268">
        <f>IF('10.0.4'!F$62=0,0,'10.0.4'!F32/'10.0.4'!F$62*G$61)</f>
        <v>0</v>
      </c>
      <c r="H32" s="268">
        <f>IF('10.0.3 P2'!F$61=0,0,'10.0.3 P2'!F32/'10.0.3 P2'!F$61*H$61)</f>
        <v>2827.7849466801886</v>
      </c>
      <c r="I32" s="268">
        <f>IF('10.0.4'!G$62=0,0,'10.0.4'!G32/'10.0.4'!G$62*I$61)</f>
        <v>5.192629182858895</v>
      </c>
      <c r="J32" s="268">
        <f>IF('10.0.4'!H$62=0,0,'10.0.4'!H32/'10.0.4'!H$62*J$61)</f>
        <v>0</v>
      </c>
      <c r="K32" s="268">
        <f>IF('10.0.4'!I$62=0,0,'10.0.4'!I32/'10.0.4'!I$62*K$61)</f>
        <v>0</v>
      </c>
      <c r="L32" s="268">
        <f>IF('10.0.4'!J$62=0,0,'10.0.4'!J32/'10.0.4'!J$62*L$61)</f>
        <v>0</v>
      </c>
      <c r="M32" s="268"/>
      <c r="N32" s="268">
        <f>SUM(C32:M32)</f>
        <v>30730.997119382493</v>
      </c>
    </row>
    <row r="33" spans="1:14" ht="11.25">
      <c r="A33" s="79">
        <f t="shared" si="1"/>
        <v>24</v>
      </c>
      <c r="B33" s="38" t="str">
        <f>'10.0.4'!B33</f>
        <v>      TOTAL COMMERCIAL</v>
      </c>
      <c r="C33" s="291">
        <f>SUM(C31:C32)</f>
        <v>9323.27191087446</v>
      </c>
      <c r="D33" s="291">
        <f aca="true" t="shared" si="7" ref="D33:L33">SUM(D31:D32)</f>
        <v>39278.452949614235</v>
      </c>
      <c r="E33" s="291">
        <f t="shared" si="7"/>
        <v>2193.3130413047293</v>
      </c>
      <c r="F33" s="291">
        <f t="shared" si="7"/>
        <v>4645.593017167006</v>
      </c>
      <c r="G33" s="291">
        <f t="shared" si="7"/>
        <v>0</v>
      </c>
      <c r="H33" s="291">
        <f t="shared" si="7"/>
        <v>3028.266707565052</v>
      </c>
      <c r="I33" s="291">
        <f t="shared" si="7"/>
        <v>5.192629182858895</v>
      </c>
      <c r="J33" s="291">
        <f t="shared" si="7"/>
        <v>0</v>
      </c>
      <c r="K33" s="291">
        <f t="shared" si="7"/>
        <v>0</v>
      </c>
      <c r="L33" s="291">
        <f t="shared" si="7"/>
        <v>0</v>
      </c>
      <c r="M33" s="291"/>
      <c r="N33" s="291">
        <f>SUM(N31:N32)</f>
        <v>58474.09025570835</v>
      </c>
    </row>
    <row r="34" spans="1:14" ht="11.25">
      <c r="A34" s="79">
        <f t="shared" si="1"/>
        <v>25</v>
      </c>
      <c r="B34" s="34" t="str">
        <f>'10.0.4'!B34</f>
        <v>   AGGREGATE NONPROFIT:</v>
      </c>
      <c r="C34" s="268"/>
      <c r="D34" s="268"/>
      <c r="E34" s="268"/>
      <c r="F34" s="268"/>
      <c r="G34" s="268"/>
      <c r="H34" s="268"/>
      <c r="I34" s="268"/>
      <c r="J34" s="268"/>
      <c r="K34" s="268"/>
      <c r="L34" s="268"/>
      <c r="M34" s="268"/>
      <c r="N34" s="268"/>
    </row>
    <row r="35" spans="1:14" ht="11.25">
      <c r="A35" s="79">
        <f t="shared" si="1"/>
        <v>26</v>
      </c>
      <c r="B35" s="34" t="str">
        <f>'10.0.4'!B35</f>
        <v>    NONPROF ENH CARR RTE</v>
      </c>
      <c r="C35" s="268">
        <f>IF('10.0.3 P2'!$G$61=0,0,'10.0.3 P2'!G35/'10.0.3 P2'!$G$61*C$61)</f>
        <v>362.0867612794791</v>
      </c>
      <c r="D35" s="268">
        <f>IF('10.0.3 P2'!$J$61=0,0,'10.0.3 P2'!J35/'10.0.3 P2'!$J$61*D$61)</f>
        <v>680.7108869040474</v>
      </c>
      <c r="E35" s="268">
        <f>IF('10.0.4'!D$62=0,0,'10.0.4'!D35/'10.0.4'!D$62*E$61)</f>
        <v>0</v>
      </c>
      <c r="F35" s="268">
        <f>IF('10.0.4'!E$62=0,0,'10.0.4'!E35/'10.0.4'!E$62*F$61)</f>
        <v>161.85876538285743</v>
      </c>
      <c r="G35" s="268">
        <f>IF('10.0.4'!F$62=0,0,'10.0.4'!F35/'10.0.4'!F$62*G$61)</f>
        <v>0</v>
      </c>
      <c r="H35" s="268">
        <f>IF('10.0.3 P2'!F$61=0,0,'10.0.3 P2'!F35/'10.0.3 P2'!F$61*H$61)</f>
        <v>15.979885777381512</v>
      </c>
      <c r="I35" s="268">
        <f>IF('10.0.4'!G$62=0,0,'10.0.4'!G35/'10.0.4'!G$62*I$61)</f>
        <v>0</v>
      </c>
      <c r="J35" s="268">
        <f>IF('10.0.4'!H$62=0,0,'10.0.4'!H35/'10.0.4'!H$62*J$61)</f>
        <v>0</v>
      </c>
      <c r="K35" s="268">
        <f>IF('10.0.4'!I$62=0,0,'10.0.4'!I35/'10.0.4'!I$62*K$61)</f>
        <v>0</v>
      </c>
      <c r="L35" s="268">
        <f>IF('10.0.4'!J$62=0,0,'10.0.4'!J35/'10.0.4'!J$62*L$61)</f>
        <v>0</v>
      </c>
      <c r="M35" s="268"/>
      <c r="N35" s="268">
        <f>SUM(C35:M35)</f>
        <v>1220.6362993437654</v>
      </c>
    </row>
    <row r="36" spans="1:14" ht="11.25">
      <c r="A36" s="79">
        <f t="shared" si="1"/>
        <v>27</v>
      </c>
      <c r="B36" s="34" t="str">
        <f>'10.0.4'!B36</f>
        <v>    NONPROFIT</v>
      </c>
      <c r="C36" s="268">
        <f>IF('10.0.3 P2'!$G$61=0,0,'10.0.3 P2'!G36/'10.0.3 P2'!$G$61*C$61)</f>
        <v>1721.082200871318</v>
      </c>
      <c r="D36" s="268">
        <f>IF('10.0.3 P2'!$J$61=0,0,'10.0.3 P2'!J36/'10.0.3 P2'!$J$61*D$61)</f>
        <v>3517.862739933347</v>
      </c>
      <c r="E36" s="268">
        <f>IF('10.0.4'!D$62=0,0,'10.0.4'!D36/'10.0.4'!D$62*E$61)</f>
        <v>123.33973392566877</v>
      </c>
      <c r="F36" s="268">
        <f>IF('10.0.4'!E$62=0,0,'10.0.4'!E36/'10.0.4'!E$62*F$61)</f>
        <v>61.640053158349716</v>
      </c>
      <c r="G36" s="268">
        <f>IF('10.0.4'!F$62=0,0,'10.0.4'!F36/'10.0.4'!F$62*G$61)</f>
        <v>0</v>
      </c>
      <c r="H36" s="268">
        <f>IF('10.0.3 P2'!F$61=0,0,'10.0.3 P2'!F36/'10.0.3 P2'!F$61*H$61)</f>
        <v>955.7353438098454</v>
      </c>
      <c r="I36" s="268">
        <f>IF('10.0.4'!G$62=0,0,'10.0.4'!G36/'10.0.4'!G$62*I$61)</f>
        <v>0.48303527282408326</v>
      </c>
      <c r="J36" s="268">
        <f>IF('10.0.4'!H$62=0,0,'10.0.4'!H36/'10.0.4'!H$62*J$61)</f>
        <v>0</v>
      </c>
      <c r="K36" s="268">
        <f>IF('10.0.4'!I$62=0,0,'10.0.4'!I36/'10.0.4'!I$62*K$61)</f>
        <v>0</v>
      </c>
      <c r="L36" s="268">
        <f>IF('10.0.4'!J$62=0,0,'10.0.4'!J36/'10.0.4'!J$62*L$61)</f>
        <v>0</v>
      </c>
      <c r="M36" s="268"/>
      <c r="N36" s="268">
        <f>SUM(C36:M36)</f>
        <v>6380.143106971353</v>
      </c>
    </row>
    <row r="37" spans="1:14" ht="11.25">
      <c r="A37" s="79">
        <f t="shared" si="1"/>
        <v>28</v>
      </c>
      <c r="B37" s="38" t="str">
        <f>'10.0.4'!B37</f>
        <v>       TOTAL AGGREG NONPROFIT</v>
      </c>
      <c r="C37" s="291">
        <f>SUM(C35:C36)</f>
        <v>2083.168962150797</v>
      </c>
      <c r="D37" s="291">
        <f aca="true" t="shared" si="8" ref="D37:L37">SUM(D35:D36)</f>
        <v>4198.573626837394</v>
      </c>
      <c r="E37" s="291">
        <f t="shared" si="8"/>
        <v>123.33973392566877</v>
      </c>
      <c r="F37" s="291">
        <f t="shared" si="8"/>
        <v>223.49881854120713</v>
      </c>
      <c r="G37" s="291">
        <f t="shared" si="8"/>
        <v>0</v>
      </c>
      <c r="H37" s="291">
        <f t="shared" si="8"/>
        <v>971.7152295872269</v>
      </c>
      <c r="I37" s="291">
        <f t="shared" si="8"/>
        <v>0.48303527282408326</v>
      </c>
      <c r="J37" s="291">
        <f t="shared" si="8"/>
        <v>0</v>
      </c>
      <c r="K37" s="291">
        <f t="shared" si="8"/>
        <v>0</v>
      </c>
      <c r="L37" s="291">
        <f t="shared" si="8"/>
        <v>0</v>
      </c>
      <c r="M37" s="291"/>
      <c r="N37" s="291">
        <f>SUM(N35:N36)</f>
        <v>7600.779406315118</v>
      </c>
    </row>
    <row r="38" spans="1:14" ht="11.25">
      <c r="A38" s="80">
        <f t="shared" si="1"/>
        <v>29</v>
      </c>
      <c r="B38" s="39" t="str">
        <f>'10.0.4'!B38</f>
        <v>TOTAL STANDARD (A)</v>
      </c>
      <c r="C38" s="290">
        <f>SUM(C29,C33,C37)</f>
        <v>11418.25184078602</v>
      </c>
      <c r="D38" s="290">
        <f aca="true" t="shared" si="9" ref="D38:L38">SUM(D29,D33,D37)</f>
        <v>43509.84732212236</v>
      </c>
      <c r="E38" s="290">
        <f t="shared" si="9"/>
        <v>2349.124382463483</v>
      </c>
      <c r="F38" s="290">
        <f t="shared" si="9"/>
        <v>4869.091835708214</v>
      </c>
      <c r="G38" s="290">
        <f t="shared" si="9"/>
        <v>0</v>
      </c>
      <c r="H38" s="290">
        <f t="shared" si="9"/>
        <v>3999.981937152279</v>
      </c>
      <c r="I38" s="290">
        <f t="shared" si="9"/>
        <v>5.947371796646526</v>
      </c>
      <c r="J38" s="290">
        <f t="shared" si="9"/>
        <v>1.2885461325172824</v>
      </c>
      <c r="K38" s="290">
        <f t="shared" si="9"/>
        <v>18.450407372881738</v>
      </c>
      <c r="L38" s="290">
        <f t="shared" si="9"/>
        <v>0</v>
      </c>
      <c r="M38" s="290"/>
      <c r="N38" s="290">
        <f>SUM(N29,N33,N37)</f>
        <v>66171.9836435344</v>
      </c>
    </row>
    <row r="39" spans="1:14" ht="11.25">
      <c r="A39" s="79">
        <f t="shared" si="1"/>
        <v>30</v>
      </c>
      <c r="B39" s="35" t="str">
        <f>'10.0.4'!B39</f>
        <v>STANDARD MAIL (B):</v>
      </c>
      <c r="C39" s="268"/>
      <c r="D39" s="268"/>
      <c r="E39" s="268"/>
      <c r="F39" s="268"/>
      <c r="G39" s="268"/>
      <c r="H39" s="268"/>
      <c r="I39" s="268"/>
      <c r="J39" s="268"/>
      <c r="K39" s="268"/>
      <c r="L39" s="268"/>
      <c r="M39" s="268"/>
      <c r="N39" s="268"/>
    </row>
    <row r="40" spans="1:14" ht="11.25">
      <c r="A40" s="79">
        <f t="shared" si="1"/>
        <v>31</v>
      </c>
      <c r="B40" s="34" t="str">
        <f>'10.0.4'!B40</f>
        <v>   PARCELS ZONE RATE</v>
      </c>
      <c r="C40" s="268">
        <f>IF('10.0.3 P2'!$G$61=0,0,'10.0.3 P2'!G40/'10.0.3 P2'!$G$61*C$61)</f>
        <v>4.29209390973854</v>
      </c>
      <c r="D40" s="268">
        <f>IF('10.0.3 P2'!$J$61=0,0,'10.0.3 P2'!J40/'10.0.3 P2'!$J$61*D$61)</f>
        <v>46.50182326025561</v>
      </c>
      <c r="E40" s="268">
        <f>IF('10.0.4'!D$62=0,0,'10.0.4'!D40/'10.0.4'!D$62*E$61)</f>
        <v>903.8628994009305</v>
      </c>
      <c r="F40" s="268">
        <f>IF('10.0.4'!E$62=0,0,'10.0.4'!E40/'10.0.4'!E$62*F$61)</f>
        <v>0</v>
      </c>
      <c r="G40" s="268">
        <f>IF('10.0.4'!F$62=0,0,'10.0.4'!F40/'10.0.4'!F$62*G$61)</f>
        <v>0</v>
      </c>
      <c r="H40" s="268">
        <f>IF('10.0.3 P2'!F$61=0,0,'10.0.3 P2'!F40/'10.0.3 P2'!F$61*H$61)</f>
        <v>0</v>
      </c>
      <c r="I40" s="268">
        <f>IF('10.0.4'!G$62=0,0,'10.0.4'!G40/'10.0.4'!G$62*I$61)</f>
        <v>1.1371455381066962</v>
      </c>
      <c r="J40" s="268">
        <f>IF('10.0.4'!H$62=0,0,'10.0.4'!H40/'10.0.4'!H$62*J$61)</f>
        <v>2.033039453527268</v>
      </c>
      <c r="K40" s="268">
        <f>IF('10.0.4'!I$62=0,0,'10.0.4'!I40/'10.0.4'!I$62*K$61)</f>
        <v>111.57274647186031</v>
      </c>
      <c r="L40" s="268">
        <f>IF('10.0.4'!J$62=0,0,'10.0.4'!J40/'10.0.4'!J$62*L$61)</f>
        <v>0</v>
      </c>
      <c r="M40" s="268"/>
      <c r="N40" s="268">
        <f aca="true" t="shared" si="10" ref="N40:N47">SUM(C40:M40)</f>
        <v>1069.399748034419</v>
      </c>
    </row>
    <row r="41" spans="1:14" ht="11.25">
      <c r="A41" s="79">
        <f t="shared" si="1"/>
        <v>32</v>
      </c>
      <c r="B41" s="34" t="str">
        <f>'10.0.4'!B41</f>
        <v>   BOUND PRINTED MATTER</v>
      </c>
      <c r="C41" s="268">
        <f>IF('10.0.3 P2'!$G$61=0,0,'10.0.3 P2'!G41/'10.0.3 P2'!$G$61*C$61)</f>
        <v>2.559556982097509</v>
      </c>
      <c r="D41" s="268">
        <f>IF('10.0.3 P2'!$J$61=0,0,'10.0.3 P2'!J41/'10.0.3 P2'!$J$61*D$61)</f>
        <v>198.82269791543106</v>
      </c>
      <c r="E41" s="268">
        <f>IF('10.0.4'!D$62=0,0,'10.0.4'!D41/'10.0.4'!D$62*E$61)</f>
        <v>824.2550881198196</v>
      </c>
      <c r="F41" s="268">
        <f>IF('10.0.4'!E$62=0,0,'10.0.4'!E41/'10.0.4'!E$62*F$61)</f>
        <v>7.982263658666788</v>
      </c>
      <c r="G41" s="268">
        <f>IF('10.0.4'!F$62=0,0,'10.0.4'!F41/'10.0.4'!F$62*G$61)</f>
        <v>0</v>
      </c>
      <c r="H41" s="268">
        <f>IF('10.0.3 P2'!F$61=0,0,'10.0.3 P2'!F41/'10.0.3 P2'!F$61*H$61)</f>
        <v>0</v>
      </c>
      <c r="I41" s="268">
        <f>IF('10.0.4'!G$62=0,0,'10.0.4'!G41/'10.0.4'!G$62*I$61)</f>
        <v>3.3409939703665765</v>
      </c>
      <c r="J41" s="268">
        <f>IF('10.0.4'!H$62=0,0,'10.0.4'!H41/'10.0.4'!H$62*J$61)</f>
        <v>0.7121240461834643</v>
      </c>
      <c r="K41" s="268">
        <f>IF('10.0.4'!I$62=0,0,'10.0.4'!I41/'10.0.4'!I$62*K$61)</f>
        <v>25.325795025983897</v>
      </c>
      <c r="L41" s="268">
        <f>IF('10.0.4'!J$62=0,0,'10.0.4'!J41/'10.0.4'!J$62*L$61)</f>
        <v>0</v>
      </c>
      <c r="M41" s="268"/>
      <c r="N41" s="268">
        <f t="shared" si="10"/>
        <v>1062.9985197185488</v>
      </c>
    </row>
    <row r="42" spans="1:14" ht="11.25">
      <c r="A42" s="79">
        <f t="shared" si="1"/>
        <v>33</v>
      </c>
      <c r="B42" s="34" t="str">
        <f>'10.0.4'!B42</f>
        <v>   SPECIAL STANDARD</v>
      </c>
      <c r="C42" s="268">
        <f>IF('10.0.3 P2'!$G$61=0,0,'10.0.3 P2'!G42/'10.0.3 P2'!$G$61*C$61)</f>
        <v>1.7129127229590122</v>
      </c>
      <c r="D42" s="268">
        <f>IF('10.0.3 P2'!$J$61=0,0,'10.0.3 P2'!J42/'10.0.3 P2'!$J$61*D$61)</f>
        <v>42.785109519863994</v>
      </c>
      <c r="E42" s="268">
        <f>IF('10.0.4'!D$62=0,0,'10.0.4'!D42/'10.0.4'!D$62*E$61)</f>
        <v>291.0529666065489</v>
      </c>
      <c r="F42" s="268">
        <f>IF('10.0.4'!E$62=0,0,'10.0.4'!E42/'10.0.4'!E$62*F$61)</f>
        <v>0</v>
      </c>
      <c r="G42" s="268">
        <f>IF('10.0.4'!F$62=0,0,'10.0.4'!F42/'10.0.4'!F$62*G$61)</f>
        <v>0</v>
      </c>
      <c r="H42" s="268">
        <f>IF('10.0.3 P2'!F$61=0,0,'10.0.3 P2'!F42/'10.0.3 P2'!F$61*H$61)</f>
        <v>0</v>
      </c>
      <c r="I42" s="268">
        <f>IF('10.0.4'!G$62=0,0,'10.0.4'!G42/'10.0.4'!G$62*I$61)</f>
        <v>1.751002863987302</v>
      </c>
      <c r="J42" s="268">
        <f>IF('10.0.4'!H$62=0,0,'10.0.4'!H42/'10.0.4'!H$62*J$61)</f>
        <v>0.9200343883384267</v>
      </c>
      <c r="K42" s="268">
        <f>IF('10.0.4'!I$62=0,0,'10.0.4'!I42/'10.0.4'!I$62*K$61)</f>
        <v>47.86662290134413</v>
      </c>
      <c r="L42" s="268">
        <f>IF('10.0.4'!J$62=0,0,'10.0.4'!J42/'10.0.4'!J$62*L$61)</f>
        <v>0</v>
      </c>
      <c r="M42" s="268"/>
      <c r="N42" s="268">
        <f t="shared" si="10"/>
        <v>386.08864900304184</v>
      </c>
    </row>
    <row r="43" spans="1:14" ht="11.25">
      <c r="A43" s="79">
        <f aca="true" t="shared" si="11" ref="A43:A63">A42+1</f>
        <v>34</v>
      </c>
      <c r="B43" s="34" t="str">
        <f>'10.0.4'!B43</f>
        <v>   LIBRARY MAIL</v>
      </c>
      <c r="C43" s="268">
        <f>IF('10.0.3 P2'!$G$61=0,0,'10.0.3 P2'!G43/'10.0.3 P2'!$G$61*C$61)</f>
        <v>1.7241265542058797</v>
      </c>
      <c r="D43" s="268">
        <f>IF('10.0.3 P2'!$J$61=0,0,'10.0.3 P2'!J43/'10.0.3 P2'!$J$61*D$61)</f>
        <v>7.5829904359971465</v>
      </c>
      <c r="E43" s="268">
        <f>IF('10.0.4'!D$62=0,0,'10.0.4'!D43/'10.0.4'!D$62*E$61)</f>
        <v>34.19993471484573</v>
      </c>
      <c r="F43" s="268">
        <f>IF('10.0.4'!E$62=0,0,'10.0.4'!E43/'10.0.4'!E$62*F$61)</f>
        <v>0.1391989946194037</v>
      </c>
      <c r="G43" s="268">
        <f>IF('10.0.4'!F$62=0,0,'10.0.4'!F43/'10.0.4'!F$62*G$61)</f>
        <v>0</v>
      </c>
      <c r="H43" s="268">
        <f>IF('10.0.3 P2'!F$61=0,0,'10.0.3 P2'!F43/'10.0.3 P2'!F$61*H$61)</f>
        <v>0</v>
      </c>
      <c r="I43" s="268">
        <f>IF('10.0.4'!G$62=0,0,'10.0.4'!G43/'10.0.4'!G$62*I$61)</f>
        <v>0.3723396894685642</v>
      </c>
      <c r="J43" s="268">
        <f>IF('10.0.4'!H$62=0,0,'10.0.4'!H43/'10.0.4'!H$62*J$61)</f>
        <v>0.2938134176561146</v>
      </c>
      <c r="K43" s="268">
        <f>IF('10.0.4'!I$62=0,0,'10.0.4'!I43/'10.0.4'!I$62*K$61)</f>
        <v>31.59197111488713</v>
      </c>
      <c r="L43" s="268">
        <f>IF('10.0.4'!J$62=0,0,'10.0.4'!J43/'10.0.4'!J$62*L$61)</f>
        <v>0</v>
      </c>
      <c r="M43" s="268"/>
      <c r="N43" s="268">
        <f t="shared" si="10"/>
        <v>75.90437492167999</v>
      </c>
    </row>
    <row r="44" spans="1:14" ht="11.25">
      <c r="A44" s="80">
        <f t="shared" si="11"/>
        <v>35</v>
      </c>
      <c r="B44" s="39" t="str">
        <f>'10.0.4'!B44</f>
        <v>TOTAL STANDARD (B)</v>
      </c>
      <c r="C44" s="290">
        <f>SUM(C40:C43)</f>
        <v>10.28869016900094</v>
      </c>
      <c r="D44" s="290">
        <f aca="true" t="shared" si="12" ref="D44:L44">SUM(D40:D43)</f>
        <v>295.6926211315478</v>
      </c>
      <c r="E44" s="290">
        <f t="shared" si="12"/>
        <v>2053.3708888421447</v>
      </c>
      <c r="F44" s="290">
        <f t="shared" si="12"/>
        <v>8.121462653286192</v>
      </c>
      <c r="G44" s="290">
        <f t="shared" si="12"/>
        <v>0</v>
      </c>
      <c r="H44" s="290">
        <f t="shared" si="12"/>
        <v>0</v>
      </c>
      <c r="I44" s="290">
        <f t="shared" si="12"/>
        <v>6.601482061929139</v>
      </c>
      <c r="J44" s="290">
        <f t="shared" si="12"/>
        <v>3.9590113057052734</v>
      </c>
      <c r="K44" s="290">
        <f t="shared" si="12"/>
        <v>216.35713551407548</v>
      </c>
      <c r="L44" s="290">
        <f t="shared" si="12"/>
        <v>0</v>
      </c>
      <c r="M44" s="290"/>
      <c r="N44" s="290">
        <f>SUM(N40:N43)</f>
        <v>2594.391291677689</v>
      </c>
    </row>
    <row r="45" spans="1:14" ht="11.25">
      <c r="A45" s="79">
        <f t="shared" si="11"/>
        <v>36</v>
      </c>
      <c r="B45" s="35" t="str">
        <f>'10.0.4'!B45</f>
        <v>US POSTAL SERVICE</v>
      </c>
      <c r="C45" s="268">
        <f>IF('10.0.3 P2'!$G$61=0,0,'10.0.3 P2'!G45/'10.0.3 P2'!$G$61*C$61)</f>
        <v>73.7337439059656</v>
      </c>
      <c r="D45" s="268">
        <f>IF('10.0.3 P2'!$J$61=0,0,'10.0.3 P2'!J45/'10.0.3 P2'!$J$61*D$61)</f>
        <v>36.004499321521486</v>
      </c>
      <c r="E45" s="268">
        <f>IF('10.0.4'!D$62=0,0,'10.0.4'!D45/'10.0.4'!D$62*E$61)</f>
        <v>3.0769466531350487</v>
      </c>
      <c r="F45" s="268">
        <f>IF('10.0.4'!E$62=0,0,'10.0.4'!E45/'10.0.4'!E$62*F$61)</f>
        <v>9.748493524821189</v>
      </c>
      <c r="G45" s="268">
        <f>IF('10.0.4'!F$62=0,0,'10.0.4'!F45/'10.0.4'!F$62*G$61)</f>
        <v>0</v>
      </c>
      <c r="H45" s="268">
        <f>IF('10.0.3 P2'!F$61=0,0,'10.0.3 P2'!F45/'10.0.3 P2'!F$61*H$61)</f>
        <v>0</v>
      </c>
      <c r="I45" s="268">
        <f>IF('10.0.4'!G$62=0,0,'10.0.4'!G45/'10.0.4'!G$62*I$61)</f>
        <v>0</v>
      </c>
      <c r="J45" s="268">
        <f>IF('10.0.4'!H$62=0,0,'10.0.4'!H45/'10.0.4'!H$62*J$61)</f>
        <v>1.052001431861936</v>
      </c>
      <c r="K45" s="268">
        <f>IF('10.0.4'!I$62=0,0,'10.0.4'!I45/'10.0.4'!I$62*K$61)</f>
        <v>2.7849671506236584</v>
      </c>
      <c r="L45" s="268">
        <f>IF('10.0.4'!J$62=0,0,'10.0.4'!J45/'10.0.4'!J$62*L$61)</f>
        <v>0</v>
      </c>
      <c r="M45" s="268"/>
      <c r="N45" s="268">
        <f t="shared" si="10"/>
        <v>126.40065198792892</v>
      </c>
    </row>
    <row r="46" spans="1:14" ht="11.25">
      <c r="A46" s="84">
        <f t="shared" si="11"/>
        <v>37</v>
      </c>
      <c r="B46" s="95" t="str">
        <f>'10.0.4'!B46</f>
        <v>FREE MAIL</v>
      </c>
      <c r="C46" s="268">
        <f>IF('10.0.3 P2'!$G$61=0,0,'10.0.3 P2'!G46/'10.0.3 P2'!$G$61*C$61)</f>
        <v>9.932651026912897</v>
      </c>
      <c r="D46" s="268">
        <f>IF('10.0.3 P2'!$J$61=0,0,'10.0.3 P2'!J46/'10.0.3 P2'!$J$61*D$61)</f>
        <v>18.840428277273332</v>
      </c>
      <c r="E46" s="268">
        <f>IF('10.0.4'!D$62=0,0,'10.0.4'!D46/'10.0.4'!D$62*E$61)</f>
        <v>37.65658967836766</v>
      </c>
      <c r="F46" s="268">
        <f>IF('10.0.4'!E$62=0,0,'10.0.4'!E46/'10.0.4'!E$62*F$61)</f>
        <v>0</v>
      </c>
      <c r="G46" s="268">
        <f>IF('10.0.4'!F$62=0,0,'10.0.4'!F46/'10.0.4'!F$62*G$61)</f>
        <v>0</v>
      </c>
      <c r="H46" s="268">
        <f>IF('10.0.3 P2'!F$61=0,0,'10.0.3 P2'!F46/'10.0.3 P2'!F$61*H$61)</f>
        <v>0</v>
      </c>
      <c r="I46" s="268">
        <f>IF('10.0.4'!G$62=0,0,'10.0.4'!G46/'10.0.4'!G$62*I$61)</f>
        <v>0</v>
      </c>
      <c r="J46" s="268">
        <f>IF('10.0.4'!H$62=0,0,'10.0.4'!H46/'10.0.4'!H$62*J$61)</f>
        <v>0</v>
      </c>
      <c r="K46" s="268">
        <f>IF('10.0.4'!I$62=0,0,'10.0.4'!I46/'10.0.4'!I$62*K$61)</f>
        <v>0</v>
      </c>
      <c r="L46" s="268">
        <f>IF('10.0.4'!J$62=0,0,'10.0.4'!J46/'10.0.4'!J$62*L$61)</f>
        <v>0</v>
      </c>
      <c r="M46" s="268"/>
      <c r="N46" s="268">
        <f t="shared" si="10"/>
        <v>66.42966898255389</v>
      </c>
    </row>
    <row r="47" spans="1:14" ht="11.25">
      <c r="A47" s="79">
        <f t="shared" si="11"/>
        <v>38</v>
      </c>
      <c r="B47" s="35" t="str">
        <f>'10.0.4'!B47</f>
        <v>INTERNATIONAL MAIL</v>
      </c>
      <c r="C47" s="268">
        <f>IF('10.0.3 P2'!$G$61=0,0,'10.0.3 P2'!G47/'10.0.3 P2'!$G$61*C$61)</f>
        <v>136.4218640337667</v>
      </c>
      <c r="D47" s="268">
        <f>IF('10.0.3 P2'!$J$61=0,0,'10.0.3 P2'!J47/'10.0.3 P2'!$J$61*D$61)</f>
        <v>78.44199843240519</v>
      </c>
      <c r="E47" s="268">
        <f>IF('10.0.4'!D$62=0,0,'10.0.4'!D47/'10.0.4'!D$62*E$61)</f>
        <v>31.816937732417742</v>
      </c>
      <c r="F47" s="268">
        <f>IF('10.0.4'!E$62=0,0,'10.0.4'!E47/'10.0.4'!E$62*F$61)</f>
        <v>0.9721110116043601</v>
      </c>
      <c r="G47" s="268">
        <f>IF('10.0.4'!F$62=0,0,'10.0.4'!F47/'10.0.4'!F$62*G$61)</f>
        <v>0</v>
      </c>
      <c r="H47" s="268">
        <f>IF('10.0.3 P2'!F$61=0,0,'10.0.3 P2'!F47/'10.0.3 P2'!F$61*H$61)</f>
        <v>0</v>
      </c>
      <c r="I47" s="268">
        <f>IF('10.0.4'!G$62=0,0,'10.0.4'!G47/'10.0.4'!G$62*I$61)</f>
        <v>0.18113822730903123</v>
      </c>
      <c r="J47" s="268">
        <f>IF('10.0.4'!H$62=0,0,'10.0.4'!H47/'10.0.4'!H$62*J$61)</f>
        <v>4.586477248496298</v>
      </c>
      <c r="K47" s="268">
        <f>IF('10.0.4'!I$62=0,0,'10.0.4'!I47/'10.0.4'!I$62*K$61)</f>
        <v>10.530657038295708</v>
      </c>
      <c r="L47" s="268">
        <f>IF('10.0.4'!J$62=0,0,'10.0.4'!J47/'10.0.4'!J$62*L$61)</f>
        <v>0</v>
      </c>
      <c r="M47" s="268"/>
      <c r="N47" s="268">
        <f t="shared" si="10"/>
        <v>262.951183724295</v>
      </c>
    </row>
    <row r="48" spans="1:14" ht="11.25">
      <c r="A48" s="80">
        <f t="shared" si="11"/>
        <v>39</v>
      </c>
      <c r="B48" s="39" t="str">
        <f>'10.0.4'!B49</f>
        <v>TOTAL MAIL</v>
      </c>
      <c r="C48" s="290">
        <f>SUM(C17:C20,C27,C38,C44:C47)</f>
        <v>32877.57634483838</v>
      </c>
      <c r="D48" s="290">
        <f aca="true" t="shared" si="13" ref="D48:N48">SUM(D17:D20,D27,D38,D44:D47)</f>
        <v>73630.5716292836</v>
      </c>
      <c r="E48" s="290">
        <f t="shared" si="13"/>
        <v>6931.99419459289</v>
      </c>
      <c r="F48" s="290">
        <f t="shared" si="13"/>
        <v>5024.086493290823</v>
      </c>
      <c r="G48" s="290">
        <f t="shared" si="13"/>
        <v>626.606765315004</v>
      </c>
      <c r="H48" s="290">
        <f t="shared" si="13"/>
        <v>14134.507284833264</v>
      </c>
      <c r="I48" s="290">
        <f t="shared" si="13"/>
        <v>57.410754822112416</v>
      </c>
      <c r="J48" s="290">
        <f t="shared" si="13"/>
        <v>4136.543083435547</v>
      </c>
      <c r="K48" s="290">
        <f t="shared" si="13"/>
        <v>1285.5234306831894</v>
      </c>
      <c r="L48" s="290">
        <f t="shared" si="13"/>
        <v>8.63126047805388</v>
      </c>
      <c r="M48" s="290">
        <f t="shared" si="13"/>
        <v>0</v>
      </c>
      <c r="N48" s="290">
        <f t="shared" si="13"/>
        <v>138713.45124157288</v>
      </c>
    </row>
    <row r="49" spans="1:14" ht="11.25">
      <c r="A49" s="79">
        <f t="shared" si="11"/>
        <v>40</v>
      </c>
      <c r="B49" s="35" t="str">
        <f>'10.0.4'!B50</f>
        <v>SPECIAL SERVICES:</v>
      </c>
      <c r="C49" s="268"/>
      <c r="D49" s="268"/>
      <c r="E49" s="268"/>
      <c r="F49" s="268"/>
      <c r="G49" s="268"/>
      <c r="H49" s="268"/>
      <c r="I49" s="268"/>
      <c r="J49" s="268"/>
      <c r="K49" s="268"/>
      <c r="L49" s="268"/>
      <c r="M49" s="268"/>
      <c r="N49" s="268"/>
    </row>
    <row r="50" spans="1:14" ht="11.25">
      <c r="A50" s="79">
        <f t="shared" si="11"/>
        <v>41</v>
      </c>
      <c r="B50" s="34" t="str">
        <f>'10.0.4'!B51</f>
        <v>   REGISTRY</v>
      </c>
      <c r="C50" s="268">
        <f>IF('10.0.3 P2'!$G$61=0,0,'10.0.3 P2'!G50/'10.0.3 P2'!$G$61*C$61)</f>
        <v>0</v>
      </c>
      <c r="D50" s="268">
        <f>IF('10.0.3 P2'!$J$61=0,0,'10.0.3 P2'!J50/'10.0.3 P2'!$J$61*D$61)</f>
        <v>0</v>
      </c>
      <c r="E50" s="268">
        <f>IF('10.0.4'!D$62=0,0,'10.0.4'!D51/'10.0.4'!D$62*E$61)</f>
        <v>0</v>
      </c>
      <c r="F50" s="268">
        <f>IF('10.0.4'!E$62=0,0,'10.0.4'!E51/'10.0.4'!E$62*F$61)</f>
        <v>0</v>
      </c>
      <c r="G50" s="268">
        <f>IF('10.0.4'!F$62=0,0,'10.0.4'!F51/'10.0.4'!F$62*G$61)</f>
        <v>260.48318188614485</v>
      </c>
      <c r="H50" s="268">
        <f>IF('10.0.3 P2'!F$61=0,0,'10.0.3 P2'!F50/'10.0.3 P2'!F$61*H$61)</f>
        <v>0</v>
      </c>
      <c r="I50" s="268">
        <f>IF('10.0.4'!G$62=0,0,'10.0.4'!G51/'10.0.4'!G$62*I$61)</f>
        <v>0</v>
      </c>
      <c r="J50" s="268">
        <f>IF('10.0.4'!H$62=0,0,'10.0.4'!H51/'10.0.4'!H$62*J$61)</f>
        <v>0</v>
      </c>
      <c r="K50" s="268">
        <f>IF('10.0.4'!I$62=0,0,'10.0.4'!I51/'10.0.4'!I$62*K$61)</f>
        <v>0</v>
      </c>
      <c r="L50" s="268">
        <f>IF('10.0.4'!J$62=0,0,'10.0.4'!J51/'10.0.4'!J$62*L$61)</f>
        <v>7.663964045168531</v>
      </c>
      <c r="M50" s="268"/>
      <c r="N50" s="268">
        <f aca="true" t="shared" si="14" ref="N50:N61">SUM(C50:M50)</f>
        <v>268.1471459313134</v>
      </c>
    </row>
    <row r="51" spans="1:14" ht="11.25">
      <c r="A51" s="79">
        <f t="shared" si="11"/>
        <v>42</v>
      </c>
      <c r="B51" s="34" t="str">
        <f>'10.0.4'!B52</f>
        <v>   CERTIFIED</v>
      </c>
      <c r="C51" s="268">
        <f>IF('10.0.3 P2'!$G$61=0,0,'10.0.3 P2'!G51/'10.0.3 P2'!$G$61*C$61)</f>
        <v>0</v>
      </c>
      <c r="D51" s="268">
        <f>IF('10.0.3 P2'!$J$61=0,0,'10.0.3 P2'!J51/'10.0.3 P2'!$J$61*D$61)</f>
        <v>0</v>
      </c>
      <c r="E51" s="268">
        <f>IF('10.0.4'!D$62=0,0,'10.0.4'!D52/'10.0.4'!D$62*E$61)</f>
        <v>0</v>
      </c>
      <c r="F51" s="268">
        <f>IF('10.0.4'!E$62=0,0,'10.0.4'!E52/'10.0.4'!E$62*F$61)</f>
        <v>0</v>
      </c>
      <c r="G51" s="268">
        <f>IF('10.0.4'!F$62=0,0,'10.0.4'!F52/'10.0.4'!F$62*G$61)</f>
        <v>6345.418548372763</v>
      </c>
      <c r="H51" s="268">
        <f>IF('10.0.3 P2'!F$61=0,0,'10.0.3 P2'!F51/'10.0.3 P2'!F$61*H$61)</f>
        <v>0</v>
      </c>
      <c r="I51" s="268">
        <f>IF('10.0.4'!G$62=0,0,'10.0.4'!G52/'10.0.4'!G$62*I$61)</f>
        <v>0</v>
      </c>
      <c r="J51" s="268">
        <f>IF('10.0.4'!H$62=0,0,'10.0.4'!H52/'10.0.4'!H$62*J$61)</f>
        <v>0</v>
      </c>
      <c r="K51" s="268">
        <f>IF('10.0.4'!I$62=0,0,'10.0.4'!I52/'10.0.4'!I$62*K$61)</f>
        <v>0</v>
      </c>
      <c r="L51" s="268">
        <f>IF('10.0.4'!J$62=0,0,'10.0.4'!J52/'10.0.4'!J$62*L$61)</f>
        <v>120.65162814796868</v>
      </c>
      <c r="M51" s="268"/>
      <c r="N51" s="268">
        <f t="shared" si="14"/>
        <v>6466.070176520732</v>
      </c>
    </row>
    <row r="52" spans="1:14" ht="11.25">
      <c r="A52" s="79">
        <f t="shared" si="11"/>
        <v>43</v>
      </c>
      <c r="B52" s="34" t="str">
        <f>'10.0.4'!B53</f>
        <v>   INSURANCE</v>
      </c>
      <c r="C52" s="268">
        <f>IF('10.0.3 P2'!$G$61=0,0,'10.0.3 P2'!G52/'10.0.3 P2'!$G$61*C$61)</f>
        <v>0</v>
      </c>
      <c r="D52" s="268">
        <f>IF('10.0.3 P2'!$J$61=0,0,'10.0.3 P2'!J52/'10.0.3 P2'!$J$61*D$61)</f>
        <v>0</v>
      </c>
      <c r="E52" s="268">
        <f>IF('10.0.4'!D$62=0,0,'10.0.4'!D53/'10.0.4'!D$62*E$61)</f>
        <v>0</v>
      </c>
      <c r="F52" s="268">
        <f>IF('10.0.4'!E$62=0,0,'10.0.4'!E53/'10.0.4'!E$62*F$61)</f>
        <v>0</v>
      </c>
      <c r="G52" s="268">
        <f>IF('10.0.4'!F$62=0,0,'10.0.4'!F53/'10.0.4'!F$62*G$61)</f>
        <v>499.25943194844433</v>
      </c>
      <c r="H52" s="268">
        <f>IF('10.0.3 P2'!F$61=0,0,'10.0.3 P2'!F52/'10.0.3 P2'!F$61*H$61)</f>
        <v>0</v>
      </c>
      <c r="I52" s="268">
        <f>IF('10.0.4'!G$62=0,0,'10.0.4'!G53/'10.0.4'!G$62*I$61)</f>
        <v>0</v>
      </c>
      <c r="J52" s="268">
        <f>IF('10.0.4'!H$62=0,0,'10.0.4'!H53/'10.0.4'!H$62*J$61)</f>
        <v>0</v>
      </c>
      <c r="K52" s="268">
        <f>IF('10.0.4'!I$62=0,0,'10.0.4'!I53/'10.0.4'!I$62*K$61)</f>
        <v>0</v>
      </c>
      <c r="L52" s="268">
        <f>IF('10.0.4'!J$62=0,0,'10.0.4'!J53/'10.0.4'!J$62*L$61)</f>
        <v>5.171315545040902</v>
      </c>
      <c r="M52" s="268"/>
      <c r="N52" s="268">
        <f t="shared" si="14"/>
        <v>504.4307474934852</v>
      </c>
    </row>
    <row r="53" spans="1:14" ht="11.25">
      <c r="A53" s="79">
        <f t="shared" si="11"/>
        <v>44</v>
      </c>
      <c r="B53" s="34" t="str">
        <f>'10.0.4'!B54</f>
        <v>   COD</v>
      </c>
      <c r="C53" s="268">
        <f>IF('10.0.3 P2'!$G$61=0,0,'10.0.3 P2'!G53/'10.0.3 P2'!$G$61*C$61)</f>
        <v>0</v>
      </c>
      <c r="D53" s="268">
        <f>IF('10.0.3 P2'!$J$61=0,0,'10.0.3 P2'!J53/'10.0.3 P2'!$J$61*D$61)</f>
        <v>0</v>
      </c>
      <c r="E53" s="268">
        <f>IF('10.0.4'!D$62=0,0,'10.0.4'!D54/'10.0.4'!D$62*E$61)</f>
        <v>0</v>
      </c>
      <c r="F53" s="268">
        <f>IF('10.0.4'!E$62=0,0,'10.0.4'!E54/'10.0.4'!E$62*F$61)</f>
        <v>0</v>
      </c>
      <c r="G53" s="268">
        <f>IF('10.0.4'!F$62=0,0,'10.0.4'!F54/'10.0.4'!F$62*G$61)</f>
        <v>0</v>
      </c>
      <c r="H53" s="268">
        <f>IF('10.0.3 P2'!F$61=0,0,'10.0.3 P2'!F53/'10.0.3 P2'!F$61*H$61)</f>
        <v>0</v>
      </c>
      <c r="I53" s="268">
        <f>IF('10.0.4'!G$62=0,0,'10.0.4'!G54/'10.0.4'!G$62*I$61)</f>
        <v>0</v>
      </c>
      <c r="J53" s="268">
        <f>IF('10.0.4'!H$62=0,0,'10.0.4'!H54/'10.0.4'!H$62*J$61)</f>
        <v>0</v>
      </c>
      <c r="K53" s="268">
        <f>IF('10.0.4'!I$62=0,0,'10.0.4'!I54/'10.0.4'!I$62*K$61)</f>
        <v>0</v>
      </c>
      <c r="L53" s="268">
        <f>IF('10.0.4'!J$62=0,0,'10.0.4'!J54/'10.0.4'!J$62*L$61)</f>
        <v>0</v>
      </c>
      <c r="M53" s="268">
        <f>'10.2.1'!L15</f>
        <v>289.6015886736735</v>
      </c>
      <c r="N53" s="268">
        <f t="shared" si="14"/>
        <v>289.6015886736735</v>
      </c>
    </row>
    <row r="54" spans="1:14" ht="11.25">
      <c r="A54" s="79">
        <f t="shared" si="11"/>
        <v>45</v>
      </c>
      <c r="B54" s="34" t="str">
        <f>'10.0.4'!B55</f>
        <v>   SPECIAL DELIVERY</v>
      </c>
      <c r="C54" s="268">
        <f>IF('10.0.3 P2'!$G$61=0,0,'10.0.3 P2'!G54/'10.0.3 P2'!$G$61*C$61)</f>
        <v>0</v>
      </c>
      <c r="D54" s="268">
        <f>IF('10.0.3 P2'!$J$61=0,0,'10.0.3 P2'!J54/'10.0.3 P2'!$J$61*D$61)</f>
        <v>0</v>
      </c>
      <c r="E54" s="268">
        <f>IF('10.0.4'!D$62=0,0,'10.0.4'!D55/'10.0.4'!D$62*E$61)</f>
        <v>0</v>
      </c>
      <c r="F54" s="268">
        <f>IF('10.0.4'!E$62=0,0,'10.0.4'!E55/'10.0.4'!E$62*F$61)</f>
        <v>0</v>
      </c>
      <c r="G54" s="268">
        <f>IF('10.0.4'!F$62=0,0,'10.0.4'!F55/'10.0.4'!F$62*G$61)</f>
        <v>0</v>
      </c>
      <c r="H54" s="268">
        <f>IF('10.0.3 P2'!F$61=0,0,'10.0.3 P2'!F54/'10.0.3 P2'!F$61*H$61)</f>
        <v>0</v>
      </c>
      <c r="I54" s="268">
        <f>IF('10.0.4'!G$62=0,0,'10.0.4'!G55/'10.0.4'!G$62*I$61)</f>
        <v>0</v>
      </c>
      <c r="J54" s="268">
        <f>IF('10.0.4'!H$62=0,0,'10.0.4'!H55/'10.0.4'!H$62*J$61)</f>
        <v>0</v>
      </c>
      <c r="K54" s="268">
        <f>IF('10.0.4'!I$62=0,0,'10.0.4'!I55/'10.0.4'!I$62*K$61)</f>
        <v>0</v>
      </c>
      <c r="L54" s="268">
        <f>IF('10.0.4'!J$62=0,0,'10.0.4'!J55/'10.0.4'!J$62*L$61)</f>
        <v>0</v>
      </c>
      <c r="M54" s="268"/>
      <c r="N54" s="268">
        <f t="shared" si="14"/>
        <v>0</v>
      </c>
    </row>
    <row r="55" spans="1:14" ht="11.25">
      <c r="A55" s="79">
        <f t="shared" si="11"/>
        <v>46</v>
      </c>
      <c r="B55" s="34" t="str">
        <f>'10.0.4'!B56</f>
        <v>   MONEY ORDERS</v>
      </c>
      <c r="C55" s="268">
        <f>IF('10.0.3 P2'!$G$61=0,0,'10.0.3 P2'!G55/'10.0.3 P2'!$G$61*C$61)</f>
        <v>0</v>
      </c>
      <c r="D55" s="268">
        <f>IF('10.0.3 P2'!$J$61=0,0,'10.0.3 P2'!J55/'10.0.3 P2'!$J$61*D$61)</f>
        <v>0</v>
      </c>
      <c r="E55" s="268">
        <f>IF('10.0.4'!D$62=0,0,'10.0.4'!D56/'10.0.4'!D$62*E$61)</f>
        <v>0</v>
      </c>
      <c r="F55" s="268">
        <f>IF('10.0.4'!E$62=0,0,'10.0.4'!E56/'10.0.4'!E$62*F$61)</f>
        <v>0</v>
      </c>
      <c r="G55" s="268">
        <f>IF('10.0.4'!F$62=0,0,'10.0.4'!F56/'10.0.4'!F$62*G$61)</f>
        <v>0</v>
      </c>
      <c r="H55" s="268">
        <f>IF('10.0.3 P2'!F$61=0,0,'10.0.3 P2'!F55/'10.0.3 P2'!F$61*H$61)</f>
        <v>0</v>
      </c>
      <c r="I55" s="268">
        <f>IF('10.0.4'!G$62=0,0,'10.0.4'!G56/'10.0.4'!G$62*I$61)</f>
        <v>0</v>
      </c>
      <c r="J55" s="268">
        <f>IF('10.0.4'!H$62=0,0,'10.0.4'!H56/'10.0.4'!H$62*J$61)</f>
        <v>0</v>
      </c>
      <c r="K55" s="268">
        <f>IF('10.0.4'!I$62=0,0,'10.0.4'!I56/'10.0.4'!I$62*K$61)</f>
        <v>0</v>
      </c>
      <c r="L55" s="268">
        <f>IF('10.0.4'!J$62=0,0,'10.0.4'!J56/'10.0.4'!J$62*L$61)</f>
        <v>0</v>
      </c>
      <c r="M55" s="268">
        <f>'10.2.1'!L24</f>
        <v>79.13398002949282</v>
      </c>
      <c r="N55" s="268">
        <f t="shared" si="14"/>
        <v>79.13398002949282</v>
      </c>
    </row>
    <row r="56" spans="1:14" ht="11.25">
      <c r="A56" s="79">
        <f t="shared" si="11"/>
        <v>47</v>
      </c>
      <c r="B56" s="34" t="str">
        <f>'10.0.4'!B57</f>
        <v>   STMPD CARDS &amp; ENVELOPES</v>
      </c>
      <c r="C56" s="268">
        <f>IF('10.0.3 P2'!$G$61=0,0,'10.0.3 P2'!G56/'10.0.3 P2'!$G$61*C$61)</f>
        <v>0</v>
      </c>
      <c r="D56" s="268">
        <f>IF('10.0.3 P2'!$J$61=0,0,'10.0.3 P2'!J56/'10.0.3 P2'!$J$61*D$61)</f>
        <v>0</v>
      </c>
      <c r="E56" s="268">
        <f>IF('10.0.4'!D$62=0,0,'10.0.4'!D57/'10.0.4'!D$62*E$61)</f>
        <v>0</v>
      </c>
      <c r="F56" s="268">
        <f>IF('10.0.4'!E$62=0,0,'10.0.4'!E57/'10.0.4'!E$62*F$61)</f>
        <v>0</v>
      </c>
      <c r="G56" s="268">
        <f>IF('10.0.4'!F$62=0,0,'10.0.4'!F57/'10.0.4'!F$62*G$61)</f>
        <v>0</v>
      </c>
      <c r="H56" s="268">
        <f>IF('10.0.3 P2'!F$61=0,0,'10.0.3 P2'!F56/'10.0.3 P2'!F$61*H$61)</f>
        <v>0</v>
      </c>
      <c r="I56" s="268">
        <f>IF('10.0.4'!G$62=0,0,'10.0.4'!G57/'10.0.4'!G$62*I$61)</f>
        <v>0</v>
      </c>
      <c r="J56" s="268">
        <f>IF('10.0.4'!H$62=0,0,'10.0.4'!H57/'10.0.4'!H$62*J$61)</f>
        <v>0</v>
      </c>
      <c r="K56" s="268">
        <f>IF('10.0.4'!I$62=0,0,'10.0.4'!I57/'10.0.4'!I$62*K$61)</f>
        <v>0</v>
      </c>
      <c r="L56" s="268">
        <f>IF('10.0.4'!J$62=0,0,'10.0.4'!J57/'10.0.4'!J$62*L$61)</f>
        <v>0</v>
      </c>
      <c r="M56" s="268"/>
      <c r="N56" s="268">
        <f t="shared" si="14"/>
        <v>0</v>
      </c>
    </row>
    <row r="57" spans="1:14" ht="11.25">
      <c r="A57" s="79">
        <f t="shared" si="11"/>
        <v>48</v>
      </c>
      <c r="B57" s="34" t="str">
        <f>'10.0.4'!B58</f>
        <v>   SPECIAL HANDLING</v>
      </c>
      <c r="C57" s="268">
        <f>IF('10.0.3 P2'!$G$61=0,0,'10.0.3 P2'!G57/'10.0.3 P2'!$G$61*C$61)</f>
        <v>0</v>
      </c>
      <c r="D57" s="268">
        <f>IF('10.0.3 P2'!$J$61=0,0,'10.0.3 P2'!J57/'10.0.3 P2'!$J$61*D$61)</f>
        <v>0</v>
      </c>
      <c r="E57" s="268">
        <f>IF('10.0.4'!D$62=0,0,'10.0.4'!D58/'10.0.4'!D$62*E$61)</f>
        <v>0</v>
      </c>
      <c r="F57" s="268">
        <f>IF('10.0.4'!E$62=0,0,'10.0.4'!E58/'10.0.4'!E$62*F$61)</f>
        <v>0</v>
      </c>
      <c r="G57" s="268">
        <f>IF('10.0.4'!F$62=0,0,'10.0.4'!F58/'10.0.4'!F$62*G$61)</f>
        <v>0</v>
      </c>
      <c r="H57" s="268">
        <f>IF('10.0.3 P2'!F$61=0,0,'10.0.3 P2'!F57/'10.0.3 P2'!F$61*H$61)</f>
        <v>0</v>
      </c>
      <c r="I57" s="268">
        <f>IF('10.0.4'!G$62=0,0,'10.0.4'!G58/'10.0.4'!G$62*I$61)</f>
        <v>0</v>
      </c>
      <c r="J57" s="268">
        <f>IF('10.0.4'!H$62=0,0,'10.0.4'!H58/'10.0.4'!H$62*J$61)</f>
        <v>0</v>
      </c>
      <c r="K57" s="268">
        <f>IF('10.0.4'!I$62=0,0,'10.0.4'!I58/'10.0.4'!I$62*K$61)</f>
        <v>0</v>
      </c>
      <c r="L57" s="268">
        <f>IF('10.0.4'!J$62=0,0,'10.0.4'!J58/'10.0.4'!J$62*L$61)</f>
        <v>0</v>
      </c>
      <c r="M57" s="268"/>
      <c r="N57" s="268">
        <f t="shared" si="14"/>
        <v>0</v>
      </c>
    </row>
    <row r="58" spans="1:14" ht="11.25">
      <c r="A58" s="79">
        <f t="shared" si="11"/>
        <v>49</v>
      </c>
      <c r="B58" s="34" t="str">
        <f>'10.0.4'!B59</f>
        <v>   POST OFFICE BOX</v>
      </c>
      <c r="C58" s="268">
        <f>IF('10.0.3 P2'!$G$61=0,0,'10.0.3 P2'!G58/'10.0.3 P2'!$G$61*C$61)</f>
        <v>0</v>
      </c>
      <c r="D58" s="268">
        <f>IF('10.0.3 P2'!$J$61=0,0,'10.0.3 P2'!J58/'10.0.3 P2'!$J$61*D$61)</f>
        <v>0</v>
      </c>
      <c r="E58" s="268">
        <f>IF('10.0.4'!D$62=0,0,'10.0.4'!D59/'10.0.4'!D$62*E$61)</f>
        <v>0</v>
      </c>
      <c r="F58" s="268">
        <f>IF('10.0.4'!E$62=0,0,'10.0.4'!E59/'10.0.4'!E$62*F$61)</f>
        <v>0</v>
      </c>
      <c r="G58" s="268">
        <f>IF('10.0.4'!F$62=0,0,'10.0.4'!F59/'10.0.4'!F$62*G$61)</f>
        <v>0</v>
      </c>
      <c r="H58" s="268">
        <f>IF('10.0.3 P2'!F$61=0,0,'10.0.3 P2'!F58/'10.0.3 P2'!F$61*H$61)</f>
        <v>0</v>
      </c>
      <c r="I58" s="268">
        <f>IF('10.0.4'!G$62=0,0,'10.0.4'!G59/'10.0.4'!G$62*I$61)</f>
        <v>0</v>
      </c>
      <c r="J58" s="268">
        <f>IF('10.0.4'!H$62=0,0,'10.0.4'!H59/'10.0.4'!H$62*J$61)</f>
        <v>0</v>
      </c>
      <c r="K58" s="268">
        <f>IF('10.0.4'!I$62=0,0,'10.0.4'!I59/'10.0.4'!I$62*K$61)</f>
        <v>0</v>
      </c>
      <c r="L58" s="268">
        <f>IF('10.0.4'!J$62=0,0,'10.0.4'!J59/'10.0.4'!J$62*L$61)</f>
        <v>0</v>
      </c>
      <c r="M58" s="268"/>
      <c r="N58" s="268">
        <f t="shared" si="14"/>
        <v>0</v>
      </c>
    </row>
    <row r="59" spans="1:14" ht="11.25">
      <c r="A59" s="79">
        <f t="shared" si="11"/>
        <v>50</v>
      </c>
      <c r="B59" s="34" t="str">
        <f>'10.0.4'!B60</f>
        <v>   OTHER</v>
      </c>
      <c r="C59" s="268">
        <f>IF('10.0.3 P2'!$G$61=0,0,'10.0.3 P2'!G59/'10.0.3 P2'!$G$61*C$61)</f>
        <v>0</v>
      </c>
      <c r="D59" s="268">
        <f>IF('10.0.3 P2'!$J$61=0,0,'10.0.3 P2'!J59/'10.0.3 P2'!$J$61*D$61)</f>
        <v>0</v>
      </c>
      <c r="E59" s="268">
        <f>IF('10.0.4'!D$62=0,0,'10.0.4'!D60/'10.0.4'!D$62*E$61)</f>
        <v>0</v>
      </c>
      <c r="F59" s="268">
        <f>IF('10.0.4'!E$62=0,0,'10.0.4'!E60/'10.0.4'!E$62*F$61)</f>
        <v>0</v>
      </c>
      <c r="G59" s="268">
        <f>IF('10.0.4'!F$62=0,0,'10.0.4'!F60/'10.0.4'!F$62*G$61)</f>
        <v>0</v>
      </c>
      <c r="H59" s="268">
        <f>IF('10.0.3 P2'!F$61=0,0,'10.0.3 P2'!F59/'10.0.3 P2'!F$61*H$61)</f>
        <v>0</v>
      </c>
      <c r="I59" s="268">
        <f>IF('10.0.4'!G$62=0,0,'10.0.4'!G60/'10.0.4'!G$62*I$61)</f>
        <v>0</v>
      </c>
      <c r="J59" s="268">
        <f>IF('10.0.4'!H$62=0,0,'10.0.4'!H60/'10.0.4'!H$62*J$61)</f>
        <v>0</v>
      </c>
      <c r="K59" s="268">
        <f>IF('10.0.4'!I$62=0,0,'10.0.4'!I60/'10.0.4'!I$62*K$61)</f>
        <v>0</v>
      </c>
      <c r="L59" s="268">
        <f>IF('10.0.4'!J$62=0,0,'10.0.4'!J60/'10.0.4'!J$62*L$61)</f>
        <v>0</v>
      </c>
      <c r="M59" s="268">
        <f>'10.2.1'!L20</f>
        <v>2.123178802592914</v>
      </c>
      <c r="N59" s="268">
        <f t="shared" si="14"/>
        <v>2.123178802592914</v>
      </c>
    </row>
    <row r="60" spans="1:14" ht="11.25">
      <c r="A60" s="80">
        <f t="shared" si="11"/>
        <v>51</v>
      </c>
      <c r="B60" s="39" t="str">
        <f>'10.0.4'!B61</f>
        <v>TOTAL SPECIAL SERVICES</v>
      </c>
      <c r="C60" s="268">
        <f>SUM(C50:C59)</f>
        <v>0</v>
      </c>
      <c r="D60" s="268">
        <f aca="true" t="shared" si="15" ref="D60:N60">SUM(D50:D59)</f>
        <v>0</v>
      </c>
      <c r="E60" s="268">
        <f t="shared" si="15"/>
        <v>0</v>
      </c>
      <c r="F60" s="268">
        <f t="shared" si="15"/>
        <v>0</v>
      </c>
      <c r="G60" s="268">
        <f t="shared" si="15"/>
        <v>7105.161162207352</v>
      </c>
      <c r="H60" s="268">
        <f t="shared" si="15"/>
        <v>0</v>
      </c>
      <c r="I60" s="268">
        <f t="shared" si="15"/>
        <v>0</v>
      </c>
      <c r="J60" s="268">
        <f t="shared" si="15"/>
        <v>0</v>
      </c>
      <c r="K60" s="268">
        <f t="shared" si="15"/>
        <v>0</v>
      </c>
      <c r="L60" s="268">
        <f t="shared" si="15"/>
        <v>133.4869077381781</v>
      </c>
      <c r="M60" s="268">
        <f t="shared" si="15"/>
        <v>370.85874750575925</v>
      </c>
      <c r="N60" s="268">
        <f t="shared" si="15"/>
        <v>7609.506817451289</v>
      </c>
    </row>
    <row r="61" spans="1:14" ht="11.25">
      <c r="A61" s="79">
        <f t="shared" si="11"/>
        <v>52</v>
      </c>
      <c r="B61" s="36" t="str">
        <f>"TOTAL VOLUME VARIABLE"</f>
        <v>TOTAL VOLUME VARIABLE</v>
      </c>
      <c r="C61" s="292">
        <f>'10.2.1'!L11</f>
        <v>32877.57634483838</v>
      </c>
      <c r="D61" s="292">
        <f>'10.2.1'!L12</f>
        <v>73630.57162928362</v>
      </c>
      <c r="E61" s="292">
        <f>'10.2.1'!L13</f>
        <v>6931.994194592891</v>
      </c>
      <c r="F61" s="292">
        <f>'10.2.1'!L14</f>
        <v>5024.086493290823</v>
      </c>
      <c r="G61" s="292">
        <f>'10.2.1'!L16</f>
        <v>7731.767927522357</v>
      </c>
      <c r="H61" s="292">
        <f>'10.2.1'!L17+'10.2.1'!L18</f>
        <v>14134.507284833264</v>
      </c>
      <c r="I61" s="292">
        <f>'10.2.1'!L19</f>
        <v>57.4107548221124</v>
      </c>
      <c r="J61" s="292">
        <f>'10.2.1'!L21</f>
        <v>4136.543083435546</v>
      </c>
      <c r="K61" s="292">
        <f>'10.2.1'!L22</f>
        <v>1285.5234306831894</v>
      </c>
      <c r="L61" s="292">
        <f>'10.2.1'!L23</f>
        <v>142.118168216232</v>
      </c>
      <c r="M61" s="292">
        <f>M48+M60</f>
        <v>370.85874750575925</v>
      </c>
      <c r="N61" s="292">
        <f t="shared" si="14"/>
        <v>146322.95805902415</v>
      </c>
    </row>
    <row r="62" spans="1:14" ht="11.25">
      <c r="A62" s="79">
        <f t="shared" si="11"/>
        <v>53</v>
      </c>
      <c r="B62" s="35" t="s">
        <v>100</v>
      </c>
      <c r="C62" s="268"/>
      <c r="D62" s="268"/>
      <c r="E62" s="268"/>
      <c r="F62" s="268"/>
      <c r="G62" s="268"/>
      <c r="H62" s="268"/>
      <c r="I62" s="268"/>
      <c r="J62" s="268"/>
      <c r="K62" s="268"/>
      <c r="L62" s="268"/>
      <c r="M62" s="268"/>
      <c r="N62" s="268">
        <f>'10.0.1'!G11</f>
        <v>157566.88214663352</v>
      </c>
    </row>
    <row r="63" spans="1:14" ht="11.25">
      <c r="A63" s="80">
        <f t="shared" si="11"/>
        <v>54</v>
      </c>
      <c r="B63" s="37" t="s">
        <v>101</v>
      </c>
      <c r="C63" s="269"/>
      <c r="D63" s="269"/>
      <c r="E63" s="269"/>
      <c r="F63" s="269"/>
      <c r="G63" s="269"/>
      <c r="H63" s="269"/>
      <c r="I63" s="269"/>
      <c r="J63" s="269"/>
      <c r="K63" s="269"/>
      <c r="L63" s="269"/>
      <c r="M63" s="269"/>
      <c r="N63" s="269">
        <f>N61+N62</f>
        <v>303889.84020565765</v>
      </c>
    </row>
  </sheetData>
  <printOptions/>
  <pageMargins left="0.5" right="0.5" top="1" bottom="0.5" header="0.75" footer="0.25"/>
  <pageSetup horizontalDpi="300" verticalDpi="300" orientation="landscape" r:id="rId1"/>
  <rowBreaks count="1" manualBreakCount="1">
    <brk id="38" max="65535" man="1"/>
  </rowBreaks>
</worksheet>
</file>

<file path=xl/worksheets/sheet14.xml><?xml version="1.0" encoding="utf-8"?>
<worksheet xmlns="http://schemas.openxmlformats.org/spreadsheetml/2006/main" xmlns:r="http://schemas.openxmlformats.org/officeDocument/2006/relationships">
  <dimension ref="A1:D29"/>
  <sheetViews>
    <sheetView workbookViewId="0" topLeftCell="A1">
      <selection activeCell="A1" sqref="A1"/>
    </sheetView>
  </sheetViews>
  <sheetFormatPr defaultColWidth="8.88671875" defaultRowHeight="15.75"/>
  <cols>
    <col min="1" max="1" width="9.21484375" style="25" customWidth="1"/>
    <col min="2" max="2" width="17.77734375" style="200" customWidth="1"/>
    <col min="3" max="3" width="2.77734375" style="25" customWidth="1"/>
    <col min="4" max="4" width="65.21484375" style="25" customWidth="1"/>
    <col min="5" max="16384" width="8.88671875" style="25" customWidth="1"/>
  </cols>
  <sheetData>
    <row r="1" spans="1:2" s="6" customFormat="1" ht="12.75" customHeight="1">
      <c r="A1" s="163" t="str">
        <f>Doc!$A1</f>
        <v>Base Year 1998 - USPS Version</v>
      </c>
      <c r="B1" s="170"/>
    </row>
    <row r="2" spans="1:2" s="6" customFormat="1" ht="12.75" customHeight="1">
      <c r="A2" s="163" t="str">
        <f>Doc!$A2</f>
        <v>C/S 10 RURAL CARRIERS</v>
      </c>
      <c r="B2" s="170"/>
    </row>
    <row r="3" spans="1:2" s="6" customFormat="1" ht="12.75" customHeight="1">
      <c r="A3" s="164" t="str">
        <f>Doc!$B20</f>
        <v>ENDNOTES</v>
      </c>
      <c r="B3" s="170"/>
    </row>
    <row r="4" s="6" customFormat="1" ht="12.75" customHeight="1">
      <c r="B4" s="170"/>
    </row>
    <row r="5" spans="1:4" ht="23.25" customHeight="1">
      <c r="A5" s="217" t="str">
        <f>Doc!A6</f>
        <v>TAB NAME</v>
      </c>
      <c r="B5" s="217" t="str">
        <f>Doc!B6</f>
        <v>WORKSHEET TITLE</v>
      </c>
      <c r="C5" s="175" t="str">
        <f>Doc!B20</f>
        <v>ENDNOTES</v>
      </c>
      <c r="D5" s="175"/>
    </row>
    <row r="6" spans="1:4" ht="24">
      <c r="A6" s="218" t="str">
        <f>Doc!A12</f>
        <v>WS 10.1.1</v>
      </c>
      <c r="B6" s="211" t="str">
        <f>Doc!B12</f>
        <v>DEVELOPMENT OF EVALUATED ROUTE VVC</v>
      </c>
      <c r="C6" s="212" t="s">
        <v>231</v>
      </c>
      <c r="D6" s="213" t="str">
        <f>"The bundled letters and flats factor is calculated (in "&amp;Doc!A17&amp;") as the percentage bundles of total parcel volume (including bundles) delivered."</f>
        <v>The bundled letters and flats factor is calculated (in WS 10.0.4) as the percentage bundles of total parcel volume (including bundles) delivered.</v>
      </c>
    </row>
    <row r="7" spans="1:4" ht="24">
      <c r="A7" s="219" t="str">
        <f>Doc!A13</f>
        <v>WS 10.2.1</v>
      </c>
      <c r="B7" s="211" t="str">
        <f>Doc!B13</f>
        <v>DEVELOPMENT OF OTHER ROUTE VVC</v>
      </c>
      <c r="C7" s="215" t="s">
        <v>231</v>
      </c>
      <c r="D7" s="216" t="str">
        <f>"The bundled letters and flats factor is calculated (in "&amp;Doc!A17&amp;") as the percentage bundles of total parcel volume (including bundles) delivered."</f>
        <v>The bundled letters and flats factor is calculated (in WS 10.0.4) as the percentage bundles of total parcel volume (including bundles) delivered.</v>
      </c>
    </row>
    <row r="8" spans="1:4" ht="24">
      <c r="A8" s="225" t="str">
        <f>Doc!A15</f>
        <v>WS 10.0.3 P2</v>
      </c>
      <c r="B8" s="172" t="str">
        <f>Doc!B15</f>
        <v>MAIL SHAPE ADJUSTMENT, PART 2</v>
      </c>
      <c r="C8" s="247" t="s">
        <v>231</v>
      </c>
      <c r="D8" s="244" t="s">
        <v>232</v>
      </c>
    </row>
    <row r="9" spans="1:4" ht="24">
      <c r="A9" s="220"/>
      <c r="B9" s="214"/>
      <c r="C9" s="191" t="str">
        <f>"["&amp;CHAR(CODE(MID(C8,2,1))+1)&amp;"]"</f>
        <v>[b]</v>
      </c>
      <c r="D9" s="244" t="s">
        <v>233</v>
      </c>
    </row>
    <row r="10" spans="1:4" ht="24">
      <c r="A10" s="221"/>
      <c r="B10" s="174"/>
      <c r="C10" s="191"/>
      <c r="D10" s="244" t="s">
        <v>234</v>
      </c>
    </row>
    <row r="11" spans="1:4" ht="24">
      <c r="A11" s="222" t="str">
        <f>Doc!A17</f>
        <v>WS 10.0.4</v>
      </c>
      <c r="B11" s="173" t="str">
        <f>Doc!B17</f>
        <v>DISTRIBUTION KEYS</v>
      </c>
      <c r="C11" s="190" t="s">
        <v>231</v>
      </c>
      <c r="D11" s="188" t="s">
        <v>235</v>
      </c>
    </row>
    <row r="12" spans="1:4" ht="24">
      <c r="A12" s="223"/>
      <c r="B12" s="172"/>
      <c r="C12" s="191" t="str">
        <f>"["&amp;CHAR(CODE(MID(C11,2,1))+1)&amp;"]"</f>
        <v>[b]</v>
      </c>
      <c r="D12" s="244" t="s">
        <v>236</v>
      </c>
    </row>
    <row r="13" spans="1:4" ht="24">
      <c r="A13" s="299" t="str">
        <f>Doc!A18</f>
        <v>WS 10.1.2</v>
      </c>
      <c r="B13" s="227" t="str">
        <f>Doc!B18</f>
        <v>DISTRIBUTION OF EVALUATED ROUTES VVC</v>
      </c>
      <c r="C13" s="300" t="s">
        <v>231</v>
      </c>
      <c r="D13" s="188" t="s">
        <v>237</v>
      </c>
    </row>
    <row r="14" spans="1:4" ht="12">
      <c r="A14" s="223"/>
      <c r="B14" s="171"/>
      <c r="C14" s="191" t="str">
        <f>"["&amp;CHAR(CODE(MID(C13,2,1))+1)&amp;"]"</f>
        <v>[b]</v>
      </c>
      <c r="D14" s="244" t="s">
        <v>238</v>
      </c>
    </row>
    <row r="15" spans="1:4" ht="12">
      <c r="A15" s="223"/>
      <c r="B15" s="171"/>
      <c r="C15" s="191" t="str">
        <f>"["&amp;CHAR(CODE(MID(C14,2,1))+1)&amp;"]"</f>
        <v>[c]</v>
      </c>
      <c r="D15" s="189" t="str">
        <f>"Source: L"&amp;'10.1.2'!A53&amp;", L"&amp;'10.1.2'!A59&amp;", and L"&amp;'10.1.2'!A55&amp;" from "&amp;Doc!A12&amp;" C"&amp;-'10.1.1'!L6&amp;"L"&amp;'10.1.1'!A15&amp;", C"&amp;-'10.1.1'!L6&amp;"L"&amp;'10.1.1'!A20&amp;", C"&amp;-'10.1.1'!L6&amp;"L"&amp;'10.1.1'!A24&amp;" respectively."</f>
        <v>Source: L44, L50, and L46 from WS 10.1.1 C10L6, C10L11, C10L15 respectively.</v>
      </c>
    </row>
    <row r="16" spans="1:4" ht="24">
      <c r="A16" s="224"/>
      <c r="B16" s="226"/>
      <c r="C16" s="192" t="str">
        <f>"["&amp;CHAR(CODE(MID(C15,2,1))+1)&amp;"]"</f>
        <v>[d]</v>
      </c>
      <c r="D16" s="187" t="str">
        <f>"C"&amp;-'10.1.2'!D6&amp;"L"&amp;'10.1.2'!A27&amp;" distributed to C"&amp;-'10.1.2'!N$6&amp;"L"&amp;'10.1.2'!A$22&amp;"...C"&amp;-'10.1.2'!N$6&amp;"L"&amp;'10.1.2'!A$26&amp;" based on RPW Periodicals volumes, "&amp;Doc!A$17&amp;" C"&amp;-'10.0.4'!C$6&amp;" L"&amp;'10.0.4'!A$22&amp;"..."&amp;'10.0.4'!A$27&amp;".  L"&amp;'10.1.2'!A$62&amp;" from "&amp;Doc!A10&amp;" C"&amp;-'10.0.1'!G6&amp;"L"&amp;'10.0.1'!A10&amp;"."</f>
        <v>C2L18 distributed to C12L13...C12L17 based on RPW Periodicals volumes, WS 10.0.4 C1 L13...18.  L53 from WS 10.0.1 C5L1.</v>
      </c>
    </row>
    <row r="17" spans="1:4" ht="24">
      <c r="A17" s="222" t="str">
        <f>Doc!A19</f>
        <v>WS 10.2.2</v>
      </c>
      <c r="B17" s="227" t="str">
        <f>Doc!B19</f>
        <v>DISTRIBUTION OF OTHER ROUTES VVC</v>
      </c>
      <c r="C17" s="247" t="s">
        <v>231</v>
      </c>
      <c r="D17" s="244" t="s">
        <v>237</v>
      </c>
    </row>
    <row r="18" spans="1:4" ht="12">
      <c r="A18" s="228"/>
      <c r="B18" s="229"/>
      <c r="C18" s="191" t="str">
        <f>"["&amp;CHAR(CODE(MID(C17,2,1))+1)&amp;"]"</f>
        <v>[b]</v>
      </c>
      <c r="D18" s="186" t="s">
        <v>238</v>
      </c>
    </row>
    <row r="19" spans="1:4" ht="12">
      <c r="A19" s="228"/>
      <c r="B19" s="229"/>
      <c r="C19" s="191" t="str">
        <f>"["&amp;CHAR(CODE(MID(C18,2,1))+1)&amp;"]"</f>
        <v>[c]</v>
      </c>
      <c r="D19" s="189" t="str">
        <f>"Source: L"&amp;'10.2.2'!A53&amp;", L"&amp;'10.2.2'!A59&amp;", and L"&amp;'10.2.2'!A55&amp;" from "&amp;Doc!A13&amp;" C"&amp;-'10.2.1'!L6&amp;"L"&amp;'10.2.1'!A15&amp;", C"&amp;-'10.2.1'!L6&amp;"L"&amp;'10.2.1'!A20&amp;", C"&amp;-'10.2.1'!L6&amp;"L"&amp;'10.2.1'!A24&amp;" respectively."</f>
        <v>Source: L44, L50, and L46 from WS 10.2.1 C10L6, C10L11, C10L15 respectively.</v>
      </c>
    </row>
    <row r="20" spans="1:4" ht="24">
      <c r="A20" s="230"/>
      <c r="B20" s="231"/>
      <c r="C20" s="192" t="str">
        <f>"["&amp;CHAR(CODE(MID(C19,2,1))+1)&amp;"]"</f>
        <v>[d]</v>
      </c>
      <c r="D20" s="187" t="str">
        <f>"C"&amp;-'10.2.2'!D6&amp;"L"&amp;'10.2.2'!A27&amp;" distributed to C"&amp;-'10.2.2'!N$6&amp;"L"&amp;'10.2.2'!A$22&amp;"...C"&amp;-'10.2.2'!N$6&amp;"L"&amp;'10.2.2'!A$26&amp;" based on RPW Periodicals volumes, "&amp;Doc!A$17&amp;" C"&amp;-'10.0.4'!C$6&amp;" L"&amp;'10.0.4'!A$22&amp;"..."&amp;'10.0.4'!A$27&amp;".  L"&amp;'10.2.2'!A$62&amp;" from "&amp;Doc!A10&amp;" C"&amp;-'10.0.1'!G6&amp;"L"&amp;'10.0.1'!A10&amp;"."</f>
        <v>C2L18 distributed to C12L13...C12L17 based on RPW Periodicals volumes, WS 10.0.4 C1 L13...18.  L53 from WS 10.0.1 C5L1.</v>
      </c>
    </row>
    <row r="21" ht="12">
      <c r="D21" s="27"/>
    </row>
    <row r="22" ht="12">
      <c r="D22" s="27"/>
    </row>
    <row r="23" ht="12">
      <c r="D23" s="27"/>
    </row>
    <row r="24" ht="12">
      <c r="D24" s="27"/>
    </row>
    <row r="25" ht="12">
      <c r="D25" s="27"/>
    </row>
    <row r="26" ht="12">
      <c r="D26" s="27"/>
    </row>
    <row r="27" ht="12">
      <c r="D27" s="27"/>
    </row>
    <row r="28" ht="12">
      <c r="D28" s="27"/>
    </row>
    <row r="29" ht="12">
      <c r="D29" s="27"/>
    </row>
  </sheetData>
  <printOptions/>
  <pageMargins left="0.5" right="0.5" top="1" bottom="0.5" header="0.75" footer="0.2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F67"/>
  <sheetViews>
    <sheetView tabSelected="1" workbookViewId="0" topLeftCell="A1">
      <selection activeCell="A1" sqref="A1"/>
    </sheetView>
  </sheetViews>
  <sheetFormatPr defaultColWidth="8.88671875" defaultRowHeight="15.75"/>
  <cols>
    <col min="1" max="1" width="4.10546875" style="7" customWidth="1"/>
    <col min="2" max="2" width="28.6640625" style="7" customWidth="1"/>
    <col min="3" max="3" width="5.4453125" style="7" customWidth="1"/>
    <col min="4" max="4" width="10.77734375" style="7" customWidth="1"/>
    <col min="5" max="6" width="9.77734375" style="7" customWidth="1"/>
    <col min="7" max="16384" width="8.88671875" style="7" customWidth="1"/>
  </cols>
  <sheetData>
    <row r="1" s="6" customFormat="1" ht="12.75" customHeight="1">
      <c r="A1" s="164" t="str">
        <f>Doc!A1</f>
        <v>Base Year 1998 - USPS Version</v>
      </c>
    </row>
    <row r="2" s="6" customFormat="1" ht="12.75" customHeight="1">
      <c r="A2" s="164" t="str">
        <f>Doc!A2</f>
        <v>C/S 10 RURAL CARRIERS</v>
      </c>
    </row>
    <row r="3" s="6" customFormat="1" ht="12.75" customHeight="1">
      <c r="A3" s="164" t="str">
        <f>Doc!B7</f>
        <v>OUTPUTS TO CRA MODEL</v>
      </c>
    </row>
    <row r="4" s="6" customFormat="1" ht="12.75" customHeight="1"/>
    <row r="5" spans="1:6" ht="33.75">
      <c r="A5" s="177" t="s">
        <v>37</v>
      </c>
      <c r="B5" s="178" t="s">
        <v>38</v>
      </c>
      <c r="C5" s="177" t="s">
        <v>39</v>
      </c>
      <c r="D5" s="177" t="s">
        <v>40</v>
      </c>
      <c r="E5" s="177" t="s">
        <v>41</v>
      </c>
      <c r="F5" s="177" t="s">
        <v>42</v>
      </c>
    </row>
    <row r="6" spans="1:6" ht="11.25" customHeight="1">
      <c r="A6" s="21"/>
      <c r="B6" s="146" t="s">
        <v>43</v>
      </c>
      <c r="C6" s="30"/>
      <c r="D6" s="29">
        <v>-1</v>
      </c>
      <c r="E6" s="29">
        <f>D6-1</f>
        <v>-2</v>
      </c>
      <c r="F6" s="29">
        <f>E6-1</f>
        <v>-3</v>
      </c>
    </row>
    <row r="7" spans="1:6" ht="11.25" customHeight="1">
      <c r="A7" s="21"/>
      <c r="B7" s="146" t="s">
        <v>44</v>
      </c>
      <c r="C7" s="32"/>
      <c r="D7" s="32" t="s">
        <v>45</v>
      </c>
      <c r="E7" s="32" t="s">
        <v>45</v>
      </c>
      <c r="F7" s="32" t="s">
        <v>45</v>
      </c>
    </row>
    <row r="8" spans="1:6" ht="11.25" customHeight="1">
      <c r="A8" s="21"/>
      <c r="B8" s="146" t="s">
        <v>46</v>
      </c>
      <c r="C8" s="32"/>
      <c r="D8" s="32" t="str">
        <f>Doc!A18&amp;" C"&amp;-'10.1.2'!N6</f>
        <v>WS 10.1.2 C12</v>
      </c>
      <c r="E8" s="32" t="str">
        <f>Doc!A19&amp;" C"&amp;-'10.2.2'!N6</f>
        <v>WS 10.2.2 C12</v>
      </c>
      <c r="F8" s="32" t="str">
        <f>Doc!A10&amp;" C"&amp;-'10.0.1'!D6&amp;"L"&amp;'10.0.1'!A13</f>
        <v>WS 10.0.1 C2L4</v>
      </c>
    </row>
    <row r="9" spans="1:6" ht="11.25" customHeight="1">
      <c r="A9" s="22"/>
      <c r="B9" s="149" t="s">
        <v>47</v>
      </c>
      <c r="C9" s="45"/>
      <c r="D9" s="45">
        <v>69</v>
      </c>
      <c r="E9" s="45">
        <v>70</v>
      </c>
      <c r="F9" s="45">
        <v>73</v>
      </c>
    </row>
    <row r="10" spans="1:6" ht="11.25" customHeight="1">
      <c r="A10" s="77">
        <v>1</v>
      </c>
      <c r="B10" s="69" t="s">
        <v>48</v>
      </c>
      <c r="C10" s="30"/>
      <c r="D10" s="30"/>
      <c r="E10" s="30"/>
      <c r="F10" s="30"/>
    </row>
    <row r="11" spans="1:6" ht="11.25" customHeight="1">
      <c r="A11" s="77">
        <f aca="true" t="shared" si="0" ref="A11:A42">A10+1</f>
        <v>2</v>
      </c>
      <c r="B11" s="33" t="s">
        <v>49</v>
      </c>
      <c r="C11" s="194">
        <v>101</v>
      </c>
      <c r="D11" s="250">
        <f>ROUND('10.1.2'!N11,0)</f>
        <v>273865</v>
      </c>
      <c r="E11" s="250">
        <f>ROUND('10.2.2'!N11,0)</f>
        <v>27676</v>
      </c>
      <c r="F11" s="139"/>
    </row>
    <row r="12" spans="1:6" ht="11.25" customHeight="1">
      <c r="A12" s="77">
        <f t="shared" si="0"/>
        <v>3</v>
      </c>
      <c r="B12" s="33" t="s">
        <v>50</v>
      </c>
      <c r="C12" s="194">
        <v>102</v>
      </c>
      <c r="D12" s="250">
        <f>ROUND('10.1.2'!N12,0)</f>
        <v>220660</v>
      </c>
      <c r="E12" s="250">
        <f>ROUND('10.2.2'!N12,0)</f>
        <v>22401</v>
      </c>
      <c r="F12" s="139"/>
    </row>
    <row r="13" spans="1:6" ht="11.25" customHeight="1">
      <c r="A13" s="77">
        <f t="shared" si="0"/>
        <v>4</v>
      </c>
      <c r="B13" s="33" t="s">
        <v>51</v>
      </c>
      <c r="C13" s="194"/>
      <c r="D13" s="250">
        <f>SUM(D11:D12)</f>
        <v>494525</v>
      </c>
      <c r="E13" s="250">
        <f>SUM(E11:E12)</f>
        <v>50077</v>
      </c>
      <c r="F13" s="139"/>
    </row>
    <row r="14" spans="1:6" ht="11.25" customHeight="1">
      <c r="A14" s="77">
        <f t="shared" si="0"/>
        <v>5</v>
      </c>
      <c r="B14" s="33" t="s">
        <v>52</v>
      </c>
      <c r="C14" s="194">
        <v>104</v>
      </c>
      <c r="D14" s="250">
        <f>ROUND('10.1.2'!N14,0)</f>
        <v>15654</v>
      </c>
      <c r="E14" s="250">
        <f>ROUND('10.2.2'!N14,0)</f>
        <v>1618</v>
      </c>
      <c r="F14" s="139"/>
    </row>
    <row r="15" spans="1:6" ht="11.25" customHeight="1">
      <c r="A15" s="77">
        <f t="shared" si="0"/>
        <v>6</v>
      </c>
      <c r="B15" s="33" t="s">
        <v>53</v>
      </c>
      <c r="C15" s="194">
        <v>105</v>
      </c>
      <c r="D15" s="250">
        <f>ROUND('10.1.2'!N15,0)</f>
        <v>9740</v>
      </c>
      <c r="E15" s="250">
        <f>ROUND('10.2.2'!N15,0)</f>
        <v>1016</v>
      </c>
      <c r="F15" s="139"/>
    </row>
    <row r="16" spans="1:6" ht="11.25" customHeight="1">
      <c r="A16" s="77">
        <f t="shared" si="0"/>
        <v>7</v>
      </c>
      <c r="B16" s="33" t="s">
        <v>54</v>
      </c>
      <c r="C16" s="194"/>
      <c r="D16" s="250">
        <f>SUM(D14:D15)</f>
        <v>25394</v>
      </c>
      <c r="E16" s="250">
        <f>SUM(E14:E15)</f>
        <v>2634</v>
      </c>
      <c r="F16" s="139"/>
    </row>
    <row r="17" spans="1:6" ht="11.25" customHeight="1">
      <c r="A17" s="78">
        <f t="shared" si="0"/>
        <v>8</v>
      </c>
      <c r="B17" s="70" t="s">
        <v>55</v>
      </c>
      <c r="C17" s="195"/>
      <c r="D17" s="251">
        <f>SUM(D13,D16)</f>
        <v>519919</v>
      </c>
      <c r="E17" s="251">
        <f>SUM(E13,E16)</f>
        <v>52711</v>
      </c>
      <c r="F17" s="252"/>
    </row>
    <row r="18" spans="1:6" ht="11.25" customHeight="1">
      <c r="A18" s="77">
        <f t="shared" si="0"/>
        <v>9</v>
      </c>
      <c r="B18" s="69" t="s">
        <v>56</v>
      </c>
      <c r="C18" s="194">
        <v>110</v>
      </c>
      <c r="D18" s="250">
        <f>ROUND('10.1.2'!N18,0)</f>
        <v>21399</v>
      </c>
      <c r="E18" s="250">
        <f>ROUND('10.2.2'!N18,0)</f>
        <v>2174</v>
      </c>
      <c r="F18" s="139"/>
    </row>
    <row r="19" spans="1:6" ht="11.25" customHeight="1">
      <c r="A19" s="77">
        <f t="shared" si="0"/>
        <v>10</v>
      </c>
      <c r="B19" s="69" t="s">
        <v>57</v>
      </c>
      <c r="C19" s="194">
        <v>111</v>
      </c>
      <c r="D19" s="250">
        <f>ROUND('10.1.2'!N19,0)</f>
        <v>5498</v>
      </c>
      <c r="E19" s="250">
        <f>ROUND('10.2.2'!N19,0)</f>
        <v>635</v>
      </c>
      <c r="F19" s="139"/>
    </row>
    <row r="20" spans="1:6" ht="11.25" customHeight="1">
      <c r="A20" s="78">
        <f t="shared" si="0"/>
        <v>11</v>
      </c>
      <c r="B20" s="70" t="s">
        <v>58</v>
      </c>
      <c r="C20" s="195">
        <v>112</v>
      </c>
      <c r="D20" s="251">
        <f>ROUND('10.1.2'!N20,0)</f>
        <v>160</v>
      </c>
      <c r="E20" s="251">
        <f>ROUND('10.2.2'!N20,0)</f>
        <v>16</v>
      </c>
      <c r="F20" s="252"/>
    </row>
    <row r="21" spans="1:6" ht="11.25" customHeight="1">
      <c r="A21" s="77">
        <f t="shared" si="0"/>
        <v>12</v>
      </c>
      <c r="B21" s="69" t="s">
        <v>59</v>
      </c>
      <c r="C21" s="194"/>
      <c r="D21" s="250"/>
      <c r="E21" s="250"/>
      <c r="F21" s="139"/>
    </row>
    <row r="22" spans="1:6" ht="11.25" customHeight="1">
      <c r="A22" s="77">
        <f t="shared" si="0"/>
        <v>13</v>
      </c>
      <c r="B22" s="33" t="s">
        <v>60</v>
      </c>
      <c r="C22" s="194">
        <v>113</v>
      </c>
      <c r="D22" s="250">
        <f>ROUND('10.1.2'!N22,0)</f>
        <v>12902</v>
      </c>
      <c r="E22" s="250">
        <f>ROUND('10.2.2'!N22,0)</f>
        <v>1250</v>
      </c>
      <c r="F22" s="139"/>
    </row>
    <row r="23" spans="1:6" ht="11.25" customHeight="1">
      <c r="A23" s="77">
        <f t="shared" si="0"/>
        <v>14</v>
      </c>
      <c r="B23" s="33" t="s">
        <v>61</v>
      </c>
      <c r="C23" s="194"/>
      <c r="D23" s="139"/>
      <c r="E23" s="139"/>
      <c r="F23" s="139"/>
    </row>
    <row r="24" spans="1:6" ht="11.25" customHeight="1">
      <c r="A24" s="77">
        <f t="shared" si="0"/>
        <v>15</v>
      </c>
      <c r="B24" s="33" t="s">
        <v>62</v>
      </c>
      <c r="C24" s="194">
        <v>117</v>
      </c>
      <c r="D24" s="250">
        <f>ROUND('10.1.2'!N24,0)</f>
        <v>100483</v>
      </c>
      <c r="E24" s="250">
        <f>ROUND('10.2.2'!N24,0)</f>
        <v>9733</v>
      </c>
      <c r="F24" s="139"/>
    </row>
    <row r="25" spans="1:6" ht="11.25" customHeight="1">
      <c r="A25" s="77">
        <f t="shared" si="0"/>
        <v>16</v>
      </c>
      <c r="B25" s="33" t="s">
        <v>63</v>
      </c>
      <c r="C25" s="194">
        <v>118</v>
      </c>
      <c r="D25" s="250">
        <f>ROUND('10.1.2'!N25,0)</f>
        <v>29843</v>
      </c>
      <c r="E25" s="250">
        <f>ROUND('10.2.2'!N25,0)</f>
        <v>2891</v>
      </c>
      <c r="F25" s="139"/>
    </row>
    <row r="26" spans="1:6" ht="11.25" customHeight="1">
      <c r="A26" s="77">
        <f t="shared" si="0"/>
        <v>17</v>
      </c>
      <c r="B26" s="33" t="s">
        <v>64</v>
      </c>
      <c r="C26" s="194">
        <v>119</v>
      </c>
      <c r="D26" s="250">
        <f>ROUND('10.1.2'!N26,0)</f>
        <v>849</v>
      </c>
      <c r="E26" s="250">
        <f>ROUND('10.2.2'!N26,0)</f>
        <v>82</v>
      </c>
      <c r="F26" s="139"/>
    </row>
    <row r="27" spans="1:6" ht="11.25" customHeight="1">
      <c r="A27" s="78">
        <f t="shared" si="0"/>
        <v>18</v>
      </c>
      <c r="B27" s="70" t="s">
        <v>65</v>
      </c>
      <c r="C27" s="195"/>
      <c r="D27" s="251">
        <f>SUM(D22,D24:D26)</f>
        <v>144077</v>
      </c>
      <c r="E27" s="251">
        <f>SUM(E22,E24:E26)</f>
        <v>13956</v>
      </c>
      <c r="F27" s="252"/>
    </row>
    <row r="28" spans="1:6" ht="11.25" customHeight="1">
      <c r="A28" s="77">
        <f t="shared" si="0"/>
        <v>19</v>
      </c>
      <c r="B28" s="69" t="s">
        <v>66</v>
      </c>
      <c r="C28" s="194"/>
      <c r="D28" s="139"/>
      <c r="E28" s="139"/>
      <c r="F28" s="139"/>
    </row>
    <row r="29" spans="1:6" ht="11.25" customHeight="1">
      <c r="A29" s="77">
        <f t="shared" si="0"/>
        <v>20</v>
      </c>
      <c r="B29" s="33" t="s">
        <v>67</v>
      </c>
      <c r="C29" s="194">
        <v>125</v>
      </c>
      <c r="D29" s="250">
        <f>ROUND('10.1.2'!N29,0)</f>
        <v>954</v>
      </c>
      <c r="E29" s="250">
        <f>ROUND('10.2.2'!N29,0)</f>
        <v>97</v>
      </c>
      <c r="F29" s="139"/>
    </row>
    <row r="30" spans="1:6" ht="11.25" customHeight="1">
      <c r="A30" s="77">
        <f t="shared" si="0"/>
        <v>21</v>
      </c>
      <c r="B30" s="33" t="s">
        <v>68</v>
      </c>
      <c r="C30" s="194"/>
      <c r="D30" s="250"/>
      <c r="E30" s="250"/>
      <c r="F30" s="139"/>
    </row>
    <row r="31" spans="1:6" ht="11.25" customHeight="1">
      <c r="A31" s="77">
        <f t="shared" si="0"/>
        <v>22</v>
      </c>
      <c r="B31" s="33" t="s">
        <v>69</v>
      </c>
      <c r="C31" s="194">
        <v>126</v>
      </c>
      <c r="D31" s="250">
        <f>ROUND('10.1.2'!N31,0)</f>
        <v>285379</v>
      </c>
      <c r="E31" s="250">
        <f>ROUND('10.2.2'!N31,0)</f>
        <v>27743</v>
      </c>
      <c r="F31" s="139"/>
    </row>
    <row r="32" spans="1:6" ht="11.25" customHeight="1">
      <c r="A32" s="77">
        <f t="shared" si="0"/>
        <v>23</v>
      </c>
      <c r="B32" s="33" t="s">
        <v>70</v>
      </c>
      <c r="C32" s="194">
        <v>127</v>
      </c>
      <c r="D32" s="250">
        <f>ROUND('10.1.2'!N32,0)</f>
        <v>311575</v>
      </c>
      <c r="E32" s="250">
        <f>ROUND('10.2.2'!N32,0)</f>
        <v>30731</v>
      </c>
      <c r="F32" s="139"/>
    </row>
    <row r="33" spans="1:6" ht="11.25" customHeight="1">
      <c r="A33" s="77">
        <f t="shared" si="0"/>
        <v>24</v>
      </c>
      <c r="B33" s="33" t="s">
        <v>71</v>
      </c>
      <c r="C33" s="194"/>
      <c r="D33" s="250">
        <f>SUM(D31:D32)</f>
        <v>596954</v>
      </c>
      <c r="E33" s="250">
        <f>SUM(E31:E32)</f>
        <v>58474</v>
      </c>
      <c r="F33" s="139"/>
    </row>
    <row r="34" spans="1:6" ht="11.25" customHeight="1">
      <c r="A34" s="77">
        <f t="shared" si="0"/>
        <v>25</v>
      </c>
      <c r="B34" s="33" t="s">
        <v>72</v>
      </c>
      <c r="C34" s="194"/>
      <c r="D34" s="250"/>
      <c r="E34" s="250"/>
      <c r="F34" s="139"/>
    </row>
    <row r="35" spans="1:6" ht="11.25" customHeight="1">
      <c r="A35" s="77">
        <f t="shared" si="0"/>
        <v>26</v>
      </c>
      <c r="B35" s="33" t="s">
        <v>73</v>
      </c>
      <c r="C35" s="194">
        <v>131</v>
      </c>
      <c r="D35" s="250">
        <f>ROUND('10.1.2'!N35,0)</f>
        <v>12447</v>
      </c>
      <c r="E35" s="250">
        <f>ROUND('10.2.2'!N35,0)</f>
        <v>1221</v>
      </c>
      <c r="F35" s="139"/>
    </row>
    <row r="36" spans="1:6" ht="11.25" customHeight="1">
      <c r="A36" s="77">
        <f t="shared" si="0"/>
        <v>27</v>
      </c>
      <c r="B36" s="33" t="s">
        <v>74</v>
      </c>
      <c r="C36" s="194">
        <v>132</v>
      </c>
      <c r="D36" s="250">
        <f>ROUND('10.1.2'!N36,0)</f>
        <v>64000</v>
      </c>
      <c r="E36" s="250">
        <f>ROUND('10.2.2'!N36,0)</f>
        <v>6380</v>
      </c>
      <c r="F36" s="139"/>
    </row>
    <row r="37" spans="1:6" ht="11.25" customHeight="1">
      <c r="A37" s="77">
        <f t="shared" si="0"/>
        <v>28</v>
      </c>
      <c r="B37" s="33" t="s">
        <v>75</v>
      </c>
      <c r="C37" s="194"/>
      <c r="D37" s="250">
        <f>SUM(D35:D36)</f>
        <v>76447</v>
      </c>
      <c r="E37" s="250">
        <f>SUM(E35:E36)</f>
        <v>7601</v>
      </c>
      <c r="F37" s="139"/>
    </row>
    <row r="38" spans="1:6" ht="11.25" customHeight="1">
      <c r="A38" s="78">
        <f t="shared" si="0"/>
        <v>29</v>
      </c>
      <c r="B38" s="70" t="s">
        <v>76</v>
      </c>
      <c r="C38" s="195"/>
      <c r="D38" s="251">
        <f>SUM(D29,D33,D37)</f>
        <v>674355</v>
      </c>
      <c r="E38" s="251">
        <f>SUM(E29,E33,E37)</f>
        <v>66172</v>
      </c>
      <c r="F38" s="252"/>
    </row>
    <row r="39" spans="1:6" ht="11.25" customHeight="1">
      <c r="A39" s="77">
        <f t="shared" si="0"/>
        <v>30</v>
      </c>
      <c r="B39" s="69" t="s">
        <v>77</v>
      </c>
      <c r="C39" s="194"/>
      <c r="D39" s="139"/>
      <c r="E39" s="139"/>
      <c r="F39" s="139"/>
    </row>
    <row r="40" spans="1:6" ht="11.25" customHeight="1">
      <c r="A40" s="77">
        <f t="shared" si="0"/>
        <v>31</v>
      </c>
      <c r="B40" s="33" t="s">
        <v>78</v>
      </c>
      <c r="C40" s="194">
        <v>136</v>
      </c>
      <c r="D40" s="250">
        <f>ROUND('10.1.2'!N40,0)</f>
        <v>10398</v>
      </c>
      <c r="E40" s="250">
        <f>ROUND('10.2.2'!N40,0)</f>
        <v>1069</v>
      </c>
      <c r="F40" s="139"/>
    </row>
    <row r="41" spans="1:6" ht="11.25" customHeight="1">
      <c r="A41" s="77">
        <f t="shared" si="0"/>
        <v>32</v>
      </c>
      <c r="B41" s="33" t="s">
        <v>79</v>
      </c>
      <c r="C41" s="194">
        <v>137</v>
      </c>
      <c r="D41" s="250">
        <f>ROUND('10.1.2'!N41,0)</f>
        <v>10490</v>
      </c>
      <c r="E41" s="250">
        <f>ROUND('10.2.2'!N41,0)</f>
        <v>1063</v>
      </c>
      <c r="F41" s="139"/>
    </row>
    <row r="42" spans="1:6" ht="11.25" customHeight="1">
      <c r="A42" s="77">
        <f t="shared" si="0"/>
        <v>33</v>
      </c>
      <c r="B42" s="33" t="s">
        <v>80</v>
      </c>
      <c r="C42" s="194">
        <v>139</v>
      </c>
      <c r="D42" s="250">
        <f>ROUND('10.1.2'!N42,0)</f>
        <v>3762</v>
      </c>
      <c r="E42" s="250">
        <f>ROUND('10.2.2'!N42,0)</f>
        <v>386</v>
      </c>
      <c r="F42" s="139"/>
    </row>
    <row r="43" spans="1:6" ht="11.25" customHeight="1">
      <c r="A43" s="77">
        <f aca="true" t="shared" si="1" ref="A43:A63">A42+1</f>
        <v>34</v>
      </c>
      <c r="B43" s="33" t="s">
        <v>81</v>
      </c>
      <c r="C43" s="194">
        <v>140</v>
      </c>
      <c r="D43" s="250">
        <f>ROUND('10.1.2'!N43,0)</f>
        <v>723</v>
      </c>
      <c r="E43" s="250">
        <f>ROUND('10.2.2'!N43,0)</f>
        <v>76</v>
      </c>
      <c r="F43" s="139"/>
    </row>
    <row r="44" spans="1:6" ht="11.25" customHeight="1">
      <c r="A44" s="78">
        <f t="shared" si="1"/>
        <v>35</v>
      </c>
      <c r="B44" s="70" t="s">
        <v>82</v>
      </c>
      <c r="C44" s="195"/>
      <c r="D44" s="251">
        <f>SUM(D40:D43)</f>
        <v>25373</v>
      </c>
      <c r="E44" s="251">
        <f>SUM(E40:E43)</f>
        <v>2594</v>
      </c>
      <c r="F44" s="252"/>
    </row>
    <row r="45" spans="1:6" ht="11.25" customHeight="1">
      <c r="A45" s="77">
        <f t="shared" si="1"/>
        <v>36</v>
      </c>
      <c r="B45" s="69" t="s">
        <v>83</v>
      </c>
      <c r="C45" s="194">
        <v>142</v>
      </c>
      <c r="D45" s="250">
        <f>ROUND('10.1.2'!N45,0)</f>
        <v>1258</v>
      </c>
      <c r="E45" s="250">
        <f>ROUND('10.2.2'!N45,0)</f>
        <v>126</v>
      </c>
      <c r="F45" s="139"/>
    </row>
    <row r="46" spans="1:6" ht="11.25" customHeight="1">
      <c r="A46" s="85">
        <f t="shared" si="1"/>
        <v>37</v>
      </c>
      <c r="B46" s="96" t="s">
        <v>84</v>
      </c>
      <c r="C46" s="194">
        <v>147</v>
      </c>
      <c r="D46" s="250">
        <f>ROUND('10.1.2'!N46,0)</f>
        <v>659</v>
      </c>
      <c r="E46" s="250">
        <f>ROUND('10.2.2'!N46,0)</f>
        <v>66</v>
      </c>
      <c r="F46" s="139"/>
    </row>
    <row r="47" spans="1:6" ht="11.25" customHeight="1">
      <c r="A47" s="77">
        <f t="shared" si="1"/>
        <v>38</v>
      </c>
      <c r="B47" s="69" t="s">
        <v>85</v>
      </c>
      <c r="C47" s="194">
        <v>161</v>
      </c>
      <c r="D47" s="250">
        <f>ROUND('10.1.2'!N47,0)</f>
        <v>2600</v>
      </c>
      <c r="E47" s="250">
        <f>ROUND('10.2.2'!N47,0)</f>
        <v>263</v>
      </c>
      <c r="F47" s="139"/>
    </row>
    <row r="48" spans="1:6" ht="11.25" customHeight="1">
      <c r="A48" s="78">
        <f t="shared" si="1"/>
        <v>39</v>
      </c>
      <c r="B48" s="70" t="s">
        <v>86</v>
      </c>
      <c r="C48" s="195"/>
      <c r="D48" s="253">
        <f>SUM(D17:D20,D27,D38,D44:D47)</f>
        <v>1395298</v>
      </c>
      <c r="E48" s="253">
        <f>SUM(E17:E20,E27,E38,E44:E47)</f>
        <v>138713</v>
      </c>
      <c r="F48" s="252"/>
    </row>
    <row r="49" spans="1:6" ht="11.25" customHeight="1">
      <c r="A49" s="77">
        <f t="shared" si="1"/>
        <v>40</v>
      </c>
      <c r="B49" s="69" t="s">
        <v>87</v>
      </c>
      <c r="C49" s="194"/>
      <c r="D49" s="139"/>
      <c r="E49" s="139"/>
      <c r="F49" s="139"/>
    </row>
    <row r="50" spans="1:6" ht="11.25" customHeight="1">
      <c r="A50" s="77">
        <f t="shared" si="1"/>
        <v>41</v>
      </c>
      <c r="B50" s="33" t="s">
        <v>88</v>
      </c>
      <c r="C50" s="194">
        <v>163</v>
      </c>
      <c r="D50" s="250">
        <f>ROUND('10.1.2'!N50,0)</f>
        <v>2320</v>
      </c>
      <c r="E50" s="250">
        <f>ROUND('10.2.2'!N50,0)</f>
        <v>268</v>
      </c>
      <c r="F50" s="139"/>
    </row>
    <row r="51" spans="1:6" ht="11.25" customHeight="1">
      <c r="A51" s="77">
        <f t="shared" si="1"/>
        <v>42</v>
      </c>
      <c r="B51" s="33" t="s">
        <v>89</v>
      </c>
      <c r="C51" s="194">
        <v>164</v>
      </c>
      <c r="D51" s="250">
        <f>ROUND('10.1.2'!N51,0)</f>
        <v>55957</v>
      </c>
      <c r="E51" s="250">
        <f>ROUND('10.2.2'!N51,0)</f>
        <v>6466</v>
      </c>
      <c r="F51" s="139"/>
    </row>
    <row r="52" spans="1:6" ht="11.25" customHeight="1">
      <c r="A52" s="77">
        <f t="shared" si="1"/>
        <v>43</v>
      </c>
      <c r="B52" s="33" t="s">
        <v>90</v>
      </c>
      <c r="C52" s="194">
        <v>165</v>
      </c>
      <c r="D52" s="250">
        <f>ROUND('10.1.2'!N52,0)</f>
        <v>4366</v>
      </c>
      <c r="E52" s="250">
        <f>ROUND('10.2.2'!N52,0)</f>
        <v>504</v>
      </c>
      <c r="F52" s="139"/>
    </row>
    <row r="53" spans="1:6" ht="11.25" customHeight="1">
      <c r="A53" s="77">
        <f t="shared" si="1"/>
        <v>44</v>
      </c>
      <c r="B53" s="33" t="s">
        <v>91</v>
      </c>
      <c r="C53" s="194">
        <v>166</v>
      </c>
      <c r="D53" s="250">
        <f>ROUND('10.1.2'!N53,0)</f>
        <v>2582</v>
      </c>
      <c r="E53" s="250">
        <f>ROUND('10.2.2'!N53,0)</f>
        <v>290</v>
      </c>
      <c r="F53" s="139"/>
    </row>
    <row r="54" spans="1:6" ht="11.25" customHeight="1">
      <c r="A54" s="77">
        <f t="shared" si="1"/>
        <v>45</v>
      </c>
      <c r="B54" s="33" t="s">
        <v>92</v>
      </c>
      <c r="C54" s="194">
        <v>167</v>
      </c>
      <c r="D54" s="250">
        <f>ROUND('10.1.2'!N54,0)</f>
        <v>0</v>
      </c>
      <c r="E54" s="250">
        <f>ROUND('10.2.2'!N54,0)</f>
        <v>0</v>
      </c>
      <c r="F54" s="139"/>
    </row>
    <row r="55" spans="1:6" ht="11.25" customHeight="1">
      <c r="A55" s="77">
        <f t="shared" si="1"/>
        <v>46</v>
      </c>
      <c r="B55" s="33" t="s">
        <v>93</v>
      </c>
      <c r="C55" s="194">
        <v>168</v>
      </c>
      <c r="D55" s="250">
        <f>ROUND('10.1.2'!N55,0)</f>
        <v>1008</v>
      </c>
      <c r="E55" s="250">
        <f>ROUND('10.2.2'!N55,0)</f>
        <v>79</v>
      </c>
      <c r="F55" s="139"/>
    </row>
    <row r="56" spans="1:6" ht="11.25" customHeight="1">
      <c r="A56" s="77">
        <f t="shared" si="1"/>
        <v>47</v>
      </c>
      <c r="B56" s="342" t="s">
        <v>94</v>
      </c>
      <c r="C56" s="194">
        <v>169</v>
      </c>
      <c r="D56" s="250">
        <f>ROUND('10.1.2'!N56,0)</f>
        <v>0</v>
      </c>
      <c r="E56" s="250">
        <f>ROUND('10.2.2'!N56,0)</f>
        <v>0</v>
      </c>
      <c r="F56" s="139"/>
    </row>
    <row r="57" spans="1:6" ht="11.25" customHeight="1">
      <c r="A57" s="77">
        <f t="shared" si="1"/>
        <v>48</v>
      </c>
      <c r="B57" s="33" t="s">
        <v>95</v>
      </c>
      <c r="C57" s="194">
        <v>170</v>
      </c>
      <c r="D57" s="250">
        <f>ROUND('10.1.2'!N57,0)</f>
        <v>0</v>
      </c>
      <c r="E57" s="250">
        <f>ROUND('10.2.2'!N57,0)</f>
        <v>0</v>
      </c>
      <c r="F57" s="139"/>
    </row>
    <row r="58" spans="1:6" ht="11.25" customHeight="1">
      <c r="A58" s="77">
        <f t="shared" si="1"/>
        <v>49</v>
      </c>
      <c r="B58" s="33" t="s">
        <v>96</v>
      </c>
      <c r="C58" s="194">
        <v>171</v>
      </c>
      <c r="D58" s="250">
        <f>ROUND('10.1.2'!N58,0)</f>
        <v>0</v>
      </c>
      <c r="E58" s="250">
        <f>ROUND('10.2.2'!N58,0)</f>
        <v>0</v>
      </c>
      <c r="F58" s="139"/>
    </row>
    <row r="59" spans="1:6" ht="11.25" customHeight="1">
      <c r="A59" s="77">
        <f t="shared" si="1"/>
        <v>50</v>
      </c>
      <c r="B59" s="33" t="s">
        <v>97</v>
      </c>
      <c r="C59" s="194">
        <v>172</v>
      </c>
      <c r="D59" s="250">
        <f>ROUND('10.1.2'!N59,0)</f>
        <v>20</v>
      </c>
      <c r="E59" s="250">
        <f>ROUND('10.2.2'!N59,0)</f>
        <v>2</v>
      </c>
      <c r="F59" s="139"/>
    </row>
    <row r="60" spans="1:6" ht="11.25" customHeight="1">
      <c r="A60" s="78">
        <f t="shared" si="1"/>
        <v>51</v>
      </c>
      <c r="B60" s="70" t="s">
        <v>98</v>
      </c>
      <c r="C60" s="195"/>
      <c r="D60" s="251">
        <f>SUM(D50:D59)</f>
        <v>66253</v>
      </c>
      <c r="E60" s="251">
        <f>SUM(E50:E59)</f>
        <v>7609</v>
      </c>
      <c r="F60" s="252"/>
    </row>
    <row r="61" spans="1:6" ht="11.25" customHeight="1">
      <c r="A61" s="77">
        <f t="shared" si="1"/>
        <v>52</v>
      </c>
      <c r="B61" s="69" t="s">
        <v>99</v>
      </c>
      <c r="C61" s="194"/>
      <c r="D61" s="250">
        <f>SUM(D48,D60)</f>
        <v>1461551</v>
      </c>
      <c r="E61" s="250">
        <f>SUM(E48,E60)</f>
        <v>146322</v>
      </c>
      <c r="F61" s="139"/>
    </row>
    <row r="62" spans="1:6" ht="11.25" customHeight="1">
      <c r="A62" s="77">
        <f t="shared" si="1"/>
        <v>53</v>
      </c>
      <c r="B62" s="69" t="s">
        <v>100</v>
      </c>
      <c r="C62" s="194">
        <v>199</v>
      </c>
      <c r="D62" s="250">
        <f>ROUND('10.1.2'!N62,0)</f>
        <v>1585251</v>
      </c>
      <c r="E62" s="250">
        <f>ROUND('10.2.2'!N62,0)</f>
        <v>157567</v>
      </c>
      <c r="F62" s="250"/>
    </row>
    <row r="63" spans="1:6" ht="11.25" customHeight="1">
      <c r="A63" s="78">
        <f t="shared" si="1"/>
        <v>54</v>
      </c>
      <c r="B63" s="70" t="s">
        <v>101</v>
      </c>
      <c r="C63" s="195"/>
      <c r="D63" s="251">
        <f>SUM(D61:D62)</f>
        <v>3046802</v>
      </c>
      <c r="E63" s="251">
        <f>SUM(E61:E62)</f>
        <v>303889</v>
      </c>
      <c r="F63" s="251">
        <f>ROUND('10.0.1'!D13,0)</f>
        <v>327523</v>
      </c>
    </row>
    <row r="64" spans="4:6" ht="12.75" customHeight="1">
      <c r="D64" s="17"/>
      <c r="E64" s="17"/>
      <c r="F64" s="17"/>
    </row>
    <row r="65" spans="5:6" ht="18">
      <c r="E65" s="109" t="s">
        <v>102</v>
      </c>
      <c r="F65" s="108" t="str">
        <f>IF(AND(F67+2&gt;=F66,F67-2&lt;=F66),"C","D")</f>
        <v>C</v>
      </c>
    </row>
    <row r="66" spans="5:6" ht="11.25">
      <c r="E66" s="107" t="s">
        <v>103</v>
      </c>
      <c r="F66" s="254">
        <f>ROUND(SUM(D63:F63),0)</f>
        <v>3678214</v>
      </c>
    </row>
    <row r="67" spans="5:6" ht="11.25">
      <c r="E67" s="196" t="s">
        <v>104</v>
      </c>
      <c r="F67" s="254">
        <f>ROUND('10.0.1'!D14,0)</f>
        <v>3678215</v>
      </c>
    </row>
  </sheetData>
  <printOptions/>
  <pageMargins left="0.5" right="0.5" top="1" bottom="0.5" header="0.75" footer="0.25"/>
  <pageSetup horizontalDpi="600" verticalDpi="600" orientation="landscape" r:id="rId1"/>
  <rowBreaks count="1" manualBreakCount="1">
    <brk id="38" max="65535" man="1"/>
  </rowBreaks>
</worksheet>
</file>

<file path=xl/worksheets/sheet3.xml><?xml version="1.0" encoding="utf-8"?>
<worksheet xmlns="http://schemas.openxmlformats.org/spreadsheetml/2006/main" xmlns:r="http://schemas.openxmlformats.org/officeDocument/2006/relationships">
  <sheetPr>
    <pageSetUpPr fitToPage="1"/>
  </sheetPr>
  <dimension ref="A1:F101"/>
  <sheetViews>
    <sheetView workbookViewId="0" topLeftCell="A14">
      <selection activeCell="C25" sqref="C25"/>
    </sheetView>
  </sheetViews>
  <sheetFormatPr defaultColWidth="8.88671875" defaultRowHeight="15.75"/>
  <cols>
    <col min="1" max="1" width="3.6640625" style="7" customWidth="1"/>
    <col min="2" max="2" width="31.99609375" style="7" customWidth="1"/>
    <col min="3" max="3" width="15.3359375" style="7" customWidth="1"/>
    <col min="4" max="4" width="11.4453125" style="7" customWidth="1"/>
    <col min="5" max="5" width="11.5546875" style="7" customWidth="1"/>
    <col min="6" max="6" width="11.99609375" style="7" customWidth="1"/>
    <col min="7" max="16384" width="8.88671875" style="7" customWidth="1"/>
  </cols>
  <sheetData>
    <row r="1" s="6" customFormat="1" ht="12.75" customHeight="1">
      <c r="A1" s="163" t="str">
        <f>Doc!A1</f>
        <v>Base Year 1998 - USPS Version</v>
      </c>
    </row>
    <row r="2" s="6" customFormat="1" ht="12.75" customHeight="1">
      <c r="A2" s="163" t="str">
        <f>Doc!A2</f>
        <v>C/S 10 RURAL CARRIERS</v>
      </c>
    </row>
    <row r="3" s="6" customFormat="1" ht="12.75" customHeight="1">
      <c r="A3" s="164" t="s">
        <v>8</v>
      </c>
    </row>
    <row r="4" s="6" customFormat="1" ht="12.75" customHeight="1"/>
    <row r="5" spans="1:4" ht="22.5">
      <c r="A5" s="177" t="s">
        <v>37</v>
      </c>
      <c r="B5" s="197" t="str">
        <f>Doc!A10&amp;"  "&amp;Doc!B10</f>
        <v>WS 10.0.1  EVALUATED AND OTHER ROUTES, ALLOCATION OF ACCRUED AND VVC</v>
      </c>
      <c r="C5" s="177" t="s">
        <v>105</v>
      </c>
      <c r="D5" s="177" t="s">
        <v>106</v>
      </c>
    </row>
    <row r="6" spans="1:4" s="147" customFormat="1" ht="11.25">
      <c r="A6" s="145"/>
      <c r="B6" s="146" t="s">
        <v>44</v>
      </c>
      <c r="C6" s="112" t="s">
        <v>45</v>
      </c>
      <c r="D6" s="101" t="s">
        <v>107</v>
      </c>
    </row>
    <row r="7" spans="1:4" s="147" customFormat="1" ht="11.25">
      <c r="A7" s="145"/>
      <c r="B7" s="146" t="s">
        <v>108</v>
      </c>
      <c r="C7" s="101" t="s">
        <v>109</v>
      </c>
      <c r="D7" s="101" t="s">
        <v>109</v>
      </c>
    </row>
    <row r="8" spans="1:4" s="147" customFormat="1" ht="11.25">
      <c r="A8" s="148"/>
      <c r="B8" s="149" t="s">
        <v>110</v>
      </c>
      <c r="C8" s="110" t="s">
        <v>111</v>
      </c>
      <c r="D8" s="110" t="s">
        <v>112</v>
      </c>
    </row>
    <row r="9" spans="1:4" s="147" customFormat="1" ht="11.25">
      <c r="A9" s="234">
        <v>1</v>
      </c>
      <c r="B9" s="150" t="s">
        <v>113</v>
      </c>
      <c r="C9" s="255">
        <f>'[1]TRIAL BAL'!$E27/1000</f>
        <v>3350692.043</v>
      </c>
      <c r="D9" s="255"/>
    </row>
    <row r="10" spans="1:4" s="147" customFormat="1" ht="11.25">
      <c r="A10" s="234">
        <f>A9+1</f>
        <v>2</v>
      </c>
      <c r="B10" s="152" t="s">
        <v>114</v>
      </c>
      <c r="C10" s="255">
        <f>'[1]TRIAL BAL'!$E$28/1000</f>
        <v>327523.436</v>
      </c>
      <c r="D10" s="255"/>
    </row>
    <row r="11" spans="1:4" s="147" customFormat="1" ht="11.25">
      <c r="A11" s="234">
        <f>A10+1</f>
        <v>3</v>
      </c>
      <c r="B11" s="152" t="s">
        <v>40</v>
      </c>
      <c r="C11" s="153"/>
      <c r="D11" s="153">
        <f>'[1]FACTORS'!$C$64</f>
        <v>0.4797</v>
      </c>
    </row>
    <row r="12" spans="1:4" s="147" customFormat="1" ht="11.25">
      <c r="A12" s="234">
        <f>A11+1</f>
        <v>4</v>
      </c>
      <c r="B12" s="151" t="s">
        <v>41</v>
      </c>
      <c r="C12" s="153"/>
      <c r="D12" s="153">
        <f>'[1]FACTORS'!$C$65</f>
        <v>0.4815</v>
      </c>
    </row>
    <row r="13" spans="1:6" s="147" customFormat="1" ht="22.5">
      <c r="A13" s="235"/>
      <c r="B13" s="332" t="str">
        <f>Doc!A11&amp;"  "&amp;Doc!B11</f>
        <v>WS 10.0.2  PAY DATA SPLIT FACTOR</v>
      </c>
      <c r="C13" s="309" t="s">
        <v>115</v>
      </c>
      <c r="D13" s="309" t="s">
        <v>115</v>
      </c>
      <c r="E13" s="177" t="s">
        <v>116</v>
      </c>
      <c r="F13" s="177" t="s">
        <v>116</v>
      </c>
    </row>
    <row r="14" spans="1:6" s="147" customFormat="1" ht="11.25">
      <c r="A14" s="236"/>
      <c r="B14" s="146" t="s">
        <v>44</v>
      </c>
      <c r="C14" s="112" t="s">
        <v>45</v>
      </c>
      <c r="D14" s="112" t="s">
        <v>45</v>
      </c>
      <c r="E14" s="112" t="s">
        <v>45</v>
      </c>
      <c r="F14" s="112" t="s">
        <v>45</v>
      </c>
    </row>
    <row r="15" spans="1:6" s="147" customFormat="1" ht="11.25">
      <c r="A15" s="236"/>
      <c r="B15" s="146" t="s">
        <v>108</v>
      </c>
      <c r="C15" s="101" t="s">
        <v>109</v>
      </c>
      <c r="D15" s="101" t="s">
        <v>109</v>
      </c>
      <c r="E15" s="101" t="s">
        <v>109</v>
      </c>
      <c r="F15" s="101" t="s">
        <v>109</v>
      </c>
    </row>
    <row r="16" spans="1:6" s="106" customFormat="1" ht="22.5">
      <c r="A16" s="237"/>
      <c r="B16" s="149" t="s">
        <v>110</v>
      </c>
      <c r="C16" s="101" t="s">
        <v>117</v>
      </c>
      <c r="D16" s="101" t="s">
        <v>118</v>
      </c>
      <c r="E16" s="101" t="s">
        <v>119</v>
      </c>
      <c r="F16" s="101" t="s">
        <v>120</v>
      </c>
    </row>
    <row r="17" spans="1:6" s="147" customFormat="1" ht="11.25">
      <c r="A17" s="234">
        <f>A12+1</f>
        <v>5</v>
      </c>
      <c r="B17" s="152" t="s">
        <v>121</v>
      </c>
      <c r="C17" s="334">
        <f>'[1]CS10'!B12</f>
        <v>441210</v>
      </c>
      <c r="D17" s="334">
        <f>'[1]CS10'!C12</f>
        <v>117416</v>
      </c>
      <c r="E17" s="334">
        <f>'[1]CS10'!D12</f>
        <v>-1036</v>
      </c>
      <c r="F17" s="334">
        <f>'[1]CS10'!E12</f>
        <v>57473</v>
      </c>
    </row>
    <row r="18" spans="1:6" s="147" customFormat="1" ht="11.25">
      <c r="A18" s="234">
        <f aca="true" t="shared" si="0" ref="A18:A33">A17+1</f>
        <v>6</v>
      </c>
      <c r="B18" s="152" t="s">
        <v>122</v>
      </c>
      <c r="C18" s="255">
        <f>'[1]CS10'!B13</f>
        <v>457552</v>
      </c>
      <c r="D18" s="255">
        <f>'[1]CS10'!C13</f>
        <v>120281</v>
      </c>
      <c r="E18" s="255">
        <f>'[1]CS10'!D13</f>
        <v>-884</v>
      </c>
      <c r="F18" s="255">
        <f>'[1]CS10'!E13</f>
        <v>59195</v>
      </c>
    </row>
    <row r="19" spans="1:6" s="147" customFormat="1" ht="11.25">
      <c r="A19" s="234">
        <f t="shared" si="0"/>
        <v>7</v>
      </c>
      <c r="B19" s="152" t="s">
        <v>123</v>
      </c>
      <c r="C19" s="255">
        <f>'[1]CS10'!B14</f>
        <v>454080</v>
      </c>
      <c r="D19" s="255">
        <f>'[1]CS10'!C14</f>
        <v>116217</v>
      </c>
      <c r="E19" s="255">
        <f>'[1]CS10'!D14</f>
        <v>-1145</v>
      </c>
      <c r="F19" s="255">
        <f>'[1]CS10'!E14</f>
        <v>60070</v>
      </c>
    </row>
    <row r="20" spans="1:6" s="147" customFormat="1" ht="11.25">
      <c r="A20" s="238">
        <f t="shared" si="0"/>
        <v>8</v>
      </c>
      <c r="B20" s="233" t="s">
        <v>124</v>
      </c>
      <c r="C20" s="335">
        <f>'[1]CS10'!B15</f>
        <v>609532</v>
      </c>
      <c r="D20" s="335">
        <f>'[1]CS10'!C15</f>
        <v>164698</v>
      </c>
      <c r="E20" s="335">
        <f>'[1]CS10'!D15</f>
        <v>-1413</v>
      </c>
      <c r="F20" s="335">
        <f>'[1]CS10'!E15</f>
        <v>75195</v>
      </c>
    </row>
    <row r="21" spans="1:3" s="147" customFormat="1" ht="11.25">
      <c r="A21" s="331"/>
      <c r="B21" s="180" t="str">
        <f>Doc!A14&amp;"  "&amp;Doc!B14</f>
        <v>WS 10.0.3 P1  MAIL SHAPE ADJUSTMENT, PART 1</v>
      </c>
      <c r="C21" s="307" t="s">
        <v>125</v>
      </c>
    </row>
    <row r="22" spans="1:3" s="147" customFormat="1" ht="11.25">
      <c r="A22" s="239"/>
      <c r="B22" s="154" t="s">
        <v>44</v>
      </c>
      <c r="C22" s="308" t="s">
        <v>126</v>
      </c>
    </row>
    <row r="23" spans="1:3" s="147" customFormat="1" ht="11.25">
      <c r="A23" s="236"/>
      <c r="B23" s="146" t="s">
        <v>108</v>
      </c>
      <c r="C23" s="101" t="s">
        <v>109</v>
      </c>
    </row>
    <row r="24" spans="1:3" s="147" customFormat="1" ht="11.25">
      <c r="A24" s="240"/>
      <c r="B24" s="149" t="s">
        <v>110</v>
      </c>
      <c r="C24" s="246" t="s">
        <v>127</v>
      </c>
    </row>
    <row r="25" spans="1:3" s="147" customFormat="1" ht="11.25">
      <c r="A25" s="234">
        <f>A20+1</f>
        <v>9</v>
      </c>
      <c r="B25" s="344" t="s">
        <v>128</v>
      </c>
      <c r="C25" s="333">
        <f>'[1]FACTORS'!$C67</f>
        <v>564944.763</v>
      </c>
    </row>
    <row r="26" spans="1:3" s="147" customFormat="1" ht="11.25">
      <c r="A26" s="234">
        <f>A25+1</f>
        <v>10</v>
      </c>
      <c r="B26" s="150" t="s">
        <v>129</v>
      </c>
      <c r="C26" s="333">
        <f>'[1]FACTORS'!$C68</f>
        <v>82010.465</v>
      </c>
    </row>
    <row r="27" spans="1:3" s="147" customFormat="1" ht="11.25">
      <c r="A27" s="234">
        <f>A26+1</f>
        <v>11</v>
      </c>
      <c r="B27" s="152" t="s">
        <v>130</v>
      </c>
      <c r="C27" s="333">
        <f>'[1]FACTORS'!$C69</f>
        <v>685937.436</v>
      </c>
    </row>
    <row r="28" spans="1:3" s="147" customFormat="1" ht="11.25">
      <c r="A28" s="234">
        <f>A27+1</f>
        <v>12</v>
      </c>
      <c r="B28" s="152" t="s">
        <v>131</v>
      </c>
      <c r="C28" s="333">
        <f>'[1]FACTORS'!$C70</f>
        <v>906828.026</v>
      </c>
    </row>
    <row r="29" spans="1:3" s="147" customFormat="1" ht="11.25">
      <c r="A29" s="234">
        <f t="shared" si="0"/>
        <v>13</v>
      </c>
      <c r="B29" s="150" t="s">
        <v>132</v>
      </c>
      <c r="C29" s="333">
        <f>'[1]FACTORS'!$C71</f>
        <v>745667</v>
      </c>
    </row>
    <row r="30" spans="1:3" s="147" customFormat="1" ht="11.25">
      <c r="A30" s="234">
        <f t="shared" si="0"/>
        <v>14</v>
      </c>
      <c r="B30" s="150" t="s">
        <v>133</v>
      </c>
      <c r="C30" s="333">
        <f>'[1]FACTORS'!$C72</f>
        <v>415085</v>
      </c>
    </row>
    <row r="31" spans="1:3" s="147" customFormat="1" ht="11.25">
      <c r="A31" s="234">
        <f t="shared" si="0"/>
        <v>15</v>
      </c>
      <c r="B31" s="150" t="s">
        <v>134</v>
      </c>
      <c r="C31" s="333">
        <f>'[1]FACTORS'!$C73</f>
        <v>0</v>
      </c>
    </row>
    <row r="32" spans="1:3" s="147" customFormat="1" ht="11.25">
      <c r="A32" s="234">
        <f t="shared" si="0"/>
        <v>16</v>
      </c>
      <c r="B32" s="150" t="s">
        <v>135</v>
      </c>
      <c r="C32" s="333">
        <f>'[1]FACTORS'!$C74</f>
        <v>28457</v>
      </c>
    </row>
    <row r="33" spans="1:3" s="147" customFormat="1" ht="11.25">
      <c r="A33" s="234">
        <f t="shared" si="0"/>
        <v>17</v>
      </c>
      <c r="B33" s="150" t="s">
        <v>136</v>
      </c>
      <c r="C33" s="333">
        <f>'[1]FACTORS'!$C75</f>
        <v>10438</v>
      </c>
    </row>
    <row r="34" spans="1:3" s="147" customFormat="1" ht="11.25">
      <c r="A34" s="238">
        <f>A33+1</f>
        <v>18</v>
      </c>
      <c r="B34" s="155" t="s">
        <v>137</v>
      </c>
      <c r="C34" s="333">
        <f>'[1]FACTORS'!$C76</f>
        <v>0</v>
      </c>
    </row>
    <row r="35" spans="1:3" s="147" customFormat="1" ht="22.5">
      <c r="A35" s="331"/>
      <c r="B35" s="332" t="str">
        <f>Doc!A15&amp;"  "&amp;Doc!B15</f>
        <v>WS 10.0.3 P2  MAIL SHAPE ADJUSTMENT, PART 2</v>
      </c>
      <c r="C35" s="307" t="s">
        <v>138</v>
      </c>
    </row>
    <row r="36" spans="1:3" s="147" customFormat="1" ht="11.25">
      <c r="A36" s="239"/>
      <c r="B36" s="154" t="s">
        <v>44</v>
      </c>
      <c r="C36" s="308" t="s">
        <v>107</v>
      </c>
    </row>
    <row r="37" spans="1:3" s="147" customFormat="1" ht="11.25">
      <c r="A37" s="236"/>
      <c r="B37" s="146" t="s">
        <v>108</v>
      </c>
      <c r="C37" s="101" t="s">
        <v>109</v>
      </c>
    </row>
    <row r="38" spans="1:3" s="147" customFormat="1" ht="45">
      <c r="A38" s="240"/>
      <c r="B38" s="149" t="s">
        <v>110</v>
      </c>
      <c r="C38" s="246" t="str">
        <f>"L"&amp;A40&amp;", L"&amp;A42&amp;" from MC95-1 USPS-T-7 Exhibit E;
L"&amp;A41&amp;", L"&amp;A43&amp;", L"&amp;A46&amp;", L"&amp;A48&amp;" from R97-1, LR H-129"</f>
        <v>L19, L21 from MC95-1 USPS-T-7 Exhibit E;
L20, L22, L25, L27 from R97-1, LR H-129</v>
      </c>
    </row>
    <row r="39" spans="1:3" s="147" customFormat="1" ht="11.25">
      <c r="A39" s="241"/>
      <c r="B39" s="242" t="s">
        <v>48</v>
      </c>
      <c r="C39" s="243"/>
    </row>
    <row r="40" spans="1:3" s="147" customFormat="1" ht="11.25">
      <c r="A40" s="234">
        <f>A34+1</f>
        <v>19</v>
      </c>
      <c r="B40" s="33" t="s">
        <v>49</v>
      </c>
      <c r="C40" s="153">
        <f>'[1]FACTORS'!$C79</f>
        <v>0.444</v>
      </c>
    </row>
    <row r="41" spans="1:3" s="147" customFormat="1" ht="11.25">
      <c r="A41" s="234">
        <f aca="true" t="shared" si="1" ref="A41:A48">A40+1</f>
        <v>20</v>
      </c>
      <c r="B41" s="33" t="s">
        <v>50</v>
      </c>
      <c r="C41" s="153">
        <f>'[1]FACTORS'!$C80</f>
        <v>0.64</v>
      </c>
    </row>
    <row r="42" spans="1:3" s="147" customFormat="1" ht="11.25">
      <c r="A42" s="234">
        <f t="shared" si="1"/>
        <v>21</v>
      </c>
      <c r="B42" s="33" t="s">
        <v>52</v>
      </c>
      <c r="C42" s="153">
        <f>'[1]FACTORS'!$C81</f>
        <v>0.444</v>
      </c>
    </row>
    <row r="43" spans="1:3" s="147" customFormat="1" ht="11.25">
      <c r="A43" s="234">
        <f t="shared" si="1"/>
        <v>22</v>
      </c>
      <c r="B43" s="33" t="s">
        <v>53</v>
      </c>
      <c r="C43" s="153">
        <f>'[1]FACTORS'!$C82</f>
        <v>0.64</v>
      </c>
    </row>
    <row r="44" spans="1:3" s="147" customFormat="1" ht="11.25">
      <c r="A44" s="234">
        <f t="shared" si="1"/>
        <v>23</v>
      </c>
      <c r="B44" s="69" t="s">
        <v>66</v>
      </c>
      <c r="C44" s="153"/>
    </row>
    <row r="45" spans="1:3" s="147" customFormat="1" ht="11.25">
      <c r="A45" s="234">
        <f t="shared" si="1"/>
        <v>24</v>
      </c>
      <c r="B45" s="342" t="s">
        <v>139</v>
      </c>
      <c r="C45" s="153">
        <f>'[1]FACTORS'!$C84</f>
        <v>0.093</v>
      </c>
    </row>
    <row r="46" spans="1:3" s="147" customFormat="1" ht="11.25">
      <c r="A46" s="234">
        <f t="shared" si="1"/>
        <v>25</v>
      </c>
      <c r="B46" s="342" t="s">
        <v>70</v>
      </c>
      <c r="C46" s="153">
        <f>'[1]FACTORS'!$C85</f>
        <v>0.618</v>
      </c>
    </row>
    <row r="47" spans="1:3" s="147" customFormat="1" ht="11.25">
      <c r="A47" s="234">
        <f t="shared" si="1"/>
        <v>26</v>
      </c>
      <c r="B47" s="342" t="s">
        <v>140</v>
      </c>
      <c r="C47" s="153">
        <f>'[1]FACTORS'!$C86</f>
        <v>0.1</v>
      </c>
    </row>
    <row r="48" spans="1:3" s="147" customFormat="1" ht="11.25">
      <c r="A48" s="234">
        <f t="shared" si="1"/>
        <v>27</v>
      </c>
      <c r="B48" s="346" t="s">
        <v>74</v>
      </c>
      <c r="C48" s="153">
        <f>'[1]FACTORS'!$C87</f>
        <v>0.583</v>
      </c>
    </row>
    <row r="49" spans="1:5" s="147" customFormat="1" ht="33.75">
      <c r="A49" s="235"/>
      <c r="B49" s="201" t="s">
        <v>141</v>
      </c>
      <c r="C49" s="307" t="s">
        <v>142</v>
      </c>
      <c r="D49" s="307" t="s">
        <v>143</v>
      </c>
      <c r="E49" s="181" t="s">
        <v>144</v>
      </c>
    </row>
    <row r="50" spans="1:5" s="147" customFormat="1" ht="11.25">
      <c r="A50" s="236"/>
      <c r="B50" s="146" t="s">
        <v>44</v>
      </c>
      <c r="C50" s="112" t="s">
        <v>145</v>
      </c>
      <c r="D50" s="112" t="s">
        <v>145</v>
      </c>
      <c r="E50" s="101" t="s">
        <v>146</v>
      </c>
    </row>
    <row r="51" spans="1:5" s="147" customFormat="1" ht="11.25">
      <c r="A51" s="236"/>
      <c r="B51" s="146" t="s">
        <v>108</v>
      </c>
      <c r="C51" s="101" t="s">
        <v>109</v>
      </c>
      <c r="D51" s="101" t="s">
        <v>109</v>
      </c>
      <c r="E51" s="101" t="s">
        <v>109</v>
      </c>
    </row>
    <row r="52" spans="1:5" s="147" customFormat="1" ht="22.5">
      <c r="A52" s="323"/>
      <c r="B52" s="146" t="s">
        <v>110</v>
      </c>
      <c r="C52" s="110" t="s">
        <v>147</v>
      </c>
      <c r="D52" s="110" t="s">
        <v>147</v>
      </c>
      <c r="E52" s="110" t="s">
        <v>148</v>
      </c>
    </row>
    <row r="53" spans="1:5" s="147" customFormat="1" ht="11.25">
      <c r="A53" s="234">
        <f>A48+1</f>
        <v>28</v>
      </c>
      <c r="B53" s="156" t="s">
        <v>149</v>
      </c>
      <c r="C53" s="336">
        <f>'[1]FACTORS'!C89</f>
        <v>4037.15</v>
      </c>
      <c r="D53" s="336">
        <f>'[1]FACTORS'!$C106</f>
        <v>2446.73</v>
      </c>
      <c r="E53" s="337">
        <f>'[1]FACTORS'!$C123</f>
        <v>0.0791</v>
      </c>
    </row>
    <row r="54" spans="1:5" s="147" customFormat="1" ht="11.25">
      <c r="A54" s="234">
        <f>A53+1</f>
        <v>29</v>
      </c>
      <c r="B54" s="152" t="s">
        <v>150</v>
      </c>
      <c r="C54" s="338">
        <f>'[1]FACTORS'!C90</f>
        <v>5389.7</v>
      </c>
      <c r="D54" s="338">
        <f>'[1]FACTORS'!$C107</f>
        <v>3060.96</v>
      </c>
      <c r="E54" s="339">
        <f>'[1]FACTORS'!$C124</f>
        <v>0.1416</v>
      </c>
    </row>
    <row r="55" spans="1:5" s="147" customFormat="1" ht="11.25">
      <c r="A55" s="234">
        <f>A54+1</f>
        <v>30</v>
      </c>
      <c r="B55" s="152" t="s">
        <v>151</v>
      </c>
      <c r="C55" s="338">
        <f>'[1]FACTORS'!C91</f>
        <v>204.17</v>
      </c>
      <c r="D55" s="338">
        <f>'[1]FACTORS'!$C108</f>
        <v>122.82</v>
      </c>
      <c r="E55" s="339">
        <f>'[1]FACTORS'!$C125</f>
        <v>0.333</v>
      </c>
    </row>
    <row r="56" spans="1:5" s="147" customFormat="1" ht="11.25">
      <c r="A56" s="234">
        <f>A55+1</f>
        <v>31</v>
      </c>
      <c r="B56" s="152" t="s">
        <v>152</v>
      </c>
      <c r="C56" s="338">
        <f>'[1]FACTORS'!C92</f>
        <v>1349.12</v>
      </c>
      <c r="D56" s="338">
        <f>'[1]FACTORS'!$C109</f>
        <v>739.47</v>
      </c>
      <c r="E56" s="339">
        <f>'[1]FACTORS'!$C126</f>
        <v>0.04</v>
      </c>
    </row>
    <row r="57" spans="1:5" s="147" customFormat="1" ht="11.25">
      <c r="A57" s="234">
        <f aca="true" t="shared" si="2" ref="A57:A68">A56+1</f>
        <v>32</v>
      </c>
      <c r="B57" s="152" t="s">
        <v>153</v>
      </c>
      <c r="C57" s="338">
        <f>'[1]FACTORS'!C93</f>
        <v>0.47</v>
      </c>
      <c r="D57" s="338">
        <f>'[1]FACTORS'!$C110</f>
        <v>0.31</v>
      </c>
      <c r="E57" s="339">
        <f>'[1]FACTORS'!$C127</f>
        <v>5.5</v>
      </c>
    </row>
    <row r="58" spans="1:5" s="147" customFormat="1" ht="11.25">
      <c r="A58" s="234">
        <f t="shared" si="2"/>
        <v>33</v>
      </c>
      <c r="B58" s="152" t="s">
        <v>154</v>
      </c>
      <c r="C58" s="338">
        <f>'[1]FACTORS'!C94</f>
        <v>16.76</v>
      </c>
      <c r="D58" s="338">
        <f>'[1]FACTORS'!$C111</f>
        <v>11.38</v>
      </c>
      <c r="E58" s="339">
        <f>'[1]FACTORS'!$C128</f>
        <v>4</v>
      </c>
    </row>
    <row r="59" spans="1:5" s="147" customFormat="1" ht="11.25">
      <c r="A59" s="234">
        <f t="shared" si="2"/>
        <v>34</v>
      </c>
      <c r="B59" s="150" t="s">
        <v>155</v>
      </c>
      <c r="C59" s="338">
        <f>'[1]FACTORS'!C95</f>
        <v>3413.87</v>
      </c>
      <c r="D59" s="338">
        <f>'[1]FACTORS'!$C112</f>
        <v>1575.99</v>
      </c>
      <c r="E59" s="339">
        <f>'[1]FACTORS'!$C129</f>
        <v>0.0333</v>
      </c>
    </row>
    <row r="60" spans="1:5" s="147" customFormat="1" ht="11.25">
      <c r="A60" s="234">
        <f t="shared" si="2"/>
        <v>35</v>
      </c>
      <c r="B60" s="150" t="s">
        <v>156</v>
      </c>
      <c r="C60" s="338">
        <f>'[1]FACTORS'!C96</f>
        <v>445.79</v>
      </c>
      <c r="D60" s="338">
        <f>'[1]FACTORS'!$C113</f>
        <v>692.23</v>
      </c>
      <c r="E60" s="339">
        <f>'[1]FACTORS'!$C130</f>
        <v>0.0444</v>
      </c>
    </row>
    <row r="61" spans="1:5" s="147" customFormat="1" ht="11.25">
      <c r="A61" s="234">
        <f t="shared" si="2"/>
        <v>36</v>
      </c>
      <c r="B61" s="152" t="s">
        <v>157</v>
      </c>
      <c r="C61" s="338">
        <f>'[1]FACTORS'!C97</f>
        <v>2.47</v>
      </c>
      <c r="D61" s="338">
        <f>'[1]FACTORS'!$C114</f>
        <v>1.69</v>
      </c>
      <c r="E61" s="339">
        <f>'[1]FACTORS'!$C131</f>
        <v>0.2</v>
      </c>
    </row>
    <row r="62" spans="1:5" s="147" customFormat="1" ht="11.25">
      <c r="A62" s="234">
        <f t="shared" si="2"/>
        <v>37</v>
      </c>
      <c r="B62" s="152" t="s">
        <v>158</v>
      </c>
      <c r="C62" s="338">
        <f>'[1]FACTORS'!C98</f>
        <v>0.08</v>
      </c>
      <c r="D62" s="338">
        <f>'[1]FACTORS'!$C115</f>
        <v>0.05</v>
      </c>
      <c r="E62" s="339">
        <f>'[1]FACTORS'!$C132</f>
        <v>0.25</v>
      </c>
    </row>
    <row r="63" spans="1:5" s="147" customFormat="1" ht="11.25">
      <c r="A63" s="234">
        <f t="shared" si="2"/>
        <v>38</v>
      </c>
      <c r="B63" s="152" t="s">
        <v>159</v>
      </c>
      <c r="C63" s="338">
        <f>'[1]FACTORS'!C99</f>
        <v>1080.54</v>
      </c>
      <c r="D63" s="338">
        <f>'[1]FACTORS'!$C116</f>
        <v>640.34</v>
      </c>
      <c r="E63" s="339">
        <f>'[1]FACTORS'!$C133</f>
        <v>0.04</v>
      </c>
    </row>
    <row r="64" spans="1:5" s="147" customFormat="1" ht="11.25">
      <c r="A64" s="234">
        <f t="shared" si="2"/>
        <v>39</v>
      </c>
      <c r="B64" s="152" t="s">
        <v>160</v>
      </c>
      <c r="C64" s="338">
        <f>'[1]FACTORS'!C100</f>
        <v>3.03</v>
      </c>
      <c r="D64" s="338">
        <f>'[1]FACTORS'!$C117</f>
        <v>1.99</v>
      </c>
      <c r="E64" s="339">
        <f>'[1]FACTORS'!$C134</f>
        <v>4</v>
      </c>
    </row>
    <row r="65" spans="1:5" s="147" customFormat="1" ht="11.25">
      <c r="A65" s="234">
        <f t="shared" si="2"/>
        <v>40</v>
      </c>
      <c r="B65" s="152" t="s">
        <v>161</v>
      </c>
      <c r="C65" s="338">
        <f>'[1]FACTORS'!C101</f>
        <v>0.62</v>
      </c>
      <c r="D65" s="338">
        <f>'[1]FACTORS'!$C118</f>
        <v>0.44</v>
      </c>
      <c r="E65" s="339">
        <f>'[1]FACTORS'!$C135</f>
        <v>2</v>
      </c>
    </row>
    <row r="66" spans="1:5" s="147" customFormat="1" ht="11.25">
      <c r="A66" s="234">
        <f t="shared" si="2"/>
        <v>41</v>
      </c>
      <c r="B66" s="152" t="s">
        <v>162</v>
      </c>
      <c r="C66" s="338">
        <f>'[1]FACTORS'!C102</f>
        <v>0.3</v>
      </c>
      <c r="D66" s="338">
        <f>'[1]FACTORS'!$C119</f>
        <v>0.14</v>
      </c>
      <c r="E66" s="339">
        <f>'[1]FACTORS'!$C136</f>
        <v>3.5</v>
      </c>
    </row>
    <row r="67" spans="1:5" s="147" customFormat="1" ht="11.25">
      <c r="A67" s="234">
        <f t="shared" si="2"/>
        <v>42</v>
      </c>
      <c r="B67" s="152" t="s">
        <v>163</v>
      </c>
      <c r="C67" s="338">
        <f>'[1]FACTORS'!C103</f>
        <v>57.58</v>
      </c>
      <c r="D67" s="338">
        <f>'[1]FACTORS'!$C120</f>
        <v>45.09</v>
      </c>
      <c r="E67" s="339">
        <f>'[1]FACTORS'!$C137</f>
        <v>0.5</v>
      </c>
    </row>
    <row r="68" spans="1:5" s="147" customFormat="1" ht="11.25">
      <c r="A68" s="238">
        <f t="shared" si="2"/>
        <v>43</v>
      </c>
      <c r="B68" s="233" t="s">
        <v>164</v>
      </c>
      <c r="C68" s="340">
        <f>'[1]FACTORS'!C104</f>
        <v>117.95</v>
      </c>
      <c r="D68" s="340">
        <f>'[1]FACTORS'!$C121</f>
        <v>87.02</v>
      </c>
      <c r="E68" s="341">
        <f>'[1]FACTORS'!$C138</f>
        <v>0.2334</v>
      </c>
    </row>
    <row r="71" spans="2:4" ht="11.25">
      <c r="B71" s="8"/>
      <c r="C71" s="12"/>
      <c r="D71" s="13"/>
    </row>
    <row r="72" spans="2:4" ht="11.25">
      <c r="B72" s="8"/>
      <c r="C72" s="12"/>
      <c r="D72" s="13"/>
    </row>
    <row r="73" spans="2:4" ht="11.25">
      <c r="B73" s="8"/>
      <c r="C73" s="12"/>
      <c r="D73" s="13"/>
    </row>
    <row r="74" spans="2:4" ht="11.25">
      <c r="B74" s="8"/>
      <c r="C74" s="12"/>
      <c r="D74" s="13"/>
    </row>
    <row r="75" spans="2:4" ht="11.25">
      <c r="B75" s="8"/>
      <c r="C75" s="12"/>
      <c r="D75" s="13"/>
    </row>
    <row r="76" spans="2:4" ht="11.25">
      <c r="B76" s="8"/>
      <c r="C76" s="12"/>
      <c r="D76" s="13"/>
    </row>
    <row r="77" spans="2:4" ht="11.25">
      <c r="B77" s="9"/>
      <c r="C77" s="12"/>
      <c r="D77" s="13"/>
    </row>
    <row r="78" spans="2:4" ht="11.25">
      <c r="B78" s="9"/>
      <c r="C78" s="12"/>
      <c r="D78" s="13"/>
    </row>
    <row r="79" spans="2:4" ht="11.25">
      <c r="B79" s="8"/>
      <c r="C79" s="12"/>
      <c r="D79" s="13"/>
    </row>
    <row r="80" spans="2:4" ht="11.25">
      <c r="B80" s="8"/>
      <c r="C80" s="12"/>
      <c r="D80" s="13"/>
    </row>
    <row r="81" spans="2:4" ht="11.25">
      <c r="B81" s="8"/>
      <c r="C81" s="12"/>
      <c r="D81" s="13"/>
    </row>
    <row r="82" spans="2:4" ht="11.25">
      <c r="B82" s="8"/>
      <c r="C82" s="12"/>
      <c r="D82" s="13"/>
    </row>
    <row r="83" spans="2:4" ht="11.25">
      <c r="B83" s="8"/>
      <c r="C83" s="12"/>
      <c r="D83" s="13"/>
    </row>
    <row r="84" spans="2:4" ht="11.25">
      <c r="B84" s="8"/>
      <c r="C84" s="12"/>
      <c r="D84" s="13"/>
    </row>
    <row r="85" spans="2:4" ht="11.25">
      <c r="B85" s="8"/>
      <c r="C85" s="12"/>
      <c r="D85" s="13"/>
    </row>
    <row r="86" spans="2:4" ht="11.25">
      <c r="B86" s="8"/>
      <c r="C86" s="12"/>
      <c r="D86" s="13"/>
    </row>
    <row r="87" spans="2:4" ht="11.25">
      <c r="B87" s="8"/>
      <c r="C87" s="12"/>
      <c r="D87" s="13"/>
    </row>
    <row r="88" spans="2:4" ht="11.25">
      <c r="B88" s="8"/>
      <c r="C88" s="12"/>
      <c r="D88" s="13"/>
    </row>
    <row r="89" spans="2:4" ht="11.25">
      <c r="B89" s="8"/>
      <c r="C89" s="12"/>
      <c r="D89" s="13"/>
    </row>
    <row r="90" spans="2:4" ht="11.25">
      <c r="B90" s="8"/>
      <c r="C90" s="12"/>
      <c r="D90" s="13"/>
    </row>
    <row r="91" spans="2:4" ht="11.25">
      <c r="B91" s="8"/>
      <c r="C91" s="12"/>
      <c r="D91" s="13"/>
    </row>
    <row r="92" spans="2:4" ht="11.25">
      <c r="B92" s="8"/>
      <c r="C92" s="12"/>
      <c r="D92" s="13"/>
    </row>
    <row r="93" spans="2:4" ht="11.25">
      <c r="B93" s="8"/>
      <c r="C93" s="12"/>
      <c r="D93" s="13"/>
    </row>
    <row r="94" spans="2:4" ht="11.25">
      <c r="B94" s="8"/>
      <c r="C94" s="12"/>
      <c r="D94" s="13"/>
    </row>
    <row r="95" spans="2:4" ht="11.25">
      <c r="B95" s="8"/>
      <c r="C95" s="12"/>
      <c r="D95" s="13"/>
    </row>
    <row r="96" spans="2:4" ht="11.25">
      <c r="B96" s="8"/>
      <c r="C96" s="12"/>
      <c r="D96" s="13"/>
    </row>
    <row r="97" spans="2:4" ht="11.25">
      <c r="B97" s="8"/>
      <c r="C97" s="12"/>
      <c r="D97" s="13"/>
    </row>
    <row r="98" spans="2:4" ht="11.25">
      <c r="B98" s="8"/>
      <c r="C98" s="12"/>
      <c r="D98" s="13"/>
    </row>
    <row r="99" spans="2:4" ht="11.25">
      <c r="B99" s="8"/>
      <c r="C99" s="12"/>
      <c r="D99" s="13"/>
    </row>
    <row r="100" spans="2:4" ht="11.25">
      <c r="B100" s="8"/>
      <c r="C100" s="12"/>
      <c r="D100" s="13"/>
    </row>
    <row r="101" spans="2:4" ht="11.25">
      <c r="B101" s="8"/>
      <c r="C101" s="12"/>
      <c r="D101" s="13"/>
    </row>
  </sheetData>
  <printOptions/>
  <pageMargins left="0.5" right="0.5" top="1" bottom="0.5" header="0.75" footer="0.25"/>
  <pageSetup fitToHeight="2" fitToWidth="1" horizontalDpi="300" verticalDpi="300" orientation="landscape" scale="98" r:id="rId1"/>
  <rowBreaks count="1" manualBreakCount="1">
    <brk id="32" max="65535" man="1"/>
  </rowBreaks>
</worksheet>
</file>

<file path=xl/worksheets/sheet4.xml><?xml version="1.0" encoding="utf-8"?>
<worksheet xmlns="http://schemas.openxmlformats.org/spreadsheetml/2006/main" xmlns:r="http://schemas.openxmlformats.org/officeDocument/2006/relationships">
  <dimension ref="A1:M78"/>
  <sheetViews>
    <sheetView workbookViewId="0" topLeftCell="A1">
      <selection activeCell="E31" sqref="E31"/>
    </sheetView>
  </sheetViews>
  <sheetFormatPr defaultColWidth="8.88671875" defaultRowHeight="15.75"/>
  <cols>
    <col min="1" max="1" width="4.21484375" style="7" customWidth="1"/>
    <col min="2" max="2" width="20.88671875" style="7" customWidth="1"/>
    <col min="3" max="3" width="8.3359375" style="14" customWidth="1"/>
    <col min="4" max="4" width="8.5546875" style="14" customWidth="1"/>
    <col min="5" max="5" width="8.4453125" style="14" customWidth="1"/>
    <col min="6" max="6" width="8.88671875" style="7" customWidth="1"/>
    <col min="7" max="9" width="7.5546875" style="7" customWidth="1"/>
    <col min="10" max="10" width="8.10546875" style="7" customWidth="1"/>
    <col min="11" max="11" width="7.5546875" style="7" customWidth="1"/>
    <col min="12" max="12" width="7.77734375" style="7" customWidth="1"/>
    <col min="13" max="13" width="8.21484375" style="7" customWidth="1"/>
    <col min="14" max="16384" width="8.88671875" style="7" customWidth="1"/>
  </cols>
  <sheetData>
    <row r="1" s="6" customFormat="1" ht="12.75" customHeight="1">
      <c r="A1" s="163" t="str">
        <f>Doc!A1</f>
        <v>Base Year 1998 - USPS Version</v>
      </c>
    </row>
    <row r="2" spans="1:2" s="6" customFormat="1" ht="12.75" customHeight="1">
      <c r="A2" s="163" t="str">
        <f>Doc!A2</f>
        <v>C/S 10 RURAL CARRIERS</v>
      </c>
      <c r="B2" s="165"/>
    </row>
    <row r="3" spans="1:2" s="6" customFormat="1" ht="12.75" customHeight="1">
      <c r="A3" s="166" t="str">
        <f>Doc!B9</f>
        <v>DISTRIBUTION KEY INPUTS</v>
      </c>
      <c r="B3" s="165"/>
    </row>
    <row r="4" spans="1:2" s="6" customFormat="1" ht="12.75" customHeight="1">
      <c r="A4" s="166"/>
      <c r="B4" s="165"/>
    </row>
    <row r="5" spans="1:13" s="10" customFormat="1" ht="33.75">
      <c r="A5" s="177" t="s">
        <v>37</v>
      </c>
      <c r="B5" s="197" t="s">
        <v>38</v>
      </c>
      <c r="C5" s="177" t="s">
        <v>165</v>
      </c>
      <c r="D5" s="177" t="s">
        <v>166</v>
      </c>
      <c r="E5" s="177" t="s">
        <v>167</v>
      </c>
      <c r="F5" s="177" t="s">
        <v>168</v>
      </c>
      <c r="G5" s="179" t="s">
        <v>169</v>
      </c>
      <c r="H5" s="179" t="s">
        <v>170</v>
      </c>
      <c r="I5" s="179" t="s">
        <v>171</v>
      </c>
      <c r="J5" s="182" t="s">
        <v>172</v>
      </c>
      <c r="K5" s="179" t="s">
        <v>173</v>
      </c>
      <c r="L5" s="179" t="s">
        <v>174</v>
      </c>
      <c r="M5" s="179" t="s">
        <v>175</v>
      </c>
    </row>
    <row r="6" spans="1:13" s="10" customFormat="1" ht="11.25">
      <c r="A6" s="63"/>
      <c r="B6" s="324" t="s">
        <v>43</v>
      </c>
      <c r="C6" s="23">
        <v>-1</v>
      </c>
      <c r="D6" s="23">
        <f aca="true" t="shared" si="0" ref="D6:M6">C6-1</f>
        <v>-2</v>
      </c>
      <c r="E6" s="23">
        <f t="shared" si="0"/>
        <v>-3</v>
      </c>
      <c r="F6" s="23">
        <f t="shared" si="0"/>
        <v>-4</v>
      </c>
      <c r="G6" s="23">
        <f t="shared" si="0"/>
        <v>-5</v>
      </c>
      <c r="H6" s="23">
        <f t="shared" si="0"/>
        <v>-6</v>
      </c>
      <c r="I6" s="23">
        <f t="shared" si="0"/>
        <v>-7</v>
      </c>
      <c r="J6" s="23">
        <f t="shared" si="0"/>
        <v>-8</v>
      </c>
      <c r="K6" s="23">
        <f t="shared" si="0"/>
        <v>-9</v>
      </c>
      <c r="L6" s="23">
        <f t="shared" si="0"/>
        <v>-10</v>
      </c>
      <c r="M6" s="23">
        <f t="shared" si="0"/>
        <v>-11</v>
      </c>
    </row>
    <row r="7" spans="1:13" s="10" customFormat="1" ht="22.5">
      <c r="A7" s="63"/>
      <c r="B7" s="316" t="s">
        <v>44</v>
      </c>
      <c r="C7" s="46" t="s">
        <v>126</v>
      </c>
      <c r="D7" s="46" t="s">
        <v>126</v>
      </c>
      <c r="E7" s="46" t="s">
        <v>126</v>
      </c>
      <c r="F7" s="46" t="s">
        <v>126</v>
      </c>
      <c r="G7" s="46" t="s">
        <v>126</v>
      </c>
      <c r="H7" s="46" t="s">
        <v>126</v>
      </c>
      <c r="I7" s="46" t="s">
        <v>126</v>
      </c>
      <c r="J7" s="46" t="s">
        <v>126</v>
      </c>
      <c r="K7" s="46" t="s">
        <v>126</v>
      </c>
      <c r="L7" s="46" t="s">
        <v>126</v>
      </c>
      <c r="M7" s="46" t="s">
        <v>126</v>
      </c>
    </row>
    <row r="8" spans="1:13" s="10" customFormat="1" ht="22.5">
      <c r="A8" s="63"/>
      <c r="B8" s="316" t="s">
        <v>108</v>
      </c>
      <c r="C8" s="75" t="s">
        <v>109</v>
      </c>
      <c r="D8" s="75" t="s">
        <v>109</v>
      </c>
      <c r="E8" s="75" t="s">
        <v>109</v>
      </c>
      <c r="F8" s="75" t="s">
        <v>109</v>
      </c>
      <c r="G8" s="75" t="s">
        <v>109</v>
      </c>
      <c r="H8" s="75" t="s">
        <v>109</v>
      </c>
      <c r="I8" s="75" t="s">
        <v>109</v>
      </c>
      <c r="J8" s="75" t="s">
        <v>109</v>
      </c>
      <c r="K8" s="75" t="s">
        <v>109</v>
      </c>
      <c r="L8" s="75" t="s">
        <v>109</v>
      </c>
      <c r="M8" s="75" t="s">
        <v>109</v>
      </c>
    </row>
    <row r="9" spans="1:12" s="10" customFormat="1" ht="11.25" customHeight="1">
      <c r="A9" s="64"/>
      <c r="B9" s="65" t="s">
        <v>110</v>
      </c>
      <c r="C9" s="66" t="s">
        <v>176</v>
      </c>
      <c r="D9" s="111" t="s">
        <v>177</v>
      </c>
      <c r="E9" s="111" t="s">
        <v>177</v>
      </c>
      <c r="F9" s="111" t="s">
        <v>177</v>
      </c>
      <c r="G9" s="111" t="s">
        <v>177</v>
      </c>
      <c r="H9" s="111" t="s">
        <v>177</v>
      </c>
      <c r="I9" s="111" t="s">
        <v>177</v>
      </c>
      <c r="J9" s="111" t="s">
        <v>177</v>
      </c>
      <c r="K9" s="111" t="s">
        <v>177</v>
      </c>
      <c r="L9" s="111" t="s">
        <v>177</v>
      </c>
    </row>
    <row r="10" spans="1:12" ht="11.25">
      <c r="A10" s="79">
        <v>1</v>
      </c>
      <c r="B10" s="87" t="s">
        <v>48</v>
      </c>
      <c r="C10" s="257"/>
      <c r="D10" s="257"/>
      <c r="E10" s="257"/>
      <c r="F10" s="257"/>
      <c r="G10" s="257"/>
      <c r="H10" s="257"/>
      <c r="I10" s="257"/>
      <c r="J10" s="257"/>
      <c r="K10" s="257"/>
      <c r="L10" s="257"/>
    </row>
    <row r="11" spans="1:12" ht="11.25">
      <c r="A11" s="79">
        <f aca="true" t="shared" si="1" ref="A11:A42">A10+1</f>
        <v>2</v>
      </c>
      <c r="B11" s="33" t="s">
        <v>49</v>
      </c>
      <c r="C11" s="256">
        <f>'[1]RPW'!$D$12</f>
        <v>54273023.951</v>
      </c>
      <c r="D11" s="257">
        <f>'[1]CS10 RCS'!$D$13</f>
        <v>6613969</v>
      </c>
      <c r="E11" s="257">
        <f>'[1]CS10 RCS'!$E$13</f>
        <v>765366</v>
      </c>
      <c r="F11" s="257">
        <f>'[1]CS10 RCS'!$H$13</f>
        <v>66827</v>
      </c>
      <c r="G11" s="257">
        <f>'[1]CS10 RCS'!$F$13</f>
        <v>14006</v>
      </c>
      <c r="H11" s="257">
        <f>'[1]CS10 RCS'!$J$13</f>
        <v>0</v>
      </c>
      <c r="I11" s="257">
        <f>'[1]CS10 RCS'!$I$13</f>
        <v>3223</v>
      </c>
      <c r="J11" s="257">
        <f>'[1]CS10 RCS'!$M$13</f>
        <v>3196276</v>
      </c>
      <c r="K11" s="257">
        <f>'[1]CS10 RCS'!$N$13</f>
        <v>9758</v>
      </c>
      <c r="L11" s="257">
        <f>'[1]CS10 RCS'!$O$13</f>
        <v>0</v>
      </c>
    </row>
    <row r="12" spans="1:12" ht="11.25">
      <c r="A12" s="79">
        <f t="shared" si="1"/>
        <v>3</v>
      </c>
      <c r="B12" s="33" t="s">
        <v>50</v>
      </c>
      <c r="C12" s="256">
        <f>'[1]RPW'!$D$13+'[1]RPW'!$D$14</f>
        <v>40634252.478</v>
      </c>
      <c r="D12" s="257">
        <f>'[1]CS10 RCS'!$D$14</f>
        <v>8546319</v>
      </c>
      <c r="E12" s="257">
        <f>'[1]CS10 RCS'!$E$14</f>
        <v>374354</v>
      </c>
      <c r="F12" s="257">
        <f>'[1]CS10 RCS'!$H14</f>
        <v>2406</v>
      </c>
      <c r="G12" s="257">
        <f>'[1]CS10 RCS'!$F$14</f>
        <v>10674</v>
      </c>
      <c r="H12" s="257">
        <f>'[1]CS10 RCS'!$J14</f>
        <v>0</v>
      </c>
      <c r="I12" s="257">
        <f>'[1]CS10 RCS'!$I14</f>
        <v>168</v>
      </c>
      <c r="J12" s="257">
        <f>'[1]CS10 RCS'!$M$14</f>
        <v>0</v>
      </c>
      <c r="K12" s="257">
        <f>'[1]CS10 RCS'!$N14</f>
        <v>0</v>
      </c>
      <c r="L12" s="257">
        <f>'[1]CS10 RCS'!$O14</f>
        <v>0</v>
      </c>
    </row>
    <row r="13" spans="1:12" ht="11.25">
      <c r="A13" s="79">
        <f t="shared" si="1"/>
        <v>4</v>
      </c>
      <c r="B13" s="88" t="s">
        <v>51</v>
      </c>
      <c r="C13" s="256">
        <f aca="true" t="shared" si="2" ref="C13:L13">SUM(C11:C12)</f>
        <v>94907276.42899999</v>
      </c>
      <c r="D13" s="258">
        <f t="shared" si="2"/>
        <v>15160288</v>
      </c>
      <c r="E13" s="258">
        <f t="shared" si="2"/>
        <v>1139720</v>
      </c>
      <c r="F13" s="258">
        <f t="shared" si="2"/>
        <v>69233</v>
      </c>
      <c r="G13" s="258">
        <f t="shared" si="2"/>
        <v>24680</v>
      </c>
      <c r="H13" s="258">
        <f t="shared" si="2"/>
        <v>0</v>
      </c>
      <c r="I13" s="258">
        <f t="shared" si="2"/>
        <v>3391</v>
      </c>
      <c r="J13" s="258">
        <f t="shared" si="2"/>
        <v>3196276</v>
      </c>
      <c r="K13" s="258">
        <f t="shared" si="2"/>
        <v>9758</v>
      </c>
      <c r="L13" s="258">
        <f t="shared" si="2"/>
        <v>0</v>
      </c>
    </row>
    <row r="14" spans="1:12" ht="11.25">
      <c r="A14" s="79">
        <f t="shared" si="1"/>
        <v>5</v>
      </c>
      <c r="B14" s="88" t="s">
        <v>52</v>
      </c>
      <c r="C14" s="256">
        <f>'[1]RPW'!$D$15</f>
        <v>2971750.714</v>
      </c>
      <c r="D14" s="257">
        <f>'[1]CS10 RCS'!$D15</f>
        <v>621441</v>
      </c>
      <c r="E14" s="257">
        <f>'[1]CS10 RCS'!$E15</f>
        <v>0</v>
      </c>
      <c r="F14" s="257">
        <f>'[1]CS10 RCS'!$H15</f>
        <v>0</v>
      </c>
      <c r="G14" s="257">
        <f>'[1]CS10 RCS'!$F15</f>
        <v>5437</v>
      </c>
      <c r="H14" s="257">
        <f>'[1]CS10 RCS'!$J15</f>
        <v>0</v>
      </c>
      <c r="I14" s="257">
        <f>'[1]CS10 RCS'!$I15</f>
        <v>51</v>
      </c>
      <c r="J14" s="257">
        <f>'[1]CS10 RCS'!$M15</f>
        <v>109296</v>
      </c>
      <c r="K14" s="257">
        <f>'[1]CS10 RCS'!$N15</f>
        <v>0</v>
      </c>
      <c r="L14" s="257">
        <f>'[1]CS10 RCS'!$O15</f>
        <v>0</v>
      </c>
    </row>
    <row r="15" spans="1:12" ht="11.25">
      <c r="A15" s="79">
        <f t="shared" si="1"/>
        <v>6</v>
      </c>
      <c r="B15" s="88" t="s">
        <v>53</v>
      </c>
      <c r="C15" s="256">
        <f>'[1]RPW'!$D$16+'[1]RPW'!$D$17</f>
        <v>2555123.716</v>
      </c>
      <c r="D15" s="257">
        <f>'[1]CS10 RCS'!$D16</f>
        <v>512517</v>
      </c>
      <c r="E15" s="257">
        <f>'[1]CS10 RCS'!$E16</f>
        <v>0</v>
      </c>
      <c r="F15" s="257">
        <f>'[1]CS10 RCS'!$H16</f>
        <v>0</v>
      </c>
      <c r="G15" s="257">
        <f>'[1]CS10 RCS'!$F16</f>
        <v>0</v>
      </c>
      <c r="H15" s="257">
        <f>'[1]CS10 RCS'!$J16</f>
        <v>0</v>
      </c>
      <c r="I15" s="257">
        <f>'[1]CS10 RCS'!$I16</f>
        <v>3</v>
      </c>
      <c r="J15" s="257">
        <f>'[1]CS10 RCS'!$M16</f>
        <v>0</v>
      </c>
      <c r="K15" s="257">
        <f>'[1]CS10 RCS'!$N16</f>
        <v>0</v>
      </c>
      <c r="L15" s="257">
        <f>'[1]CS10 RCS'!$O16</f>
        <v>0</v>
      </c>
    </row>
    <row r="16" spans="1:12" ht="11.25">
      <c r="A16" s="79">
        <f t="shared" si="1"/>
        <v>7</v>
      </c>
      <c r="B16" s="88" t="s">
        <v>54</v>
      </c>
      <c r="C16" s="256">
        <f aca="true" t="shared" si="3" ref="C16:L16">SUM(C14:C15)</f>
        <v>5526874.43</v>
      </c>
      <c r="D16" s="258">
        <f t="shared" si="3"/>
        <v>1133958</v>
      </c>
      <c r="E16" s="258">
        <f t="shared" si="3"/>
        <v>0</v>
      </c>
      <c r="F16" s="258">
        <f t="shared" si="3"/>
        <v>0</v>
      </c>
      <c r="G16" s="258">
        <f t="shared" si="3"/>
        <v>5437</v>
      </c>
      <c r="H16" s="258">
        <f t="shared" si="3"/>
        <v>0</v>
      </c>
      <c r="I16" s="258">
        <f t="shared" si="3"/>
        <v>54</v>
      </c>
      <c r="J16" s="258">
        <f t="shared" si="3"/>
        <v>109296</v>
      </c>
      <c r="K16" s="258">
        <f t="shared" si="3"/>
        <v>0</v>
      </c>
      <c r="L16" s="258">
        <f t="shared" si="3"/>
        <v>0</v>
      </c>
    </row>
    <row r="17" spans="1:12" ht="11.25">
      <c r="A17" s="80">
        <f t="shared" si="1"/>
        <v>8</v>
      </c>
      <c r="B17" s="89" t="s">
        <v>55</v>
      </c>
      <c r="C17" s="259">
        <f>'[1]RPW'!$D$19</f>
        <v>100434150.859</v>
      </c>
      <c r="D17" s="260">
        <f>D13+D16</f>
        <v>16294246</v>
      </c>
      <c r="E17" s="260">
        <f>E13+E16</f>
        <v>1139720</v>
      </c>
      <c r="F17" s="260">
        <f>F13+F16</f>
        <v>69233</v>
      </c>
      <c r="G17" s="260">
        <f>G13+G16</f>
        <v>30117</v>
      </c>
      <c r="H17" s="260">
        <f>'[1]CS10 RCS'!$J$17</f>
        <v>0</v>
      </c>
      <c r="I17" s="260">
        <f>I13+I16</f>
        <v>3445</v>
      </c>
      <c r="J17" s="260">
        <f>J13+J16</f>
        <v>3305572</v>
      </c>
      <c r="K17" s="260">
        <f>K13+K16</f>
        <v>9758</v>
      </c>
      <c r="L17" s="260">
        <f>L13+L16</f>
        <v>0</v>
      </c>
    </row>
    <row r="18" spans="1:12" ht="11.25">
      <c r="A18" s="79">
        <f t="shared" si="1"/>
        <v>9</v>
      </c>
      <c r="B18" s="90" t="s">
        <v>56</v>
      </c>
      <c r="C18" s="256">
        <f>'[1]RPW'!$D$22</f>
        <v>1174425.327</v>
      </c>
      <c r="D18" s="257">
        <f>'[1]CS10 RCS'!$D$18</f>
        <v>12170</v>
      </c>
      <c r="E18" s="257">
        <f>'[1]CS10 RCS'!$E$18</f>
        <v>99083</v>
      </c>
      <c r="F18" s="257">
        <f>'[1]CS10 RCS'!$H$18</f>
        <v>108353</v>
      </c>
      <c r="G18" s="257">
        <f>'[1]CS10 RCS'!$F$18</f>
        <v>244</v>
      </c>
      <c r="H18" s="257">
        <f>'[1]CS10 RCS'!$J$18</f>
        <v>0</v>
      </c>
      <c r="I18" s="257">
        <f>'[1]CS10 RCS'!$I$18</f>
        <v>842</v>
      </c>
      <c r="J18" s="257">
        <f>'[1]CS10 RCS'!$M$18</f>
        <v>8283</v>
      </c>
      <c r="K18" s="257">
        <f>'[1]CS10 RCS'!$N$18</f>
        <v>2162</v>
      </c>
      <c r="L18" s="257">
        <f>'[1]CS10 RCS'!$O$18</f>
        <v>0</v>
      </c>
    </row>
    <row r="19" spans="1:12" ht="11.25">
      <c r="A19" s="79">
        <f t="shared" si="1"/>
        <v>10</v>
      </c>
      <c r="B19" s="90" t="s">
        <v>57</v>
      </c>
      <c r="C19" s="256">
        <f>'[1]RPW'!$D$23</f>
        <v>66244.039</v>
      </c>
      <c r="D19" s="257">
        <f>'[1]CS10 RCS'!$D$19</f>
        <v>0</v>
      </c>
      <c r="E19" s="257">
        <f>'[1]CS10 RCS'!$E$19</f>
        <v>0</v>
      </c>
      <c r="F19" s="257">
        <f>'[1]CS10 RCS'!$H$19</f>
        <v>0</v>
      </c>
      <c r="G19" s="257">
        <f>'[1]CS10 RCS'!$F$19</f>
        <v>0</v>
      </c>
      <c r="H19" s="257">
        <f>'[1]CS10 RCS'!$J$19</f>
        <v>2598</v>
      </c>
      <c r="I19" s="257">
        <f>'[1]CS10 RCS'!$I$19</f>
        <v>0</v>
      </c>
      <c r="J19" s="257">
        <f>'[1]CS10 RCS'!$M$19</f>
        <v>0</v>
      </c>
      <c r="K19" s="257">
        <f>'[1]CS10 RCS'!$N$19</f>
        <v>0</v>
      </c>
      <c r="L19" s="257">
        <f>'[1]CS10 RCS'!$O$19</f>
        <v>232</v>
      </c>
    </row>
    <row r="20" spans="1:12" ht="11.25">
      <c r="A20" s="80">
        <f t="shared" si="1"/>
        <v>11</v>
      </c>
      <c r="B20" s="89" t="s">
        <v>58</v>
      </c>
      <c r="C20" s="261">
        <f>'[1]RPW'!$D$24</f>
        <v>4301.905</v>
      </c>
      <c r="D20" s="260">
        <f>'[1]CS10 RCS'!$D$20</f>
        <v>5113</v>
      </c>
      <c r="E20" s="260">
        <f>'[1]CS10 RCS'!$E$20</f>
        <v>0</v>
      </c>
      <c r="F20" s="260">
        <f>'[1]CS10 RCS'!$H$20</f>
        <v>0</v>
      </c>
      <c r="G20" s="260">
        <f>'[1]CS10 RCS'!$F$20</f>
        <v>0</v>
      </c>
      <c r="H20" s="260">
        <f>'[1]CS10 RCS'!$J$20</f>
        <v>0</v>
      </c>
      <c r="I20" s="260">
        <f>'[1]CS10 RCS'!$I$20</f>
        <v>0</v>
      </c>
      <c r="J20" s="260">
        <f>'[1]CS10 RCS'!$M$20</f>
        <v>0</v>
      </c>
      <c r="K20" s="260">
        <f>'[1]CS10 RCS'!$N$20</f>
        <v>0</v>
      </c>
      <c r="L20" s="260">
        <f>'[1]CS10 RCS'!$O$20</f>
        <v>0</v>
      </c>
    </row>
    <row r="21" spans="1:12" ht="11.25">
      <c r="A21" s="79">
        <f t="shared" si="1"/>
        <v>12</v>
      </c>
      <c r="B21" s="90" t="s">
        <v>59</v>
      </c>
      <c r="C21" s="256"/>
      <c r="D21" s="257"/>
      <c r="E21" s="257"/>
      <c r="F21" s="257"/>
      <c r="G21" s="257"/>
      <c r="H21" s="257"/>
      <c r="I21" s="257"/>
      <c r="J21" s="257"/>
      <c r="K21" s="257"/>
      <c r="L21" s="257"/>
    </row>
    <row r="22" spans="1:12" ht="11.25">
      <c r="A22" s="79">
        <f t="shared" si="1"/>
        <v>13</v>
      </c>
      <c r="B22" s="88" t="s">
        <v>60</v>
      </c>
      <c r="C22" s="256">
        <f>'[1]RPW'!$D$26</f>
        <v>923864.874</v>
      </c>
      <c r="D22" s="257">
        <f aca="true" t="shared" si="4" ref="D22:L22">D27</f>
        <v>190275</v>
      </c>
      <c r="E22" s="257">
        <f t="shared" si="4"/>
        <v>2567287</v>
      </c>
      <c r="F22" s="257">
        <f t="shared" si="4"/>
        <v>10062</v>
      </c>
      <c r="G22" s="257">
        <f t="shared" si="4"/>
        <v>29304</v>
      </c>
      <c r="H22" s="257">
        <f t="shared" si="4"/>
        <v>0</v>
      </c>
      <c r="I22" s="257">
        <f t="shared" si="4"/>
        <v>153</v>
      </c>
      <c r="J22" s="257">
        <f t="shared" si="4"/>
        <v>0</v>
      </c>
      <c r="K22" s="257">
        <f t="shared" si="4"/>
        <v>0</v>
      </c>
      <c r="L22" s="257">
        <f t="shared" si="4"/>
        <v>0</v>
      </c>
    </row>
    <row r="23" spans="1:12" ht="11.25">
      <c r="A23" s="79">
        <f t="shared" si="1"/>
        <v>14</v>
      </c>
      <c r="B23" s="88" t="s">
        <v>61</v>
      </c>
      <c r="C23" s="256"/>
      <c r="D23" s="257"/>
      <c r="E23" s="257"/>
      <c r="F23" s="257"/>
      <c r="G23" s="257"/>
      <c r="H23" s="257"/>
      <c r="I23" s="257"/>
      <c r="J23" s="257"/>
      <c r="K23" s="257"/>
      <c r="L23" s="257"/>
    </row>
    <row r="24" spans="1:12" ht="11.25">
      <c r="A24" s="79">
        <f t="shared" si="1"/>
        <v>15</v>
      </c>
      <c r="B24" s="88" t="s">
        <v>62</v>
      </c>
      <c r="C24" s="256">
        <f>'[1]RPW'!$D$28</f>
        <v>7195165.978</v>
      </c>
      <c r="D24" s="257"/>
      <c r="E24" s="257"/>
      <c r="F24" s="257"/>
      <c r="G24" s="257"/>
      <c r="H24" s="257"/>
      <c r="I24" s="257"/>
      <c r="J24" s="257"/>
      <c r="K24" s="257"/>
      <c r="L24" s="257"/>
    </row>
    <row r="25" spans="1:12" ht="11.25">
      <c r="A25" s="79">
        <f t="shared" si="1"/>
        <v>16</v>
      </c>
      <c r="B25" s="88" t="s">
        <v>63</v>
      </c>
      <c r="C25" s="256">
        <f>'[1]RPW'!$D$29</f>
        <v>2136927.217</v>
      </c>
      <c r="D25" s="257"/>
      <c r="E25" s="257"/>
      <c r="F25" s="257"/>
      <c r="G25" s="257"/>
      <c r="H25" s="257"/>
      <c r="I25" s="257"/>
      <c r="J25" s="257"/>
      <c r="K25" s="257"/>
      <c r="L25" s="257"/>
    </row>
    <row r="26" spans="1:12" ht="11.25">
      <c r="A26" s="79">
        <f t="shared" si="1"/>
        <v>17</v>
      </c>
      <c r="B26" s="88" t="s">
        <v>64</v>
      </c>
      <c r="C26" s="256">
        <f>'[1]RPW'!$D$30</f>
        <v>60793.141</v>
      </c>
      <c r="D26" s="257"/>
      <c r="E26" s="257"/>
      <c r="F26" s="257"/>
      <c r="G26" s="257"/>
      <c r="H26" s="257"/>
      <c r="I26" s="257"/>
      <c r="J26" s="257"/>
      <c r="K26" s="257"/>
      <c r="L26" s="257"/>
    </row>
    <row r="27" spans="1:12" ht="11.25">
      <c r="A27" s="80">
        <f t="shared" si="1"/>
        <v>18</v>
      </c>
      <c r="B27" s="89" t="s">
        <v>65</v>
      </c>
      <c r="C27" s="259">
        <f>'[1]RPW'!$D$31</f>
        <v>10316751.21</v>
      </c>
      <c r="D27" s="260">
        <f>'[1]CS10 RCS'!$D$27</f>
        <v>190275</v>
      </c>
      <c r="E27" s="260">
        <f>'[1]CS10 RCS'!$E$27</f>
        <v>2567287</v>
      </c>
      <c r="F27" s="260">
        <f>'[1]CS10 RCS'!$H$27</f>
        <v>10062</v>
      </c>
      <c r="G27" s="260">
        <f>'[1]CS10 RCS'!$F$27</f>
        <v>29304</v>
      </c>
      <c r="H27" s="260">
        <f>'[1]CS10 RCS'!$J$27</f>
        <v>0</v>
      </c>
      <c r="I27" s="260">
        <f>'[1]CS10 RCS'!$I$27</f>
        <v>153</v>
      </c>
      <c r="J27" s="260">
        <f>'[1]CS10 RCS'!$M$27</f>
        <v>0</v>
      </c>
      <c r="K27" s="260">
        <f>'[1]CS10 RCS'!$N$27</f>
        <v>0</v>
      </c>
      <c r="L27" s="260">
        <f>'[1]CS10 RCS'!$O$27</f>
        <v>0</v>
      </c>
    </row>
    <row r="28" spans="1:12" ht="11.25">
      <c r="A28" s="79">
        <f t="shared" si="1"/>
        <v>19</v>
      </c>
      <c r="B28" s="90" t="s">
        <v>66</v>
      </c>
      <c r="C28" s="256"/>
      <c r="D28" s="257"/>
      <c r="E28" s="257"/>
      <c r="F28" s="257"/>
      <c r="G28" s="257"/>
      <c r="H28" s="257"/>
      <c r="I28" s="257"/>
      <c r="J28" s="257"/>
      <c r="K28" s="257"/>
      <c r="L28" s="257"/>
    </row>
    <row r="29" spans="1:12" ht="11.25">
      <c r="A29" s="79">
        <f t="shared" si="1"/>
        <v>20</v>
      </c>
      <c r="B29" s="88" t="s">
        <v>67</v>
      </c>
      <c r="C29" s="256">
        <f>'[1]RPW'!$D$36</f>
        <v>150276.222</v>
      </c>
      <c r="D29" s="257">
        <f>'[1]CS10 RCS'!$D$29</f>
        <v>4213</v>
      </c>
      <c r="E29" s="257">
        <f>'[1]CS10 RCS'!$E$29</f>
        <v>5882</v>
      </c>
      <c r="F29" s="257">
        <f>'[1]CS10 RCS'!$H$29</f>
        <v>2480</v>
      </c>
      <c r="G29" s="257">
        <f>'[1]CS10 RCS'!$F$29</f>
        <v>0</v>
      </c>
      <c r="H29" s="257">
        <f>'[1]CS10 RCS'!$J$29</f>
        <v>0</v>
      </c>
      <c r="I29" s="257">
        <f>'[1]CS10 RCS'!$I$29</f>
        <v>27</v>
      </c>
      <c r="J29" s="257">
        <f>'[1]CS10 RCS'!$M$29</f>
        <v>1035</v>
      </c>
      <c r="K29" s="257">
        <f>'[1]CS10 RCS'!$N$29</f>
        <v>212</v>
      </c>
      <c r="L29" s="257">
        <f>'[1]CS10 RCS'!$O$29</f>
        <v>0</v>
      </c>
    </row>
    <row r="30" spans="1:12" ht="11.25">
      <c r="A30" s="79">
        <f t="shared" si="1"/>
        <v>21</v>
      </c>
      <c r="B30" s="88" t="s">
        <v>68</v>
      </c>
      <c r="C30" s="256"/>
      <c r="D30" s="257"/>
      <c r="E30" s="257"/>
      <c r="F30" s="257"/>
      <c r="G30" s="257"/>
      <c r="H30" s="257"/>
      <c r="I30" s="257"/>
      <c r="J30" s="257"/>
      <c r="K30" s="257"/>
      <c r="L30" s="257"/>
    </row>
    <row r="31" spans="1:12" ht="11.25">
      <c r="A31" s="79">
        <f t="shared" si="1"/>
        <v>22</v>
      </c>
      <c r="B31" s="88" t="s">
        <v>69</v>
      </c>
      <c r="C31" s="262">
        <f>'[1]RPW'!$D$38</f>
        <v>34059126.707</v>
      </c>
      <c r="D31" s="257">
        <f>'[1]CS10 RCS'!$D$31</f>
        <v>1935951</v>
      </c>
      <c r="E31" s="257">
        <f>'[1]CS10 RCS'!$E$31</f>
        <v>3365060</v>
      </c>
      <c r="F31" s="257">
        <f>'[1]CS10 RCS'!$H$31</f>
        <v>0</v>
      </c>
      <c r="G31" s="257">
        <f>'[1]CS10 RCS'!$F$31</f>
        <v>1823326</v>
      </c>
      <c r="H31" s="257">
        <f>'[1]CS10 RCS'!$J$31</f>
        <v>0</v>
      </c>
      <c r="I31" s="257">
        <f>'[1]CS10 RCS'!$I$31</f>
        <v>0</v>
      </c>
      <c r="J31" s="257">
        <f>'[1]CS10 RCS'!$M$31</f>
        <v>0</v>
      </c>
      <c r="K31" s="257">
        <f>'[1]CS10 RCS'!$N$31</f>
        <v>0</v>
      </c>
      <c r="L31" s="257">
        <f>'[1]CS10 RCS'!$O$31</f>
        <v>0</v>
      </c>
    </row>
    <row r="32" spans="1:12" ht="11.25">
      <c r="A32" s="79">
        <f t="shared" si="1"/>
        <v>23</v>
      </c>
      <c r="B32" s="88" t="s">
        <v>70</v>
      </c>
      <c r="C32" s="256">
        <f>'[1]RPW'!$D$37</f>
        <v>35087014.263</v>
      </c>
      <c r="D32" s="257">
        <f>'[1]CS10 RCS'!$D$32</f>
        <v>4109229</v>
      </c>
      <c r="E32" s="257">
        <f>'[1]CS10 RCS'!$E$32</f>
        <v>3542673</v>
      </c>
      <c r="F32" s="257">
        <f>'[1]CS10 RCS'!$H$32</f>
        <v>167513</v>
      </c>
      <c r="G32" s="257">
        <f>'[1]CS10 RCS'!$F$32</f>
        <v>212473</v>
      </c>
      <c r="H32" s="257">
        <f>'[1]CS10 RCS'!$J$32</f>
        <v>0</v>
      </c>
      <c r="I32" s="257">
        <f>'[1]CS10 RCS'!$I$32</f>
        <v>516</v>
      </c>
      <c r="J32" s="257">
        <f>'[1]CS10 RCS'!$M$32</f>
        <v>0</v>
      </c>
      <c r="K32" s="257">
        <f>'[1]CS10 RCS'!$N$32</f>
        <v>0</v>
      </c>
      <c r="L32" s="257">
        <f>'[1]CS10 RCS'!$O$32</f>
        <v>0</v>
      </c>
    </row>
    <row r="33" spans="1:12" ht="11.25">
      <c r="A33" s="79">
        <f t="shared" si="1"/>
        <v>24</v>
      </c>
      <c r="B33" s="88" t="s">
        <v>71</v>
      </c>
      <c r="C33" s="256">
        <f>'[1]RPW'!$D$40</f>
        <v>69146140.97</v>
      </c>
      <c r="D33" s="257">
        <f aca="true" t="shared" si="5" ref="D33:L33">D31+D32</f>
        <v>6045180</v>
      </c>
      <c r="E33" s="257">
        <f t="shared" si="5"/>
        <v>6907733</v>
      </c>
      <c r="F33" s="257">
        <f t="shared" si="5"/>
        <v>167513</v>
      </c>
      <c r="G33" s="257">
        <f t="shared" si="5"/>
        <v>2035799</v>
      </c>
      <c r="H33" s="257">
        <f t="shared" si="5"/>
        <v>0</v>
      </c>
      <c r="I33" s="257">
        <f t="shared" si="5"/>
        <v>516</v>
      </c>
      <c r="J33" s="257">
        <f t="shared" si="5"/>
        <v>0</v>
      </c>
      <c r="K33" s="257">
        <f t="shared" si="5"/>
        <v>0</v>
      </c>
      <c r="L33" s="257">
        <f t="shared" si="5"/>
        <v>0</v>
      </c>
    </row>
    <row r="34" spans="1:12" ht="11.25">
      <c r="A34" s="79">
        <f t="shared" si="1"/>
        <v>25</v>
      </c>
      <c r="B34" s="88" t="s">
        <v>72</v>
      </c>
      <c r="C34" s="256"/>
      <c r="D34" s="257"/>
      <c r="E34" s="257"/>
      <c r="F34" s="257"/>
      <c r="G34" s="257"/>
      <c r="H34" s="257"/>
      <c r="I34" s="257"/>
      <c r="J34" s="257"/>
      <c r="K34" s="257"/>
      <c r="L34" s="257"/>
    </row>
    <row r="35" spans="1:12" ht="11.25">
      <c r="A35" s="79">
        <f t="shared" si="1"/>
        <v>26</v>
      </c>
      <c r="B35" s="88" t="s">
        <v>73</v>
      </c>
      <c r="C35" s="262">
        <f>'[1]RPW'!$D$42</f>
        <v>2647088.276</v>
      </c>
      <c r="D35" s="257">
        <f>'[1]CS10 RCS'!$D$35</f>
        <v>143508</v>
      </c>
      <c r="E35" s="257">
        <f>'[1]CS10 RCS'!$E$35</f>
        <v>114632</v>
      </c>
      <c r="F35" s="257">
        <f>'[1]CS10 RCS'!$H$35</f>
        <v>0</v>
      </c>
      <c r="G35" s="257">
        <f>'[1]CS10 RCS'!$F$35</f>
        <v>70930</v>
      </c>
      <c r="H35" s="257">
        <f>'[1]CS10 RCS'!$J$35</f>
        <v>0</v>
      </c>
      <c r="I35" s="257">
        <f>'[1]CS10 RCS'!$I$35</f>
        <v>0</v>
      </c>
      <c r="J35" s="257">
        <f>'[1]CS10 RCS'!$M$35</f>
        <v>0</v>
      </c>
      <c r="K35" s="257">
        <f>'[1]CS10 RCS'!$N$35</f>
        <v>0</v>
      </c>
      <c r="L35" s="257">
        <f>'[1]CS10 RCS'!$O$35</f>
        <v>0</v>
      </c>
    </row>
    <row r="36" spans="1:12" ht="11.25">
      <c r="A36" s="79">
        <f t="shared" si="1"/>
        <v>27</v>
      </c>
      <c r="B36" s="88" t="s">
        <v>74</v>
      </c>
      <c r="C36" s="256">
        <f>'[1]RPW'!$D$41</f>
        <v>10564635.808</v>
      </c>
      <c r="D36" s="257">
        <f>'[1]CS10 RCS'!$D$36</f>
        <v>1472216</v>
      </c>
      <c r="E36" s="257">
        <f>'[1]CS10 RCS'!$E$36</f>
        <v>496583</v>
      </c>
      <c r="F36" s="257">
        <f>'[1]CS10 RCS'!$H$36</f>
        <v>9420</v>
      </c>
      <c r="G36" s="257">
        <f>'[1]CS10 RCS'!$F$36</f>
        <v>27012</v>
      </c>
      <c r="H36" s="257">
        <f>'[1]CS10 RCS'!$J$36</f>
        <v>0</v>
      </c>
      <c r="I36" s="257">
        <f>'[1]CS10 RCS'!$I$36</f>
        <v>48</v>
      </c>
      <c r="J36" s="257">
        <f>'[1]CS10 RCS'!$M$36</f>
        <v>0</v>
      </c>
      <c r="K36" s="257">
        <f>'[1]CS10 RCS'!$N$36</f>
        <v>0</v>
      </c>
      <c r="L36" s="257">
        <f>'[1]CS10 RCS'!$O$36</f>
        <v>0</v>
      </c>
    </row>
    <row r="37" spans="1:12" ht="11.25">
      <c r="A37" s="79">
        <f t="shared" si="1"/>
        <v>28</v>
      </c>
      <c r="B37" s="88" t="s">
        <v>75</v>
      </c>
      <c r="C37" s="256">
        <f>'[1]RPW'!$D$44</f>
        <v>13211724.084</v>
      </c>
      <c r="D37" s="257">
        <f aca="true" t="shared" si="6" ref="D37:L37">D35+D36</f>
        <v>1615724</v>
      </c>
      <c r="E37" s="257">
        <f t="shared" si="6"/>
        <v>611215</v>
      </c>
      <c r="F37" s="257">
        <f t="shared" si="6"/>
        <v>9420</v>
      </c>
      <c r="G37" s="257">
        <f t="shared" si="6"/>
        <v>97942</v>
      </c>
      <c r="H37" s="257">
        <f t="shared" si="6"/>
        <v>0</v>
      </c>
      <c r="I37" s="257">
        <f t="shared" si="6"/>
        <v>48</v>
      </c>
      <c r="J37" s="257">
        <f t="shared" si="6"/>
        <v>0</v>
      </c>
      <c r="K37" s="257">
        <f t="shared" si="6"/>
        <v>0</v>
      </c>
      <c r="L37" s="257">
        <f t="shared" si="6"/>
        <v>0</v>
      </c>
    </row>
    <row r="38" spans="1:12" ht="11.25">
      <c r="A38" s="80">
        <f t="shared" si="1"/>
        <v>29</v>
      </c>
      <c r="B38" s="89" t="s">
        <v>76</v>
      </c>
      <c r="C38" s="259">
        <f>'[1]RPW'!$D$48</f>
        <v>82508141.27600001</v>
      </c>
      <c r="D38" s="260">
        <f aca="true" t="shared" si="7" ref="D38:L38">D29+D33+D37</f>
        <v>7665117</v>
      </c>
      <c r="E38" s="260">
        <f t="shared" si="7"/>
        <v>7524830</v>
      </c>
      <c r="F38" s="260">
        <f t="shared" si="7"/>
        <v>179413</v>
      </c>
      <c r="G38" s="260">
        <f t="shared" si="7"/>
        <v>2133741</v>
      </c>
      <c r="H38" s="260">
        <f t="shared" si="7"/>
        <v>0</v>
      </c>
      <c r="I38" s="260">
        <f t="shared" si="7"/>
        <v>591</v>
      </c>
      <c r="J38" s="260">
        <f t="shared" si="7"/>
        <v>1035</v>
      </c>
      <c r="K38" s="260">
        <f t="shared" si="7"/>
        <v>212</v>
      </c>
      <c r="L38" s="260">
        <f t="shared" si="7"/>
        <v>0</v>
      </c>
    </row>
    <row r="39" spans="1:12" ht="11.25">
      <c r="A39" s="79">
        <f t="shared" si="1"/>
        <v>30</v>
      </c>
      <c r="B39" s="90" t="s">
        <v>77</v>
      </c>
      <c r="C39" s="262"/>
      <c r="D39" s="257"/>
      <c r="E39" s="257"/>
      <c r="F39" s="257"/>
      <c r="G39" s="257"/>
      <c r="H39" s="257"/>
      <c r="I39" s="257"/>
      <c r="J39" s="257"/>
      <c r="K39" s="257"/>
      <c r="L39" s="257"/>
    </row>
    <row r="40" spans="1:12" ht="11.25">
      <c r="A40" s="79">
        <f t="shared" si="1"/>
        <v>31</v>
      </c>
      <c r="B40" s="88" t="s">
        <v>78</v>
      </c>
      <c r="C40" s="256">
        <f>'[1]RPW'!$D$50</f>
        <v>316147.799</v>
      </c>
      <c r="D40" s="257">
        <f>'[1]CS10 RCS'!$D40</f>
        <v>1531</v>
      </c>
      <c r="E40" s="257">
        <f>'[1]CS10 RCS'!$E40</f>
        <v>8916</v>
      </c>
      <c r="F40" s="257">
        <f>'[1]CS10 RCS'!$H40</f>
        <v>69032</v>
      </c>
      <c r="G40" s="257">
        <f>'[1]CS10 RCS'!$F40</f>
        <v>0</v>
      </c>
      <c r="H40" s="257">
        <f>'[1]CS10 RCS'!$J40</f>
        <v>0</v>
      </c>
      <c r="I40" s="257">
        <f>'[1]CS10 RCS'!$I40</f>
        <v>113</v>
      </c>
      <c r="J40" s="257">
        <f>'[1]CS10 RCS'!$M40</f>
        <v>1633</v>
      </c>
      <c r="K40" s="257">
        <f>'[1]CS10 RCS'!$N40</f>
        <v>1282</v>
      </c>
      <c r="L40" s="257">
        <f>'[1]CS10 RCS'!$O40</f>
        <v>0</v>
      </c>
    </row>
    <row r="41" spans="1:12" ht="11.25">
      <c r="A41" s="79">
        <f t="shared" si="1"/>
        <v>32</v>
      </c>
      <c r="B41" s="88" t="s">
        <v>79</v>
      </c>
      <c r="C41" s="256">
        <f>'[1]RPW'!$D$51</f>
        <v>488412.573</v>
      </c>
      <c r="D41" s="257">
        <f>'[1]CS10 RCS'!$D$41</f>
        <v>913</v>
      </c>
      <c r="E41" s="257">
        <f>'[1]CS10 RCS'!$E$41</f>
        <v>38860</v>
      </c>
      <c r="F41" s="257">
        <f>'[1]CS10 RCS'!$H$41</f>
        <v>62952</v>
      </c>
      <c r="G41" s="257">
        <f>'[1]CS10 RCS'!$F$41</f>
        <v>3498</v>
      </c>
      <c r="H41" s="257">
        <f>'[1]CS10 RCS'!$J$41</f>
        <v>0</v>
      </c>
      <c r="I41" s="257">
        <f>'[1]CS10 RCS'!$I$41</f>
        <v>332</v>
      </c>
      <c r="J41" s="257">
        <f>'[1]CS10 RCS'!$M$41</f>
        <v>572</v>
      </c>
      <c r="K41" s="257">
        <f>'[1]CS10 RCS'!$N$41</f>
        <v>291</v>
      </c>
      <c r="L41" s="257">
        <f>'[1]CS10 RCS'!$O$41</f>
        <v>0</v>
      </c>
    </row>
    <row r="42" spans="1:12" ht="11.25">
      <c r="A42" s="79">
        <f t="shared" si="1"/>
        <v>33</v>
      </c>
      <c r="B42" s="88" t="s">
        <v>80</v>
      </c>
      <c r="C42" s="262">
        <f>'[1]RPW'!$D$52</f>
        <v>191092.991</v>
      </c>
      <c r="D42" s="257">
        <f>'[1]CS10 RCS'!$D$42</f>
        <v>611</v>
      </c>
      <c r="E42" s="257">
        <f>'[1]CS10 RCS'!$E$42</f>
        <v>8308</v>
      </c>
      <c r="F42" s="257">
        <f>'[1]CS10 RCS'!$H$42</f>
        <v>22229</v>
      </c>
      <c r="G42" s="257">
        <f>'[1]CS10 RCS'!$F$42</f>
        <v>0</v>
      </c>
      <c r="H42" s="257">
        <f>'[1]CS10 RCS'!$J$42</f>
        <v>0</v>
      </c>
      <c r="I42" s="257">
        <f>'[1]CS10 RCS'!$I$42</f>
        <v>174</v>
      </c>
      <c r="J42" s="257">
        <f>'[1]CS10 RCS'!$M$42</f>
        <v>739</v>
      </c>
      <c r="K42" s="257">
        <f>'[1]CS10 RCS'!$N$42</f>
        <v>550</v>
      </c>
      <c r="L42" s="257">
        <f>'[1]CS10 RCS'!$O$42</f>
        <v>0</v>
      </c>
    </row>
    <row r="43" spans="1:12" ht="11.25">
      <c r="A43" s="79">
        <f aca="true" t="shared" si="8" ref="A43:A62">A42+1</f>
        <v>34</v>
      </c>
      <c r="B43" s="88" t="s">
        <v>81</v>
      </c>
      <c r="C43" s="256">
        <f>'[1]RPW'!$D$53</f>
        <v>27728.415</v>
      </c>
      <c r="D43" s="257">
        <f>'[1]CS10 RCS'!$D$43</f>
        <v>615</v>
      </c>
      <c r="E43" s="257">
        <f>'[1]CS10 RCS'!$E$43</f>
        <v>1406</v>
      </c>
      <c r="F43" s="257">
        <f>'[1]CS10 RCS'!$H$43</f>
        <v>2612</v>
      </c>
      <c r="G43" s="257">
        <f>'[1]CS10 RCS'!$F$43</f>
        <v>61</v>
      </c>
      <c r="H43" s="257">
        <f>'[1]CS10 RCS'!$J$43</f>
        <v>0</v>
      </c>
      <c r="I43" s="257">
        <f>'[1]CS10 RCS'!$I$43</f>
        <v>37</v>
      </c>
      <c r="J43" s="257">
        <f>'[1]CS10 RCS'!$M$43</f>
        <v>236</v>
      </c>
      <c r="K43" s="257">
        <f>'[1]CS10 RCS'!$N$43</f>
        <v>363</v>
      </c>
      <c r="L43" s="257">
        <f>'[1]CS10 RCS'!$O$43</f>
        <v>0</v>
      </c>
    </row>
    <row r="44" spans="1:12" ht="11.25">
      <c r="A44" s="80">
        <f t="shared" si="8"/>
        <v>35</v>
      </c>
      <c r="B44" s="89" t="s">
        <v>82</v>
      </c>
      <c r="C44" s="259">
        <f>'[1]RPW'!$D$57</f>
        <v>1023381.778</v>
      </c>
      <c r="D44" s="260">
        <f aca="true" t="shared" si="9" ref="D44:L44">SUM(D40:D43)</f>
        <v>3670</v>
      </c>
      <c r="E44" s="260">
        <f t="shared" si="9"/>
        <v>57490</v>
      </c>
      <c r="F44" s="260">
        <f t="shared" si="9"/>
        <v>156825</v>
      </c>
      <c r="G44" s="260">
        <f t="shared" si="9"/>
        <v>3559</v>
      </c>
      <c r="H44" s="260">
        <f t="shared" si="9"/>
        <v>0</v>
      </c>
      <c r="I44" s="260">
        <f t="shared" si="9"/>
        <v>656</v>
      </c>
      <c r="J44" s="260">
        <f t="shared" si="9"/>
        <v>3180</v>
      </c>
      <c r="K44" s="260">
        <f t="shared" si="9"/>
        <v>2486</v>
      </c>
      <c r="L44" s="260">
        <f t="shared" si="9"/>
        <v>0</v>
      </c>
    </row>
    <row r="45" spans="1:12" ht="11.25">
      <c r="A45" s="79">
        <f t="shared" si="8"/>
        <v>36</v>
      </c>
      <c r="B45" s="90" t="s">
        <v>83</v>
      </c>
      <c r="C45" s="256">
        <f>'[1]RPW'!$D$58</f>
        <v>380103.182</v>
      </c>
      <c r="D45" s="257">
        <f>'[1]CS10 RCS'!$D$45</f>
        <v>26301</v>
      </c>
      <c r="E45" s="257">
        <f>'[1]CS10 RCS'!$E$45</f>
        <v>3609</v>
      </c>
      <c r="F45" s="257">
        <f>'[1]CS10 RCS'!$H$45</f>
        <v>235</v>
      </c>
      <c r="G45" s="257">
        <f>'[1]CS10 RCS'!$F$45</f>
        <v>4272</v>
      </c>
      <c r="H45" s="257">
        <f>'[1]CS10 RCS'!$J$45</f>
        <v>0</v>
      </c>
      <c r="I45" s="257">
        <f>'[1]CS10 RCS'!$I$45</f>
        <v>0</v>
      </c>
      <c r="J45" s="257">
        <f>'[1]CS10 RCS'!$M$45</f>
        <v>845</v>
      </c>
      <c r="K45" s="257">
        <f>'[1]CS10 RCS'!$N$45</f>
        <v>32</v>
      </c>
      <c r="L45" s="257">
        <f>'[1]CS10 RCS'!$O$45</f>
        <v>0</v>
      </c>
    </row>
    <row r="46" spans="1:13" s="28" customFormat="1" ht="11.25">
      <c r="A46" s="84">
        <f t="shared" si="8"/>
        <v>37</v>
      </c>
      <c r="B46" s="90" t="s">
        <v>84</v>
      </c>
      <c r="C46" s="263">
        <f>'[1]RPW'!$D$59</f>
        <v>53169.136</v>
      </c>
      <c r="D46" s="263">
        <f>'[1]CS10 RCS'!$D$46</f>
        <v>3543</v>
      </c>
      <c r="E46" s="263">
        <f>'[1]CS10 RCS'!$E$46</f>
        <v>3229</v>
      </c>
      <c r="F46" s="263">
        <f>'[1]CS10 RCS'!$H$46</f>
        <v>2876</v>
      </c>
      <c r="G46" s="257">
        <f>'[1]CS10 RCS'!$F$46</f>
        <v>0</v>
      </c>
      <c r="H46" s="257">
        <f>'[1]CS10 RCS'!$J$46</f>
        <v>0</v>
      </c>
      <c r="I46" s="257">
        <f>'[1]CS10 RCS'!$I$46</f>
        <v>0</v>
      </c>
      <c r="J46" s="257">
        <f>'[1]CS10 RCS'!$M$46</f>
        <v>0</v>
      </c>
      <c r="K46" s="257">
        <f>'[1]CS10 RCS'!$N$46</f>
        <v>0</v>
      </c>
      <c r="L46" s="257">
        <f>'[1]CS10 RCS'!$O$46</f>
        <v>0</v>
      </c>
      <c r="M46" s="7"/>
    </row>
    <row r="47" spans="1:12" ht="11.25">
      <c r="A47" s="79">
        <f t="shared" si="8"/>
        <v>38</v>
      </c>
      <c r="B47" s="90" t="s">
        <v>85</v>
      </c>
      <c r="C47" s="256">
        <f>'[1]RPW'!$C$66+'[1]RPW'!$C$70+'[1]RPW'!$C$72</f>
        <v>727592.192</v>
      </c>
      <c r="D47" s="257">
        <f>'[1]CS10 RCS'!$D$57</f>
        <v>48662</v>
      </c>
      <c r="E47" s="257">
        <f>'[1]CS10 RCS'!$E$57</f>
        <v>8996</v>
      </c>
      <c r="F47" s="257">
        <f>'[1]CS10 RCS'!$H$57</f>
        <v>2430</v>
      </c>
      <c r="G47" s="257">
        <f>'[1]CS10 RCS'!$F$57</f>
        <v>426</v>
      </c>
      <c r="H47" s="257">
        <f>'[1]CS10 RCS'!$J$57</f>
        <v>0</v>
      </c>
      <c r="I47" s="257">
        <f>'[1]CS10 RCS'!$I$57</f>
        <v>18</v>
      </c>
      <c r="J47" s="257">
        <f>'[1]CS10 RCS'!$M$57</f>
        <v>3684</v>
      </c>
      <c r="K47" s="257">
        <f>'[1]CS10 RCS'!$N$57</f>
        <v>121</v>
      </c>
      <c r="L47" s="257">
        <f>'[1]CS10 RCS'!$O$57</f>
        <v>0</v>
      </c>
    </row>
    <row r="48" spans="1:12" ht="11.25">
      <c r="A48" s="79">
        <f t="shared" si="8"/>
        <v>39</v>
      </c>
      <c r="B48" s="91" t="s">
        <v>178</v>
      </c>
      <c r="C48" s="256"/>
      <c r="D48" s="257">
        <f>'[1]CS10 RCS'!$D$58</f>
        <v>0</v>
      </c>
      <c r="E48" s="257">
        <f>'[1]CS10 RCS'!$E$58</f>
        <v>0</v>
      </c>
      <c r="F48" s="257">
        <f>'[1]CS10 RCS'!$H$58</f>
        <v>1137</v>
      </c>
      <c r="G48" s="257">
        <f>'[1]CS10 RCS'!$F$58</f>
        <v>0</v>
      </c>
      <c r="H48" s="257">
        <f>'[1]CS10 RCS'!$J$58</f>
        <v>0</v>
      </c>
      <c r="I48" s="257">
        <f>'[1]CS10 RCS'!$I$58</f>
        <v>27</v>
      </c>
      <c r="J48" s="257">
        <f>'[1]CS10 RCS'!$M$58</f>
        <v>167</v>
      </c>
      <c r="K48" s="257">
        <f>'[1]CS10 RCS'!$N$58</f>
        <v>3</v>
      </c>
      <c r="L48" s="257">
        <f>'[1]CS10 RCS'!$O$58</f>
        <v>0</v>
      </c>
    </row>
    <row r="49" spans="1:12" ht="11.25">
      <c r="A49" s="80">
        <f t="shared" si="8"/>
        <v>40</v>
      </c>
      <c r="B49" s="89" t="s">
        <v>86</v>
      </c>
      <c r="C49" s="261">
        <f>'[1]RPW'!$D$77</f>
        <v>196688260.904</v>
      </c>
      <c r="D49" s="264">
        <f>D17+D18+D19+D20+D27+D38+SUM(D44:D47)</f>
        <v>24249097</v>
      </c>
      <c r="E49" s="264">
        <f>E17+E18+E19+E20+E27+E38+SUM(E44:E47)</f>
        <v>11404244</v>
      </c>
      <c r="F49" s="264">
        <f>F17+F18+F19+F20+F27+F38+SUM(F44:F47)</f>
        <v>529427</v>
      </c>
      <c r="G49" s="264">
        <f>G17+G18+G19+G20+G27+G38+SUM(G44:G47)</f>
        <v>2201663</v>
      </c>
      <c r="H49" s="264"/>
      <c r="I49" s="264"/>
      <c r="J49" s="264"/>
      <c r="K49" s="264"/>
      <c r="L49" s="264"/>
    </row>
    <row r="50" spans="1:12" ht="11.25">
      <c r="A50" s="79">
        <f t="shared" si="8"/>
        <v>41</v>
      </c>
      <c r="B50" s="90" t="s">
        <v>87</v>
      </c>
      <c r="C50" s="256"/>
      <c r="D50" s="257"/>
      <c r="E50" s="257"/>
      <c r="F50" s="257"/>
      <c r="G50" s="257"/>
      <c r="H50" s="257"/>
      <c r="I50" s="257"/>
      <c r="J50" s="257"/>
      <c r="K50" s="257"/>
      <c r="L50" s="257"/>
    </row>
    <row r="51" spans="1:12" ht="11.25">
      <c r="A51" s="79">
        <f t="shared" si="8"/>
        <v>42</v>
      </c>
      <c r="B51" s="88" t="s">
        <v>88</v>
      </c>
      <c r="C51" s="256">
        <f>'[1]RPW'!$D$79</f>
        <v>18623</v>
      </c>
      <c r="D51" s="257"/>
      <c r="E51" s="257"/>
      <c r="F51" s="257"/>
      <c r="G51" s="257"/>
      <c r="H51" s="257">
        <f>'[1]CS10 RCS'!$J60</f>
        <v>1080</v>
      </c>
      <c r="I51" s="257"/>
      <c r="J51" s="257"/>
      <c r="K51" s="257"/>
      <c r="L51" s="257">
        <f>'[1]CS10 RCS'!$O60</f>
        <v>206</v>
      </c>
    </row>
    <row r="52" spans="1:12" ht="11.25">
      <c r="A52" s="79">
        <f t="shared" si="8"/>
        <v>43</v>
      </c>
      <c r="B52" s="88" t="s">
        <v>89</v>
      </c>
      <c r="C52" s="256">
        <f>'[1]RPW'!$D$82</f>
        <v>510872</v>
      </c>
      <c r="D52" s="257"/>
      <c r="E52" s="257"/>
      <c r="F52" s="257"/>
      <c r="G52" s="257"/>
      <c r="H52" s="257">
        <f>'[1]CS10 RCS'!$J61</f>
        <v>26309</v>
      </c>
      <c r="I52" s="257"/>
      <c r="J52" s="257"/>
      <c r="K52" s="257"/>
      <c r="L52" s="257">
        <f>'[1]CS10 RCS'!$O61</f>
        <v>3243</v>
      </c>
    </row>
    <row r="53" spans="1:12" ht="11.25">
      <c r="A53" s="79">
        <f t="shared" si="8"/>
        <v>44</v>
      </c>
      <c r="B53" s="88" t="s">
        <v>90</v>
      </c>
      <c r="C53" s="256">
        <f>'[1]RPW'!$D$80</f>
        <v>42102</v>
      </c>
      <c r="D53" s="257"/>
      <c r="E53" s="257"/>
      <c r="F53" s="257"/>
      <c r="G53" s="257"/>
      <c r="H53" s="257">
        <f>'[1]CS10 RCS'!$J62</f>
        <v>2070</v>
      </c>
      <c r="I53" s="257"/>
      <c r="J53" s="257"/>
      <c r="K53" s="257"/>
      <c r="L53" s="257">
        <f>'[1]CS10 RCS'!$O62</f>
        <v>139</v>
      </c>
    </row>
    <row r="54" spans="1:12" ht="11.25">
      <c r="A54" s="79">
        <f t="shared" si="8"/>
        <v>45</v>
      </c>
      <c r="B54" s="88" t="s">
        <v>91</v>
      </c>
      <c r="C54" s="256">
        <f>'[1]RPW'!$D$81</f>
        <v>3844.074</v>
      </c>
      <c r="D54" s="257"/>
      <c r="E54" s="257"/>
      <c r="F54" s="257"/>
      <c r="G54" s="257"/>
      <c r="H54" s="257">
        <f>'[1]CS10 RCS'!$J63</f>
        <v>0</v>
      </c>
      <c r="I54" s="257"/>
      <c r="J54" s="257"/>
      <c r="K54" s="257"/>
      <c r="L54" s="257">
        <f>'[1]CS10 RCS'!$O63</f>
        <v>0</v>
      </c>
    </row>
    <row r="55" spans="1:12" ht="11.25">
      <c r="A55" s="79">
        <f t="shared" si="8"/>
        <v>46</v>
      </c>
      <c r="B55" s="88" t="s">
        <v>92</v>
      </c>
      <c r="C55" s="256">
        <f>'[1]RPW'!$D$83</f>
        <v>0.628</v>
      </c>
      <c r="D55" s="257"/>
      <c r="E55" s="257"/>
      <c r="F55" s="257"/>
      <c r="G55" s="257"/>
      <c r="H55" s="257">
        <v>0</v>
      </c>
      <c r="I55" s="257"/>
      <c r="J55" s="257"/>
      <c r="K55" s="257"/>
      <c r="L55" s="257">
        <v>0</v>
      </c>
    </row>
    <row r="56" spans="1:12" ht="11.25">
      <c r="A56" s="79">
        <f t="shared" si="8"/>
        <v>47</v>
      </c>
      <c r="B56" s="88" t="s">
        <v>93</v>
      </c>
      <c r="C56" s="256">
        <f>'[1]RPW'!$D$84</f>
        <v>208596.544</v>
      </c>
      <c r="D56" s="257"/>
      <c r="E56" s="257"/>
      <c r="F56" s="257"/>
      <c r="G56" s="257"/>
      <c r="H56" s="257"/>
      <c r="I56" s="257"/>
      <c r="J56" s="257"/>
      <c r="K56" s="257"/>
      <c r="L56" s="257"/>
    </row>
    <row r="57" spans="1:12" ht="11.25">
      <c r="A57" s="79">
        <f t="shared" si="8"/>
        <v>48</v>
      </c>
      <c r="B57" s="88" t="s">
        <v>179</v>
      </c>
      <c r="C57" s="256"/>
      <c r="D57" s="257"/>
      <c r="E57" s="257"/>
      <c r="F57" s="257"/>
      <c r="G57" s="257"/>
      <c r="H57" s="257"/>
      <c r="I57" s="257"/>
      <c r="J57" s="257"/>
      <c r="K57" s="257"/>
      <c r="L57" s="257"/>
    </row>
    <row r="58" spans="1:12" ht="11.25">
      <c r="A58" s="79">
        <f t="shared" si="8"/>
        <v>49</v>
      </c>
      <c r="B58" s="88" t="s">
        <v>95</v>
      </c>
      <c r="C58" s="256"/>
      <c r="D58" s="257"/>
      <c r="E58" s="257"/>
      <c r="F58" s="257"/>
      <c r="G58" s="257"/>
      <c r="H58" s="257"/>
      <c r="I58" s="257"/>
      <c r="J58" s="257"/>
      <c r="K58" s="257"/>
      <c r="L58" s="257"/>
    </row>
    <row r="59" spans="1:12" ht="11.25">
      <c r="A59" s="79">
        <f t="shared" si="8"/>
        <v>50</v>
      </c>
      <c r="B59" s="88" t="s">
        <v>96</v>
      </c>
      <c r="C59" s="256"/>
      <c r="D59" s="257"/>
      <c r="E59" s="257"/>
      <c r="F59" s="257"/>
      <c r="G59" s="257"/>
      <c r="H59" s="257"/>
      <c r="I59" s="257"/>
      <c r="J59" s="257"/>
      <c r="K59" s="257"/>
      <c r="L59" s="257"/>
    </row>
    <row r="60" spans="1:12" ht="11.25">
      <c r="A60" s="79">
        <f t="shared" si="8"/>
        <v>51</v>
      </c>
      <c r="B60" s="88" t="s">
        <v>97</v>
      </c>
      <c r="C60" s="256"/>
      <c r="D60" s="257"/>
      <c r="E60" s="257"/>
      <c r="F60" s="257"/>
      <c r="G60" s="257"/>
      <c r="H60" s="257"/>
      <c r="I60" s="257"/>
      <c r="J60" s="257"/>
      <c r="K60" s="257"/>
      <c r="L60" s="257">
        <f>'[1]CS10 RCS'!$O$66+'[1]CS10 RCS'!$O$67</f>
        <v>10986</v>
      </c>
    </row>
    <row r="61" spans="1:12" ht="11.25">
      <c r="A61" s="80">
        <f t="shared" si="8"/>
        <v>52</v>
      </c>
      <c r="B61" s="89" t="s">
        <v>98</v>
      </c>
      <c r="C61" s="261">
        <f>'[1]RPW'!$D$85</f>
        <v>784038.246</v>
      </c>
      <c r="D61" s="260"/>
      <c r="E61" s="260"/>
      <c r="F61" s="260"/>
      <c r="G61" s="260"/>
      <c r="H61" s="260">
        <f>SUM(H51:H55)</f>
        <v>29459</v>
      </c>
      <c r="I61" s="260"/>
      <c r="J61" s="260"/>
      <c r="K61" s="260"/>
      <c r="L61" s="260">
        <f>SUM(L51:L59)</f>
        <v>3588</v>
      </c>
    </row>
    <row r="62" spans="1:12" ht="11.25">
      <c r="A62" s="80">
        <f t="shared" si="8"/>
        <v>53</v>
      </c>
      <c r="B62" s="315" t="s">
        <v>180</v>
      </c>
      <c r="C62" s="259">
        <f>C49+C61</f>
        <v>197472299.15</v>
      </c>
      <c r="D62" s="260">
        <f>D49+D61</f>
        <v>24249097</v>
      </c>
      <c r="E62" s="260">
        <f>E49+E61</f>
        <v>11404244</v>
      </c>
      <c r="F62" s="260">
        <f>F49+F61</f>
        <v>529427</v>
      </c>
      <c r="G62" s="260">
        <f>G49+G61</f>
        <v>2201663</v>
      </c>
      <c r="H62" s="260"/>
      <c r="I62" s="260"/>
      <c r="J62" s="260"/>
      <c r="K62" s="260"/>
      <c r="L62" s="260"/>
    </row>
    <row r="63" ht="11.25">
      <c r="C63" s="68"/>
    </row>
    <row r="64" spans="3:10" ht="11.25">
      <c r="C64" s="68"/>
      <c r="F64" s="16"/>
      <c r="I64" s="15"/>
      <c r="J64" s="15"/>
    </row>
    <row r="65" ht="11.25">
      <c r="C65" s="68"/>
    </row>
    <row r="66" ht="11.25">
      <c r="C66" s="68"/>
    </row>
    <row r="67" ht="11.25">
      <c r="C67" s="68"/>
    </row>
    <row r="68" ht="11.25">
      <c r="C68" s="68"/>
    </row>
    <row r="69" ht="11.25">
      <c r="C69" s="68"/>
    </row>
    <row r="70" ht="11.25">
      <c r="C70" s="68"/>
    </row>
    <row r="71" ht="11.25">
      <c r="C71" s="68"/>
    </row>
    <row r="72" ht="11.25">
      <c r="C72" s="68"/>
    </row>
    <row r="73" ht="11.25">
      <c r="C73" s="68"/>
    </row>
    <row r="74" ht="11.25">
      <c r="C74" s="68"/>
    </row>
    <row r="75" ht="11.25">
      <c r="C75" s="68"/>
    </row>
    <row r="76" ht="11.25">
      <c r="C76" s="68"/>
    </row>
    <row r="77" ht="11.25">
      <c r="C77" s="68"/>
    </row>
    <row r="78" ht="11.25">
      <c r="C78" s="68"/>
    </row>
  </sheetData>
  <printOptions/>
  <pageMargins left="0.5" right="0.5" top="1" bottom="0.5" header="0.75" footer="0.25"/>
  <pageSetup horizontalDpi="300" verticalDpi="300" orientation="landscape" scale="90" r:id="rId3"/>
  <rowBreaks count="1" manualBreakCount="1">
    <brk id="38" max="65535" man="1"/>
  </rowBreaks>
  <legacyDrawing r:id="rId2"/>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D11" sqref="D11"/>
    </sheetView>
  </sheetViews>
  <sheetFormatPr defaultColWidth="8.88671875" defaultRowHeight="15.75"/>
  <cols>
    <col min="1" max="1" width="4.3359375" style="7" customWidth="1"/>
    <col min="2" max="2" width="30.3359375" style="7" customWidth="1"/>
    <col min="3" max="4" width="11.77734375" style="7" customWidth="1"/>
    <col min="5" max="5" width="10.5546875" style="7" customWidth="1"/>
    <col min="6" max="6" width="11.21484375" style="7" customWidth="1"/>
    <col min="7" max="7" width="8.77734375" style="7" customWidth="1"/>
    <col min="8" max="16384" width="8.88671875" style="7" customWidth="1"/>
  </cols>
  <sheetData>
    <row r="1" s="6" customFormat="1" ht="12.75" customHeight="1">
      <c r="A1" s="163" t="str">
        <f>Doc!A1</f>
        <v>Base Year 1998 - USPS Version</v>
      </c>
    </row>
    <row r="2" s="6" customFormat="1" ht="12.75" customHeight="1">
      <c r="A2" s="163" t="str">
        <f>Doc!A2</f>
        <v>C/S 10 RURAL CARRIERS</v>
      </c>
    </row>
    <row r="3" s="6" customFormat="1" ht="12.75" customHeight="1">
      <c r="A3" s="166" t="str">
        <f>Doc!A10&amp;" "&amp;Doc!B10</f>
        <v>WS 10.0.1 EVALUATED AND OTHER ROUTES, ALLOCATION OF ACCRUED AND VVC</v>
      </c>
    </row>
    <row r="4" s="6" customFormat="1" ht="12.75" customHeight="1">
      <c r="A4" s="198"/>
    </row>
    <row r="5" spans="1:7" ht="22.5">
      <c r="A5" s="177" t="s">
        <v>37</v>
      </c>
      <c r="B5" s="201" t="s">
        <v>181</v>
      </c>
      <c r="C5" s="177" t="s">
        <v>182</v>
      </c>
      <c r="D5" s="179" t="str">
        <f>Inputs!C5</f>
        <v>ACCRUED COSTS</v>
      </c>
      <c r="E5" s="177" t="str">
        <f>Inputs!D5</f>
        <v>VARIABILITY FACTORS</v>
      </c>
      <c r="F5" s="177" t="s">
        <v>183</v>
      </c>
      <c r="G5" s="177" t="s">
        <v>184</v>
      </c>
    </row>
    <row r="6" spans="1:7" ht="11.25">
      <c r="A6" s="21"/>
      <c r="B6" s="325" t="s">
        <v>43</v>
      </c>
      <c r="C6" s="23">
        <v>-1</v>
      </c>
      <c r="D6" s="23">
        <f>C6-1</f>
        <v>-2</v>
      </c>
      <c r="E6" s="23">
        <f>D6-1</f>
        <v>-3</v>
      </c>
      <c r="F6" s="23">
        <f>E6-1</f>
        <v>-4</v>
      </c>
      <c r="G6" s="23">
        <f>F6-1</f>
        <v>-5</v>
      </c>
    </row>
    <row r="7" spans="1:7" ht="22.5">
      <c r="A7" s="21"/>
      <c r="B7" s="146" t="s">
        <v>185</v>
      </c>
      <c r="C7" s="98"/>
      <c r="D7" s="98" t="str">
        <f>"L"&amp;A12&amp;" dist on C"&amp;-C6&amp;"; L"&amp;A14&amp;"=L"&amp;A12&amp;"+L"&amp;A13</f>
        <v>L3 dist on C1; L5=L3+L4</v>
      </c>
      <c r="E7" s="98"/>
      <c r="F7" s="98" t="str">
        <f>"=C"&amp;-D6&amp;"xC"&amp;-E6</f>
        <v>=C2xC3</v>
      </c>
      <c r="G7" s="98" t="str">
        <f>"=C"&amp;-D6&amp;"-C"&amp;-F6</f>
        <v>=C2-C4</v>
      </c>
    </row>
    <row r="8" spans="1:7" ht="11.25">
      <c r="A8" s="97"/>
      <c r="B8" s="146" t="s">
        <v>44</v>
      </c>
      <c r="C8" s="98" t="s">
        <v>107</v>
      </c>
      <c r="D8" s="72" t="s">
        <v>45</v>
      </c>
      <c r="E8" s="101" t="s">
        <v>107</v>
      </c>
      <c r="F8" s="101" t="str">
        <f>D8</f>
        <v>$(000)</v>
      </c>
      <c r="G8" s="101" t="str">
        <f>F8</f>
        <v>$(000)</v>
      </c>
    </row>
    <row r="9" spans="1:7" ht="33.75">
      <c r="A9" s="22"/>
      <c r="B9" s="149" t="s">
        <v>46</v>
      </c>
      <c r="C9" s="119" t="str">
        <f>"L"&amp;A10&amp;" from "&amp;Doc!A11&amp;" C"&amp;-'10.0.2'!E6&amp;"L"&amp;'10.0.2'!A14&amp;"; L"&amp;A11&amp;" from "&amp;Doc!A11&amp;" C"&amp;-'10.0.2'!F6&amp;"L"&amp;'10.0.2'!A14</f>
        <v>L1 from WS 10.0.2 C3L5; L2 from WS 10.0.2 C4L5</v>
      </c>
      <c r="D9" s="119" t="str">
        <f>"L"&amp;A12&amp;" &amp; L"&amp;A13&amp;" from "&amp;Inputs!C8</f>
        <v>L3 &amp; L4 from Stmt of Rev &amp; Exp</v>
      </c>
      <c r="E9" s="105" t="str">
        <f>Inputs!D8</f>
        <v>R97-1, USPS-T-17</v>
      </c>
      <c r="F9" s="119"/>
      <c r="G9" s="119"/>
    </row>
    <row r="10" spans="1:7" ht="11.25">
      <c r="A10" s="77">
        <f>A9+1</f>
        <v>1</v>
      </c>
      <c r="B10" s="33" t="s">
        <v>40</v>
      </c>
      <c r="C10" s="304">
        <f>'10.0.2'!E14</f>
        <v>0.9093053505646631</v>
      </c>
      <c r="D10" s="50">
        <f>D$12*C10</f>
        <v>3046802.2027943423</v>
      </c>
      <c r="E10" s="306">
        <f>Inputs!D11</f>
        <v>0.4797</v>
      </c>
      <c r="F10" s="41">
        <f>D10*E10</f>
        <v>1461551.016680446</v>
      </c>
      <c r="G10" s="41">
        <f>D10-F10</f>
        <v>1585251.1861138963</v>
      </c>
    </row>
    <row r="11" spans="1:7" ht="11.25">
      <c r="A11" s="77">
        <f>A10+1</f>
        <v>2</v>
      </c>
      <c r="B11" s="33" t="s">
        <v>41</v>
      </c>
      <c r="C11" s="304">
        <f>'10.0.2'!F14</f>
        <v>0.09069464943533688</v>
      </c>
      <c r="D11" s="43">
        <f>D$12*C11</f>
        <v>303889.8402056577</v>
      </c>
      <c r="E11" s="51">
        <f>Inputs!D12</f>
        <v>0.4815</v>
      </c>
      <c r="F11" s="41">
        <f>D11*E11</f>
        <v>146322.95805902418</v>
      </c>
      <c r="G11" s="41">
        <f>D11-F11</f>
        <v>157566.88214663352</v>
      </c>
    </row>
    <row r="12" spans="1:7" ht="11.25">
      <c r="A12" s="77">
        <f>A11+1</f>
        <v>3</v>
      </c>
      <c r="B12" s="69" t="s">
        <v>186</v>
      </c>
      <c r="C12" s="304">
        <f>SUM(C10:C11)</f>
        <v>1</v>
      </c>
      <c r="D12" s="43">
        <f>Inputs!C9</f>
        <v>3350692.043</v>
      </c>
      <c r="E12" s="50"/>
      <c r="F12" s="47"/>
      <c r="G12" s="47"/>
    </row>
    <row r="13" spans="1:7" ht="11.25">
      <c r="A13" s="77">
        <f>A12+1</f>
        <v>4</v>
      </c>
      <c r="B13" s="33" t="s">
        <v>187</v>
      </c>
      <c r="C13" s="305"/>
      <c r="D13" s="43">
        <f>Inputs!C10</f>
        <v>327523.436</v>
      </c>
      <c r="E13" s="51"/>
      <c r="F13" s="49"/>
      <c r="G13" s="49"/>
    </row>
    <row r="14" spans="1:7" ht="11.25">
      <c r="A14" s="78">
        <f>A13+1</f>
        <v>5</v>
      </c>
      <c r="B14" s="70" t="s">
        <v>188</v>
      </c>
      <c r="C14" s="301"/>
      <c r="D14" s="302">
        <f>SUM(D12:D13)</f>
        <v>3678215.4790000003</v>
      </c>
      <c r="E14" s="303"/>
      <c r="F14" s="282"/>
      <c r="G14" s="282"/>
    </row>
  </sheetData>
  <printOptions/>
  <pageMargins left="0.5" right="0.5" top="1" bottom="0.5" header="0.75" footer="0.25"/>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8.88671875" defaultRowHeight="15.75"/>
  <cols>
    <col min="1" max="1" width="3.21484375" style="7" customWidth="1"/>
    <col min="2" max="2" width="15.3359375" style="7" customWidth="1"/>
    <col min="3" max="3" width="12.88671875" style="7" customWidth="1"/>
    <col min="4" max="4" width="12.5546875" style="7" customWidth="1"/>
    <col min="5" max="5" width="10.88671875" style="7" customWidth="1"/>
    <col min="6" max="6" width="10.77734375" style="7" customWidth="1"/>
    <col min="7" max="16384" width="8.88671875" style="7" customWidth="1"/>
  </cols>
  <sheetData>
    <row r="1" s="6" customFormat="1" ht="12.75" customHeight="1">
      <c r="A1" s="163" t="str">
        <f>Doc!A1</f>
        <v>Base Year 1998 - USPS Version</v>
      </c>
    </row>
    <row r="2" s="6" customFormat="1" ht="12.75" customHeight="1">
      <c r="A2" s="163" t="str">
        <f>Doc!A2</f>
        <v>C/S 10 RURAL CARRIERS</v>
      </c>
    </row>
    <row r="3" s="6" customFormat="1" ht="12.75" customHeight="1">
      <c r="A3" s="166" t="str">
        <f>Doc!A11&amp;" "&amp;Doc!B11</f>
        <v>WS 10.0.2 PAY DATA SPLIT FACTOR</v>
      </c>
    </row>
    <row r="4" s="6" customFormat="1" ht="12.75" customHeight="1"/>
    <row r="5" spans="1:6" ht="33.75">
      <c r="A5" s="177" t="s">
        <v>37</v>
      </c>
      <c r="B5" s="178" t="s">
        <v>189</v>
      </c>
      <c r="C5" s="183" t="str">
        <f>Inputs!C13</f>
        <v>EVALUATED
ROUTES (H, J, K)</v>
      </c>
      <c r="D5" s="179" t="str">
        <f>Inputs!E13</f>
        <v>OTHER ROUTES
(A, M)</v>
      </c>
      <c r="E5" s="309" t="s">
        <v>190</v>
      </c>
      <c r="F5" s="309" t="s">
        <v>191</v>
      </c>
    </row>
    <row r="6" spans="1:6" ht="12" customHeight="1">
      <c r="A6" s="30"/>
      <c r="B6" s="316" t="s">
        <v>43</v>
      </c>
      <c r="C6" s="23">
        <v>-1</v>
      </c>
      <c r="D6" s="23">
        <f>C6-1</f>
        <v>-2</v>
      </c>
      <c r="E6" s="23">
        <f>D6-1</f>
        <v>-3</v>
      </c>
      <c r="F6" s="23">
        <f>E6-1</f>
        <v>-4</v>
      </c>
    </row>
    <row r="7" spans="1:6" ht="11.25">
      <c r="A7" s="30"/>
      <c r="B7" s="316" t="s">
        <v>185</v>
      </c>
      <c r="C7" s="59"/>
      <c r="D7" s="30"/>
      <c r="E7" s="62" t="str">
        <f>"=C"&amp;-C6&amp;"/(C"&amp;-C6&amp;"+C"&amp;-D6&amp;")"</f>
        <v>=C1/(C1+C2)</v>
      </c>
      <c r="F7" s="62" t="str">
        <f>"=C"&amp;-D6&amp;"/(C"&amp;-C6&amp;"+C"&amp;-D6&amp;")"</f>
        <v>=C2/(C1+C2)</v>
      </c>
    </row>
    <row r="8" spans="1:6" ht="11.25">
      <c r="A8" s="30"/>
      <c r="B8" s="316" t="s">
        <v>44</v>
      </c>
      <c r="C8" s="61" t="str">
        <f>Inputs!C14</f>
        <v>$(000)</v>
      </c>
      <c r="D8" s="61" t="str">
        <f>Inputs!E14</f>
        <v>$(000)</v>
      </c>
      <c r="E8" s="61" t="s">
        <v>107</v>
      </c>
      <c r="F8" s="61" t="s">
        <v>107</v>
      </c>
    </row>
    <row r="9" spans="1:6" ht="22.5">
      <c r="A9" s="118"/>
      <c r="B9" s="293" t="s">
        <v>46</v>
      </c>
      <c r="C9" s="158" t="str">
        <f>Inputs!C16&amp;", "&amp;RIGHT(Inputs!D16,2)</f>
        <v>AAN335P1 - Pay Data Table 16, 17</v>
      </c>
      <c r="D9" s="158" t="str">
        <f>Inputs!E16&amp;", "&amp;RIGHT(Inputs!F16,2)</f>
        <v>AAN335P1 - Pay Data Table 18, 19</v>
      </c>
      <c r="E9" s="159"/>
      <c r="F9" s="159"/>
    </row>
    <row r="10" spans="1:6" ht="11.25">
      <c r="A10" s="79">
        <v>1</v>
      </c>
      <c r="B10" s="59" t="str">
        <f>Inputs!B17</f>
        <v>PQ 1</v>
      </c>
      <c r="C10" s="268">
        <f>SUM(Inputs!C17:D17)</f>
        <v>558626</v>
      </c>
      <c r="D10" s="268">
        <f>SUM(Inputs!E17:F17)</f>
        <v>56437</v>
      </c>
      <c r="E10" s="60"/>
      <c r="F10" s="60"/>
    </row>
    <row r="11" spans="1:6" ht="11.25">
      <c r="A11" s="79">
        <f>A10+1</f>
        <v>2</v>
      </c>
      <c r="B11" s="59" t="str">
        <f>Inputs!B18</f>
        <v>PQ 2</v>
      </c>
      <c r="C11" s="268">
        <f>SUM(Inputs!C18:D18)</f>
        <v>577833</v>
      </c>
      <c r="D11" s="268">
        <f>SUM(Inputs!E18:F18)</f>
        <v>58311</v>
      </c>
      <c r="E11" s="60"/>
      <c r="F11" s="60"/>
    </row>
    <row r="12" spans="1:6" ht="11.25">
      <c r="A12" s="79">
        <f>A11+1</f>
        <v>3</v>
      </c>
      <c r="B12" s="59" t="str">
        <f>Inputs!B19</f>
        <v>PQ 3</v>
      </c>
      <c r="C12" s="268">
        <f>SUM(Inputs!C19:D19)</f>
        <v>570297</v>
      </c>
      <c r="D12" s="268">
        <f>SUM(Inputs!E19:F19)</f>
        <v>58925</v>
      </c>
      <c r="E12" s="60"/>
      <c r="F12" s="60"/>
    </row>
    <row r="13" spans="1:6" ht="11.25">
      <c r="A13" s="79">
        <f>A12+1</f>
        <v>4</v>
      </c>
      <c r="B13" s="59" t="str">
        <f>Inputs!B20</f>
        <v>PQ 4</v>
      </c>
      <c r="C13" s="268">
        <f>SUM(Inputs!C20:D20)</f>
        <v>774230</v>
      </c>
      <c r="D13" s="268">
        <f>SUM(Inputs!E20:F20)</f>
        <v>73782</v>
      </c>
      <c r="E13" s="157"/>
      <c r="F13" s="157"/>
    </row>
    <row r="14" spans="1:6" ht="11.25">
      <c r="A14" s="294">
        <f>A13+1</f>
        <v>5</v>
      </c>
      <c r="B14" s="295" t="s">
        <v>192</v>
      </c>
      <c r="C14" s="296">
        <f>SUM(C10:C13)</f>
        <v>2480986</v>
      </c>
      <c r="D14" s="296">
        <f>SUM(D10:D13)</f>
        <v>247455</v>
      </c>
      <c r="E14" s="297">
        <f>C14/(C14+D14)</f>
        <v>0.9093053505646631</v>
      </c>
      <c r="F14" s="297">
        <f>D14/(C14+D14)</f>
        <v>0.09069464943533688</v>
      </c>
    </row>
  </sheetData>
  <printOptions/>
  <pageMargins left="0.5" right="0.5" top="1" bottom="0.5" header="0.75" footer="0.25"/>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G28"/>
  <sheetViews>
    <sheetView workbookViewId="0" topLeftCell="A1">
      <selection activeCell="F24" sqref="F24"/>
    </sheetView>
  </sheetViews>
  <sheetFormatPr defaultColWidth="8.88671875" defaultRowHeight="15.75"/>
  <cols>
    <col min="1" max="1" width="3.99609375" style="7" customWidth="1"/>
    <col min="2" max="2" width="30.10546875" style="7" customWidth="1"/>
    <col min="3" max="3" width="11.4453125" style="7" customWidth="1"/>
    <col min="4" max="4" width="12.3359375" style="7" customWidth="1"/>
    <col min="5" max="5" width="10.77734375" style="7" customWidth="1"/>
    <col min="6" max="6" width="10.88671875" style="7" customWidth="1"/>
    <col min="7" max="7" width="10.10546875" style="7" customWidth="1"/>
    <col min="8" max="16384" width="8.88671875" style="7" customWidth="1"/>
  </cols>
  <sheetData>
    <row r="1" s="6" customFormat="1" ht="12.75" customHeight="1">
      <c r="A1" s="163" t="str">
        <f>Doc!A1</f>
        <v>Base Year 1998 - USPS Version</v>
      </c>
    </row>
    <row r="2" s="6" customFormat="1" ht="12.75" customHeight="1">
      <c r="A2" s="163" t="str">
        <f>Doc!A2</f>
        <v>C/S 10 RURAL CARRIERS</v>
      </c>
    </row>
    <row r="3" s="6" customFormat="1" ht="12.75" customHeight="1">
      <c r="A3" s="166" t="str">
        <f>Doc!A14&amp;" "&amp;Doc!B14</f>
        <v>WS 10.0.3 P1 MAIL SHAPE ADJUSTMENT, PART 1</v>
      </c>
    </row>
    <row r="4" s="6" customFormat="1" ht="12.75" customHeight="1">
      <c r="A4" s="165"/>
    </row>
    <row r="5" spans="1:7" ht="22.5">
      <c r="A5" s="184" t="s">
        <v>37</v>
      </c>
      <c r="B5" s="202" t="s">
        <v>181</v>
      </c>
      <c r="C5" s="184" t="str">
        <f>Inputs!C21</f>
        <v>PIECE COUNTS</v>
      </c>
      <c r="D5" s="184" t="s">
        <v>193</v>
      </c>
      <c r="E5" s="184" t="s">
        <v>194</v>
      </c>
      <c r="F5" s="184" t="s">
        <v>195</v>
      </c>
      <c r="G5" s="185" t="s">
        <v>196</v>
      </c>
    </row>
    <row r="6" spans="1:7" ht="11.25" customHeight="1">
      <c r="A6" s="99"/>
      <c r="B6" s="146" t="s">
        <v>43</v>
      </c>
      <c r="C6" s="98">
        <v>-1</v>
      </c>
      <c r="D6" s="72">
        <f>C6-1</f>
        <v>-2</v>
      </c>
      <c r="E6" s="72">
        <f>D6-1</f>
        <v>-3</v>
      </c>
      <c r="F6" s="72">
        <f>E6-1</f>
        <v>-4</v>
      </c>
      <c r="G6" s="345">
        <f>F6-1</f>
        <v>-5</v>
      </c>
    </row>
    <row r="7" spans="1:7" ht="33.75">
      <c r="A7" s="99"/>
      <c r="B7" s="146" t="s">
        <v>185</v>
      </c>
      <c r="C7" s="317"/>
      <c r="D7" s="98" t="str">
        <f>"C"&amp;-D6&amp;"L"&amp;A17&amp;" dist on C"&amp;-C6&amp;"L"&amp;A11&amp;"...L"&amp;A13</f>
        <v>C2L8 dist on C1L2...L4</v>
      </c>
      <c r="E7" s="98" t="str">
        <f>"L"&amp;A15&amp;"=C"&amp;-C6&amp;"L"&amp;A15&amp;"-C"&amp;-D6&amp;"L"&amp;A15&amp;"; L"&amp;A22&amp;"=C"&amp;-C6&amp;"L"&amp;A15&amp;"-(L"&amp;A19&amp;"...L"&amp;A21&amp;")"</f>
        <v>L6=C1L6-C2L6; L13=C1L6-(L10...L12)</v>
      </c>
      <c r="F7" s="72" t="str">
        <f>"L"&amp;A23&amp;"=C"&amp;-E6&amp;"L"&amp;A15&amp;"/C"&amp;-E6&amp;"L"&amp;A22&amp;";
L"&amp;A24&amp;"= 1-L"&amp;A23</f>
        <v>L14=C3L6/C3L13;
L15= 1-L14</v>
      </c>
      <c r="G7" s="72"/>
    </row>
    <row r="8" spans="1:7" ht="11.25" customHeight="1">
      <c r="A8" s="99"/>
      <c r="B8" s="146" t="s">
        <v>44</v>
      </c>
      <c r="C8" s="98" t="str">
        <f>Inputs!C$22</f>
        <v>Pieces (000)</v>
      </c>
      <c r="D8" s="98" t="str">
        <f>C8</f>
        <v>Pieces (000)</v>
      </c>
      <c r="E8" s="98" t="str">
        <f>Inputs!C$22</f>
        <v>Pieces (000)</v>
      </c>
      <c r="F8" s="143" t="s">
        <v>107</v>
      </c>
      <c r="G8" s="143" t="s">
        <v>107</v>
      </c>
    </row>
    <row r="9" spans="1:7" ht="22.5">
      <c r="A9" s="100"/>
      <c r="B9" s="149" t="s">
        <v>46</v>
      </c>
      <c r="C9" s="144" t="s">
        <v>197</v>
      </c>
      <c r="D9" s="298" t="str">
        <f>"C"&amp;-D6&amp;"L"&amp;A17&amp;" = C"&amp;-C6&amp;"L"&amp;A17</f>
        <v>C2L8 = C1L8</v>
      </c>
      <c r="E9" s="144" t="str">
        <f>"L"&amp;A19&amp;"...L"&amp;A21&amp;" from
"&amp;Inputs!C24</f>
        <v>L10...L12 from
R2000-1, LR-I-152</v>
      </c>
      <c r="F9" s="144"/>
      <c r="G9" s="144"/>
    </row>
    <row r="10" spans="1:7" ht="11.25">
      <c r="A10" s="129">
        <v>1</v>
      </c>
      <c r="B10" s="160" t="s">
        <v>198</v>
      </c>
      <c r="C10" s="272"/>
      <c r="D10" s="318"/>
      <c r="E10" s="318"/>
      <c r="F10" s="130"/>
      <c r="G10" s="30"/>
    </row>
    <row r="11" spans="1:7" ht="11.25" customHeight="1">
      <c r="A11" s="131">
        <f aca="true" t="shared" si="0" ref="A11:A23">A10+1</f>
        <v>2</v>
      </c>
      <c r="B11" s="132" t="s">
        <v>199</v>
      </c>
      <c r="C11" s="133">
        <f>SUM(Inputs!C25:C27)</f>
        <v>1332892.6639999999</v>
      </c>
      <c r="D11" s="139"/>
      <c r="E11" s="139"/>
      <c r="F11" s="134"/>
      <c r="G11" s="30"/>
    </row>
    <row r="12" spans="1:7" ht="11.25" customHeight="1">
      <c r="A12" s="131">
        <f t="shared" si="0"/>
        <v>3</v>
      </c>
      <c r="B12" s="128" t="s">
        <v>200</v>
      </c>
      <c r="C12" s="135">
        <f>Inputs!C28</f>
        <v>906828.026</v>
      </c>
      <c r="D12" s="139"/>
      <c r="E12" s="250"/>
      <c r="F12" s="134"/>
      <c r="G12" s="30"/>
    </row>
    <row r="13" spans="1:7" ht="11.25" customHeight="1">
      <c r="A13" s="131">
        <f t="shared" si="0"/>
        <v>4</v>
      </c>
      <c r="B13" s="136" t="s">
        <v>192</v>
      </c>
      <c r="C13" s="137">
        <f>SUM(C11:C12)</f>
        <v>2239720.69</v>
      </c>
      <c r="D13" s="273"/>
      <c r="E13" s="250"/>
      <c r="F13" s="134"/>
      <c r="G13" s="30"/>
    </row>
    <row r="14" spans="1:7" ht="11.25" customHeight="1">
      <c r="A14" s="131">
        <f t="shared" si="0"/>
        <v>5</v>
      </c>
      <c r="B14" s="161" t="s">
        <v>201</v>
      </c>
      <c r="C14" s="138"/>
      <c r="D14" s="139"/>
      <c r="E14" s="139"/>
      <c r="F14" s="134"/>
      <c r="G14" s="30"/>
    </row>
    <row r="15" spans="1:7" ht="11.25" customHeight="1">
      <c r="A15" s="131">
        <f t="shared" si="0"/>
        <v>6</v>
      </c>
      <c r="B15" s="128" t="s">
        <v>202</v>
      </c>
      <c r="C15" s="135">
        <f>'Inputs DK'!D62</f>
        <v>24249097</v>
      </c>
      <c r="D15" s="139">
        <f>D$17*(C11/C$13)</f>
        <v>21217858.493770678</v>
      </c>
      <c r="E15" s="139">
        <f>C15-D15</f>
        <v>3031238.5062293224</v>
      </c>
      <c r="F15" s="134"/>
      <c r="G15" s="30"/>
    </row>
    <row r="16" spans="1:7" ht="11.25" customHeight="1">
      <c r="A16" s="131">
        <f t="shared" si="0"/>
        <v>7</v>
      </c>
      <c r="B16" s="128" t="s">
        <v>200</v>
      </c>
      <c r="C16" s="135">
        <f>'Inputs DK'!E62</f>
        <v>11404244</v>
      </c>
      <c r="D16" s="139">
        <f>D$17*(C12/C$13)</f>
        <v>14435482.50622932</v>
      </c>
      <c r="E16" s="250"/>
      <c r="F16" s="134"/>
      <c r="G16" s="30"/>
    </row>
    <row r="17" spans="1:7" ht="11.25" customHeight="1">
      <c r="A17" s="131">
        <f t="shared" si="0"/>
        <v>8</v>
      </c>
      <c r="B17" s="57" t="s">
        <v>192</v>
      </c>
      <c r="C17" s="137">
        <f>SUM(C15:C16)</f>
        <v>35653341</v>
      </c>
      <c r="D17" s="139">
        <f>C17</f>
        <v>35653341</v>
      </c>
      <c r="E17" s="250"/>
      <c r="F17" s="134"/>
      <c r="G17" s="30"/>
    </row>
    <row r="18" spans="1:7" ht="11.25" customHeight="1">
      <c r="A18" s="131">
        <f t="shared" si="0"/>
        <v>9</v>
      </c>
      <c r="B18" s="56" t="s">
        <v>203</v>
      </c>
      <c r="C18" s="138"/>
      <c r="D18" s="274"/>
      <c r="E18" s="275"/>
      <c r="F18" s="140"/>
      <c r="G18" s="30"/>
    </row>
    <row r="19" spans="1:7" ht="11.25" customHeight="1">
      <c r="A19" s="131">
        <f t="shared" si="0"/>
        <v>10</v>
      </c>
      <c r="B19" s="128" t="str">
        <f>'Inputs DK'!B14</f>
        <v>   SINGLE-PIECE CARDS</v>
      </c>
      <c r="C19" s="137"/>
      <c r="D19" s="139"/>
      <c r="E19" s="141">
        <f>'Inputs DK'!D14</f>
        <v>621441</v>
      </c>
      <c r="F19" s="134"/>
      <c r="G19" s="30"/>
    </row>
    <row r="20" spans="1:7" ht="11.25" customHeight="1">
      <c r="A20" s="131">
        <f t="shared" si="0"/>
        <v>11</v>
      </c>
      <c r="B20" s="128" t="str">
        <f>'Inputs DK'!B15</f>
        <v>   PRESORT CARDS</v>
      </c>
      <c r="C20" s="276"/>
      <c r="D20" s="139"/>
      <c r="E20" s="141">
        <f>'Inputs DK'!D15</f>
        <v>512517</v>
      </c>
      <c r="F20" s="57"/>
      <c r="G20" s="30"/>
    </row>
    <row r="21" spans="1:7" ht="11.25" customHeight="1">
      <c r="A21" s="131">
        <f t="shared" si="0"/>
        <v>12</v>
      </c>
      <c r="B21" s="128" t="str">
        <f>'Inputs DK'!B20</f>
        <v>MAILGRAMS</v>
      </c>
      <c r="C21" s="276"/>
      <c r="D21" s="139"/>
      <c r="E21" s="141">
        <f>'Inputs DK'!D20</f>
        <v>5113</v>
      </c>
      <c r="F21" s="57"/>
      <c r="G21" s="30"/>
    </row>
    <row r="22" spans="1:7" ht="11.25" customHeight="1">
      <c r="A22" s="131">
        <f t="shared" si="0"/>
        <v>13</v>
      </c>
      <c r="B22" s="128" t="s">
        <v>204</v>
      </c>
      <c r="C22" s="276"/>
      <c r="D22" s="139"/>
      <c r="E22" s="139">
        <f>C15-SUM(E19:E21)</f>
        <v>23110026</v>
      </c>
      <c r="F22" s="57"/>
      <c r="G22" s="30"/>
    </row>
    <row r="23" spans="1:7" ht="11.25" customHeight="1">
      <c r="A23" s="131">
        <f t="shared" si="0"/>
        <v>14</v>
      </c>
      <c r="B23" s="248" t="s">
        <v>205</v>
      </c>
      <c r="C23" s="277"/>
      <c r="D23" s="139"/>
      <c r="E23" s="139"/>
      <c r="F23" s="249">
        <f>E15/E22</f>
        <v>0.1311655169158755</v>
      </c>
      <c r="G23" s="30"/>
    </row>
    <row r="24" spans="1:7" ht="11.25">
      <c r="A24" s="232">
        <f>A23+1</f>
        <v>15</v>
      </c>
      <c r="B24" s="162" t="s">
        <v>206</v>
      </c>
      <c r="C24" s="278"/>
      <c r="D24" s="252"/>
      <c r="E24" s="252"/>
      <c r="F24" s="142">
        <f>1-F23</f>
        <v>0.8688344830841245</v>
      </c>
      <c r="G24" s="31"/>
    </row>
    <row r="27" ht="11.25">
      <c r="C27" s="343"/>
    </row>
    <row r="28" spans="3:6" ht="11.25">
      <c r="C28" s="343"/>
      <c r="F28" s="343"/>
    </row>
  </sheetData>
  <printOptions/>
  <pageMargins left="0.5" right="0.5" top="1" bottom="0.5" header="0.75" footer="0.25"/>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L64"/>
  <sheetViews>
    <sheetView workbookViewId="0" topLeftCell="A35">
      <selection activeCell="D64" sqref="D64"/>
    </sheetView>
  </sheetViews>
  <sheetFormatPr defaultColWidth="8.88671875" defaultRowHeight="15.75"/>
  <cols>
    <col min="1" max="1" width="3.5546875" style="7" customWidth="1"/>
    <col min="2" max="2" width="28.10546875" style="7" customWidth="1"/>
    <col min="3" max="3" width="8.88671875" style="7" customWidth="1"/>
    <col min="4" max="4" width="9.99609375" style="7" customWidth="1"/>
    <col min="5" max="5" width="8.21484375" style="7" customWidth="1"/>
    <col min="6" max="16384" width="8.88671875" style="7" customWidth="1"/>
  </cols>
  <sheetData>
    <row r="1" s="6" customFormat="1" ht="12.75" customHeight="1">
      <c r="A1" s="163" t="str">
        <f>Doc!A1</f>
        <v>Base Year 1998 - USPS Version</v>
      </c>
    </row>
    <row r="2" s="6" customFormat="1" ht="12.75" customHeight="1">
      <c r="A2" s="163" t="str">
        <f>Doc!A2</f>
        <v>C/S 10 RURAL CARRIERS</v>
      </c>
    </row>
    <row r="3" s="6" customFormat="1" ht="12.75" customHeight="1">
      <c r="A3" s="166" t="str">
        <f>Doc!A15&amp;" "&amp;Doc!B15</f>
        <v>WS 10.0.3 P2 MAIL SHAPE ADJUSTMENT, PART 2</v>
      </c>
    </row>
    <row r="4" s="6" customFormat="1" ht="12.75" customHeight="1">
      <c r="A4" s="166"/>
    </row>
    <row r="5" spans="1:12" ht="33.75">
      <c r="A5" s="184" t="s">
        <v>37</v>
      </c>
      <c r="B5" s="203" t="s">
        <v>38</v>
      </c>
      <c r="C5" s="184" t="str">
        <f>'Inputs DK'!D5</f>
        <v>UNADJUSTED LETTERS DEL</v>
      </c>
      <c r="D5" s="185" t="s">
        <v>207</v>
      </c>
      <c r="E5" s="184" t="str">
        <f>Inputs!C35</f>
        <v>DPS/SECTOR ADJUST PERCENT</v>
      </c>
      <c r="F5" s="185" t="s">
        <v>208</v>
      </c>
      <c r="G5" s="185" t="s">
        <v>209</v>
      </c>
      <c r="H5" s="184" t="s">
        <v>210</v>
      </c>
      <c r="I5" s="184" t="s">
        <v>211</v>
      </c>
      <c r="J5" s="184" t="s">
        <v>212</v>
      </c>
      <c r="K5" s="18"/>
      <c r="L5" s="19"/>
    </row>
    <row r="6" spans="1:12" ht="11.25">
      <c r="A6" s="58"/>
      <c r="B6" s="326" t="s">
        <v>43</v>
      </c>
      <c r="C6" s="23">
        <v>-1</v>
      </c>
      <c r="D6" s="23">
        <f aca="true" t="shared" si="0" ref="D6:J6">C6-1</f>
        <v>-2</v>
      </c>
      <c r="E6" s="23">
        <f t="shared" si="0"/>
        <v>-3</v>
      </c>
      <c r="F6" s="23">
        <f t="shared" si="0"/>
        <v>-4</v>
      </c>
      <c r="G6" s="23">
        <f t="shared" si="0"/>
        <v>-5</v>
      </c>
      <c r="H6" s="23">
        <f t="shared" si="0"/>
        <v>-6</v>
      </c>
      <c r="I6" s="23">
        <f t="shared" si="0"/>
        <v>-7</v>
      </c>
      <c r="J6" s="23">
        <f t="shared" si="0"/>
        <v>-8</v>
      </c>
      <c r="K6" s="18"/>
      <c r="L6" s="19"/>
    </row>
    <row r="7" spans="1:12" ht="22.5">
      <c r="A7" s="30"/>
      <c r="B7" s="316" t="s">
        <v>185</v>
      </c>
      <c r="C7" s="72"/>
      <c r="D7" s="72" t="str">
        <f>"=C"&amp;-C6&amp;"xC"&amp;-'10.0.3 P1'!F6&amp;"L"&amp;'10.0.3 P1'!A24&amp;" from "&amp;Doc!A14&amp;"; "&amp;Endnotes!C8</f>
        <v>=C1xC4L15 from WS 10.0.3 P1; [a]</v>
      </c>
      <c r="E7" s="72"/>
      <c r="F7" s="72" t="str">
        <f>"C"&amp;-D6&amp;"xC"&amp;-E6</f>
        <v>C2xC3</v>
      </c>
      <c r="G7" s="72" t="str">
        <f>IF(Doc!$A$5=Doc!$B$5,"=C"&amp;-D6,"=C"&amp;-D6&amp;"-C"&amp;-F6)</f>
        <v>=C2-C4</v>
      </c>
      <c r="H7" s="72"/>
      <c r="I7" s="72" t="str">
        <f>"=C"&amp;-C6&amp;"-C"&amp;-D6</f>
        <v>=C1-C2</v>
      </c>
      <c r="J7" s="72" t="str">
        <f>"=C"&amp;-H6&amp;"+C"&amp;-I6</f>
        <v>=C6+C7</v>
      </c>
      <c r="K7" s="18"/>
      <c r="L7" s="19"/>
    </row>
    <row r="8" spans="1:12" ht="11.25">
      <c r="A8" s="30"/>
      <c r="B8" s="316" t="s">
        <v>44</v>
      </c>
      <c r="C8" s="46" t="str">
        <f>'Inputs DK'!D7</f>
        <v>Pieces (000)</v>
      </c>
      <c r="D8" s="46" t="str">
        <f>C8</f>
        <v>Pieces (000)</v>
      </c>
      <c r="E8" s="46" t="str">
        <f>Inputs!C36</f>
        <v>%</v>
      </c>
      <c r="F8" s="46" t="str">
        <f>D8</f>
        <v>Pieces (000)</v>
      </c>
      <c r="G8" s="46" t="str">
        <f>F8</f>
        <v>Pieces (000)</v>
      </c>
      <c r="H8" s="46" t="str">
        <f>'Inputs DK'!E7</f>
        <v>Pieces (000)</v>
      </c>
      <c r="I8" s="46" t="str">
        <f>D8</f>
        <v>Pieces (000)</v>
      </c>
      <c r="J8" s="46" t="str">
        <f>H8</f>
        <v>Pieces (000)</v>
      </c>
      <c r="K8" s="18"/>
      <c r="L8" s="19"/>
    </row>
    <row r="9" spans="1:12" ht="11.25">
      <c r="A9" s="118"/>
      <c r="B9" s="293" t="s">
        <v>46</v>
      </c>
      <c r="C9" s="105" t="str">
        <f>'Inputs DK'!D9</f>
        <v>Rural CCS</v>
      </c>
      <c r="D9" s="119"/>
      <c r="E9" s="105" t="str">
        <f>Endnotes!C9</f>
        <v>[b]</v>
      </c>
      <c r="F9" s="105"/>
      <c r="G9" s="119"/>
      <c r="H9" s="105" t="str">
        <f>'Inputs DK'!E9</f>
        <v>Rural CCS</v>
      </c>
      <c r="I9" s="105"/>
      <c r="J9" s="105"/>
      <c r="K9" s="18"/>
      <c r="L9" s="19"/>
    </row>
    <row r="10" spans="1:12" ht="11.25" customHeight="1">
      <c r="A10" s="81">
        <v>1</v>
      </c>
      <c r="B10" s="92" t="str">
        <f>'10.0.4'!B10</f>
        <v>FIRST-CLASS MAIL:</v>
      </c>
      <c r="C10" s="53"/>
      <c r="D10" s="41"/>
      <c r="E10" s="52"/>
      <c r="F10" s="52"/>
      <c r="G10" s="52"/>
      <c r="H10" s="53"/>
      <c r="I10" s="52" t="s">
        <v>213</v>
      </c>
      <c r="J10" s="53"/>
      <c r="K10" s="11"/>
      <c r="L10" s="11"/>
    </row>
    <row r="11" spans="1:12" ht="11.25">
      <c r="A11" s="81">
        <f aca="true" t="shared" si="1" ref="A11:A17">A10+1</f>
        <v>2</v>
      </c>
      <c r="B11" s="24" t="str">
        <f>'10.0.4'!B11</f>
        <v>   SINGLE-PIECE LETTERS</v>
      </c>
      <c r="C11" s="266">
        <f>'Inputs DK'!D11</f>
        <v>6613969</v>
      </c>
      <c r="D11" s="279">
        <f>C11*'10.0.3 P1'!$F$24</f>
        <v>5746444.337249423</v>
      </c>
      <c r="E11" s="347">
        <f>Inputs!C40</f>
        <v>0.444</v>
      </c>
      <c r="F11" s="266">
        <f>D11*E11</f>
        <v>2551421.285738744</v>
      </c>
      <c r="G11" s="279">
        <f>D11-F11</f>
        <v>3195023.0515106795</v>
      </c>
      <c r="H11" s="266">
        <f>'Inputs DK'!E11</f>
        <v>765366</v>
      </c>
      <c r="I11" s="279">
        <f>C11-D11</f>
        <v>867524.6627505766</v>
      </c>
      <c r="J11" s="279">
        <f>I11+H11</f>
        <v>1632890.6627505766</v>
      </c>
      <c r="K11" s="20"/>
      <c r="L11" s="20"/>
    </row>
    <row r="12" spans="1:12" ht="11.25">
      <c r="A12" s="81">
        <f t="shared" si="1"/>
        <v>3</v>
      </c>
      <c r="B12" s="24" t="str">
        <f>'10.0.4'!B12</f>
        <v>   PRESORT LETTERS</v>
      </c>
      <c r="C12" s="266">
        <f>'Inputs DK'!D12</f>
        <v>8546319</v>
      </c>
      <c r="D12" s="279">
        <f>C12*'10.0.3 P1'!$F$24</f>
        <v>7425336.6506370315</v>
      </c>
      <c r="E12" s="347">
        <f>Inputs!C41</f>
        <v>0.64</v>
      </c>
      <c r="F12" s="266">
        <f>D12*E12</f>
        <v>4752215.456407701</v>
      </c>
      <c r="G12" s="279">
        <f>D12-F12</f>
        <v>2673121.194229331</v>
      </c>
      <c r="H12" s="266">
        <f>'Inputs DK'!E12</f>
        <v>374354</v>
      </c>
      <c r="I12" s="279">
        <f>C12-D12</f>
        <v>1120982.3493629685</v>
      </c>
      <c r="J12" s="279">
        <f>I12+H12</f>
        <v>1495336.3493629685</v>
      </c>
      <c r="K12" s="20"/>
      <c r="L12" s="20"/>
    </row>
    <row r="13" spans="1:12" ht="11.25">
      <c r="A13" s="81">
        <f t="shared" si="1"/>
        <v>4</v>
      </c>
      <c r="B13" s="24" t="str">
        <f>'10.0.4'!B13</f>
        <v>        TOTAL LETTERS</v>
      </c>
      <c r="C13" s="279">
        <f>SUM(C11:C12)</f>
        <v>15160288</v>
      </c>
      <c r="D13" s="279">
        <f>SUM(D11:D12)</f>
        <v>13171780.987886455</v>
      </c>
      <c r="E13" s="347"/>
      <c r="F13" s="279">
        <f>SUM(F11:F12)</f>
        <v>7303636.7421464445</v>
      </c>
      <c r="G13" s="279">
        <f>SUM(G11:G12)</f>
        <v>5868144.24574001</v>
      </c>
      <c r="H13" s="279">
        <f>SUM(H11:H12)</f>
        <v>1139720</v>
      </c>
      <c r="I13" s="279">
        <f>SUM(I11:I12)</f>
        <v>1988507.012113545</v>
      </c>
      <c r="J13" s="279">
        <f>SUM(J11:J12)</f>
        <v>3128227.012113545</v>
      </c>
      <c r="K13" s="20"/>
      <c r="L13" s="20"/>
    </row>
    <row r="14" spans="1:12" ht="11.25">
      <c r="A14" s="81">
        <f t="shared" si="1"/>
        <v>5</v>
      </c>
      <c r="B14" s="24" t="str">
        <f>'10.0.4'!B14</f>
        <v>   SINGLE-PIECE CARDS</v>
      </c>
      <c r="C14" s="266">
        <f>'Inputs DK'!D14</f>
        <v>621441</v>
      </c>
      <c r="D14" s="279">
        <f>C14</f>
        <v>621441</v>
      </c>
      <c r="E14" s="347">
        <f>Inputs!C42</f>
        <v>0.444</v>
      </c>
      <c r="F14" s="266">
        <f>D14*E14</f>
        <v>275919.804</v>
      </c>
      <c r="G14" s="279">
        <f>D14-F14</f>
        <v>345521.196</v>
      </c>
      <c r="H14" s="266">
        <f>'Inputs DK'!E14</f>
        <v>0</v>
      </c>
      <c r="I14" s="279">
        <f>C14-D14</f>
        <v>0</v>
      </c>
      <c r="J14" s="279">
        <f>I14+H14</f>
        <v>0</v>
      </c>
      <c r="K14" s="20"/>
      <c r="L14" s="20"/>
    </row>
    <row r="15" spans="1:12" ht="11.25">
      <c r="A15" s="81">
        <f t="shared" si="1"/>
        <v>6</v>
      </c>
      <c r="B15" s="24" t="str">
        <f>'10.0.4'!B15</f>
        <v>   PRESORT CARDS</v>
      </c>
      <c r="C15" s="266">
        <f>'Inputs DK'!D15</f>
        <v>512517</v>
      </c>
      <c r="D15" s="279">
        <f>C15</f>
        <v>512517</v>
      </c>
      <c r="E15" s="347">
        <f>Inputs!C43</f>
        <v>0.64</v>
      </c>
      <c r="F15" s="266">
        <f>D15*E15</f>
        <v>328010.88</v>
      </c>
      <c r="G15" s="279">
        <f>D15-F15</f>
        <v>184506.12</v>
      </c>
      <c r="H15" s="266">
        <f>'Inputs DK'!E15</f>
        <v>0</v>
      </c>
      <c r="I15" s="279">
        <f>C15-D15</f>
        <v>0</v>
      </c>
      <c r="J15" s="279">
        <f>I15+H15</f>
        <v>0</v>
      </c>
      <c r="K15" s="20"/>
      <c r="L15" s="20"/>
    </row>
    <row r="16" spans="1:12" ht="11.25">
      <c r="A16" s="81">
        <f t="shared" si="1"/>
        <v>7</v>
      </c>
      <c r="B16" s="24" t="str">
        <f>'10.0.4'!B16</f>
        <v>        TOTAL CARDS</v>
      </c>
      <c r="C16" s="279">
        <f>SUM(C14:C15)</f>
        <v>1133958</v>
      </c>
      <c r="D16" s="279">
        <f>SUM(D14:D15)</f>
        <v>1133958</v>
      </c>
      <c r="E16" s="347"/>
      <c r="F16" s="279">
        <f>SUM(F14:F15)</f>
        <v>603930.684</v>
      </c>
      <c r="G16" s="279">
        <f>SUM(G14:G15)</f>
        <v>530027.316</v>
      </c>
      <c r="H16" s="279">
        <f>SUM(H14:H15)</f>
        <v>0</v>
      </c>
      <c r="I16" s="279">
        <f>SUM(I14:I15)</f>
        <v>0</v>
      </c>
      <c r="J16" s="279">
        <f>SUM(J14:J15)</f>
        <v>0</v>
      </c>
      <c r="K16" s="20"/>
      <c r="L16" s="20"/>
    </row>
    <row r="17" spans="1:12" ht="11.25">
      <c r="A17" s="82">
        <f t="shared" si="1"/>
        <v>8</v>
      </c>
      <c r="B17" s="93" t="str">
        <f>'10.0.4'!B17</f>
        <v>TOTAL FIRST-CLASS </v>
      </c>
      <c r="C17" s="280">
        <f>SUM(C13,C16)</f>
        <v>16294246</v>
      </c>
      <c r="D17" s="280">
        <f>SUM(D13,D16)</f>
        <v>14305738.987886455</v>
      </c>
      <c r="E17" s="348"/>
      <c r="F17" s="280">
        <f>SUM(F13,F16)</f>
        <v>7907567.426146445</v>
      </c>
      <c r="G17" s="280">
        <f>SUM(G13,G16)</f>
        <v>6398171.56174001</v>
      </c>
      <c r="H17" s="280">
        <f>SUM(H13,H16)</f>
        <v>1139720</v>
      </c>
      <c r="I17" s="280">
        <f>SUM(I13,I16)</f>
        <v>1988507.012113545</v>
      </c>
      <c r="J17" s="280">
        <f>SUM(J13,J16)</f>
        <v>3128227.012113545</v>
      </c>
      <c r="K17" s="20"/>
      <c r="L17" s="20"/>
    </row>
    <row r="18" spans="1:12" ht="11.25">
      <c r="A18" s="81">
        <f aca="true" t="shared" si="2" ref="A18:A26">A17+1</f>
        <v>9</v>
      </c>
      <c r="B18" s="92" t="str">
        <f>'10.0.4'!B18</f>
        <v>PRIORITY MAIL</v>
      </c>
      <c r="C18" s="266">
        <f>'Inputs DK'!D18</f>
        <v>12170</v>
      </c>
      <c r="D18" s="279">
        <f>C18*'10.0.3 P1'!$F$24</f>
        <v>10573.715659133795</v>
      </c>
      <c r="E18" s="347"/>
      <c r="F18" s="270"/>
      <c r="G18" s="279">
        <f>D18-F18</f>
        <v>10573.715659133795</v>
      </c>
      <c r="H18" s="266">
        <f>'Inputs DK'!E18</f>
        <v>99083</v>
      </c>
      <c r="I18" s="279">
        <f>C18-D18</f>
        <v>1596.2843408662047</v>
      </c>
      <c r="J18" s="279">
        <f>I18+H18</f>
        <v>100679.2843408662</v>
      </c>
      <c r="K18" s="20"/>
      <c r="L18" s="20"/>
    </row>
    <row r="19" spans="1:12" ht="11.25">
      <c r="A19" s="81">
        <f t="shared" si="2"/>
        <v>10</v>
      </c>
      <c r="B19" s="92" t="str">
        <f>'10.0.4'!B19</f>
        <v>EXPRESS MAIL</v>
      </c>
      <c r="C19" s="266">
        <f>'Inputs DK'!D19</f>
        <v>0</v>
      </c>
      <c r="D19" s="279">
        <f>C19*'10.0.3 P1'!$F$24</f>
        <v>0</v>
      </c>
      <c r="E19" s="347"/>
      <c r="F19" s="270"/>
      <c r="G19" s="279">
        <f>D19-F19</f>
        <v>0</v>
      </c>
      <c r="H19" s="266">
        <f>'Inputs DK'!E19</f>
        <v>0</v>
      </c>
      <c r="I19" s="279">
        <f>C19-D19</f>
        <v>0</v>
      </c>
      <c r="J19" s="279">
        <f>I19+H19</f>
        <v>0</v>
      </c>
      <c r="K19" s="20"/>
      <c r="L19" s="20"/>
    </row>
    <row r="20" spans="1:12" ht="11.25">
      <c r="A20" s="82">
        <f t="shared" si="2"/>
        <v>11</v>
      </c>
      <c r="B20" s="93" t="str">
        <f>'10.0.4'!B20</f>
        <v>MAILGRAMS</v>
      </c>
      <c r="C20" s="271">
        <f>'Inputs DK'!D20</f>
        <v>5113</v>
      </c>
      <c r="D20" s="280">
        <f>C20</f>
        <v>5113</v>
      </c>
      <c r="E20" s="348"/>
      <c r="F20" s="282"/>
      <c r="G20" s="282">
        <f>D20-F20</f>
        <v>5113</v>
      </c>
      <c r="H20" s="271">
        <f>'Inputs DK'!E20</f>
        <v>0</v>
      </c>
      <c r="I20" s="280">
        <f>C20-D20</f>
        <v>0</v>
      </c>
      <c r="J20" s="280">
        <f>I20+H20</f>
        <v>0</v>
      </c>
      <c r="K20" s="20"/>
      <c r="L20" s="20"/>
    </row>
    <row r="21" spans="1:12" ht="11.25">
      <c r="A21" s="81">
        <f t="shared" si="2"/>
        <v>12</v>
      </c>
      <c r="B21" s="92" t="str">
        <f>'10.0.4'!B21</f>
        <v>PERIODICALS:</v>
      </c>
      <c r="C21" s="266"/>
      <c r="D21" s="279"/>
      <c r="E21" s="347"/>
      <c r="F21" s="266"/>
      <c r="G21" s="279"/>
      <c r="H21" s="266"/>
      <c r="I21" s="279"/>
      <c r="J21" s="279"/>
      <c r="K21" s="20"/>
      <c r="L21" s="20"/>
    </row>
    <row r="22" spans="1:12" ht="11.25">
      <c r="A22" s="81">
        <f t="shared" si="2"/>
        <v>13</v>
      </c>
      <c r="B22" s="24" t="str">
        <f>'10.0.4'!B22</f>
        <v>   IN-COUNTY</v>
      </c>
      <c r="C22" s="266">
        <f>'Inputs DK'!D22</f>
        <v>190275</v>
      </c>
      <c r="D22" s="279">
        <f>C22*'10.0.3 P1'!$F$24</f>
        <v>165317.4812688318</v>
      </c>
      <c r="E22" s="347"/>
      <c r="F22" s="266"/>
      <c r="G22" s="279">
        <f>D22-F22</f>
        <v>165317.4812688318</v>
      </c>
      <c r="H22" s="266">
        <f>'Inputs DK'!E22</f>
        <v>2567287</v>
      </c>
      <c r="I22" s="279">
        <f>C22-D22</f>
        <v>24957.51873116821</v>
      </c>
      <c r="J22" s="279">
        <f>I22+H22</f>
        <v>2592244.518731168</v>
      </c>
      <c r="K22" s="20"/>
      <c r="L22" s="20"/>
    </row>
    <row r="23" spans="1:12" ht="11.25">
      <c r="A23" s="81">
        <f t="shared" si="2"/>
        <v>14</v>
      </c>
      <c r="B23" s="24" t="str">
        <f>'10.0.4'!B23</f>
        <v>   OUTSIDE COUNTY:</v>
      </c>
      <c r="C23" s="266"/>
      <c r="D23" s="281"/>
      <c r="E23" s="349"/>
      <c r="F23" s="266"/>
      <c r="G23" s="281"/>
      <c r="H23" s="266"/>
      <c r="I23" s="281"/>
      <c r="J23" s="281"/>
      <c r="K23" s="11"/>
      <c r="L23" s="11"/>
    </row>
    <row r="24" spans="1:12" ht="11.25">
      <c r="A24" s="81">
        <f t="shared" si="2"/>
        <v>15</v>
      </c>
      <c r="B24" s="24" t="str">
        <f>'10.0.4'!B24</f>
        <v>      REGULAR</v>
      </c>
      <c r="C24" s="266">
        <f>'Inputs DK'!D24</f>
        <v>0</v>
      </c>
      <c r="D24" s="279">
        <f>C24*'10.0.3 P1'!$F$24</f>
        <v>0</v>
      </c>
      <c r="E24" s="347"/>
      <c r="F24" s="266"/>
      <c r="G24" s="279">
        <f>D24-F24</f>
        <v>0</v>
      </c>
      <c r="H24" s="266">
        <f>'Inputs DK'!E24</f>
        <v>0</v>
      </c>
      <c r="I24" s="279"/>
      <c r="J24" s="279">
        <f>I24+H24</f>
        <v>0</v>
      </c>
      <c r="K24" s="20"/>
      <c r="L24" s="20"/>
    </row>
    <row r="25" spans="1:12" ht="11.25">
      <c r="A25" s="81">
        <f t="shared" si="2"/>
        <v>16</v>
      </c>
      <c r="B25" s="24" t="str">
        <f>'10.0.4'!B25</f>
        <v>      NON-PROFIT</v>
      </c>
      <c r="C25" s="266">
        <f>'Inputs DK'!D25</f>
        <v>0</v>
      </c>
      <c r="D25" s="279">
        <f>C25*'10.0.3 P1'!$F$24</f>
        <v>0</v>
      </c>
      <c r="E25" s="347"/>
      <c r="F25" s="266"/>
      <c r="G25" s="279">
        <f>D25-F25</f>
        <v>0</v>
      </c>
      <c r="H25" s="266">
        <f>'Inputs DK'!E25</f>
        <v>0</v>
      </c>
      <c r="I25" s="279"/>
      <c r="J25" s="279">
        <f>I25+H25</f>
        <v>0</v>
      </c>
      <c r="K25" s="20"/>
      <c r="L25" s="20"/>
    </row>
    <row r="26" spans="1:12" ht="11.25">
      <c r="A26" s="81">
        <f t="shared" si="2"/>
        <v>17</v>
      </c>
      <c r="B26" s="24" t="str">
        <f>'10.0.4'!B26</f>
        <v>      CLASSROOM</v>
      </c>
      <c r="C26" s="266">
        <f>'Inputs DK'!D26</f>
        <v>0</v>
      </c>
      <c r="D26" s="279">
        <f>C26*'10.0.3 P1'!$F$24</f>
        <v>0</v>
      </c>
      <c r="E26" s="347"/>
      <c r="F26" s="266"/>
      <c r="G26" s="279">
        <f>D26-F26</f>
        <v>0</v>
      </c>
      <c r="H26" s="266">
        <f>'Inputs DK'!E26</f>
        <v>0</v>
      </c>
      <c r="I26" s="279"/>
      <c r="J26" s="279">
        <f>I26+H26</f>
        <v>0</v>
      </c>
      <c r="K26" s="20"/>
      <c r="L26" s="20"/>
    </row>
    <row r="27" spans="1:12" ht="11.25">
      <c r="A27" s="82">
        <f>A26+1</f>
        <v>18</v>
      </c>
      <c r="B27" s="93" t="str">
        <f>'10.0.4'!B27</f>
        <v>TOTAL PERIODICALS</v>
      </c>
      <c r="C27" s="280">
        <f>SUM(C22,C24:C26)</f>
        <v>190275</v>
      </c>
      <c r="D27" s="280">
        <f>SUM(D22,D24:D26)</f>
        <v>165317.4812688318</v>
      </c>
      <c r="E27" s="348"/>
      <c r="F27" s="282"/>
      <c r="G27" s="280">
        <f>SUM(G22,G24:G26)</f>
        <v>165317.4812688318</v>
      </c>
      <c r="H27" s="280">
        <f>SUM(H22,H24:H26)</f>
        <v>2567287</v>
      </c>
      <c r="I27" s="280">
        <f>SUM(I22,I24:I26)</f>
        <v>24957.51873116821</v>
      </c>
      <c r="J27" s="280">
        <f>SUM(J22,J24:J26)</f>
        <v>2592244.518731168</v>
      </c>
      <c r="K27" s="20"/>
      <c r="L27" s="20"/>
    </row>
    <row r="28" spans="1:12" ht="11.25">
      <c r="A28" s="81">
        <f aca="true" t="shared" si="3" ref="A28:A42">A27+1</f>
        <v>19</v>
      </c>
      <c r="B28" s="92" t="str">
        <f>'10.0.4'!B28</f>
        <v>STANDARD MAIL (A):</v>
      </c>
      <c r="C28" s="266"/>
      <c r="D28" s="279"/>
      <c r="E28" s="347"/>
      <c r="F28" s="266"/>
      <c r="G28" s="279"/>
      <c r="H28" s="266"/>
      <c r="I28" s="279"/>
      <c r="J28" s="279"/>
      <c r="K28" s="20"/>
      <c r="L28" s="20"/>
    </row>
    <row r="29" spans="1:12" ht="11.25">
      <c r="A29" s="81">
        <f t="shared" si="3"/>
        <v>20</v>
      </c>
      <c r="B29" s="24" t="str">
        <f>'10.0.4'!B29</f>
        <v>   SINGLE-PIECE RATE</v>
      </c>
      <c r="C29" s="266">
        <f>'Inputs DK'!D29</f>
        <v>4213</v>
      </c>
      <c r="D29" s="279">
        <f>C29*'10.0.3 P1'!$F$24</f>
        <v>3660.3996772334162</v>
      </c>
      <c r="E29" s="347"/>
      <c r="F29" s="270"/>
      <c r="G29" s="279">
        <f>D29-F29</f>
        <v>3660.3996772334162</v>
      </c>
      <c r="H29" s="266">
        <f>'Inputs DK'!E29</f>
        <v>5882</v>
      </c>
      <c r="I29" s="279">
        <f>C29-D29</f>
        <v>552.6003227665838</v>
      </c>
      <c r="J29" s="279">
        <f>I29+H29</f>
        <v>6434.600322766584</v>
      </c>
      <c r="K29" s="20"/>
      <c r="L29" s="20"/>
    </row>
    <row r="30" spans="1:12" ht="11.25">
      <c r="A30" s="81">
        <f t="shared" si="3"/>
        <v>21</v>
      </c>
      <c r="B30" s="24" t="str">
        <f>'10.0.4'!B30</f>
        <v>   COMMERCIAL STANDARD:</v>
      </c>
      <c r="C30" s="266"/>
      <c r="D30" s="281"/>
      <c r="E30" s="349"/>
      <c r="F30" s="266"/>
      <c r="G30" s="281"/>
      <c r="H30" s="266"/>
      <c r="I30" s="281"/>
      <c r="J30" s="281"/>
      <c r="K30" s="11"/>
      <c r="L30" s="11"/>
    </row>
    <row r="31" spans="1:12" ht="11.25">
      <c r="A31" s="81">
        <f t="shared" si="3"/>
        <v>22</v>
      </c>
      <c r="B31" s="24" t="str">
        <f>'10.0.4'!B31</f>
        <v>    ENHANCED CARR RTE</v>
      </c>
      <c r="C31" s="266">
        <f>'Inputs DK'!D31</f>
        <v>1935951</v>
      </c>
      <c r="D31" s="279">
        <f>C31*'10.0.3 P1'!$F$24</f>
        <v>1682020.986361194</v>
      </c>
      <c r="E31" s="347">
        <f>Inputs!C45</f>
        <v>0.093</v>
      </c>
      <c r="F31" s="266">
        <f>D31*E31</f>
        <v>156427.95173159105</v>
      </c>
      <c r="G31" s="279">
        <f>D31-F31</f>
        <v>1525593.034629603</v>
      </c>
      <c r="H31" s="266">
        <f>'Inputs DK'!E31</f>
        <v>3365060</v>
      </c>
      <c r="I31" s="279">
        <f>C31-D31</f>
        <v>253930.01363880606</v>
      </c>
      <c r="J31" s="279">
        <f>I31+H31</f>
        <v>3618990.013638806</v>
      </c>
      <c r="K31" s="20"/>
      <c r="L31" s="20"/>
    </row>
    <row r="32" spans="1:12" ht="11.25">
      <c r="A32" s="81">
        <f t="shared" si="3"/>
        <v>23</v>
      </c>
      <c r="B32" s="24" t="str">
        <f>'10.0.4'!B32</f>
        <v>    REGULAR</v>
      </c>
      <c r="C32" s="266">
        <f>'Inputs DK'!D32</f>
        <v>4109229</v>
      </c>
      <c r="D32" s="279">
        <f>C32*'10.0.3 P1'!$F$24</f>
        <v>3570239.8540892936</v>
      </c>
      <c r="E32" s="347">
        <f>Inputs!C46</f>
        <v>0.618</v>
      </c>
      <c r="F32" s="266">
        <f>D32*E32</f>
        <v>2206408.2298271833</v>
      </c>
      <c r="G32" s="279">
        <f>D32-F32</f>
        <v>1363831.6242621103</v>
      </c>
      <c r="H32" s="266">
        <f>'Inputs DK'!E32</f>
        <v>3542673</v>
      </c>
      <c r="I32" s="279">
        <f>C32-D32</f>
        <v>538989.1459107064</v>
      </c>
      <c r="J32" s="279">
        <f>I32+H32</f>
        <v>4081662.1459107064</v>
      </c>
      <c r="K32" s="20"/>
      <c r="L32" s="20"/>
    </row>
    <row r="33" spans="1:12" ht="11.25">
      <c r="A33" s="81">
        <f t="shared" si="3"/>
        <v>24</v>
      </c>
      <c r="B33" s="92" t="str">
        <f>'10.0.4'!B33</f>
        <v>      TOTAL COMMERCIAL</v>
      </c>
      <c r="C33" s="279">
        <f>SUM(C31:C32)</f>
        <v>6045180</v>
      </c>
      <c r="D33" s="279">
        <f>SUM(D31:D32)</f>
        <v>5252260.840450488</v>
      </c>
      <c r="E33" s="347"/>
      <c r="F33" s="279">
        <f>SUM(F31:F32)</f>
        <v>2362836.1815587743</v>
      </c>
      <c r="G33" s="279">
        <f>SUM(G31:G32)</f>
        <v>2889424.6588917132</v>
      </c>
      <c r="H33" s="279">
        <f>SUM(H31:H32)</f>
        <v>6907733</v>
      </c>
      <c r="I33" s="279">
        <f>SUM(I31:I32)</f>
        <v>792919.1595495124</v>
      </c>
      <c r="J33" s="279">
        <f>SUM(J31:J32)</f>
        <v>7700652.159549512</v>
      </c>
      <c r="K33" s="20"/>
      <c r="L33" s="20"/>
    </row>
    <row r="34" spans="1:12" ht="11.25">
      <c r="A34" s="81">
        <f t="shared" si="3"/>
        <v>25</v>
      </c>
      <c r="B34" s="24" t="str">
        <f>'10.0.4'!B34</f>
        <v>   AGGREGATE NONPROFIT:</v>
      </c>
      <c r="C34" s="266"/>
      <c r="D34" s="279"/>
      <c r="E34" s="347"/>
      <c r="F34" s="266"/>
      <c r="G34" s="279"/>
      <c r="H34" s="266"/>
      <c r="I34" s="279"/>
      <c r="J34" s="279"/>
      <c r="K34" s="20"/>
      <c r="L34" s="20"/>
    </row>
    <row r="35" spans="1:12" ht="11.25">
      <c r="A35" s="81">
        <f t="shared" si="3"/>
        <v>26</v>
      </c>
      <c r="B35" s="24" t="str">
        <f>'10.0.4'!B35</f>
        <v>    NONPROF ENH CARR RTE</v>
      </c>
      <c r="C35" s="266">
        <f>'Inputs DK'!D35</f>
        <v>143508</v>
      </c>
      <c r="D35" s="279">
        <f>C35*'10.0.3 P1'!$F$24</f>
        <v>124684.69899843654</v>
      </c>
      <c r="E35" s="347">
        <f>Inputs!C47</f>
        <v>0.1</v>
      </c>
      <c r="F35" s="266">
        <f>D35*E35</f>
        <v>12468.469899843654</v>
      </c>
      <c r="G35" s="279">
        <f>D35-F35</f>
        <v>112216.22909859288</v>
      </c>
      <c r="H35" s="266">
        <f>'Inputs DK'!E35</f>
        <v>114632</v>
      </c>
      <c r="I35" s="279">
        <f>C35-D35</f>
        <v>18823.301001563465</v>
      </c>
      <c r="J35" s="279">
        <f>I35+H35</f>
        <v>133455.30100156346</v>
      </c>
      <c r="K35" s="20"/>
      <c r="L35" s="20"/>
    </row>
    <row r="36" spans="1:12" ht="11.25">
      <c r="A36" s="81">
        <f t="shared" si="3"/>
        <v>27</v>
      </c>
      <c r="B36" s="24" t="str">
        <f>'10.0.4'!B36</f>
        <v>    NONPROFIT</v>
      </c>
      <c r="C36" s="266">
        <f>'Inputs DK'!D36</f>
        <v>1472216</v>
      </c>
      <c r="D36" s="279">
        <f>C36*'10.0.3 P1'!$F$24</f>
        <v>1279112.0273481775</v>
      </c>
      <c r="E36" s="347">
        <f>Inputs!C48</f>
        <v>0.583</v>
      </c>
      <c r="F36" s="266">
        <f>D36*E36</f>
        <v>745722.3119439874</v>
      </c>
      <c r="G36" s="279">
        <f>D36-F36</f>
        <v>533389.7154041901</v>
      </c>
      <c r="H36" s="266">
        <f>'Inputs DK'!E36</f>
        <v>496583</v>
      </c>
      <c r="I36" s="279">
        <f>C36-D36</f>
        <v>193103.9726518225</v>
      </c>
      <c r="J36" s="279">
        <f>I36+H36</f>
        <v>689686.9726518225</v>
      </c>
      <c r="K36" s="20"/>
      <c r="L36" s="20"/>
    </row>
    <row r="37" spans="1:12" ht="11.25">
      <c r="A37" s="81">
        <f t="shared" si="3"/>
        <v>28</v>
      </c>
      <c r="B37" s="92" t="str">
        <f>'10.0.4'!B37</f>
        <v>       TOTAL AGGREG NONPROFIT</v>
      </c>
      <c r="C37" s="279">
        <f>SUM(C35:C36)</f>
        <v>1615724</v>
      </c>
      <c r="D37" s="279">
        <f>SUM(D35:D36)</f>
        <v>1403796.726346614</v>
      </c>
      <c r="E37" s="127"/>
      <c r="F37" s="279">
        <f>SUM(F35:F36)</f>
        <v>758190.7818438311</v>
      </c>
      <c r="G37" s="279">
        <f>SUM(G35:G36)</f>
        <v>645605.944502783</v>
      </c>
      <c r="H37" s="279">
        <f>SUM(H35:H36)</f>
        <v>611215</v>
      </c>
      <c r="I37" s="279">
        <f>SUM(I35:I36)</f>
        <v>211927.27365338596</v>
      </c>
      <c r="J37" s="279">
        <f>SUM(J35:J36)</f>
        <v>823142.2736533859</v>
      </c>
      <c r="K37" s="20"/>
      <c r="L37" s="20"/>
    </row>
    <row r="38" spans="1:12" ht="11.25">
      <c r="A38" s="82">
        <f t="shared" si="3"/>
        <v>29</v>
      </c>
      <c r="B38" s="93" t="str">
        <f>'10.0.4'!B38</f>
        <v>TOTAL STANDARD (A)</v>
      </c>
      <c r="C38" s="280">
        <f>SUM(C29,C33,C37)</f>
        <v>7665117</v>
      </c>
      <c r="D38" s="280">
        <f>SUM(D29,D33,D37)</f>
        <v>6659717.966474336</v>
      </c>
      <c r="E38" s="245"/>
      <c r="F38" s="280">
        <f>SUM(F29,F33,F37)</f>
        <v>3121026.9634026056</v>
      </c>
      <c r="G38" s="280">
        <f>SUM(G29,G33,G37)</f>
        <v>3538691.0030717296</v>
      </c>
      <c r="H38" s="280">
        <f>SUM(H29,H33,H37)</f>
        <v>7524830</v>
      </c>
      <c r="I38" s="280">
        <f>SUM(I29,I33,I37)</f>
        <v>1005399.0335256649</v>
      </c>
      <c r="J38" s="280">
        <f>SUM(J29,J33,J37)</f>
        <v>8530229.033525664</v>
      </c>
      <c r="K38" s="20"/>
      <c r="L38" s="20"/>
    </row>
    <row r="39" spans="1:12" ht="11.25">
      <c r="A39" s="81">
        <f t="shared" si="3"/>
        <v>30</v>
      </c>
      <c r="B39" s="92" t="str">
        <f>'10.0.4'!B39</f>
        <v>STANDARD MAIL (B):</v>
      </c>
      <c r="C39" s="266"/>
      <c r="D39" s="279"/>
      <c r="E39" s="127"/>
      <c r="F39" s="279"/>
      <c r="G39" s="279"/>
      <c r="H39" s="266"/>
      <c r="I39" s="279"/>
      <c r="J39" s="279"/>
      <c r="K39" s="20"/>
      <c r="L39" s="20"/>
    </row>
    <row r="40" spans="1:12" ht="11.25">
      <c r="A40" s="81">
        <f t="shared" si="3"/>
        <v>31</v>
      </c>
      <c r="B40" s="24" t="str">
        <f>'10.0.4'!B40</f>
        <v>   PARCELS ZONE RATE</v>
      </c>
      <c r="C40" s="266">
        <f>'Inputs DK'!D40</f>
        <v>1531</v>
      </c>
      <c r="D40" s="279">
        <f>C40*'10.0.3 P1'!$F$24</f>
        <v>1330.1855936017946</v>
      </c>
      <c r="E40" s="127"/>
      <c r="F40" s="279"/>
      <c r="G40" s="279">
        <f>D40-F40</f>
        <v>1330.1855936017946</v>
      </c>
      <c r="H40" s="266">
        <f>'Inputs DK'!E40</f>
        <v>8916</v>
      </c>
      <c r="I40" s="279">
        <f>C40-D40</f>
        <v>200.8144063982054</v>
      </c>
      <c r="J40" s="279">
        <f>I40+H40</f>
        <v>9116.814406398205</v>
      </c>
      <c r="K40" s="20"/>
      <c r="L40" s="20"/>
    </row>
    <row r="41" spans="1:12" ht="11.25">
      <c r="A41" s="81">
        <f t="shared" si="3"/>
        <v>32</v>
      </c>
      <c r="B41" s="24" t="str">
        <f>'10.0.4'!B41</f>
        <v>   BOUND PRINTED MATTER</v>
      </c>
      <c r="C41" s="266">
        <f>'Inputs DK'!D41</f>
        <v>913</v>
      </c>
      <c r="D41" s="279">
        <f>C41*'10.0.3 P1'!$F$24</f>
        <v>793.2458830558056</v>
      </c>
      <c r="E41" s="127"/>
      <c r="F41" s="279"/>
      <c r="G41" s="279">
        <f>D41-F41</f>
        <v>793.2458830558056</v>
      </c>
      <c r="H41" s="266">
        <f>'Inputs DK'!E41</f>
        <v>38860</v>
      </c>
      <c r="I41" s="279">
        <f>C41-D41</f>
        <v>119.75411694419438</v>
      </c>
      <c r="J41" s="279">
        <f>I41+H41</f>
        <v>38979.7541169442</v>
      </c>
      <c r="K41" s="20"/>
      <c r="L41" s="20"/>
    </row>
    <row r="42" spans="1:12" ht="11.25">
      <c r="A42" s="81">
        <f t="shared" si="3"/>
        <v>33</v>
      </c>
      <c r="B42" s="24" t="str">
        <f>'10.0.4'!B42</f>
        <v>   SPECIAL STANDARD</v>
      </c>
      <c r="C42" s="266">
        <f>'Inputs DK'!D42</f>
        <v>611</v>
      </c>
      <c r="D42" s="279">
        <f>C42*'10.0.3 P1'!$F$24</f>
        <v>530.8578691644001</v>
      </c>
      <c r="E42" s="127"/>
      <c r="F42" s="279"/>
      <c r="G42" s="279">
        <f>D42-F42</f>
        <v>530.8578691644001</v>
      </c>
      <c r="H42" s="266">
        <f>'Inputs DK'!E42</f>
        <v>8308</v>
      </c>
      <c r="I42" s="279">
        <f>C42-D42</f>
        <v>80.14213083559991</v>
      </c>
      <c r="J42" s="279">
        <f>I42+H42</f>
        <v>8388.1421308356</v>
      </c>
      <c r="K42" s="20"/>
      <c r="L42" s="20"/>
    </row>
    <row r="43" spans="1:12" ht="11.25">
      <c r="A43" s="81">
        <f>A42+1</f>
        <v>34</v>
      </c>
      <c r="B43" s="24" t="str">
        <f>'10.0.4'!B43</f>
        <v>   LIBRARY MAIL</v>
      </c>
      <c r="C43" s="266">
        <f>'Inputs DK'!D43</f>
        <v>615</v>
      </c>
      <c r="D43" s="279">
        <f>C43*'10.0.3 P1'!$F$24</f>
        <v>534.3332070967366</v>
      </c>
      <c r="E43" s="127"/>
      <c r="F43" s="279"/>
      <c r="G43" s="279">
        <f>D43-F43</f>
        <v>534.3332070967366</v>
      </c>
      <c r="H43" s="266">
        <f>'Inputs DK'!E43</f>
        <v>1406</v>
      </c>
      <c r="I43" s="279">
        <f>C43-D43</f>
        <v>80.6667929032634</v>
      </c>
      <c r="J43" s="279">
        <f>I43+H43</f>
        <v>1486.6667929032633</v>
      </c>
      <c r="K43" s="20"/>
      <c r="L43" s="20"/>
    </row>
    <row r="44" spans="1:12" ht="11.25">
      <c r="A44" s="82">
        <f>A43+1</f>
        <v>35</v>
      </c>
      <c r="B44" s="93" t="str">
        <f>'10.0.4'!B44</f>
        <v>TOTAL STANDARD (B)</v>
      </c>
      <c r="C44" s="280">
        <f>SUM(C40:C43)</f>
        <v>3670</v>
      </c>
      <c r="D44" s="280">
        <f>SUM(D40:D43)</f>
        <v>3188.6225529187373</v>
      </c>
      <c r="E44" s="245"/>
      <c r="F44" s="280"/>
      <c r="G44" s="280">
        <f>SUM(G40:G43)</f>
        <v>3188.6225529187373</v>
      </c>
      <c r="H44" s="280">
        <f>SUM(H40:H43)</f>
        <v>57490</v>
      </c>
      <c r="I44" s="280">
        <f>SUM(I40:I43)</f>
        <v>481.3774470812631</v>
      </c>
      <c r="J44" s="280">
        <f>SUM(J40:J43)</f>
        <v>57971.377447081264</v>
      </c>
      <c r="K44" s="20"/>
      <c r="L44" s="20"/>
    </row>
    <row r="45" spans="1:12" ht="11.25">
      <c r="A45" s="81">
        <f aca="true" t="shared" si="4" ref="A45:A58">A44+1</f>
        <v>36</v>
      </c>
      <c r="B45" s="92" t="str">
        <f>'10.0.4'!B45</f>
        <v>US POSTAL SERVICE</v>
      </c>
      <c r="C45" s="266">
        <f>'Inputs DK'!D45</f>
        <v>26301</v>
      </c>
      <c r="D45" s="279">
        <f>C45*'10.0.3 P1'!$F$24</f>
        <v>22851.21573959556</v>
      </c>
      <c r="E45" s="127"/>
      <c r="F45" s="279"/>
      <c r="G45" s="279">
        <f>D45-F45</f>
        <v>22851.21573959556</v>
      </c>
      <c r="H45" s="266">
        <f>'Inputs DK'!E45</f>
        <v>3609</v>
      </c>
      <c r="I45" s="279">
        <f>C45-D45</f>
        <v>3449.7842604044417</v>
      </c>
      <c r="J45" s="279">
        <f>I45+H45</f>
        <v>7058.784260404442</v>
      </c>
      <c r="K45" s="20"/>
      <c r="L45" s="20"/>
    </row>
    <row r="46" spans="1:12" ht="11.25">
      <c r="A46" s="81">
        <f t="shared" si="4"/>
        <v>37</v>
      </c>
      <c r="B46" s="94" t="str">
        <f>'10.0.4'!B46</f>
        <v>FREE MAIL</v>
      </c>
      <c r="C46" s="266">
        <f>'Inputs DK'!D46</f>
        <v>3543</v>
      </c>
      <c r="D46" s="279">
        <f>C46*'10.0.3 P1'!$F$24</f>
        <v>3078.280573567053</v>
      </c>
      <c r="E46" s="127"/>
      <c r="F46" s="279"/>
      <c r="G46" s="279">
        <f>D46-F46</f>
        <v>3078.280573567053</v>
      </c>
      <c r="H46" s="266">
        <f>'Inputs DK'!E46</f>
        <v>3229</v>
      </c>
      <c r="I46" s="279">
        <f>C46-D46</f>
        <v>464.7194264329469</v>
      </c>
      <c r="J46" s="279">
        <f>I46+H46</f>
        <v>3693.719426432947</v>
      </c>
      <c r="K46" s="20"/>
      <c r="L46" s="20"/>
    </row>
    <row r="47" spans="1:12" ht="11.25">
      <c r="A47" s="81">
        <f t="shared" si="4"/>
        <v>38</v>
      </c>
      <c r="B47" s="92" t="str">
        <f>'10.0.4'!B47</f>
        <v>INTERNATIONAL MAIL</v>
      </c>
      <c r="C47" s="266">
        <f>'Inputs DK'!D47</f>
        <v>48662</v>
      </c>
      <c r="D47" s="279">
        <f>C47*'10.0.3 P1'!$F$24</f>
        <v>42279.22361583966</v>
      </c>
      <c r="E47" s="127"/>
      <c r="F47" s="279"/>
      <c r="G47" s="279">
        <f>D47-F47</f>
        <v>42279.22361583966</v>
      </c>
      <c r="H47" s="266">
        <f>'Inputs DK'!E47</f>
        <v>8996</v>
      </c>
      <c r="I47" s="279">
        <f>C47-D47</f>
        <v>6382.776384160337</v>
      </c>
      <c r="J47" s="279">
        <f>I47+H47</f>
        <v>15378.776384160337</v>
      </c>
      <c r="K47" s="20"/>
      <c r="L47" s="20"/>
    </row>
    <row r="48" spans="1:12" ht="11.25">
      <c r="A48" s="82">
        <f t="shared" si="4"/>
        <v>39</v>
      </c>
      <c r="B48" s="93" t="str">
        <f>'10.0.4'!B49</f>
        <v>TOTAL MAIL</v>
      </c>
      <c r="C48" s="282">
        <f>SUM(C17:C20,C27,C38,C44:C47)</f>
        <v>24249097</v>
      </c>
      <c r="D48" s="282">
        <f>SUM(D17:D20,D27,D38,D44:D47)</f>
        <v>21217858.493770678</v>
      </c>
      <c r="E48" s="245"/>
      <c r="F48" s="282">
        <f>SUM(F17:F20,F27,F38,F44:F47)</f>
        <v>11028594.38954905</v>
      </c>
      <c r="G48" s="282">
        <f>SUM(G17:G20,G27,G38,G44:G47)</f>
        <v>10189264.104221625</v>
      </c>
      <c r="H48" s="282">
        <f>SUM(H17:H20,H27,H38,H44:H47)</f>
        <v>11404244</v>
      </c>
      <c r="I48" s="282">
        <f>SUM(I17:I20,I27,I38,I44:I47)</f>
        <v>3031238.5062293233</v>
      </c>
      <c r="J48" s="282">
        <f>SUM(J17:J20,J27,J38,J44:J47)</f>
        <v>14435482.506229324</v>
      </c>
      <c r="K48" s="20"/>
      <c r="L48" s="20"/>
    </row>
    <row r="49" spans="1:12" ht="11.25">
      <c r="A49" s="81">
        <f t="shared" si="4"/>
        <v>40</v>
      </c>
      <c r="B49" s="92" t="str">
        <f>'10.0.4'!B50</f>
        <v>SPECIAL SERVICES:</v>
      </c>
      <c r="C49" s="266"/>
      <c r="D49" s="279"/>
      <c r="E49" s="127"/>
      <c r="F49" s="279"/>
      <c r="G49" s="279"/>
      <c r="H49" s="266"/>
      <c r="I49" s="279"/>
      <c r="J49" s="279"/>
      <c r="K49" s="20"/>
      <c r="L49" s="20"/>
    </row>
    <row r="50" spans="1:12" ht="11.25">
      <c r="A50" s="81">
        <f t="shared" si="4"/>
        <v>41</v>
      </c>
      <c r="B50" s="24" t="str">
        <f>'10.0.4'!B51</f>
        <v>   REGISTRY</v>
      </c>
      <c r="C50" s="266"/>
      <c r="D50" s="281"/>
      <c r="E50" s="210"/>
      <c r="F50" s="281"/>
      <c r="G50" s="279"/>
      <c r="H50" s="266"/>
      <c r="I50" s="281"/>
      <c r="J50" s="281"/>
      <c r="K50" s="11"/>
      <c r="L50" s="11"/>
    </row>
    <row r="51" spans="1:12" ht="11.25">
      <c r="A51" s="81">
        <f t="shared" si="4"/>
        <v>42</v>
      </c>
      <c r="B51" s="24" t="str">
        <f>'10.0.4'!B52</f>
        <v>   CERTIFIED</v>
      </c>
      <c r="C51" s="266"/>
      <c r="D51" s="281"/>
      <c r="E51" s="210"/>
      <c r="F51" s="281"/>
      <c r="G51" s="279"/>
      <c r="H51" s="266"/>
      <c r="I51" s="281"/>
      <c r="J51" s="281"/>
      <c r="K51" s="11"/>
      <c r="L51" s="11"/>
    </row>
    <row r="52" spans="1:12" ht="11.25">
      <c r="A52" s="81">
        <f t="shared" si="4"/>
        <v>43</v>
      </c>
      <c r="B52" s="24" t="str">
        <f>'10.0.4'!B53</f>
        <v>   INSURANCE</v>
      </c>
      <c r="C52" s="266"/>
      <c r="D52" s="279"/>
      <c r="E52" s="127"/>
      <c r="F52" s="279"/>
      <c r="G52" s="279"/>
      <c r="H52" s="266"/>
      <c r="I52" s="279"/>
      <c r="J52" s="279"/>
      <c r="K52" s="20"/>
      <c r="L52" s="20"/>
    </row>
    <row r="53" spans="1:12" ht="11.25">
      <c r="A53" s="81">
        <f t="shared" si="4"/>
        <v>44</v>
      </c>
      <c r="B53" s="24" t="str">
        <f>'10.0.4'!B54</f>
        <v>   COD</v>
      </c>
      <c r="C53" s="266"/>
      <c r="D53" s="279"/>
      <c r="E53" s="127"/>
      <c r="F53" s="279"/>
      <c r="G53" s="279"/>
      <c r="H53" s="266"/>
      <c r="I53" s="279"/>
      <c r="J53" s="279"/>
      <c r="K53" s="20"/>
      <c r="L53" s="20"/>
    </row>
    <row r="54" spans="1:12" ht="11.25">
      <c r="A54" s="81">
        <f t="shared" si="4"/>
        <v>45</v>
      </c>
      <c r="B54" s="24" t="str">
        <f>'10.0.4'!B55</f>
        <v>   SPECIAL DELIVERY</v>
      </c>
      <c r="C54" s="266"/>
      <c r="D54" s="279"/>
      <c r="E54" s="127"/>
      <c r="F54" s="279"/>
      <c r="G54" s="279"/>
      <c r="H54" s="266"/>
      <c r="I54" s="279"/>
      <c r="J54" s="279"/>
      <c r="K54" s="20"/>
      <c r="L54" s="20"/>
    </row>
    <row r="55" spans="1:12" ht="11.25">
      <c r="A55" s="81">
        <f t="shared" si="4"/>
        <v>46</v>
      </c>
      <c r="B55" s="24" t="str">
        <f>'10.0.4'!B56</f>
        <v>   MONEY ORDERS</v>
      </c>
      <c r="C55" s="266"/>
      <c r="D55" s="279"/>
      <c r="E55" s="127"/>
      <c r="F55" s="279"/>
      <c r="G55" s="279"/>
      <c r="H55" s="266"/>
      <c r="I55" s="279"/>
      <c r="J55" s="279"/>
      <c r="K55" s="20"/>
      <c r="L55" s="20"/>
    </row>
    <row r="56" spans="1:12" ht="11.25">
      <c r="A56" s="81">
        <f t="shared" si="4"/>
        <v>47</v>
      </c>
      <c r="B56" s="24" t="str">
        <f>'10.0.4'!B57</f>
        <v>   STMPD CARDS &amp; ENVELOPES</v>
      </c>
      <c r="C56" s="266"/>
      <c r="D56" s="279"/>
      <c r="E56" s="127"/>
      <c r="F56" s="279"/>
      <c r="G56" s="279"/>
      <c r="H56" s="266"/>
      <c r="I56" s="279"/>
      <c r="J56" s="279"/>
      <c r="K56" s="20"/>
      <c r="L56" s="20"/>
    </row>
    <row r="57" spans="1:12" ht="11.25">
      <c r="A57" s="81">
        <f t="shared" si="4"/>
        <v>48</v>
      </c>
      <c r="B57" s="24" t="str">
        <f>'10.0.4'!B58</f>
        <v>   SPECIAL HANDLING</v>
      </c>
      <c r="C57" s="266"/>
      <c r="D57" s="279"/>
      <c r="E57" s="127"/>
      <c r="F57" s="279"/>
      <c r="G57" s="279"/>
      <c r="H57" s="266"/>
      <c r="I57" s="279"/>
      <c r="J57" s="279"/>
      <c r="K57" s="20"/>
      <c r="L57" s="20"/>
    </row>
    <row r="58" spans="1:12" ht="11.25">
      <c r="A58" s="81">
        <f t="shared" si="4"/>
        <v>49</v>
      </c>
      <c r="B58" s="24" t="str">
        <f>'10.0.4'!B59</f>
        <v>   POST OFFICE BOX</v>
      </c>
      <c r="C58" s="266"/>
      <c r="D58" s="279"/>
      <c r="E58" s="127"/>
      <c r="F58" s="279"/>
      <c r="G58" s="279"/>
      <c r="H58" s="266"/>
      <c r="I58" s="279"/>
      <c r="J58" s="279"/>
      <c r="K58" s="20"/>
      <c r="L58" s="20"/>
    </row>
    <row r="59" spans="1:12" ht="11.25">
      <c r="A59" s="81">
        <f>A58+1</f>
        <v>50</v>
      </c>
      <c r="B59" s="24" t="str">
        <f>'10.0.4'!B60</f>
        <v>   OTHER</v>
      </c>
      <c r="C59" s="266"/>
      <c r="D59" s="279"/>
      <c r="E59" s="127"/>
      <c r="F59" s="279"/>
      <c r="G59" s="279"/>
      <c r="H59" s="266"/>
      <c r="I59" s="279"/>
      <c r="J59" s="279"/>
      <c r="K59" s="20"/>
      <c r="L59" s="20"/>
    </row>
    <row r="60" spans="1:12" ht="11.25">
      <c r="A60" s="82">
        <f>A59+1</f>
        <v>51</v>
      </c>
      <c r="B60" s="93" t="str">
        <f>'10.0.4'!B61</f>
        <v>TOTAL SPECIAL SERVICES</v>
      </c>
      <c r="C60" s="271"/>
      <c r="D60" s="280"/>
      <c r="E60" s="245"/>
      <c r="F60" s="280"/>
      <c r="G60" s="280"/>
      <c r="H60" s="271"/>
      <c r="I60" s="280"/>
      <c r="J60" s="280"/>
      <c r="K60" s="20"/>
      <c r="L60" s="20"/>
    </row>
    <row r="61" spans="1:12" ht="11.25">
      <c r="A61" s="82">
        <f>A60+1</f>
        <v>52</v>
      </c>
      <c r="B61" s="93" t="str">
        <f>'10.0.4'!B62</f>
        <v>TOTAL VOLUME</v>
      </c>
      <c r="C61" s="271">
        <f>SUM(C48,C60)</f>
        <v>24249097</v>
      </c>
      <c r="D61" s="271">
        <f>SUM(D48,D60)</f>
        <v>21217858.493770678</v>
      </c>
      <c r="E61" s="271"/>
      <c r="F61" s="264">
        <f>F48</f>
        <v>11028594.38954905</v>
      </c>
      <c r="G61" s="271">
        <f>D61-F61</f>
        <v>10189264.104221627</v>
      </c>
      <c r="H61" s="271">
        <f>SUM(H48,H60)</f>
        <v>11404244</v>
      </c>
      <c r="I61" s="271">
        <f>SUM(I48,I60)</f>
        <v>3031238.5062293233</v>
      </c>
      <c r="J61" s="271">
        <f>SUM(J48,J60)</f>
        <v>14435482.506229324</v>
      </c>
      <c r="K61" s="20"/>
      <c r="L61" s="20"/>
    </row>
    <row r="63" ht="11.25">
      <c r="F63" s="343"/>
    </row>
    <row r="64" ht="11.25">
      <c r="F64" s="343"/>
    </row>
  </sheetData>
  <printOptions/>
  <pageMargins left="0.5" right="0.5" top="1" bottom="0.5" header="0.75" footer="0.25"/>
  <pageSetup horizontalDpi="300" verticalDpi="300" orientation="landscape" scale="90" r:id="rId1"/>
  <rowBreaks count="1" manualBreakCount="1">
    <brk id="38" max="65535" man="1"/>
  </rowBreaks>
</worksheet>
</file>

<file path=xl/worksheets/sheet9.xml><?xml version="1.0" encoding="utf-8"?>
<worksheet xmlns="http://schemas.openxmlformats.org/spreadsheetml/2006/main" xmlns:r="http://schemas.openxmlformats.org/officeDocument/2006/relationships">
  <dimension ref="A1:J64"/>
  <sheetViews>
    <sheetView workbookViewId="0" topLeftCell="A1">
      <selection activeCell="A1" sqref="A1"/>
    </sheetView>
  </sheetViews>
  <sheetFormatPr defaultColWidth="8.88671875" defaultRowHeight="15.75"/>
  <cols>
    <col min="1" max="1" width="4.21484375" style="7" customWidth="1"/>
    <col min="2" max="2" width="20.88671875" style="7" customWidth="1"/>
    <col min="3" max="3" width="9.21484375" style="14" customWidth="1"/>
    <col min="4" max="16384" width="8.88671875" style="7" customWidth="1"/>
  </cols>
  <sheetData>
    <row r="1" s="6" customFormat="1" ht="12.75" customHeight="1">
      <c r="A1" s="163" t="str">
        <f>Doc!A1</f>
        <v>Base Year 1998 - USPS Version</v>
      </c>
    </row>
    <row r="2" spans="1:2" s="6" customFormat="1" ht="12.75" customHeight="1">
      <c r="A2" s="163" t="str">
        <f>Doc!A2</f>
        <v>C/S 10 RURAL CARRIERS</v>
      </c>
      <c r="B2" s="165"/>
    </row>
    <row r="3" spans="1:2" s="6" customFormat="1" ht="12.75" customHeight="1">
      <c r="A3" s="166" t="str">
        <f>Doc!A17&amp;" "&amp;Doc!B17</f>
        <v>WS 10.0.4 DISTRIBUTION KEYS</v>
      </c>
      <c r="B3" s="165"/>
    </row>
    <row r="4" spans="1:2" s="6" customFormat="1" ht="12.75" customHeight="1">
      <c r="A4" s="166"/>
      <c r="B4" s="165"/>
    </row>
    <row r="5" spans="1:10" s="10" customFormat="1" ht="22.5">
      <c r="A5" s="177" t="s">
        <v>37</v>
      </c>
      <c r="B5" s="197" t="s">
        <v>38</v>
      </c>
      <c r="C5" s="177" t="str">
        <f>'Inputs DK'!C5</f>
        <v>RPW PIECES</v>
      </c>
      <c r="D5" s="179" t="str">
        <f>'Inputs DK'!F5</f>
        <v>PARCELS DEL</v>
      </c>
      <c r="E5" s="179" t="str">
        <f>'Inputs DK'!G5</f>
        <v>BOXHLDRS DEL</v>
      </c>
      <c r="F5" s="179" t="str">
        <f>'Inputs DK'!H5</f>
        <v>ACCTBLS DEL</v>
      </c>
      <c r="G5" s="179" t="str">
        <f>'Inputs DK'!I5</f>
        <v>POSTAGE DUE</v>
      </c>
      <c r="H5" s="179" t="str">
        <f>'Inputs DK'!J5</f>
        <v>LTRS/FLATS COLLECTED</v>
      </c>
      <c r="I5" s="179" t="str">
        <f>'Inputs DK'!K5</f>
        <v>PARCELS ACCEPTED</v>
      </c>
      <c r="J5" s="179" t="str">
        <f>'Inputs DK'!L5</f>
        <v>ACCTBLS ACCEPTED</v>
      </c>
    </row>
    <row r="6" spans="1:10" s="10" customFormat="1" ht="11.25">
      <c r="A6" s="63"/>
      <c r="B6" s="324" t="s">
        <v>43</v>
      </c>
      <c r="C6" s="23">
        <v>-1</v>
      </c>
      <c r="D6" s="23">
        <f>C6-1</f>
        <v>-2</v>
      </c>
      <c r="E6" s="23">
        <f aca="true" t="shared" si="0" ref="E6:J6">D6-1</f>
        <v>-3</v>
      </c>
      <c r="F6" s="23">
        <f t="shared" si="0"/>
        <v>-4</v>
      </c>
      <c r="G6" s="23">
        <f t="shared" si="0"/>
        <v>-5</v>
      </c>
      <c r="H6" s="23">
        <f t="shared" si="0"/>
        <v>-6</v>
      </c>
      <c r="I6" s="23">
        <f t="shared" si="0"/>
        <v>-7</v>
      </c>
      <c r="J6" s="23">
        <f t="shared" si="0"/>
        <v>-8</v>
      </c>
    </row>
    <row r="7" spans="1:10" s="10" customFormat="1" ht="11.25">
      <c r="A7" s="63"/>
      <c r="B7" s="316" t="s">
        <v>185</v>
      </c>
      <c r="C7" s="23"/>
      <c r="D7" s="23"/>
      <c r="E7" s="23"/>
      <c r="F7" s="23"/>
      <c r="G7" s="23"/>
      <c r="H7" s="23"/>
      <c r="I7" s="23"/>
      <c r="J7" s="23"/>
    </row>
    <row r="8" spans="1:10" s="10" customFormat="1" ht="11.25">
      <c r="A8" s="63"/>
      <c r="B8" s="316" t="s">
        <v>44</v>
      </c>
      <c r="C8" s="75" t="str">
        <f>'Inputs DK'!C7</f>
        <v>Pieces (000)</v>
      </c>
      <c r="D8" s="46" t="str">
        <f>'Inputs DK'!F7</f>
        <v>Pieces (000)</v>
      </c>
      <c r="E8" s="46" t="str">
        <f>'Inputs DK'!G7</f>
        <v>Pieces (000)</v>
      </c>
      <c r="F8" s="46" t="str">
        <f>'Inputs DK'!H7</f>
        <v>Pieces (000)</v>
      </c>
      <c r="G8" s="46" t="str">
        <f>'Inputs DK'!I7</f>
        <v>Pieces (000)</v>
      </c>
      <c r="H8" s="46" t="str">
        <f>'Inputs DK'!J7</f>
        <v>Pieces (000)</v>
      </c>
      <c r="I8" s="46" t="str">
        <f>'Inputs DK'!K7</f>
        <v>Pieces (000)</v>
      </c>
      <c r="J8" s="46" t="str">
        <f>'Inputs DK'!L7</f>
        <v>Pieces (000)</v>
      </c>
    </row>
    <row r="9" spans="1:10" s="10" customFormat="1" ht="11.25" customHeight="1">
      <c r="A9" s="64"/>
      <c r="B9" s="293" t="s">
        <v>46</v>
      </c>
      <c r="C9" s="66" t="s">
        <v>214</v>
      </c>
      <c r="D9" s="48" t="str">
        <f>'Inputs DK'!F9&amp;" "&amp;Endnotes!C11</f>
        <v>Rural CCS [a]</v>
      </c>
      <c r="E9" s="48" t="str">
        <f>'Inputs DK'!G9</f>
        <v>Rural CCS</v>
      </c>
      <c r="F9" s="48" t="str">
        <f>'Inputs DK'!H9</f>
        <v>Rural CCS</v>
      </c>
      <c r="G9" s="48" t="str">
        <f>'Inputs DK'!I9&amp;" "&amp;Endnotes!C11</f>
        <v>Rural CCS [a]</v>
      </c>
      <c r="H9" s="48" t="str">
        <f>'Inputs DK'!J9&amp;" "&amp;Endnotes!C11</f>
        <v>Rural CCS [a]</v>
      </c>
      <c r="I9" s="48" t="str">
        <f>'Inputs DK'!K9</f>
        <v>Rural CCS</v>
      </c>
      <c r="J9" s="48" t="str">
        <f>'Inputs DK'!L9&amp;" "&amp;Endnotes!C12</f>
        <v>Rural CCS [b]</v>
      </c>
    </row>
    <row r="10" spans="1:10" ht="11.25">
      <c r="A10" s="79">
        <v>1</v>
      </c>
      <c r="B10" s="87" t="s">
        <v>48</v>
      </c>
      <c r="C10" s="41"/>
      <c r="D10" s="41"/>
      <c r="E10" s="41"/>
      <c r="F10" s="41"/>
      <c r="G10" s="41"/>
      <c r="H10" s="41"/>
      <c r="I10" s="41"/>
      <c r="J10" s="41"/>
    </row>
    <row r="11" spans="1:10" ht="11.25">
      <c r="A11" s="79">
        <f aca="true" t="shared" si="1" ref="A11:A17">A10+1</f>
        <v>2</v>
      </c>
      <c r="B11" s="33" t="s">
        <v>49</v>
      </c>
      <c r="C11" s="283">
        <f>'Inputs DK'!C11</f>
        <v>54273023.951</v>
      </c>
      <c r="D11" s="266">
        <f>'Inputs DK'!F11</f>
        <v>66827</v>
      </c>
      <c r="E11" s="266">
        <f>'Inputs DK'!G11</f>
        <v>14006</v>
      </c>
      <c r="F11" s="266">
        <f>'Inputs DK'!H11</f>
        <v>0</v>
      </c>
      <c r="G11" s="266">
        <f>'Inputs DK'!I11</f>
        <v>3223</v>
      </c>
      <c r="H11" s="266">
        <f>'Inputs DK'!J11</f>
        <v>3196276</v>
      </c>
      <c r="I11" s="266">
        <f>'Inputs DK'!K11</f>
        <v>9758</v>
      </c>
      <c r="J11" s="266">
        <f>'Inputs DK'!L11</f>
        <v>0</v>
      </c>
    </row>
    <row r="12" spans="1:10" ht="11.25">
      <c r="A12" s="79">
        <f t="shared" si="1"/>
        <v>3</v>
      </c>
      <c r="B12" s="33" t="s">
        <v>50</v>
      </c>
      <c r="C12" s="283">
        <f>'Inputs DK'!C12</f>
        <v>40634252.478</v>
      </c>
      <c r="D12" s="266">
        <f>'Inputs DK'!F12</f>
        <v>2406</v>
      </c>
      <c r="E12" s="266">
        <f>'Inputs DK'!G12</f>
        <v>10674</v>
      </c>
      <c r="F12" s="266">
        <f>'Inputs DK'!H12</f>
        <v>0</v>
      </c>
      <c r="G12" s="266">
        <f>'Inputs DK'!I12</f>
        <v>168</v>
      </c>
      <c r="H12" s="266">
        <f>'Inputs DK'!J12</f>
        <v>0</v>
      </c>
      <c r="I12" s="266">
        <f>'Inputs DK'!K12</f>
        <v>0</v>
      </c>
      <c r="J12" s="266">
        <f>'Inputs DK'!L12</f>
        <v>0</v>
      </c>
    </row>
    <row r="13" spans="1:10" ht="11.25">
      <c r="A13" s="79">
        <f t="shared" si="1"/>
        <v>4</v>
      </c>
      <c r="B13" s="88" t="s">
        <v>51</v>
      </c>
      <c r="C13" s="283">
        <f>'Inputs DK'!C13</f>
        <v>94907276.42899999</v>
      </c>
      <c r="D13" s="283">
        <f>'Inputs DK'!F13</f>
        <v>69233</v>
      </c>
      <c r="E13" s="283">
        <f>'Inputs DK'!G13</f>
        <v>24680</v>
      </c>
      <c r="F13" s="283">
        <f>'Inputs DK'!H13</f>
        <v>0</v>
      </c>
      <c r="G13" s="283">
        <f>'Inputs DK'!I13</f>
        <v>3391</v>
      </c>
      <c r="H13" s="283">
        <f>'Inputs DK'!J13</f>
        <v>3196276</v>
      </c>
      <c r="I13" s="283">
        <f>'Inputs DK'!K13</f>
        <v>9758</v>
      </c>
      <c r="J13" s="283">
        <f>'Inputs DK'!L13</f>
        <v>0</v>
      </c>
    </row>
    <row r="14" spans="1:10" ht="11.25">
      <c r="A14" s="79">
        <f t="shared" si="1"/>
        <v>5</v>
      </c>
      <c r="B14" s="88" t="s">
        <v>52</v>
      </c>
      <c r="C14" s="283">
        <f>'Inputs DK'!C14</f>
        <v>2971750.714</v>
      </c>
      <c r="D14" s="266">
        <f>'Inputs DK'!F14</f>
        <v>0</v>
      </c>
      <c r="E14" s="266">
        <f>'Inputs DK'!G14</f>
        <v>5437</v>
      </c>
      <c r="F14" s="266">
        <f>'Inputs DK'!H14</f>
        <v>0</v>
      </c>
      <c r="G14" s="266">
        <f>'Inputs DK'!I14</f>
        <v>51</v>
      </c>
      <c r="H14" s="266">
        <f>'Inputs DK'!J14</f>
        <v>109296</v>
      </c>
      <c r="I14" s="266">
        <f>'Inputs DK'!K14</f>
        <v>0</v>
      </c>
      <c r="J14" s="266">
        <f>'Inputs DK'!L14</f>
        <v>0</v>
      </c>
    </row>
    <row r="15" spans="1:10" ht="11.25">
      <c r="A15" s="79">
        <f t="shared" si="1"/>
        <v>6</v>
      </c>
      <c r="B15" s="88" t="s">
        <v>53</v>
      </c>
      <c r="C15" s="283">
        <f>'Inputs DK'!C15</f>
        <v>2555123.716</v>
      </c>
      <c r="D15" s="266">
        <f>'Inputs DK'!F15</f>
        <v>0</v>
      </c>
      <c r="E15" s="266">
        <f>'Inputs DK'!G15</f>
        <v>0</v>
      </c>
      <c r="F15" s="266">
        <f>'Inputs DK'!H15</f>
        <v>0</v>
      </c>
      <c r="G15" s="266">
        <f>'Inputs DK'!I15</f>
        <v>3</v>
      </c>
      <c r="H15" s="266">
        <f>'Inputs DK'!J15</f>
        <v>0</v>
      </c>
      <c r="I15" s="266">
        <f>'Inputs DK'!K15</f>
        <v>0</v>
      </c>
      <c r="J15" s="266">
        <f>'Inputs DK'!L15</f>
        <v>0</v>
      </c>
    </row>
    <row r="16" spans="1:10" ht="11.25">
      <c r="A16" s="79">
        <f t="shared" si="1"/>
        <v>7</v>
      </c>
      <c r="B16" s="88" t="s">
        <v>54</v>
      </c>
      <c r="C16" s="283">
        <f>'Inputs DK'!C16</f>
        <v>5526874.43</v>
      </c>
      <c r="D16" s="283">
        <f>'Inputs DK'!F16</f>
        <v>0</v>
      </c>
      <c r="E16" s="283">
        <f>'Inputs DK'!G16</f>
        <v>5437</v>
      </c>
      <c r="F16" s="283">
        <f>'Inputs DK'!H16</f>
        <v>0</v>
      </c>
      <c r="G16" s="283">
        <f>'Inputs DK'!I16</f>
        <v>54</v>
      </c>
      <c r="H16" s="283">
        <f>'Inputs DK'!J16</f>
        <v>109296</v>
      </c>
      <c r="I16" s="283">
        <f>'Inputs DK'!K16</f>
        <v>0</v>
      </c>
      <c r="J16" s="283">
        <f>'Inputs DK'!L16</f>
        <v>0</v>
      </c>
    </row>
    <row r="17" spans="1:10" ht="11.25">
      <c r="A17" s="80">
        <f t="shared" si="1"/>
        <v>8</v>
      </c>
      <c r="B17" s="89" t="s">
        <v>55</v>
      </c>
      <c r="C17" s="284">
        <f>'Inputs DK'!C17</f>
        <v>100434150.859</v>
      </c>
      <c r="D17" s="271">
        <f>'Inputs DK'!F17</f>
        <v>69233</v>
      </c>
      <c r="E17" s="271">
        <f>'Inputs DK'!G17</f>
        <v>30117</v>
      </c>
      <c r="F17" s="271">
        <f>'Inputs DK'!H17</f>
        <v>0</v>
      </c>
      <c r="G17" s="271">
        <f>'Inputs DK'!I17</f>
        <v>3445</v>
      </c>
      <c r="H17" s="271">
        <f>'Inputs DK'!J17</f>
        <v>3305572</v>
      </c>
      <c r="I17" s="271">
        <f>'Inputs DK'!K17</f>
        <v>9758</v>
      </c>
      <c r="J17" s="271">
        <f>'Inputs DK'!L17</f>
        <v>0</v>
      </c>
    </row>
    <row r="18" spans="1:10" ht="11.25">
      <c r="A18" s="79">
        <f>A17+1</f>
        <v>9</v>
      </c>
      <c r="B18" s="90" t="s">
        <v>56</v>
      </c>
      <c r="C18" s="283">
        <f>'Inputs DK'!C18</f>
        <v>1174425.327</v>
      </c>
      <c r="D18" s="266">
        <f>'Inputs DK'!F18</f>
        <v>108353</v>
      </c>
      <c r="E18" s="266">
        <f>'Inputs DK'!G18</f>
        <v>244</v>
      </c>
      <c r="F18" s="266">
        <f>'Inputs DK'!H18</f>
        <v>0</v>
      </c>
      <c r="G18" s="266">
        <f>'Inputs DK'!I18</f>
        <v>842</v>
      </c>
      <c r="H18" s="266">
        <f>'Inputs DK'!J18</f>
        <v>8283</v>
      </c>
      <c r="I18" s="266">
        <f>'Inputs DK'!K18</f>
        <v>2162</v>
      </c>
      <c r="J18" s="266">
        <f>'Inputs DK'!L18</f>
        <v>0</v>
      </c>
    </row>
    <row r="19" spans="1:10" ht="11.25">
      <c r="A19" s="79">
        <f>A18+1</f>
        <v>10</v>
      </c>
      <c r="B19" s="90" t="s">
        <v>57</v>
      </c>
      <c r="C19" s="283">
        <f>'Inputs DK'!C19</f>
        <v>66244.039</v>
      </c>
      <c r="D19" s="266">
        <f>'Inputs DK'!F19</f>
        <v>0</v>
      </c>
      <c r="E19" s="266">
        <f>'Inputs DK'!G19</f>
        <v>0</v>
      </c>
      <c r="F19" s="266">
        <f>'Inputs DK'!H19</f>
        <v>2598</v>
      </c>
      <c r="G19" s="266">
        <f>'Inputs DK'!I19</f>
        <v>0</v>
      </c>
      <c r="H19" s="266">
        <f>'Inputs DK'!J19</f>
        <v>0</v>
      </c>
      <c r="I19" s="266">
        <f>'Inputs DK'!K19</f>
        <v>0</v>
      </c>
      <c r="J19" s="266">
        <f>'Inputs DK'!L19</f>
        <v>232</v>
      </c>
    </row>
    <row r="20" spans="1:10" ht="11.25">
      <c r="A20" s="80">
        <f>A19+1</f>
        <v>11</v>
      </c>
      <c r="B20" s="89" t="s">
        <v>58</v>
      </c>
      <c r="C20" s="285">
        <f>'Inputs DK'!C20</f>
        <v>4301.905</v>
      </c>
      <c r="D20" s="271">
        <f>'Inputs DK'!F20</f>
        <v>0</v>
      </c>
      <c r="E20" s="271">
        <f>'Inputs DK'!G20</f>
        <v>0</v>
      </c>
      <c r="F20" s="271">
        <f>'Inputs DK'!H20</f>
        <v>0</v>
      </c>
      <c r="G20" s="271">
        <f>'Inputs DK'!I20</f>
        <v>0</v>
      </c>
      <c r="H20" s="271">
        <f>'Inputs DK'!J20</f>
        <v>0</v>
      </c>
      <c r="I20" s="271">
        <f>'Inputs DK'!K20</f>
        <v>0</v>
      </c>
      <c r="J20" s="271">
        <f>'Inputs DK'!L20</f>
        <v>0</v>
      </c>
    </row>
    <row r="21" spans="1:10" ht="11.25">
      <c r="A21" s="79">
        <f aca="true" t="shared" si="2" ref="A21:A28">A20+1</f>
        <v>12</v>
      </c>
      <c r="B21" s="90" t="s">
        <v>59</v>
      </c>
      <c r="C21" s="283"/>
      <c r="D21" s="266"/>
      <c r="E21" s="266"/>
      <c r="F21" s="266"/>
      <c r="G21" s="266"/>
      <c r="H21" s="266"/>
      <c r="I21" s="266"/>
      <c r="J21" s="266"/>
    </row>
    <row r="22" spans="1:10" ht="11.25">
      <c r="A22" s="79">
        <f t="shared" si="2"/>
        <v>13</v>
      </c>
      <c r="B22" s="88" t="s">
        <v>60</v>
      </c>
      <c r="C22" s="283">
        <f>'Inputs DK'!C22</f>
        <v>923864.874</v>
      </c>
      <c r="D22" s="266">
        <f>'Inputs DK'!F22</f>
        <v>10062</v>
      </c>
      <c r="E22" s="266">
        <f>'Inputs DK'!G22</f>
        <v>29304</v>
      </c>
      <c r="F22" s="266">
        <f>'Inputs DK'!H22</f>
        <v>0</v>
      </c>
      <c r="G22" s="266">
        <f>'Inputs DK'!I22</f>
        <v>153</v>
      </c>
      <c r="H22" s="266">
        <f>'Inputs DK'!J22</f>
        <v>0</v>
      </c>
      <c r="I22" s="266">
        <f>'Inputs DK'!K22</f>
        <v>0</v>
      </c>
      <c r="J22" s="266">
        <f>'Inputs DK'!L22</f>
        <v>0</v>
      </c>
    </row>
    <row r="23" spans="1:10" ht="11.25">
      <c r="A23" s="79">
        <f t="shared" si="2"/>
        <v>14</v>
      </c>
      <c r="B23" s="88" t="s">
        <v>61</v>
      </c>
      <c r="C23" s="283"/>
      <c r="D23" s="266"/>
      <c r="E23" s="266"/>
      <c r="F23" s="266"/>
      <c r="G23" s="266"/>
      <c r="H23" s="266"/>
      <c r="I23" s="266"/>
      <c r="J23" s="266"/>
    </row>
    <row r="24" spans="1:10" ht="11.25">
      <c r="A24" s="79">
        <f t="shared" si="2"/>
        <v>15</v>
      </c>
      <c r="B24" s="88" t="s">
        <v>62</v>
      </c>
      <c r="C24" s="283">
        <f>'Inputs DK'!C24</f>
        <v>7195165.978</v>
      </c>
      <c r="D24" s="266">
        <f>'Inputs DK'!F24</f>
        <v>0</v>
      </c>
      <c r="E24" s="266">
        <f>'Inputs DK'!G24</f>
        <v>0</v>
      </c>
      <c r="F24" s="266">
        <f>'Inputs DK'!H24</f>
        <v>0</v>
      </c>
      <c r="G24" s="266">
        <f>'Inputs DK'!I24</f>
        <v>0</v>
      </c>
      <c r="H24" s="266">
        <f>'Inputs DK'!J24</f>
        <v>0</v>
      </c>
      <c r="I24" s="266">
        <f>'Inputs DK'!K24</f>
        <v>0</v>
      </c>
      <c r="J24" s="266">
        <f>'Inputs DK'!L24</f>
        <v>0</v>
      </c>
    </row>
    <row r="25" spans="1:10" ht="11.25">
      <c r="A25" s="79">
        <f t="shared" si="2"/>
        <v>16</v>
      </c>
      <c r="B25" s="88" t="s">
        <v>63</v>
      </c>
      <c r="C25" s="283">
        <f>'Inputs DK'!C25</f>
        <v>2136927.217</v>
      </c>
      <c r="D25" s="266">
        <f>'Inputs DK'!F25</f>
        <v>0</v>
      </c>
      <c r="E25" s="266">
        <f>'Inputs DK'!G25</f>
        <v>0</v>
      </c>
      <c r="F25" s="266">
        <f>'Inputs DK'!H25</f>
        <v>0</v>
      </c>
      <c r="G25" s="266">
        <f>'Inputs DK'!I25</f>
        <v>0</v>
      </c>
      <c r="H25" s="266">
        <f>'Inputs DK'!J25</f>
        <v>0</v>
      </c>
      <c r="I25" s="266">
        <f>'Inputs DK'!K25</f>
        <v>0</v>
      </c>
      <c r="J25" s="266">
        <f>'Inputs DK'!L25</f>
        <v>0</v>
      </c>
    </row>
    <row r="26" spans="1:10" ht="11.25">
      <c r="A26" s="79">
        <f t="shared" si="2"/>
        <v>17</v>
      </c>
      <c r="B26" s="88" t="s">
        <v>64</v>
      </c>
      <c r="C26" s="283">
        <f>'Inputs DK'!C26</f>
        <v>60793.141</v>
      </c>
      <c r="D26" s="266">
        <f>'Inputs DK'!F26</f>
        <v>0</v>
      </c>
      <c r="E26" s="266">
        <f>'Inputs DK'!G26</f>
        <v>0</v>
      </c>
      <c r="F26" s="266">
        <f>'Inputs DK'!H26</f>
        <v>0</v>
      </c>
      <c r="G26" s="266">
        <f>'Inputs DK'!I26</f>
        <v>0</v>
      </c>
      <c r="H26" s="266">
        <f>'Inputs DK'!J26</f>
        <v>0</v>
      </c>
      <c r="I26" s="266">
        <f>'Inputs DK'!K26</f>
        <v>0</v>
      </c>
      <c r="J26" s="266">
        <f>'Inputs DK'!L26</f>
        <v>0</v>
      </c>
    </row>
    <row r="27" spans="1:10" ht="11.25">
      <c r="A27" s="80">
        <f t="shared" si="2"/>
        <v>18</v>
      </c>
      <c r="B27" s="89" t="s">
        <v>65</v>
      </c>
      <c r="C27" s="284">
        <f>'Inputs DK'!C27</f>
        <v>10316751.21</v>
      </c>
      <c r="D27" s="271">
        <f>'Inputs DK'!F27</f>
        <v>10062</v>
      </c>
      <c r="E27" s="271">
        <f>'Inputs DK'!G27</f>
        <v>29304</v>
      </c>
      <c r="F27" s="271">
        <f>'Inputs DK'!H27</f>
        <v>0</v>
      </c>
      <c r="G27" s="271">
        <f>'Inputs DK'!I27</f>
        <v>153</v>
      </c>
      <c r="H27" s="271">
        <f>'Inputs DK'!J27</f>
        <v>0</v>
      </c>
      <c r="I27" s="271">
        <f>'Inputs DK'!K27</f>
        <v>0</v>
      </c>
      <c r="J27" s="271">
        <f>'Inputs DK'!L27</f>
        <v>0</v>
      </c>
    </row>
    <row r="28" spans="1:10" ht="11.25">
      <c r="A28" s="79">
        <f t="shared" si="2"/>
        <v>19</v>
      </c>
      <c r="B28" s="90" t="s">
        <v>66</v>
      </c>
      <c r="C28" s="283"/>
      <c r="D28" s="266"/>
      <c r="E28" s="266"/>
      <c r="F28" s="266"/>
      <c r="G28" s="266"/>
      <c r="H28" s="266"/>
      <c r="I28" s="266"/>
      <c r="J28" s="266"/>
    </row>
    <row r="29" spans="1:10" ht="11.25">
      <c r="A29" s="79">
        <f aca="true" t="shared" si="3" ref="A29:A38">A28+1</f>
        <v>20</v>
      </c>
      <c r="B29" s="88" t="s">
        <v>67</v>
      </c>
      <c r="C29" s="283">
        <f>'Inputs DK'!C29</f>
        <v>150276.222</v>
      </c>
      <c r="D29" s="266">
        <f>'Inputs DK'!F29</f>
        <v>2480</v>
      </c>
      <c r="E29" s="266">
        <f>'Inputs DK'!G29</f>
        <v>0</v>
      </c>
      <c r="F29" s="266">
        <f>'Inputs DK'!H29</f>
        <v>0</v>
      </c>
      <c r="G29" s="266">
        <f>'Inputs DK'!I29</f>
        <v>27</v>
      </c>
      <c r="H29" s="266">
        <f>'Inputs DK'!J29</f>
        <v>1035</v>
      </c>
      <c r="I29" s="266">
        <f>'Inputs DK'!K29</f>
        <v>212</v>
      </c>
      <c r="J29" s="266">
        <f>'Inputs DK'!L29</f>
        <v>0</v>
      </c>
    </row>
    <row r="30" spans="1:10" ht="11.25">
      <c r="A30" s="79">
        <f t="shared" si="3"/>
        <v>21</v>
      </c>
      <c r="B30" s="88" t="s">
        <v>68</v>
      </c>
      <c r="C30" s="283"/>
      <c r="D30" s="266"/>
      <c r="E30" s="266"/>
      <c r="F30" s="266"/>
      <c r="G30" s="266"/>
      <c r="H30" s="266"/>
      <c r="I30" s="266"/>
      <c r="J30" s="266"/>
    </row>
    <row r="31" spans="1:10" ht="11.25">
      <c r="A31" s="79">
        <f t="shared" si="3"/>
        <v>22</v>
      </c>
      <c r="B31" s="88" t="s">
        <v>69</v>
      </c>
      <c r="C31" s="286">
        <f>'Inputs DK'!C31</f>
        <v>34059126.707</v>
      </c>
      <c r="D31" s="266">
        <f>'Inputs DK'!F31</f>
        <v>0</v>
      </c>
      <c r="E31" s="266">
        <f>'Inputs DK'!G31</f>
        <v>1823326</v>
      </c>
      <c r="F31" s="266">
        <f>'Inputs DK'!H31</f>
        <v>0</v>
      </c>
      <c r="G31" s="266">
        <f>'Inputs DK'!I31</f>
        <v>0</v>
      </c>
      <c r="H31" s="266">
        <f>'Inputs DK'!J31</f>
        <v>0</v>
      </c>
      <c r="I31" s="266">
        <f>'Inputs DK'!K31</f>
        <v>0</v>
      </c>
      <c r="J31" s="266">
        <f>'Inputs DK'!L31</f>
        <v>0</v>
      </c>
    </row>
    <row r="32" spans="1:10" ht="11.25">
      <c r="A32" s="79">
        <f t="shared" si="3"/>
        <v>23</v>
      </c>
      <c r="B32" s="88" t="s">
        <v>70</v>
      </c>
      <c r="C32" s="283">
        <f>'Inputs DK'!C32</f>
        <v>35087014.263</v>
      </c>
      <c r="D32" s="266">
        <f>'Inputs DK'!F32</f>
        <v>167513</v>
      </c>
      <c r="E32" s="266">
        <f>'Inputs DK'!G32</f>
        <v>212473</v>
      </c>
      <c r="F32" s="266">
        <f>'Inputs DK'!H32</f>
        <v>0</v>
      </c>
      <c r="G32" s="266">
        <f>'Inputs DK'!I32</f>
        <v>516</v>
      </c>
      <c r="H32" s="266">
        <f>'Inputs DK'!J32</f>
        <v>0</v>
      </c>
      <c r="I32" s="266">
        <f>'Inputs DK'!K32</f>
        <v>0</v>
      </c>
      <c r="J32" s="266">
        <f>'Inputs DK'!L32</f>
        <v>0</v>
      </c>
    </row>
    <row r="33" spans="1:10" ht="11.25">
      <c r="A33" s="79">
        <f t="shared" si="3"/>
        <v>24</v>
      </c>
      <c r="B33" s="88" t="s">
        <v>71</v>
      </c>
      <c r="C33" s="283">
        <f>'Inputs DK'!C33</f>
        <v>69146140.97</v>
      </c>
      <c r="D33" s="266">
        <f>'Inputs DK'!F33</f>
        <v>167513</v>
      </c>
      <c r="E33" s="266">
        <f>'Inputs DK'!G33</f>
        <v>2035799</v>
      </c>
      <c r="F33" s="266">
        <f>'Inputs DK'!H33</f>
        <v>0</v>
      </c>
      <c r="G33" s="266">
        <f>'Inputs DK'!I33</f>
        <v>516</v>
      </c>
      <c r="H33" s="266">
        <f>'Inputs DK'!J33</f>
        <v>0</v>
      </c>
      <c r="I33" s="266">
        <f>'Inputs DK'!K33</f>
        <v>0</v>
      </c>
      <c r="J33" s="266">
        <f>'Inputs DK'!L33</f>
        <v>0</v>
      </c>
    </row>
    <row r="34" spans="1:10" ht="11.25">
      <c r="A34" s="79">
        <f t="shared" si="3"/>
        <v>25</v>
      </c>
      <c r="B34" s="88" t="s">
        <v>72</v>
      </c>
      <c r="C34" s="283"/>
      <c r="D34" s="266"/>
      <c r="E34" s="266"/>
      <c r="F34" s="266"/>
      <c r="G34" s="266"/>
      <c r="H34" s="266"/>
      <c r="I34" s="266"/>
      <c r="J34" s="266"/>
    </row>
    <row r="35" spans="1:10" ht="11.25">
      <c r="A35" s="79">
        <f t="shared" si="3"/>
        <v>26</v>
      </c>
      <c r="B35" s="88" t="s">
        <v>73</v>
      </c>
      <c r="C35" s="286">
        <f>'Inputs DK'!C35</f>
        <v>2647088.276</v>
      </c>
      <c r="D35" s="266">
        <f>'Inputs DK'!F35</f>
        <v>0</v>
      </c>
      <c r="E35" s="266">
        <f>'Inputs DK'!G35</f>
        <v>70930</v>
      </c>
      <c r="F35" s="266">
        <f>'Inputs DK'!H35</f>
        <v>0</v>
      </c>
      <c r="G35" s="266">
        <f>'Inputs DK'!I35</f>
        <v>0</v>
      </c>
      <c r="H35" s="266">
        <f>'Inputs DK'!J35</f>
        <v>0</v>
      </c>
      <c r="I35" s="266">
        <f>'Inputs DK'!K35</f>
        <v>0</v>
      </c>
      <c r="J35" s="266">
        <f>'Inputs DK'!L35</f>
        <v>0</v>
      </c>
    </row>
    <row r="36" spans="1:10" ht="11.25">
      <c r="A36" s="79">
        <f t="shared" si="3"/>
        <v>27</v>
      </c>
      <c r="B36" s="88" t="s">
        <v>74</v>
      </c>
      <c r="C36" s="283">
        <f>'Inputs DK'!C36</f>
        <v>10564635.808</v>
      </c>
      <c r="D36" s="266">
        <f>'Inputs DK'!F36</f>
        <v>9420</v>
      </c>
      <c r="E36" s="266">
        <f>'Inputs DK'!G36</f>
        <v>27012</v>
      </c>
      <c r="F36" s="266">
        <f>'Inputs DK'!H36</f>
        <v>0</v>
      </c>
      <c r="G36" s="266">
        <f>'Inputs DK'!I36</f>
        <v>48</v>
      </c>
      <c r="H36" s="266">
        <f>'Inputs DK'!J36</f>
        <v>0</v>
      </c>
      <c r="I36" s="266">
        <f>'Inputs DK'!K36</f>
        <v>0</v>
      </c>
      <c r="J36" s="266">
        <f>'Inputs DK'!L36</f>
        <v>0</v>
      </c>
    </row>
    <row r="37" spans="1:10" ht="11.25">
      <c r="A37" s="79">
        <f t="shared" si="3"/>
        <v>28</v>
      </c>
      <c r="B37" s="88" t="s">
        <v>75</v>
      </c>
      <c r="C37" s="283">
        <f>'Inputs DK'!C37</f>
        <v>13211724.084</v>
      </c>
      <c r="D37" s="266">
        <f>'Inputs DK'!F37</f>
        <v>9420</v>
      </c>
      <c r="E37" s="266">
        <f>'Inputs DK'!G37</f>
        <v>97942</v>
      </c>
      <c r="F37" s="266">
        <f>'Inputs DK'!H37</f>
        <v>0</v>
      </c>
      <c r="G37" s="266">
        <f>'Inputs DK'!I37</f>
        <v>48</v>
      </c>
      <c r="H37" s="266">
        <f>'Inputs DK'!J37</f>
        <v>0</v>
      </c>
      <c r="I37" s="266">
        <f>'Inputs DK'!K37</f>
        <v>0</v>
      </c>
      <c r="J37" s="266">
        <f>'Inputs DK'!L37</f>
        <v>0</v>
      </c>
    </row>
    <row r="38" spans="1:10" ht="11.25">
      <c r="A38" s="80">
        <f t="shared" si="3"/>
        <v>29</v>
      </c>
      <c r="B38" s="89" t="s">
        <v>76</v>
      </c>
      <c r="C38" s="284">
        <f>'Inputs DK'!C38</f>
        <v>82508141.27600001</v>
      </c>
      <c r="D38" s="271">
        <f>'Inputs DK'!F38</f>
        <v>179413</v>
      </c>
      <c r="E38" s="271">
        <f>'Inputs DK'!G38</f>
        <v>2133741</v>
      </c>
      <c r="F38" s="271">
        <f>'Inputs DK'!H38</f>
        <v>0</v>
      </c>
      <c r="G38" s="271">
        <f>'Inputs DK'!I38</f>
        <v>591</v>
      </c>
      <c r="H38" s="271">
        <f>'Inputs DK'!J38</f>
        <v>1035</v>
      </c>
      <c r="I38" s="271">
        <f>'Inputs DK'!K38</f>
        <v>212</v>
      </c>
      <c r="J38" s="271">
        <f>'Inputs DK'!L38</f>
        <v>0</v>
      </c>
    </row>
    <row r="39" spans="1:10" ht="11.25">
      <c r="A39" s="79">
        <f aca="true" t="shared" si="4" ref="A39:A50">A38+1</f>
        <v>30</v>
      </c>
      <c r="B39" s="90" t="s">
        <v>77</v>
      </c>
      <c r="C39" s="286"/>
      <c r="D39" s="266"/>
      <c r="E39" s="266"/>
      <c r="F39" s="266"/>
      <c r="G39" s="266"/>
      <c r="H39" s="266"/>
      <c r="I39" s="266"/>
      <c r="J39" s="266"/>
    </row>
    <row r="40" spans="1:10" ht="11.25">
      <c r="A40" s="79">
        <f t="shared" si="4"/>
        <v>31</v>
      </c>
      <c r="B40" s="88" t="s">
        <v>78</v>
      </c>
      <c r="C40" s="283">
        <f>'Inputs DK'!C40</f>
        <v>316147.799</v>
      </c>
      <c r="D40" s="266">
        <f>'Inputs DK'!F40</f>
        <v>69032</v>
      </c>
      <c r="E40" s="266">
        <f>'Inputs DK'!G40</f>
        <v>0</v>
      </c>
      <c r="F40" s="266">
        <f>'Inputs DK'!H40</f>
        <v>0</v>
      </c>
      <c r="G40" s="266">
        <f>'Inputs DK'!I40</f>
        <v>113</v>
      </c>
      <c r="H40" s="266">
        <f>'Inputs DK'!J40</f>
        <v>1633</v>
      </c>
      <c r="I40" s="266">
        <f>'Inputs DK'!K40</f>
        <v>1282</v>
      </c>
      <c r="J40" s="266">
        <f>'Inputs DK'!L40</f>
        <v>0</v>
      </c>
    </row>
    <row r="41" spans="1:10" ht="11.25">
      <c r="A41" s="79">
        <f t="shared" si="4"/>
        <v>32</v>
      </c>
      <c r="B41" s="88" t="s">
        <v>79</v>
      </c>
      <c r="C41" s="283">
        <f>'Inputs DK'!C41</f>
        <v>488412.573</v>
      </c>
      <c r="D41" s="266">
        <f>'Inputs DK'!F41</f>
        <v>62952</v>
      </c>
      <c r="E41" s="266">
        <f>'Inputs DK'!G41</f>
        <v>3498</v>
      </c>
      <c r="F41" s="266">
        <f>'Inputs DK'!H41</f>
        <v>0</v>
      </c>
      <c r="G41" s="266">
        <f>'Inputs DK'!I41</f>
        <v>332</v>
      </c>
      <c r="H41" s="266">
        <f>'Inputs DK'!J41</f>
        <v>572</v>
      </c>
      <c r="I41" s="266">
        <f>'Inputs DK'!K41</f>
        <v>291</v>
      </c>
      <c r="J41" s="266">
        <f>'Inputs DK'!L41</f>
        <v>0</v>
      </c>
    </row>
    <row r="42" spans="1:10" ht="11.25">
      <c r="A42" s="79">
        <f t="shared" si="4"/>
        <v>33</v>
      </c>
      <c r="B42" s="88" t="s">
        <v>80</v>
      </c>
      <c r="C42" s="286">
        <f>'Inputs DK'!C42</f>
        <v>191092.991</v>
      </c>
      <c r="D42" s="266">
        <f>'Inputs DK'!F42</f>
        <v>22229</v>
      </c>
      <c r="E42" s="266">
        <f>'Inputs DK'!G42</f>
        <v>0</v>
      </c>
      <c r="F42" s="266">
        <f>'Inputs DK'!H42</f>
        <v>0</v>
      </c>
      <c r="G42" s="266">
        <f>'Inputs DK'!I42</f>
        <v>174</v>
      </c>
      <c r="H42" s="266">
        <f>'Inputs DK'!J42</f>
        <v>739</v>
      </c>
      <c r="I42" s="266">
        <f>'Inputs DK'!K42</f>
        <v>550</v>
      </c>
      <c r="J42" s="266">
        <f>'Inputs DK'!L42</f>
        <v>0</v>
      </c>
    </row>
    <row r="43" spans="1:10" ht="11.25">
      <c r="A43" s="79">
        <f t="shared" si="4"/>
        <v>34</v>
      </c>
      <c r="B43" s="88" t="s">
        <v>81</v>
      </c>
      <c r="C43" s="283">
        <f>'Inputs DK'!C43</f>
        <v>27728.415</v>
      </c>
      <c r="D43" s="266">
        <f>'Inputs DK'!F43</f>
        <v>2612</v>
      </c>
      <c r="E43" s="266">
        <f>'Inputs DK'!G43</f>
        <v>61</v>
      </c>
      <c r="F43" s="266">
        <f>'Inputs DK'!H43</f>
        <v>0</v>
      </c>
      <c r="G43" s="266">
        <f>'Inputs DK'!I43</f>
        <v>37</v>
      </c>
      <c r="H43" s="266">
        <f>'Inputs DK'!J43</f>
        <v>236</v>
      </c>
      <c r="I43" s="266">
        <f>'Inputs DK'!K43</f>
        <v>363</v>
      </c>
      <c r="J43" s="266">
        <f>'Inputs DK'!L43</f>
        <v>0</v>
      </c>
    </row>
    <row r="44" spans="1:10" ht="11.25">
      <c r="A44" s="80">
        <f t="shared" si="4"/>
        <v>35</v>
      </c>
      <c r="B44" s="89" t="s">
        <v>82</v>
      </c>
      <c r="C44" s="284">
        <f>'Inputs DK'!C44</f>
        <v>1023381.778</v>
      </c>
      <c r="D44" s="271">
        <f>'Inputs DK'!F44</f>
        <v>156825</v>
      </c>
      <c r="E44" s="271">
        <f>'Inputs DK'!G44</f>
        <v>3559</v>
      </c>
      <c r="F44" s="271">
        <f>'Inputs DK'!H44</f>
        <v>0</v>
      </c>
      <c r="G44" s="271">
        <f>'Inputs DK'!I44</f>
        <v>656</v>
      </c>
      <c r="H44" s="271">
        <f>'Inputs DK'!J44</f>
        <v>3180</v>
      </c>
      <c r="I44" s="271">
        <f>'Inputs DK'!K44</f>
        <v>2486</v>
      </c>
      <c r="J44" s="271">
        <f>'Inputs DK'!L44</f>
        <v>0</v>
      </c>
    </row>
    <row r="45" spans="1:10" ht="11.25">
      <c r="A45" s="79">
        <f t="shared" si="4"/>
        <v>36</v>
      </c>
      <c r="B45" s="90" t="s">
        <v>83</v>
      </c>
      <c r="C45" s="283">
        <f>'Inputs DK'!C45</f>
        <v>380103.182</v>
      </c>
      <c r="D45" s="266">
        <f>'Inputs DK'!F45</f>
        <v>235</v>
      </c>
      <c r="E45" s="266">
        <f>'Inputs DK'!G45</f>
        <v>4272</v>
      </c>
      <c r="F45" s="266">
        <f>'Inputs DK'!H45</f>
        <v>0</v>
      </c>
      <c r="G45" s="266">
        <f>'Inputs DK'!I45</f>
        <v>0</v>
      </c>
      <c r="H45" s="266">
        <f>'Inputs DK'!J45</f>
        <v>845</v>
      </c>
      <c r="I45" s="266">
        <f>'Inputs DK'!K45</f>
        <v>32</v>
      </c>
      <c r="J45" s="266">
        <f>'Inputs DK'!L45</f>
        <v>0</v>
      </c>
    </row>
    <row r="46" spans="1:10" s="28" customFormat="1" ht="11.25">
      <c r="A46" s="84">
        <f t="shared" si="4"/>
        <v>37</v>
      </c>
      <c r="B46" s="90" t="s">
        <v>84</v>
      </c>
      <c r="C46" s="287">
        <f>'Inputs DK'!C46</f>
        <v>53169.136</v>
      </c>
      <c r="D46" s="288">
        <f>'Inputs DK'!F46</f>
        <v>2876</v>
      </c>
      <c r="E46" s="266">
        <f>'Inputs DK'!G46</f>
        <v>0</v>
      </c>
      <c r="F46" s="266">
        <f>'Inputs DK'!H46</f>
        <v>0</v>
      </c>
      <c r="G46" s="266">
        <f>'Inputs DK'!I46</f>
        <v>0</v>
      </c>
      <c r="H46" s="266">
        <f>'Inputs DK'!J46</f>
        <v>0</v>
      </c>
      <c r="I46" s="266">
        <f>'Inputs DK'!K46</f>
        <v>0</v>
      </c>
      <c r="J46" s="266">
        <f>'Inputs DK'!L46</f>
        <v>0</v>
      </c>
    </row>
    <row r="47" spans="1:10" ht="11.25">
      <c r="A47" s="79">
        <f t="shared" si="4"/>
        <v>38</v>
      </c>
      <c r="B47" s="90" t="s">
        <v>85</v>
      </c>
      <c r="C47" s="283">
        <f>'Inputs DK'!C47</f>
        <v>727592.192</v>
      </c>
      <c r="D47" s="266">
        <f>'Inputs DK'!F47</f>
        <v>2430</v>
      </c>
      <c r="E47" s="266">
        <f>'Inputs DK'!G47</f>
        <v>426</v>
      </c>
      <c r="F47" s="266">
        <f>'Inputs DK'!H47</f>
        <v>0</v>
      </c>
      <c r="G47" s="266">
        <f>'Inputs DK'!I47</f>
        <v>18</v>
      </c>
      <c r="H47" s="266">
        <f>'Inputs DK'!J47</f>
        <v>3684</v>
      </c>
      <c r="I47" s="266">
        <f>'Inputs DK'!K47</f>
        <v>121</v>
      </c>
      <c r="J47" s="266">
        <f>'Inputs DK'!L47</f>
        <v>0</v>
      </c>
    </row>
    <row r="48" spans="1:10" ht="11.25">
      <c r="A48" s="79">
        <f t="shared" si="4"/>
        <v>39</v>
      </c>
      <c r="B48" s="91" t="s">
        <v>178</v>
      </c>
      <c r="C48" s="283"/>
      <c r="D48" s="283">
        <f>'Inputs DK'!F48</f>
        <v>1137</v>
      </c>
      <c r="E48" s="283"/>
      <c r="F48" s="283"/>
      <c r="G48" s="283"/>
      <c r="H48" s="283"/>
      <c r="I48" s="283"/>
      <c r="J48" s="283"/>
    </row>
    <row r="49" spans="1:10" ht="11.25">
      <c r="A49" s="80">
        <f t="shared" si="4"/>
        <v>40</v>
      </c>
      <c r="B49" s="89" t="s">
        <v>86</v>
      </c>
      <c r="C49" s="285">
        <f>'Inputs DK'!C49</f>
        <v>196688260.904</v>
      </c>
      <c r="D49" s="282">
        <f aca="true" t="shared" si="5" ref="D49:J49">D17+D18+D19+D20+D27+D38+D44+D45+D46+D47</f>
        <v>529427</v>
      </c>
      <c r="E49" s="282">
        <f t="shared" si="5"/>
        <v>2201663</v>
      </c>
      <c r="F49" s="282">
        <f t="shared" si="5"/>
        <v>2598</v>
      </c>
      <c r="G49" s="282">
        <f t="shared" si="5"/>
        <v>5705</v>
      </c>
      <c r="H49" s="282">
        <f t="shared" si="5"/>
        <v>3322599</v>
      </c>
      <c r="I49" s="282">
        <f t="shared" si="5"/>
        <v>14771</v>
      </c>
      <c r="J49" s="282">
        <f t="shared" si="5"/>
        <v>232</v>
      </c>
    </row>
    <row r="50" spans="1:10" ht="11.25">
      <c r="A50" s="79">
        <f t="shared" si="4"/>
        <v>41</v>
      </c>
      <c r="B50" s="90" t="s">
        <v>87</v>
      </c>
      <c r="C50" s="283"/>
      <c r="D50" s="266"/>
      <c r="E50" s="266"/>
      <c r="F50" s="266"/>
      <c r="G50" s="266"/>
      <c r="H50" s="266"/>
      <c r="I50" s="266"/>
      <c r="J50" s="266"/>
    </row>
    <row r="51" spans="1:10" ht="11.25">
      <c r="A51" s="79">
        <f aca="true" t="shared" si="6" ref="A51:A61">A50+1</f>
        <v>42</v>
      </c>
      <c r="B51" s="88" t="s">
        <v>88</v>
      </c>
      <c r="C51" s="283">
        <f>'Inputs DK'!C51</f>
        <v>18623</v>
      </c>
      <c r="D51" s="266">
        <f>'Inputs DK'!F51</f>
        <v>0</v>
      </c>
      <c r="E51" s="266">
        <f>'Inputs DK'!G51</f>
        <v>0</v>
      </c>
      <c r="F51" s="266">
        <f>'Inputs DK'!H51</f>
        <v>1080</v>
      </c>
      <c r="G51" s="266">
        <f>'Inputs DK'!I51</f>
        <v>0</v>
      </c>
      <c r="H51" s="266">
        <f>'Inputs DK'!J51</f>
        <v>0</v>
      </c>
      <c r="I51" s="266">
        <f>'Inputs DK'!K51</f>
        <v>0</v>
      </c>
      <c r="J51" s="266">
        <f>'Inputs DK'!L51</f>
        <v>206</v>
      </c>
    </row>
    <row r="52" spans="1:10" ht="11.25">
      <c r="A52" s="79">
        <f t="shared" si="6"/>
        <v>43</v>
      </c>
      <c r="B52" s="88" t="s">
        <v>89</v>
      </c>
      <c r="C52" s="283">
        <f>'Inputs DK'!C52</f>
        <v>510872</v>
      </c>
      <c r="D52" s="266">
        <f>'Inputs DK'!F52</f>
        <v>0</v>
      </c>
      <c r="E52" s="266">
        <f>'Inputs DK'!G52</f>
        <v>0</v>
      </c>
      <c r="F52" s="266">
        <f>'Inputs DK'!H52</f>
        <v>26309</v>
      </c>
      <c r="G52" s="266">
        <f>'Inputs DK'!I52</f>
        <v>0</v>
      </c>
      <c r="H52" s="266">
        <f>'Inputs DK'!J52</f>
        <v>0</v>
      </c>
      <c r="I52" s="266">
        <f>'Inputs DK'!K52</f>
        <v>0</v>
      </c>
      <c r="J52" s="266">
        <f>'Inputs DK'!L52</f>
        <v>3243</v>
      </c>
    </row>
    <row r="53" spans="1:10" ht="11.25">
      <c r="A53" s="79">
        <f t="shared" si="6"/>
        <v>44</v>
      </c>
      <c r="B53" s="88" t="s">
        <v>90</v>
      </c>
      <c r="C53" s="283">
        <f>'Inputs DK'!C53</f>
        <v>42102</v>
      </c>
      <c r="D53" s="266">
        <f>'Inputs DK'!F53</f>
        <v>0</v>
      </c>
      <c r="E53" s="266">
        <f>'Inputs DK'!G53</f>
        <v>0</v>
      </c>
      <c r="F53" s="266">
        <f>'Inputs DK'!H53</f>
        <v>2070</v>
      </c>
      <c r="G53" s="266">
        <f>'Inputs DK'!I53</f>
        <v>0</v>
      </c>
      <c r="H53" s="266">
        <f>'Inputs DK'!J53</f>
        <v>0</v>
      </c>
      <c r="I53" s="266">
        <f>'Inputs DK'!K53</f>
        <v>0</v>
      </c>
      <c r="J53" s="266">
        <f>'Inputs DK'!L53</f>
        <v>139</v>
      </c>
    </row>
    <row r="54" spans="1:10" ht="11.25">
      <c r="A54" s="79">
        <f t="shared" si="6"/>
        <v>45</v>
      </c>
      <c r="B54" s="88" t="s">
        <v>91</v>
      </c>
      <c r="C54" s="283">
        <f>'Inputs DK'!C54</f>
        <v>3844.074</v>
      </c>
      <c r="D54" s="266">
        <f>'Inputs DK'!F54</f>
        <v>0</v>
      </c>
      <c r="E54" s="266">
        <f>'Inputs DK'!G54</f>
        <v>0</v>
      </c>
      <c r="F54" s="266">
        <f>'Inputs DK'!H54</f>
        <v>0</v>
      </c>
      <c r="G54" s="266">
        <f>'Inputs DK'!I54</f>
        <v>0</v>
      </c>
      <c r="H54" s="266">
        <f>'Inputs DK'!J54</f>
        <v>0</v>
      </c>
      <c r="I54" s="266">
        <f>'Inputs DK'!K54</f>
        <v>0</v>
      </c>
      <c r="J54" s="266">
        <f>'Inputs DK'!L54</f>
        <v>0</v>
      </c>
    </row>
    <row r="55" spans="1:10" ht="11.25">
      <c r="A55" s="79">
        <f t="shared" si="6"/>
        <v>46</v>
      </c>
      <c r="B55" s="88" t="s">
        <v>92</v>
      </c>
      <c r="C55" s="283">
        <f>'Inputs DK'!C55</f>
        <v>0.628</v>
      </c>
      <c r="D55" s="266">
        <f>'Inputs DK'!F55</f>
        <v>0</v>
      </c>
      <c r="E55" s="266">
        <f>'Inputs DK'!G55</f>
        <v>0</v>
      </c>
      <c r="F55" s="266">
        <f>'Inputs DK'!H55</f>
        <v>0</v>
      </c>
      <c r="G55" s="266">
        <f>'Inputs DK'!I55</f>
        <v>0</v>
      </c>
      <c r="H55" s="266">
        <f>'Inputs DK'!J55</f>
        <v>0</v>
      </c>
      <c r="I55" s="266">
        <f>'Inputs DK'!K55</f>
        <v>0</v>
      </c>
      <c r="J55" s="266">
        <f>'Inputs DK'!L55</f>
        <v>0</v>
      </c>
    </row>
    <row r="56" spans="1:10" ht="11.25">
      <c r="A56" s="79">
        <f t="shared" si="6"/>
        <v>47</v>
      </c>
      <c r="B56" s="88" t="s">
        <v>93</v>
      </c>
      <c r="C56" s="283">
        <f>'Inputs DK'!C56</f>
        <v>208596.544</v>
      </c>
      <c r="D56" s="266">
        <f>'Inputs DK'!F56</f>
        <v>0</v>
      </c>
      <c r="E56" s="266">
        <f>'Inputs DK'!G56</f>
        <v>0</v>
      </c>
      <c r="F56" s="266">
        <f>'Inputs DK'!H56</f>
        <v>0</v>
      </c>
      <c r="G56" s="266">
        <f>'Inputs DK'!I56</f>
        <v>0</v>
      </c>
      <c r="H56" s="266">
        <f>'Inputs DK'!J56</f>
        <v>0</v>
      </c>
      <c r="I56" s="266">
        <f>'Inputs DK'!K56</f>
        <v>0</v>
      </c>
      <c r="J56" s="266">
        <f>'Inputs DK'!L56</f>
        <v>0</v>
      </c>
    </row>
    <row r="57" spans="1:10" ht="11.25">
      <c r="A57" s="79">
        <f t="shared" si="6"/>
        <v>48</v>
      </c>
      <c r="B57" s="88" t="s">
        <v>179</v>
      </c>
      <c r="C57" s="283">
        <f>'Inputs DK'!C57</f>
        <v>0</v>
      </c>
      <c r="D57" s="266">
        <f>'Inputs DK'!F57</f>
        <v>0</v>
      </c>
      <c r="E57" s="266">
        <f>'Inputs DK'!G57</f>
        <v>0</v>
      </c>
      <c r="F57" s="266">
        <f>'Inputs DK'!H57</f>
        <v>0</v>
      </c>
      <c r="G57" s="266">
        <f>'Inputs DK'!I57</f>
        <v>0</v>
      </c>
      <c r="H57" s="266">
        <f>'Inputs DK'!J57</f>
        <v>0</v>
      </c>
      <c r="I57" s="266">
        <f>'Inputs DK'!K57</f>
        <v>0</v>
      </c>
      <c r="J57" s="266">
        <f>'Inputs DK'!L57</f>
        <v>0</v>
      </c>
    </row>
    <row r="58" spans="1:10" ht="11.25">
      <c r="A58" s="79">
        <f t="shared" si="6"/>
        <v>49</v>
      </c>
      <c r="B58" s="88" t="s">
        <v>95</v>
      </c>
      <c r="C58" s="283">
        <f>'Inputs DK'!C58</f>
        <v>0</v>
      </c>
      <c r="D58" s="266">
        <f>'Inputs DK'!F58</f>
        <v>0</v>
      </c>
      <c r="E58" s="266">
        <f>'Inputs DK'!G58</f>
        <v>0</v>
      </c>
      <c r="F58" s="266">
        <f>'Inputs DK'!H58</f>
        <v>0</v>
      </c>
      <c r="G58" s="266">
        <f>'Inputs DK'!I58</f>
        <v>0</v>
      </c>
      <c r="H58" s="266">
        <f>'Inputs DK'!J58</f>
        <v>0</v>
      </c>
      <c r="I58" s="266">
        <f>'Inputs DK'!K58</f>
        <v>0</v>
      </c>
      <c r="J58" s="266">
        <f>'Inputs DK'!L58</f>
        <v>0</v>
      </c>
    </row>
    <row r="59" spans="1:10" ht="11.25">
      <c r="A59" s="79">
        <f t="shared" si="6"/>
        <v>50</v>
      </c>
      <c r="B59" s="88" t="s">
        <v>96</v>
      </c>
      <c r="C59" s="283">
        <f>'Inputs DK'!C59</f>
        <v>0</v>
      </c>
      <c r="D59" s="266">
        <f>'Inputs DK'!F59</f>
        <v>0</v>
      </c>
      <c r="E59" s="266">
        <f>'Inputs DK'!G59</f>
        <v>0</v>
      </c>
      <c r="F59" s="266">
        <f>'Inputs DK'!H59</f>
        <v>0</v>
      </c>
      <c r="G59" s="266">
        <f>'Inputs DK'!I59</f>
        <v>0</v>
      </c>
      <c r="H59" s="266">
        <f>'Inputs DK'!J59</f>
        <v>0</v>
      </c>
      <c r="I59" s="266">
        <f>'Inputs DK'!K59</f>
        <v>0</v>
      </c>
      <c r="J59" s="266">
        <f>'Inputs DK'!L59</f>
        <v>0</v>
      </c>
    </row>
    <row r="60" spans="1:10" ht="11.25">
      <c r="A60" s="79">
        <f t="shared" si="6"/>
        <v>51</v>
      </c>
      <c r="B60" s="88" t="s">
        <v>97</v>
      </c>
      <c r="C60" s="283">
        <f>'Inputs DK'!C60</f>
        <v>0</v>
      </c>
      <c r="D60" s="266">
        <f>'Inputs DK'!F60</f>
        <v>0</v>
      </c>
      <c r="E60" s="266">
        <f>'Inputs DK'!G60</f>
        <v>0</v>
      </c>
      <c r="F60" s="266">
        <f>'Inputs DK'!H60</f>
        <v>0</v>
      </c>
      <c r="G60" s="266">
        <f>'Inputs DK'!I60</f>
        <v>0</v>
      </c>
      <c r="H60" s="266">
        <f>'Inputs DK'!J60</f>
        <v>0</v>
      </c>
      <c r="I60" s="266">
        <f>'Inputs DK'!K60</f>
        <v>0</v>
      </c>
      <c r="J60" s="266">
        <f>'Inputs DK'!L60-'Inputs DK'!L60</f>
        <v>0</v>
      </c>
    </row>
    <row r="61" spans="1:10" ht="11.25">
      <c r="A61" s="80">
        <f t="shared" si="6"/>
        <v>52</v>
      </c>
      <c r="B61" s="89" t="s">
        <v>98</v>
      </c>
      <c r="C61" s="285">
        <f>'Inputs DK'!C61</f>
        <v>784038.246</v>
      </c>
      <c r="D61" s="271">
        <f>'Inputs DK'!F61</f>
        <v>0</v>
      </c>
      <c r="E61" s="271">
        <f>'Inputs DK'!G61</f>
        <v>0</v>
      </c>
      <c r="F61" s="271">
        <f>'Inputs DK'!H61</f>
        <v>29459</v>
      </c>
      <c r="G61" s="271">
        <f>'Inputs DK'!I61</f>
        <v>0</v>
      </c>
      <c r="H61" s="271">
        <f>'Inputs DK'!J61</f>
        <v>0</v>
      </c>
      <c r="I61" s="271">
        <f>'Inputs DK'!K61</f>
        <v>0</v>
      </c>
      <c r="J61" s="271">
        <f>'Inputs DK'!L61</f>
        <v>3588</v>
      </c>
    </row>
    <row r="62" spans="1:10" ht="11.25">
      <c r="A62" s="80">
        <f>A61+1</f>
        <v>53</v>
      </c>
      <c r="B62" s="315" t="s">
        <v>180</v>
      </c>
      <c r="C62" s="284">
        <f>'Inputs DK'!C62</f>
        <v>197472299.15</v>
      </c>
      <c r="D62" s="271">
        <f aca="true" t="shared" si="7" ref="D62:J62">D49+D61</f>
        <v>529427</v>
      </c>
      <c r="E62" s="271">
        <f t="shared" si="7"/>
        <v>2201663</v>
      </c>
      <c r="F62" s="271">
        <f t="shared" si="7"/>
        <v>32057</v>
      </c>
      <c r="G62" s="271">
        <f t="shared" si="7"/>
        <v>5705</v>
      </c>
      <c r="H62" s="271">
        <f t="shared" si="7"/>
        <v>3322599</v>
      </c>
      <c r="I62" s="271">
        <f t="shared" si="7"/>
        <v>14771</v>
      </c>
      <c r="J62" s="271">
        <f t="shared" si="7"/>
        <v>3820</v>
      </c>
    </row>
    <row r="63" ht="11.25"/>
    <row r="64" spans="4:8" ht="11.25">
      <c r="D64" s="16"/>
      <c r="G64" s="15"/>
      <c r="H64" s="15"/>
    </row>
  </sheetData>
  <printOptions/>
  <pageMargins left="0.5" right="0.5" top="1" bottom="0.5" header="0.75" footer="0.25"/>
  <pageSetup horizontalDpi="300" verticalDpi="300" orientation="landscape" scale="90" r:id="rId3"/>
  <rowBreaks count="1" manualBreakCount="1">
    <brk id="38"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Chang</dc:creator>
  <cp:keywords/>
  <dc:description>8 minutes to update links</dc:description>
  <cp:lastModifiedBy>TESTB01</cp:lastModifiedBy>
  <cp:lastPrinted>1999-11-16T17:56:09Z</cp:lastPrinted>
  <dcterms:created xsi:type="dcterms:W3CDTF">1998-08-06T16:19:44Z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