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60" windowHeight="7830" tabRatio="599" activeTab="0"/>
  </bookViews>
  <sheets>
    <sheet name="Sheet1" sheetId="1" r:id="rId1"/>
    <sheet name="Sheet2" sheetId="2" r:id="rId2"/>
  </sheets>
  <definedNames>
    <definedName name="_xlnm.Print_Titles" localSheetId="0">'Sheet1'!$A:$C</definedName>
  </definedNames>
  <calcPr fullCalcOnLoad="1"/>
</workbook>
</file>

<file path=xl/sharedStrings.xml><?xml version="1.0" encoding="utf-8"?>
<sst xmlns="http://schemas.openxmlformats.org/spreadsheetml/2006/main" count="56" uniqueCount="44">
  <si>
    <t>WafersReceived</t>
  </si>
  <si>
    <t>At UCSC</t>
  </si>
  <si>
    <t>Assumptions:</t>
  </si>
  <si>
    <t>PRR</t>
  </si>
  <si>
    <t>Release Production</t>
  </si>
  <si>
    <t>Yield at Saw + Pack</t>
  </si>
  <si>
    <t>Number of days for first wafers</t>
  </si>
  <si>
    <t>Arrival of First Wafers</t>
  </si>
  <si>
    <t># of raw dice per wafer</t>
  </si>
  <si>
    <t>Total # of Modules in Exp</t>
  </si>
  <si>
    <t>US Modules in Exp</t>
  </si>
  <si>
    <t>US % of Total Modules</t>
  </si>
  <si>
    <t>by CERN</t>
  </si>
  <si>
    <t>Date</t>
  </si>
  <si>
    <t>Japan Modules in Exp</t>
  </si>
  <si>
    <t>Japan % of Total Modules</t>
  </si>
  <si>
    <t>LBNL</t>
  </si>
  <si>
    <t>Japan</t>
  </si>
  <si>
    <t>DiceShpd</t>
  </si>
  <si>
    <t>Wfrs@UCSC</t>
  </si>
  <si>
    <t>WfrsTested</t>
  </si>
  <si>
    <t>WfrsCut</t>
  </si>
  <si>
    <t>GoodDice</t>
  </si>
  <si>
    <t>DiceTo:</t>
  </si>
  <si>
    <t>At RAL</t>
  </si>
  <si>
    <t>At CERN</t>
  </si>
  <si>
    <t>Wfrs@CERN</t>
  </si>
  <si>
    <t>Wfrs@RAL</t>
  </si>
  <si>
    <t>(last of Month)</t>
  </si>
  <si>
    <t>Freiberg</t>
  </si>
  <si>
    <t>UK-B</t>
  </si>
  <si>
    <t>Scandanavia</t>
  </si>
  <si>
    <t>Scandanavia Modules in Exp</t>
  </si>
  <si>
    <t>Scandanavia % of Total Modules</t>
  </si>
  <si>
    <t>UK-B Modules in Exp</t>
  </si>
  <si>
    <t>UK-B % of Total Modules</t>
  </si>
  <si>
    <t>Freiberg Modules in Exp</t>
  </si>
  <si>
    <t>Freiberg % of Total Modules</t>
  </si>
  <si>
    <t>Freiberg % of Total Modules From CERN</t>
  </si>
  <si>
    <t xml:space="preserve">Freiberg % of Total Modules From RAL      </t>
  </si>
  <si>
    <t>Freiberg % of Total Modules From UCSC</t>
  </si>
  <si>
    <t>Expected Yeild</t>
  </si>
  <si>
    <t>at Wafer Test</t>
  </si>
  <si>
    <t>Total # of Dice Needed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</si>
</sst>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/>
    </xf>
    <xf numFmtId="17" fontId="0" fillId="0" borderId="3" xfId="0" applyNumberFormat="1" applyBorder="1" applyAlignment="1">
      <alignment/>
    </xf>
    <xf numFmtId="37" fontId="0" fillId="0" borderId="1" xfId="0" applyNumberFormat="1" applyBorder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" fontId="0" fillId="0" borderId="3" xfId="0" applyNumberFormat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10" fontId="0" fillId="0" borderId="9" xfId="0" applyNumberFormat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" fontId="0" fillId="0" borderId="2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8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 horizontal="center"/>
    </xf>
    <xf numFmtId="37" fontId="0" fillId="0" borderId="7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75" zoomScaleNormal="75" workbookViewId="0" topLeftCell="A1">
      <pane xSplit="3555" topLeftCell="D1" activePane="topRight" state="split"/>
      <selection pane="topLeft" activeCell="A16" sqref="A16:IV16"/>
      <selection pane="topRight" activeCell="H21" sqref="H21"/>
    </sheetView>
  </sheetViews>
  <sheetFormatPr defaultColWidth="9.140625" defaultRowHeight="12.75"/>
  <cols>
    <col min="1" max="1" width="12.421875" style="5" customWidth="1"/>
    <col min="2" max="3" width="14.00390625" style="4" customWidth="1"/>
    <col min="4" max="4" width="11.8515625" style="4" customWidth="1"/>
    <col min="5" max="5" width="10.57421875" style="4" customWidth="1"/>
    <col min="6" max="6" width="9.421875" style="4" customWidth="1"/>
    <col min="7" max="7" width="9.57421875" style="4" customWidth="1"/>
    <col min="8" max="8" width="9.8515625" style="0" customWidth="1"/>
    <col min="9" max="9" width="7.00390625" style="0" customWidth="1"/>
    <col min="10" max="10" width="10.28125" style="0" customWidth="1"/>
    <col min="14" max="14" width="11.57421875" style="0" customWidth="1"/>
    <col min="15" max="15" width="10.7109375" style="0" customWidth="1"/>
    <col min="24" max="24" width="11.8515625" style="0" customWidth="1"/>
    <col min="25" max="25" width="11.00390625" style="0" customWidth="1"/>
    <col min="32" max="32" width="10.8515625" style="0" customWidth="1"/>
  </cols>
  <sheetData>
    <row r="1" spans="1:33" ht="12.75">
      <c r="A1" s="6" t="s">
        <v>13</v>
      </c>
      <c r="B1" s="9" t="s">
        <v>0</v>
      </c>
      <c r="C1" s="33" t="s">
        <v>41</v>
      </c>
      <c r="D1" s="46" t="s">
        <v>25</v>
      </c>
      <c r="E1" s="47"/>
      <c r="F1" s="47"/>
      <c r="G1" s="47"/>
      <c r="H1" s="47"/>
      <c r="I1" s="12"/>
      <c r="J1" s="12"/>
      <c r="K1" s="12"/>
      <c r="L1" s="12"/>
      <c r="M1" s="13"/>
      <c r="N1" s="46" t="s">
        <v>24</v>
      </c>
      <c r="O1" s="47"/>
      <c r="P1" s="47"/>
      <c r="Q1" s="47"/>
      <c r="R1" s="47"/>
      <c r="S1" s="12"/>
      <c r="T1" s="12"/>
      <c r="U1" s="12"/>
      <c r="V1" s="12"/>
      <c r="W1" s="13"/>
      <c r="X1" s="46" t="s">
        <v>1</v>
      </c>
      <c r="Y1" s="47"/>
      <c r="Z1" s="47"/>
      <c r="AA1" s="47"/>
      <c r="AB1" s="47"/>
      <c r="AC1" s="12"/>
      <c r="AD1" s="12"/>
      <c r="AE1" s="12"/>
      <c r="AF1" s="12"/>
      <c r="AG1" s="13"/>
    </row>
    <row r="2" spans="1:33" s="1" customFormat="1" ht="12.75">
      <c r="A2" s="22" t="s">
        <v>28</v>
      </c>
      <c r="B2" s="23" t="s">
        <v>12</v>
      </c>
      <c r="C2" s="24" t="s">
        <v>42</v>
      </c>
      <c r="D2" s="29" t="s">
        <v>26</v>
      </c>
      <c r="E2" s="25" t="s">
        <v>20</v>
      </c>
      <c r="F2" s="25" t="s">
        <v>21</v>
      </c>
      <c r="G2" s="25" t="s">
        <v>22</v>
      </c>
      <c r="H2" s="26" t="s">
        <v>18</v>
      </c>
      <c r="I2" s="26" t="s">
        <v>23</v>
      </c>
      <c r="J2" s="26" t="s">
        <v>29</v>
      </c>
      <c r="K2" s="26"/>
      <c r="L2" s="26"/>
      <c r="M2" s="27"/>
      <c r="N2" s="29" t="s">
        <v>27</v>
      </c>
      <c r="O2" s="25" t="s">
        <v>20</v>
      </c>
      <c r="P2" s="25" t="s">
        <v>21</v>
      </c>
      <c r="Q2" s="25" t="s">
        <v>22</v>
      </c>
      <c r="R2" s="26" t="s">
        <v>18</v>
      </c>
      <c r="S2" s="26" t="s">
        <v>23</v>
      </c>
      <c r="T2" s="26" t="s">
        <v>29</v>
      </c>
      <c r="U2" s="26" t="s">
        <v>30</v>
      </c>
      <c r="V2" s="26"/>
      <c r="W2" s="27"/>
      <c r="X2" s="24" t="s">
        <v>19</v>
      </c>
      <c r="Y2" s="25" t="s">
        <v>20</v>
      </c>
      <c r="Z2" s="25" t="s">
        <v>21</v>
      </c>
      <c r="AA2" s="25" t="s">
        <v>22</v>
      </c>
      <c r="AB2" s="26" t="s">
        <v>18</v>
      </c>
      <c r="AC2" s="26" t="s">
        <v>23</v>
      </c>
      <c r="AD2" s="26" t="s">
        <v>16</v>
      </c>
      <c r="AE2" s="26" t="s">
        <v>17</v>
      </c>
      <c r="AF2" s="26" t="s">
        <v>31</v>
      </c>
      <c r="AG2" s="27" t="s">
        <v>29</v>
      </c>
    </row>
    <row r="3" spans="1:33" s="1" customFormat="1" ht="12.75">
      <c r="A3" s="39">
        <v>37134</v>
      </c>
      <c r="B3" s="40">
        <v>75</v>
      </c>
      <c r="C3" s="41">
        <v>0.11</v>
      </c>
      <c r="D3" s="14">
        <f>B3/4</f>
        <v>18.75</v>
      </c>
      <c r="E3" s="34"/>
      <c r="F3" s="34"/>
      <c r="G3" s="34"/>
      <c r="H3" s="35"/>
      <c r="I3" s="37"/>
      <c r="J3" s="35"/>
      <c r="K3" s="35"/>
      <c r="L3" s="35"/>
      <c r="M3" s="36"/>
      <c r="N3" s="14">
        <f>B3/4</f>
        <v>18.75</v>
      </c>
      <c r="O3" s="43"/>
      <c r="P3" s="43"/>
      <c r="Q3" s="43"/>
      <c r="R3" s="44"/>
      <c r="S3" s="38"/>
      <c r="T3" s="35"/>
      <c r="U3" s="35"/>
      <c r="V3" s="35"/>
      <c r="W3" s="36"/>
      <c r="X3" s="14">
        <f>B3/2</f>
        <v>37.5</v>
      </c>
      <c r="Y3" s="43"/>
      <c r="Z3" s="43"/>
      <c r="AA3" s="43"/>
      <c r="AB3" s="44"/>
      <c r="AC3" s="38"/>
      <c r="AD3" s="35"/>
      <c r="AE3" s="35"/>
      <c r="AF3" s="35"/>
      <c r="AG3" s="36"/>
    </row>
    <row r="4" spans="1:33" s="1" customFormat="1" ht="12.75">
      <c r="A4" s="39">
        <v>37164</v>
      </c>
      <c r="B4" s="40">
        <v>75</v>
      </c>
      <c r="C4" s="41"/>
      <c r="D4" s="14">
        <f>B3/4</f>
        <v>18.75</v>
      </c>
      <c r="E4" s="43">
        <f>2*4.3</f>
        <v>8.6</v>
      </c>
      <c r="F4" s="43"/>
      <c r="G4" s="43"/>
      <c r="H4" s="44"/>
      <c r="I4" s="38"/>
      <c r="J4" s="35"/>
      <c r="K4" s="35"/>
      <c r="L4" s="35"/>
      <c r="M4" s="36"/>
      <c r="N4" s="14">
        <f>B3/4</f>
        <v>18.75</v>
      </c>
      <c r="O4" s="43">
        <f>2*4.3</f>
        <v>8.6</v>
      </c>
      <c r="P4" s="43"/>
      <c r="Q4" s="43"/>
      <c r="R4" s="44"/>
      <c r="S4" s="38"/>
      <c r="T4" s="35"/>
      <c r="U4" s="35"/>
      <c r="V4" s="35"/>
      <c r="W4" s="36"/>
      <c r="X4" s="14">
        <f>B3/2</f>
        <v>37.5</v>
      </c>
      <c r="Y4" s="43">
        <f>4*4.3</f>
        <v>17.2</v>
      </c>
      <c r="Z4" s="43"/>
      <c r="AA4" s="43"/>
      <c r="AB4" s="44"/>
      <c r="AC4" s="38"/>
      <c r="AD4" s="35"/>
      <c r="AE4" s="35"/>
      <c r="AF4" s="35"/>
      <c r="AG4" s="36"/>
    </row>
    <row r="5" spans="1:33" ht="12.75">
      <c r="A5" s="7">
        <v>37195</v>
      </c>
      <c r="B5" s="40">
        <v>75</v>
      </c>
      <c r="C5" s="41"/>
      <c r="D5" s="14">
        <f>B4/4</f>
        <v>18.75</v>
      </c>
      <c r="E5" s="15">
        <f>E4+3*3.5</f>
        <v>19.1</v>
      </c>
      <c r="F5" s="15">
        <f>E4</f>
        <v>8.6</v>
      </c>
      <c r="G5" s="15">
        <f>F5*$F$36*$C$3*$F$38</f>
        <v>239.75423999999998</v>
      </c>
      <c r="H5" s="15">
        <f>G5/2</f>
        <v>119.87711999999999</v>
      </c>
      <c r="I5" s="28"/>
      <c r="J5" s="15">
        <f>H5*$M$43*4</f>
        <v>119.87711999999999</v>
      </c>
      <c r="K5" s="16"/>
      <c r="L5" s="16"/>
      <c r="M5" s="17"/>
      <c r="N5" s="14">
        <f>B4/4</f>
        <v>18.75</v>
      </c>
      <c r="O5" s="15">
        <f>O4+3*3.5</f>
        <v>19.1</v>
      </c>
      <c r="P5" s="15">
        <f>O4</f>
        <v>8.6</v>
      </c>
      <c r="Q5" s="15">
        <f>P5*$F$36*$C$3*$F$38</f>
        <v>239.75423999999998</v>
      </c>
      <c r="R5" s="15">
        <f>Q5/2</f>
        <v>119.87711999999999</v>
      </c>
      <c r="S5" s="28"/>
      <c r="T5" s="15">
        <f>R5*$M$44*4</f>
        <v>58.500034559999996</v>
      </c>
      <c r="U5" s="15">
        <f>R5*$M$40*4</f>
        <v>61.22882254403131</v>
      </c>
      <c r="V5" s="16"/>
      <c r="W5" s="17"/>
      <c r="X5" s="14">
        <f>B4/2</f>
        <v>37.5</v>
      </c>
      <c r="Y5" s="15">
        <f>Y4+5*4.2</f>
        <v>38.2</v>
      </c>
      <c r="Z5" s="15">
        <f>Y4</f>
        <v>17.2</v>
      </c>
      <c r="AA5" s="15">
        <f>Z5*$F$36*$C$3*$F$38</f>
        <v>479.50847999999996</v>
      </c>
      <c r="AB5" s="15">
        <f>AA5/2</f>
        <v>239.75423999999998</v>
      </c>
      <c r="AC5" s="28"/>
      <c r="AD5" s="15">
        <f>AB5*$M$34*2</f>
        <v>73.89685479452055</v>
      </c>
      <c r="AE5" s="15">
        <f>AB5*$M$36*2</f>
        <v>67.56283866927592</v>
      </c>
      <c r="AF5" s="15">
        <f>AB5*$M$38*2</f>
        <v>45.041892446183944</v>
      </c>
      <c r="AG5" s="31">
        <f>AB5*$M$45*2</f>
        <v>53.22544128</v>
      </c>
    </row>
    <row r="6" spans="1:33" ht="12.75">
      <c r="A6" s="7">
        <v>37225</v>
      </c>
      <c r="B6" s="10">
        <v>75</v>
      </c>
      <c r="C6" s="41"/>
      <c r="D6" s="14">
        <f>B5/4</f>
        <v>18.75</v>
      </c>
      <c r="E6" s="15">
        <f>E5</f>
        <v>19.1</v>
      </c>
      <c r="F6" s="15">
        <f>E5</f>
        <v>19.1</v>
      </c>
      <c r="G6" s="15">
        <f>((F6-F5)*$F$36*$C$3*$F$38)+G5</f>
        <v>532.4774400000001</v>
      </c>
      <c r="H6" s="15">
        <f>(G6-G5)/2+(G5-H5)+H5</f>
        <v>386.11584000000005</v>
      </c>
      <c r="I6" s="28"/>
      <c r="J6" s="15">
        <f>H6*$M$43*4</f>
        <v>386.11584000000005</v>
      </c>
      <c r="K6" s="16"/>
      <c r="L6" s="16"/>
      <c r="M6" s="17"/>
      <c r="N6" s="14">
        <f>B5/4</f>
        <v>18.75</v>
      </c>
      <c r="O6" s="15">
        <f>O5</f>
        <v>19.1</v>
      </c>
      <c r="P6" s="15">
        <f>O5</f>
        <v>19.1</v>
      </c>
      <c r="Q6" s="15">
        <f>((P6-P5)*$F$36*$C$3*$F$38)+Q5</f>
        <v>532.4774400000001</v>
      </c>
      <c r="R6" s="15">
        <f>(Q6-Q5)/2+(Q5-R5)+R5</f>
        <v>386.11584000000005</v>
      </c>
      <c r="S6" s="28"/>
      <c r="T6" s="15">
        <f>R6*$M$44*4</f>
        <v>188.42452992000003</v>
      </c>
      <c r="U6" s="15">
        <f>R6*$M$40*4</f>
        <v>197.21376563600785</v>
      </c>
      <c r="V6" s="16"/>
      <c r="W6" s="17"/>
      <c r="X6" s="14">
        <f>B5/2</f>
        <v>37.5</v>
      </c>
      <c r="Y6" s="15">
        <f>Y5</f>
        <v>38.2</v>
      </c>
      <c r="Z6" s="15">
        <f>Y5</f>
        <v>38.2</v>
      </c>
      <c r="AA6" s="15">
        <f>Z6*$F$36*$C$3*$F$38</f>
        <v>1064.95488</v>
      </c>
      <c r="AB6" s="15">
        <f>(AA6-AA5)/2+(AA5-AB5)+AB5</f>
        <v>772.23168</v>
      </c>
      <c r="AC6" s="28"/>
      <c r="AD6" s="15">
        <f>AB6*$M$34*2</f>
        <v>238.01661369863015</v>
      </c>
      <c r="AE6" s="15">
        <f>AB6*$M$36*2</f>
        <v>217.61518966731896</v>
      </c>
      <c r="AF6" s="15">
        <f>AB6*$M$38*2</f>
        <v>145.07679311154598</v>
      </c>
      <c r="AG6" s="31">
        <f>AB6*$M$45*2</f>
        <v>171.43543295999999</v>
      </c>
    </row>
    <row r="7" spans="1:33" ht="12.75">
      <c r="A7" s="7">
        <f>EOMONTH(A6,1)</f>
        <v>37256</v>
      </c>
      <c r="B7" s="10">
        <v>275</v>
      </c>
      <c r="C7" s="41">
        <v>0.15</v>
      </c>
      <c r="D7" s="14">
        <f>B6/4</f>
        <v>18.75</v>
      </c>
      <c r="E7" s="15">
        <f>E6</f>
        <v>19.1</v>
      </c>
      <c r="F7" s="15">
        <f>E6</f>
        <v>19.1</v>
      </c>
      <c r="G7" s="15">
        <f>((F7-F6)*$F$36*$C$3*$F$38)+G6</f>
        <v>532.4774400000001</v>
      </c>
      <c r="H7" s="15">
        <f>(G7-G6)/2+(G6-H6)+H6</f>
        <v>532.4774400000001</v>
      </c>
      <c r="I7" s="28"/>
      <c r="J7" s="15">
        <f>H7*$M$43*4</f>
        <v>532.4774400000001</v>
      </c>
      <c r="K7" s="16"/>
      <c r="L7" s="16"/>
      <c r="M7" s="17"/>
      <c r="N7" s="14">
        <f>B7/4</f>
        <v>68.75</v>
      </c>
      <c r="O7" s="15">
        <f>O6</f>
        <v>19.1</v>
      </c>
      <c r="P7" s="15">
        <f>O6</f>
        <v>19.1</v>
      </c>
      <c r="Q7" s="15">
        <f>((P7-P6)*$F$36*$C$3*$F$38)+Q6</f>
        <v>532.4774400000001</v>
      </c>
      <c r="R7" s="15">
        <f>(Q7-Q6)/2+(Q6-R6)+R6</f>
        <v>532.4774400000001</v>
      </c>
      <c r="S7" s="28"/>
      <c r="T7" s="15">
        <f>R7*$M$44*4</f>
        <v>259.8489907200001</v>
      </c>
      <c r="U7" s="15">
        <f>R7*$M$40*4</f>
        <v>271.9698861839531</v>
      </c>
      <c r="V7" s="16"/>
      <c r="W7" s="17"/>
      <c r="X7" s="14">
        <f>B7/2</f>
        <v>137.5</v>
      </c>
      <c r="Y7" s="15">
        <f>Y6</f>
        <v>38.2</v>
      </c>
      <c r="Z7" s="15">
        <f>Y6</f>
        <v>38.2</v>
      </c>
      <c r="AA7" s="15">
        <f>Z7*$F$36*$C$3*$F$38</f>
        <v>1064.95488</v>
      </c>
      <c r="AB7" s="15">
        <f>(AA7-AA6)/2+(AA6-AB6)+AB6</f>
        <v>1064.95488</v>
      </c>
      <c r="AC7" s="28"/>
      <c r="AD7" s="15">
        <f>AB7*$M$34*2</f>
        <v>328.2395178082192</v>
      </c>
      <c r="AE7" s="15">
        <f>AB7*$M$36*2</f>
        <v>300.1047019960861</v>
      </c>
      <c r="AF7" s="15">
        <f>AB7*$M$38*2</f>
        <v>200.06980133072406</v>
      </c>
      <c r="AG7" s="31">
        <f>AB7*$M$45*2</f>
        <v>236.41998336</v>
      </c>
    </row>
    <row r="8" spans="1:33" ht="12.75">
      <c r="A8" s="7">
        <f>EOMONTH(A7,1)</f>
        <v>37287</v>
      </c>
      <c r="B8" s="10">
        <v>475</v>
      </c>
      <c r="C8" s="41">
        <v>0.26</v>
      </c>
      <c r="D8" s="14">
        <f aca="true" t="shared" si="0" ref="D8:D16">B7/4</f>
        <v>68.75</v>
      </c>
      <c r="E8" s="15">
        <f>E7+3.5*4.3</f>
        <v>34.15</v>
      </c>
      <c r="F8" s="15">
        <f>E7</f>
        <v>19.1</v>
      </c>
      <c r="G8" s="15">
        <f>((F8-F7)*$F$36*$C$3*$F$38)+G7</f>
        <v>532.4774400000001</v>
      </c>
      <c r="H8" s="15">
        <f>(G8-G7)/2+(G7-H7)+H7</f>
        <v>532.4774400000001</v>
      </c>
      <c r="I8" s="28"/>
      <c r="J8" s="15">
        <f>H8*$M$43*4</f>
        <v>532.4774400000001</v>
      </c>
      <c r="K8" s="15"/>
      <c r="L8" s="15"/>
      <c r="M8" s="17"/>
      <c r="N8" s="14">
        <f aca="true" t="shared" si="1" ref="N7:N16">B7/4</f>
        <v>68.75</v>
      </c>
      <c r="O8" s="15">
        <f>O7+3.5*4.3</f>
        <v>34.15</v>
      </c>
      <c r="P8" s="15">
        <f>O7</f>
        <v>19.1</v>
      </c>
      <c r="Q8" s="15">
        <f>((P8-P7)*$F$36*$C$3*$F$38)+Q7</f>
        <v>532.4774400000001</v>
      </c>
      <c r="R8" s="15">
        <f>(Q8-Q7)/2+(Q7-R7)+R7</f>
        <v>532.4774400000001</v>
      </c>
      <c r="S8" s="28"/>
      <c r="T8" s="15">
        <f>R8*$M$44*4</f>
        <v>259.8489907200001</v>
      </c>
      <c r="U8" s="15">
        <f>R8*$M$40*4</f>
        <v>271.9698861839531</v>
      </c>
      <c r="V8" s="15"/>
      <c r="W8" s="17"/>
      <c r="X8" s="14">
        <f aca="true" t="shared" si="2" ref="X8:X16">B7/2</f>
        <v>137.5</v>
      </c>
      <c r="Y8" s="15">
        <f>Y7+7*4.3</f>
        <v>68.3</v>
      </c>
      <c r="Z8" s="15">
        <f>Y7</f>
        <v>38.2</v>
      </c>
      <c r="AA8" s="15">
        <f>Z8*$F$36*$C$3*$F$38</f>
        <v>1064.95488</v>
      </c>
      <c r="AB8" s="15">
        <f>(AA8-AA7)/2+(AA7-AB7)+AB7</f>
        <v>1064.95488</v>
      </c>
      <c r="AC8" s="28"/>
      <c r="AD8" s="15">
        <f>AB8*$M$34*2</f>
        <v>328.2395178082192</v>
      </c>
      <c r="AE8" s="15">
        <f aca="true" t="shared" si="3" ref="AE8:AE21">AB8*$M$36*2</f>
        <v>300.1047019960861</v>
      </c>
      <c r="AF8" s="15">
        <f>AB8*$M$38*2</f>
        <v>200.06980133072406</v>
      </c>
      <c r="AG8" s="31">
        <f>AB8*$M$45*2</f>
        <v>236.41998336</v>
      </c>
    </row>
    <row r="9" spans="1:33" ht="12.75">
      <c r="A9" s="7">
        <f>EOMONTH(A8,1)</f>
        <v>37315</v>
      </c>
      <c r="B9" s="10">
        <v>475</v>
      </c>
      <c r="C9" s="41"/>
      <c r="D9" s="14">
        <f t="shared" si="0"/>
        <v>118.75</v>
      </c>
      <c r="E9" s="15">
        <f>E8+3.5*4.3</f>
        <v>49.199999999999996</v>
      </c>
      <c r="F9" s="15">
        <f aca="true" t="shared" si="4" ref="F9:F18">E8</f>
        <v>34.15</v>
      </c>
      <c r="G9" s="15">
        <f>((F9-F8)*$F$36*$C$7*$F$38)+G8</f>
        <v>1104.6182399999998</v>
      </c>
      <c r="H9" s="15">
        <f>(G9-G8)/2+(G8-H8)+H8</f>
        <v>818.54784</v>
      </c>
      <c r="I9" s="28"/>
      <c r="J9" s="15">
        <f aca="true" t="shared" si="5" ref="J9:J21">H9*$M$43*4</f>
        <v>818.54784</v>
      </c>
      <c r="K9" s="15"/>
      <c r="L9" s="15"/>
      <c r="M9" s="17"/>
      <c r="N9" s="14">
        <f t="shared" si="1"/>
        <v>118.75</v>
      </c>
      <c r="O9" s="15">
        <f>O8+3.5*4.3</f>
        <v>49.199999999999996</v>
      </c>
      <c r="P9" s="15">
        <f aca="true" t="shared" si="6" ref="P9:P20">O8</f>
        <v>34.15</v>
      </c>
      <c r="Q9" s="15">
        <f>((P9-P8)*$F$36*$C$7*$F$38)+Q8</f>
        <v>1104.6182399999998</v>
      </c>
      <c r="R9" s="15">
        <f>(Q9-Q8)/2+(Q8-R8)+R8</f>
        <v>818.54784</v>
      </c>
      <c r="S9" s="28"/>
      <c r="T9" s="15">
        <f aca="true" t="shared" si="7" ref="T9:T21">R9*$M$44*4</f>
        <v>399.45134592</v>
      </c>
      <c r="U9" s="15">
        <f aca="true" t="shared" si="8" ref="U9:U21">R9*$M$40*4</f>
        <v>418.0841218003914</v>
      </c>
      <c r="V9" s="15"/>
      <c r="W9" s="17"/>
      <c r="X9" s="14">
        <f t="shared" si="2"/>
        <v>237.5</v>
      </c>
      <c r="Y9" s="15">
        <f>Y8+7*4.3</f>
        <v>98.39999999999999</v>
      </c>
      <c r="Z9" s="15">
        <f aca="true" t="shared" si="9" ref="Z9:Z21">Y8</f>
        <v>68.3</v>
      </c>
      <c r="AA9" s="15">
        <f>((Z9-Z8)*$F$36*$C$7*$F$38)+AA8</f>
        <v>2209.2364799999996</v>
      </c>
      <c r="AB9" s="15">
        <f>(AA9-AA8)/2+(AA8-AB8)+AB8</f>
        <v>1637.09568</v>
      </c>
      <c r="AC9" s="28"/>
      <c r="AD9" s="15">
        <f>AB9*$M$34*2</f>
        <v>504.58428493150683</v>
      </c>
      <c r="AE9" s="15">
        <f t="shared" si="3"/>
        <v>461.33420336594907</v>
      </c>
      <c r="AF9" s="15">
        <f aca="true" t="shared" si="10" ref="AF9:AF21">AB9*$M$38*2</f>
        <v>307.55613557729936</v>
      </c>
      <c r="AG9" s="31">
        <f aca="true" t="shared" si="11" ref="AG9:AG21">AB9*$M$45*2</f>
        <v>363.43524096</v>
      </c>
    </row>
    <row r="10" spans="1:33" ht="12.75">
      <c r="A10" s="7">
        <f>EOMONTH(A9,1)</f>
        <v>37346</v>
      </c>
      <c r="B10" s="10">
        <v>675</v>
      </c>
      <c r="C10" s="41">
        <v>0.26</v>
      </c>
      <c r="D10" s="14">
        <f t="shared" si="0"/>
        <v>118.75</v>
      </c>
      <c r="E10" s="15">
        <f>E9+5*4.3</f>
        <v>70.69999999999999</v>
      </c>
      <c r="F10" s="15">
        <f t="shared" si="4"/>
        <v>49.199999999999996</v>
      </c>
      <c r="G10" s="15">
        <f>((F10-F9)*$F$36*$C$7*$F$38)+G9</f>
        <v>1676.7590399999995</v>
      </c>
      <c r="H10" s="15">
        <f aca="true" t="shared" si="12" ref="H10:H20">(G10-G9)/2+(G9-H9)+H9</f>
        <v>1390.6886399999996</v>
      </c>
      <c r="I10" s="28"/>
      <c r="J10" s="15">
        <f t="shared" si="5"/>
        <v>1390.6886399999996</v>
      </c>
      <c r="K10" s="15"/>
      <c r="L10" s="15"/>
      <c r="M10" s="17"/>
      <c r="N10" s="14">
        <f t="shared" si="1"/>
        <v>118.75</v>
      </c>
      <c r="O10" s="15">
        <f>O9+5*4.3</f>
        <v>70.69999999999999</v>
      </c>
      <c r="P10" s="15">
        <f t="shared" si="6"/>
        <v>49.199999999999996</v>
      </c>
      <c r="Q10" s="15">
        <f>((P10-P9)*$F$36*$C$7*$F$38)+Q9</f>
        <v>1676.7590399999995</v>
      </c>
      <c r="R10" s="15">
        <f aca="true" t="shared" si="13" ref="R10:R20">(Q10-Q9)/2+(Q9-R9)+R9</f>
        <v>1390.6886399999996</v>
      </c>
      <c r="S10" s="28"/>
      <c r="T10" s="15">
        <f t="shared" si="7"/>
        <v>678.6560563199998</v>
      </c>
      <c r="U10" s="15">
        <f t="shared" si="8"/>
        <v>710.312593033268</v>
      </c>
      <c r="V10" s="15"/>
      <c r="W10" s="17"/>
      <c r="X10" s="14">
        <f t="shared" si="2"/>
        <v>237.5</v>
      </c>
      <c r="Y10" s="15">
        <f>Y9+10*4.3</f>
        <v>141.39999999999998</v>
      </c>
      <c r="Z10" s="15">
        <f t="shared" si="9"/>
        <v>98.39999999999999</v>
      </c>
      <c r="AA10" s="15">
        <f>((Z10-Z9)*$F$36*$C$7*$F$38)+AA9</f>
        <v>3353.518079999999</v>
      </c>
      <c r="AB10" s="15">
        <f aca="true" t="shared" si="14" ref="AB10:AB22">(AA10-AA9)/2+(AA9-AB9)+AB9</f>
        <v>2781.3772799999992</v>
      </c>
      <c r="AC10" s="28"/>
      <c r="AD10" s="15">
        <f aca="true" t="shared" si="15" ref="AD10:AD21">AB10*$M$34*2</f>
        <v>857.273819178082</v>
      </c>
      <c r="AE10" s="15">
        <f t="shared" si="3"/>
        <v>783.7932061056749</v>
      </c>
      <c r="AF10" s="15">
        <f t="shared" si="10"/>
        <v>522.52880407045</v>
      </c>
      <c r="AG10" s="31">
        <f t="shared" si="11"/>
        <v>617.4657561599998</v>
      </c>
    </row>
    <row r="11" spans="1:33" ht="12.75">
      <c r="A11" s="7">
        <f>EOMONTH(A10,1)</f>
        <v>37376</v>
      </c>
      <c r="B11" s="10">
        <v>675</v>
      </c>
      <c r="C11" s="41"/>
      <c r="D11" s="14">
        <f t="shared" si="0"/>
        <v>168.75</v>
      </c>
      <c r="E11" s="15">
        <f aca="true" t="shared" si="16" ref="E11:E18">E10+5*4.3</f>
        <v>92.19999999999999</v>
      </c>
      <c r="F11" s="15">
        <f t="shared" si="4"/>
        <v>70.69999999999999</v>
      </c>
      <c r="G11" s="15">
        <f>((F11-F10)*$F$36*$C$7*$F$38)+G10</f>
        <v>2494.103039999999</v>
      </c>
      <c r="H11" s="15">
        <f t="shared" si="12"/>
        <v>2085.4310399999995</v>
      </c>
      <c r="I11" s="28"/>
      <c r="J11" s="15">
        <f t="shared" si="5"/>
        <v>2085.4310399999995</v>
      </c>
      <c r="K11" s="15"/>
      <c r="L11" s="15"/>
      <c r="M11" s="17"/>
      <c r="N11" s="14">
        <f t="shared" si="1"/>
        <v>168.75</v>
      </c>
      <c r="O11" s="15">
        <f aca="true" t="shared" si="17" ref="O11:O19">O10+5*4.3</f>
        <v>92.19999999999999</v>
      </c>
      <c r="P11" s="15">
        <f t="shared" si="6"/>
        <v>70.69999999999999</v>
      </c>
      <c r="Q11" s="15">
        <f>((P11-P10)*$F$36*$C$7*$F$38)+Q10</f>
        <v>2494.103039999999</v>
      </c>
      <c r="R11" s="15">
        <f t="shared" si="13"/>
        <v>2085.4310399999995</v>
      </c>
      <c r="S11" s="28"/>
      <c r="T11" s="15">
        <f t="shared" si="7"/>
        <v>1017.6903475199997</v>
      </c>
      <c r="U11" s="15">
        <f t="shared" si="8"/>
        <v>1065.161450958904</v>
      </c>
      <c r="V11" s="15"/>
      <c r="W11" s="17"/>
      <c r="X11" s="14">
        <f t="shared" si="2"/>
        <v>337.5</v>
      </c>
      <c r="Y11" s="15">
        <f aca="true" t="shared" si="18" ref="Y11:Y19">Y10+10*4.3</f>
        <v>184.39999999999998</v>
      </c>
      <c r="Z11" s="15">
        <f t="shared" si="9"/>
        <v>141.39999999999998</v>
      </c>
      <c r="AA11" s="15">
        <f>((Z11-Z10)*$F$36*$C$7*$F$38)+AA10</f>
        <v>4988.206079999998</v>
      </c>
      <c r="AB11" s="15">
        <f t="shared" si="14"/>
        <v>4170.862079999999</v>
      </c>
      <c r="AC11" s="28"/>
      <c r="AD11" s="15">
        <f t="shared" si="15"/>
        <v>1285.5396821917805</v>
      </c>
      <c r="AE11" s="15">
        <f t="shared" si="3"/>
        <v>1175.350566575342</v>
      </c>
      <c r="AF11" s="15">
        <f t="shared" si="10"/>
        <v>783.5670443835614</v>
      </c>
      <c r="AG11" s="31">
        <f t="shared" si="11"/>
        <v>925.9313817599998</v>
      </c>
    </row>
    <row r="12" spans="1:33" ht="12.75">
      <c r="A12" s="7">
        <f>EOMONTH(A11,1)</f>
        <v>37407</v>
      </c>
      <c r="B12" s="10">
        <v>875</v>
      </c>
      <c r="C12" s="41">
        <v>0.26</v>
      </c>
      <c r="D12" s="14">
        <f t="shared" si="0"/>
        <v>168.75</v>
      </c>
      <c r="E12" s="15">
        <f t="shared" si="16"/>
        <v>113.69999999999999</v>
      </c>
      <c r="F12" s="15">
        <f t="shared" si="4"/>
        <v>92.19999999999999</v>
      </c>
      <c r="G12" s="15">
        <f>((F12-F11)*$F$36*$C$8*$F$38)+G11</f>
        <v>3910.8326399999987</v>
      </c>
      <c r="H12" s="15">
        <f t="shared" si="12"/>
        <v>3202.467839999999</v>
      </c>
      <c r="I12" s="28"/>
      <c r="J12" s="15">
        <f t="shared" si="5"/>
        <v>3202.467839999999</v>
      </c>
      <c r="K12" s="15"/>
      <c r="L12" s="15"/>
      <c r="M12" s="17"/>
      <c r="N12" s="14">
        <f t="shared" si="1"/>
        <v>168.75</v>
      </c>
      <c r="O12" s="15">
        <f t="shared" si="17"/>
        <v>113.69999999999999</v>
      </c>
      <c r="P12" s="15">
        <f t="shared" si="6"/>
        <v>92.19999999999999</v>
      </c>
      <c r="Q12" s="15">
        <f>((P12-P11)*$F$36*$C$8*$F$38)+Q11</f>
        <v>3910.8326399999987</v>
      </c>
      <c r="R12" s="15">
        <f t="shared" si="13"/>
        <v>3202.467839999999</v>
      </c>
      <c r="S12" s="28"/>
      <c r="T12" s="15">
        <f t="shared" si="7"/>
        <v>1562.8043059199995</v>
      </c>
      <c r="U12" s="15">
        <f t="shared" si="8"/>
        <v>1635.7027519373771</v>
      </c>
      <c r="V12" s="15"/>
      <c r="W12" s="17"/>
      <c r="X12" s="14">
        <f t="shared" si="2"/>
        <v>337.5</v>
      </c>
      <c r="Y12" s="15">
        <f t="shared" si="18"/>
        <v>227.39999999999998</v>
      </c>
      <c r="Z12" s="15">
        <f t="shared" si="9"/>
        <v>184.39999999999998</v>
      </c>
      <c r="AA12" s="15">
        <f>((Z12-Z11)*$F$36*$C$8*$F$38)+AA11</f>
        <v>7821.665279999997</v>
      </c>
      <c r="AB12" s="15">
        <f t="shared" si="14"/>
        <v>6404.935679999998</v>
      </c>
      <c r="AC12" s="28"/>
      <c r="AD12" s="15">
        <f t="shared" si="15"/>
        <v>1974.1240109589035</v>
      </c>
      <c r="AE12" s="15">
        <f t="shared" si="3"/>
        <v>1804.9133814481402</v>
      </c>
      <c r="AF12" s="15">
        <f t="shared" si="10"/>
        <v>1203.2755876320934</v>
      </c>
      <c r="AG12" s="31">
        <f t="shared" si="11"/>
        <v>1421.8957209599996</v>
      </c>
    </row>
    <row r="13" spans="1:33" ht="12.75">
      <c r="A13" s="7">
        <f>EOMONTH(A12,1)</f>
        <v>37437</v>
      </c>
      <c r="B13" s="10">
        <v>875</v>
      </c>
      <c r="C13" s="41"/>
      <c r="D13" s="14">
        <f t="shared" si="0"/>
        <v>218.75</v>
      </c>
      <c r="E13" s="15">
        <f t="shared" si="16"/>
        <v>135.2</v>
      </c>
      <c r="F13" s="15">
        <f t="shared" si="4"/>
        <v>113.69999999999999</v>
      </c>
      <c r="G13" s="15">
        <f>((F13-F12)*$F$36*$C$8*$F$38)+G12</f>
        <v>5327.562239999998</v>
      </c>
      <c r="H13" s="15">
        <f t="shared" si="12"/>
        <v>4619.197439999998</v>
      </c>
      <c r="I13" s="28"/>
      <c r="J13" s="15">
        <f t="shared" si="5"/>
        <v>4619.197439999998</v>
      </c>
      <c r="K13" s="15"/>
      <c r="L13" s="15"/>
      <c r="M13" s="17"/>
      <c r="N13" s="14">
        <f t="shared" si="1"/>
        <v>218.75</v>
      </c>
      <c r="O13" s="15">
        <f t="shared" si="17"/>
        <v>135.2</v>
      </c>
      <c r="P13" s="15">
        <f t="shared" si="6"/>
        <v>113.69999999999999</v>
      </c>
      <c r="Q13" s="15">
        <f>((P13-P12)*$F$36*$C$8*$F$38)+Q12</f>
        <v>5327.562239999998</v>
      </c>
      <c r="R13" s="15">
        <f t="shared" si="13"/>
        <v>4619.197439999998</v>
      </c>
      <c r="S13" s="28"/>
      <c r="T13" s="15">
        <f t="shared" si="7"/>
        <v>2254.168350719999</v>
      </c>
      <c r="U13" s="15">
        <f t="shared" si="8"/>
        <v>2359.3161092759287</v>
      </c>
      <c r="V13" s="15"/>
      <c r="W13" s="17"/>
      <c r="X13" s="14">
        <f t="shared" si="2"/>
        <v>437.5</v>
      </c>
      <c r="Y13" s="15">
        <f t="shared" si="18"/>
        <v>270.4</v>
      </c>
      <c r="Z13" s="15">
        <f t="shared" si="9"/>
        <v>227.39999999999998</v>
      </c>
      <c r="AA13" s="15">
        <f>((Z13-Z12)*$F$36*$C$8*$F$38)+AA12</f>
        <v>10655.124479999997</v>
      </c>
      <c r="AB13" s="15">
        <f t="shared" si="14"/>
        <v>9238.394879999996</v>
      </c>
      <c r="AC13" s="28"/>
      <c r="AD13" s="15">
        <f t="shared" si="15"/>
        <v>2847.4504767123276</v>
      </c>
      <c r="AE13" s="15">
        <f t="shared" si="3"/>
        <v>2603.3832929941277</v>
      </c>
      <c r="AF13" s="15">
        <f t="shared" si="10"/>
        <v>1735.5888619960854</v>
      </c>
      <c r="AG13" s="31">
        <f t="shared" si="11"/>
        <v>2050.923663359999</v>
      </c>
    </row>
    <row r="14" spans="1:33" ht="12.75">
      <c r="A14" s="7">
        <f>EOMONTH(A13,1)</f>
        <v>37468</v>
      </c>
      <c r="B14" s="10">
        <v>1046</v>
      </c>
      <c r="C14" s="41">
        <v>0.26</v>
      </c>
      <c r="D14" s="14">
        <f t="shared" si="0"/>
        <v>218.75</v>
      </c>
      <c r="E14" s="15">
        <f t="shared" si="16"/>
        <v>156.7</v>
      </c>
      <c r="F14" s="15">
        <f t="shared" si="4"/>
        <v>135.2</v>
      </c>
      <c r="G14" s="15">
        <f>((F14-F13)*$F$36*$C$8*$F$38)+G13</f>
        <v>6744.291839999998</v>
      </c>
      <c r="H14" s="15">
        <f t="shared" si="12"/>
        <v>6035.927039999999</v>
      </c>
      <c r="I14" s="28"/>
      <c r="J14" s="15">
        <f t="shared" si="5"/>
        <v>6035.927039999999</v>
      </c>
      <c r="K14" s="15"/>
      <c r="L14" s="15"/>
      <c r="M14" s="17"/>
      <c r="N14" s="14">
        <f t="shared" si="1"/>
        <v>218.75</v>
      </c>
      <c r="O14" s="15">
        <f t="shared" si="17"/>
        <v>156.7</v>
      </c>
      <c r="P14" s="15">
        <f t="shared" si="6"/>
        <v>135.2</v>
      </c>
      <c r="Q14" s="15">
        <f>((P14-P13)*$F$36*$C$8*$F$38)+Q13</f>
        <v>6744.291839999998</v>
      </c>
      <c r="R14" s="15">
        <f t="shared" si="13"/>
        <v>6035.927039999999</v>
      </c>
      <c r="S14" s="28"/>
      <c r="T14" s="15">
        <f t="shared" si="7"/>
        <v>2945.532395519999</v>
      </c>
      <c r="U14" s="15">
        <f t="shared" si="8"/>
        <v>3082.929466614481</v>
      </c>
      <c r="V14" s="15"/>
      <c r="W14" s="17"/>
      <c r="X14" s="14">
        <f t="shared" si="2"/>
        <v>437.5</v>
      </c>
      <c r="Y14" s="15">
        <f t="shared" si="18"/>
        <v>313.4</v>
      </c>
      <c r="Z14" s="15">
        <f t="shared" si="9"/>
        <v>270.4</v>
      </c>
      <c r="AA14" s="15">
        <f>((Z14-Z13)*$F$36*$C$10*$F$38)+AA13</f>
        <v>13488.583679999996</v>
      </c>
      <c r="AB14" s="15">
        <f t="shared" si="14"/>
        <v>12071.854079999997</v>
      </c>
      <c r="AC14" s="28"/>
      <c r="AD14" s="15">
        <f t="shared" si="15"/>
        <v>3720.7769424657527</v>
      </c>
      <c r="AE14" s="15">
        <f t="shared" si="3"/>
        <v>3401.8532045401166</v>
      </c>
      <c r="AF14" s="15">
        <f t="shared" si="10"/>
        <v>2267.9021363600777</v>
      </c>
      <c r="AG14" s="31">
        <f t="shared" si="11"/>
        <v>2679.9516057599994</v>
      </c>
    </row>
    <row r="15" spans="1:33" ht="12.75">
      <c r="A15" s="7">
        <f>EOMONTH(A14,1)</f>
        <v>37499</v>
      </c>
      <c r="B15" s="10"/>
      <c r="C15" s="41"/>
      <c r="D15" s="14">
        <f t="shared" si="0"/>
        <v>261.5</v>
      </c>
      <c r="E15" s="15">
        <f t="shared" si="16"/>
        <v>178.2</v>
      </c>
      <c r="F15" s="15">
        <f t="shared" si="4"/>
        <v>156.7</v>
      </c>
      <c r="G15" s="15">
        <f>((F15-F14)*$F$36*$C$10*$F$38)+G14</f>
        <v>8161.021439999998</v>
      </c>
      <c r="H15" s="15">
        <f t="shared" si="12"/>
        <v>7452.656639999997</v>
      </c>
      <c r="I15" s="28"/>
      <c r="J15" s="15">
        <f t="shared" si="5"/>
        <v>7452.656639999997</v>
      </c>
      <c r="K15" s="15"/>
      <c r="L15" s="15"/>
      <c r="M15" s="17"/>
      <c r="N15" s="14">
        <f t="shared" si="1"/>
        <v>261.5</v>
      </c>
      <c r="O15" s="15">
        <f t="shared" si="17"/>
        <v>178.2</v>
      </c>
      <c r="P15" s="15">
        <f t="shared" si="6"/>
        <v>156.7</v>
      </c>
      <c r="Q15" s="15">
        <f>((P15-P14)*$F$36*$C$10*$F$38)+Q14</f>
        <v>8161.021439999998</v>
      </c>
      <c r="R15" s="15">
        <f t="shared" si="13"/>
        <v>7452.656639999997</v>
      </c>
      <c r="S15" s="28"/>
      <c r="T15" s="15">
        <f t="shared" si="7"/>
        <v>3636.896440319999</v>
      </c>
      <c r="U15" s="15">
        <f t="shared" si="8"/>
        <v>3806.542823953032</v>
      </c>
      <c r="V15" s="15"/>
      <c r="W15" s="17"/>
      <c r="X15" s="14">
        <f t="shared" si="2"/>
        <v>523</v>
      </c>
      <c r="Y15" s="15">
        <f t="shared" si="18"/>
        <v>356.4</v>
      </c>
      <c r="Z15" s="15">
        <f t="shared" si="9"/>
        <v>313.4</v>
      </c>
      <c r="AA15" s="15">
        <f>((Z15-Z14)*$F$36*$C$10*$F$38)+AA14</f>
        <v>16322.042879999995</v>
      </c>
      <c r="AB15" s="15">
        <f t="shared" si="14"/>
        <v>14905.313279999995</v>
      </c>
      <c r="AC15" s="28"/>
      <c r="AD15" s="15">
        <f t="shared" si="15"/>
        <v>4594.103408219176</v>
      </c>
      <c r="AE15" s="15">
        <f t="shared" si="3"/>
        <v>4200.323116086104</v>
      </c>
      <c r="AF15" s="15">
        <f t="shared" si="10"/>
        <v>2800.2154107240694</v>
      </c>
      <c r="AG15" s="31">
        <f t="shared" si="11"/>
        <v>3308.979548159999</v>
      </c>
    </row>
    <row r="16" spans="1:33" ht="12.75">
      <c r="A16" s="7">
        <f>EOMONTH(A15,1)</f>
        <v>37529</v>
      </c>
      <c r="B16" s="10"/>
      <c r="C16" s="41"/>
      <c r="D16" s="14"/>
      <c r="E16" s="15">
        <f t="shared" si="16"/>
        <v>199.7</v>
      </c>
      <c r="F16" s="15">
        <f t="shared" si="4"/>
        <v>178.2</v>
      </c>
      <c r="G16" s="15">
        <f>((F16-F15)*$F$36*$C$10*$F$38)+G15</f>
        <v>9577.751039999997</v>
      </c>
      <c r="H16" s="15">
        <f t="shared" si="12"/>
        <v>8869.386239999998</v>
      </c>
      <c r="I16" s="28"/>
      <c r="J16" s="15">
        <f t="shared" si="5"/>
        <v>8869.386239999998</v>
      </c>
      <c r="K16" s="15"/>
      <c r="L16" s="15"/>
      <c r="M16" s="17"/>
      <c r="N16" s="14"/>
      <c r="O16" s="15">
        <f t="shared" si="17"/>
        <v>199.7</v>
      </c>
      <c r="P16" s="15">
        <f t="shared" si="6"/>
        <v>178.2</v>
      </c>
      <c r="Q16" s="15">
        <f>((P16-P15)*$F$36*$C$10*$F$38)+Q15</f>
        <v>9577.751039999997</v>
      </c>
      <c r="R16" s="15">
        <f t="shared" si="13"/>
        <v>8869.386239999998</v>
      </c>
      <c r="S16" s="28"/>
      <c r="T16" s="15">
        <f t="shared" si="7"/>
        <v>4328.2604851199985</v>
      </c>
      <c r="U16" s="15">
        <f t="shared" si="8"/>
        <v>4530.156181291584</v>
      </c>
      <c r="V16" s="15"/>
      <c r="W16" s="17"/>
      <c r="X16" s="14"/>
      <c r="Y16" s="15">
        <f t="shared" si="18"/>
        <v>399.4</v>
      </c>
      <c r="Z16" s="15">
        <f t="shared" si="9"/>
        <v>356.4</v>
      </c>
      <c r="AA16" s="15">
        <f>((Z16-Z15)*$F$36*$C$10*$F$38)+AA15</f>
        <v>19155.502079999995</v>
      </c>
      <c r="AB16" s="15">
        <f t="shared" si="14"/>
        <v>17738.772479999996</v>
      </c>
      <c r="AC16" s="28"/>
      <c r="AD16" s="15">
        <f t="shared" si="15"/>
        <v>5467.429873972602</v>
      </c>
      <c r="AE16" s="15">
        <f t="shared" si="3"/>
        <v>4998.793027632092</v>
      </c>
      <c r="AF16" s="15">
        <f t="shared" si="10"/>
        <v>3332.5286850880616</v>
      </c>
      <c r="AG16" s="31">
        <f t="shared" si="11"/>
        <v>3938.007490559999</v>
      </c>
    </row>
    <row r="17" spans="1:33" ht="12.75">
      <c r="A17" s="7">
        <f>EOMONTH(A16,1)</f>
        <v>37560</v>
      </c>
      <c r="B17" s="10"/>
      <c r="C17" s="41"/>
      <c r="D17" s="14"/>
      <c r="E17" s="15">
        <f t="shared" si="16"/>
        <v>221.2</v>
      </c>
      <c r="F17" s="15">
        <f t="shared" si="4"/>
        <v>199.7</v>
      </c>
      <c r="G17" s="15">
        <f>((F17-F16)*$F$36*$C$12*$F$38)+G16</f>
        <v>10994.480639999998</v>
      </c>
      <c r="H17" s="15">
        <f t="shared" si="12"/>
        <v>10286.115839999999</v>
      </c>
      <c r="I17" s="28"/>
      <c r="J17" s="15">
        <f t="shared" si="5"/>
        <v>10286.115839999999</v>
      </c>
      <c r="K17" s="15"/>
      <c r="L17" s="15"/>
      <c r="M17" s="17"/>
      <c r="N17" s="14"/>
      <c r="O17" s="15">
        <f t="shared" si="17"/>
        <v>221.2</v>
      </c>
      <c r="P17" s="15">
        <f t="shared" si="6"/>
        <v>199.7</v>
      </c>
      <c r="Q17" s="15">
        <f>((P17-P16)*$F$36*$C$12*$F$38)+Q16</f>
        <v>10994.480639999998</v>
      </c>
      <c r="R17" s="15">
        <f t="shared" si="13"/>
        <v>10286.115839999999</v>
      </c>
      <c r="S17" s="28"/>
      <c r="T17" s="15">
        <f t="shared" si="7"/>
        <v>5019.624529919999</v>
      </c>
      <c r="U17" s="15">
        <f t="shared" si="8"/>
        <v>5253.769538630137</v>
      </c>
      <c r="V17" s="15"/>
      <c r="W17" s="17"/>
      <c r="X17" s="14"/>
      <c r="Y17" s="15">
        <f t="shared" si="18"/>
        <v>442.4</v>
      </c>
      <c r="Z17" s="15">
        <f t="shared" si="9"/>
        <v>399.4</v>
      </c>
      <c r="AA17" s="15">
        <f>((Z17-Z16)*$F$36*$C$12*$F$38)+AA16</f>
        <v>21988.961279999996</v>
      </c>
      <c r="AB17" s="15">
        <f t="shared" si="14"/>
        <v>20572.231679999997</v>
      </c>
      <c r="AC17" s="28"/>
      <c r="AD17" s="15">
        <f t="shared" si="15"/>
        <v>6340.756339726026</v>
      </c>
      <c r="AE17" s="15">
        <f t="shared" si="3"/>
        <v>5797.262939178081</v>
      </c>
      <c r="AF17" s="15">
        <f t="shared" si="10"/>
        <v>3864.841959452054</v>
      </c>
      <c r="AG17" s="31">
        <f t="shared" si="11"/>
        <v>4567.0354329599995</v>
      </c>
    </row>
    <row r="18" spans="1:33" ht="12.75">
      <c r="A18" s="7">
        <f>EOMONTH(A17,1)</f>
        <v>37590</v>
      </c>
      <c r="B18" s="10"/>
      <c r="C18" s="41"/>
      <c r="D18" s="14"/>
      <c r="E18" s="15">
        <f t="shared" si="16"/>
        <v>242.7</v>
      </c>
      <c r="F18" s="15">
        <f t="shared" si="4"/>
        <v>221.2</v>
      </c>
      <c r="G18" s="15">
        <f>((F18-F17)*$F$36*$C$12*$F$38)+G17</f>
        <v>12411.210239999999</v>
      </c>
      <c r="H18" s="15">
        <f t="shared" si="12"/>
        <v>11702.845439999997</v>
      </c>
      <c r="I18" s="28"/>
      <c r="J18" s="15">
        <f t="shared" si="5"/>
        <v>11702.845439999997</v>
      </c>
      <c r="K18" s="15"/>
      <c r="L18" s="15"/>
      <c r="M18" s="17"/>
      <c r="N18" s="14"/>
      <c r="O18" s="15">
        <f t="shared" si="17"/>
        <v>242.7</v>
      </c>
      <c r="P18" s="15">
        <f t="shared" si="6"/>
        <v>221.2</v>
      </c>
      <c r="Q18" s="15">
        <f>((P18-P17)*$F$36*$C$12*$F$38)+Q17</f>
        <v>12411.210239999999</v>
      </c>
      <c r="R18" s="15">
        <f t="shared" si="13"/>
        <v>11702.845439999997</v>
      </c>
      <c r="S18" s="28"/>
      <c r="T18" s="15">
        <f t="shared" si="7"/>
        <v>5710.988574719999</v>
      </c>
      <c r="U18" s="15">
        <f t="shared" si="8"/>
        <v>5977.382895968688</v>
      </c>
      <c r="V18" s="15"/>
      <c r="W18" s="17"/>
      <c r="X18" s="14"/>
      <c r="Y18" s="15">
        <f t="shared" si="18"/>
        <v>485.4</v>
      </c>
      <c r="Z18" s="15">
        <f t="shared" si="9"/>
        <v>442.4</v>
      </c>
      <c r="AA18" s="15">
        <f>((Z18-Z17)*$F$36*$C$12*$F$38)+AA17</f>
        <v>24822.420479999997</v>
      </c>
      <c r="AB18" s="15">
        <f t="shared" si="14"/>
        <v>23405.690879999995</v>
      </c>
      <c r="AC18" s="28"/>
      <c r="AD18" s="15">
        <f t="shared" si="15"/>
        <v>7214.082805479451</v>
      </c>
      <c r="AE18" s="15">
        <f t="shared" si="3"/>
        <v>6595.732850724068</v>
      </c>
      <c r="AF18" s="15">
        <f t="shared" si="10"/>
        <v>4397.155233816045</v>
      </c>
      <c r="AG18" s="31">
        <f t="shared" si="11"/>
        <v>5196.063375359999</v>
      </c>
    </row>
    <row r="19" spans="1:33" ht="12.75">
      <c r="A19" s="7">
        <f>EOMONTH(A18,1)</f>
        <v>37621</v>
      </c>
      <c r="B19" s="10"/>
      <c r="C19" s="41"/>
      <c r="D19" s="14"/>
      <c r="E19" s="15">
        <f>D15</f>
        <v>261.5</v>
      </c>
      <c r="F19" s="15">
        <f>E18</f>
        <v>242.7</v>
      </c>
      <c r="G19" s="15">
        <f>((F19-F18)*$F$36*$C$14*$F$38)+G18</f>
        <v>13827.93984</v>
      </c>
      <c r="H19" s="15">
        <f t="shared" si="12"/>
        <v>13119.57504</v>
      </c>
      <c r="I19" s="28"/>
      <c r="J19" s="15">
        <f t="shared" si="5"/>
        <v>13119.57504</v>
      </c>
      <c r="K19" s="15"/>
      <c r="L19" s="15"/>
      <c r="M19" s="17"/>
      <c r="N19" s="14"/>
      <c r="O19" s="15">
        <f>N15</f>
        <v>261.5</v>
      </c>
      <c r="P19" s="15">
        <f t="shared" si="6"/>
        <v>242.7</v>
      </c>
      <c r="Q19" s="15">
        <f>((P19-P18)*$F$36*$C$14*$F$38)+Q18</f>
        <v>13827.93984</v>
      </c>
      <c r="R19" s="15">
        <f t="shared" si="13"/>
        <v>13119.57504</v>
      </c>
      <c r="S19" s="28"/>
      <c r="T19" s="15">
        <f t="shared" si="7"/>
        <v>6402.352619519999</v>
      </c>
      <c r="U19" s="15">
        <f t="shared" si="8"/>
        <v>6700.996253307241</v>
      </c>
      <c r="V19" s="15"/>
      <c r="W19" s="17"/>
      <c r="X19" s="14"/>
      <c r="Y19" s="15">
        <f>X15</f>
        <v>523</v>
      </c>
      <c r="Z19" s="15">
        <f t="shared" si="9"/>
        <v>485.4</v>
      </c>
      <c r="AA19" s="15">
        <f>((Z19-Z18)*$F$36*$C$14*$F$38)+AA18</f>
        <v>27655.87968</v>
      </c>
      <c r="AB19" s="15">
        <f t="shared" si="14"/>
        <v>26239.15008</v>
      </c>
      <c r="AC19" s="28"/>
      <c r="AD19" s="15">
        <f t="shared" si="15"/>
        <v>8087.409271232877</v>
      </c>
      <c r="AE19" s="15">
        <f t="shared" si="3"/>
        <v>7394.202762270058</v>
      </c>
      <c r="AF19" s="15">
        <f t="shared" si="10"/>
        <v>4929.468508180039</v>
      </c>
      <c r="AG19" s="31">
        <f t="shared" si="11"/>
        <v>5825.09131776</v>
      </c>
    </row>
    <row r="20" spans="1:33" ht="12.75">
      <c r="A20" s="7">
        <f>EOMONTH(A19,1)</f>
        <v>37652</v>
      </c>
      <c r="B20" s="10"/>
      <c r="C20" s="41"/>
      <c r="D20" s="14"/>
      <c r="E20" s="15"/>
      <c r="F20" s="15">
        <f>E19</f>
        <v>261.5</v>
      </c>
      <c r="G20" s="15">
        <f>((F20-F19)*$F$36*$C$14*$F$38)+G19</f>
        <v>15066.75456</v>
      </c>
      <c r="H20" s="15">
        <f t="shared" si="12"/>
        <v>14447.3472</v>
      </c>
      <c r="I20" s="28"/>
      <c r="J20" s="15">
        <f t="shared" si="5"/>
        <v>14447.3472</v>
      </c>
      <c r="K20" s="15"/>
      <c r="L20" s="15"/>
      <c r="M20" s="17"/>
      <c r="N20" s="14"/>
      <c r="O20" s="15"/>
      <c r="P20" s="15">
        <f t="shared" si="6"/>
        <v>261.5</v>
      </c>
      <c r="Q20" s="15">
        <f>((P20-P19)*$F$36*$C$14*$F$38)+Q19</f>
        <v>15066.75456</v>
      </c>
      <c r="R20" s="15">
        <f t="shared" si="13"/>
        <v>14447.3472</v>
      </c>
      <c r="S20" s="28"/>
      <c r="T20" s="15">
        <f t="shared" si="7"/>
        <v>7050.3054336</v>
      </c>
      <c r="U20" s="15">
        <f t="shared" si="8"/>
        <v>7379.173423091977</v>
      </c>
      <c r="V20" s="15"/>
      <c r="W20" s="17"/>
      <c r="X20" s="14"/>
      <c r="Y20" s="15"/>
      <c r="Z20" s="15">
        <f t="shared" si="9"/>
        <v>523</v>
      </c>
      <c r="AA20" s="15">
        <f>((Z20-Z19)*$F$36*$C$14*$F$38)+AA19</f>
        <v>30133.50912</v>
      </c>
      <c r="AB20" s="15">
        <f t="shared" si="14"/>
        <v>28894.6944</v>
      </c>
      <c r="AC20" s="28"/>
      <c r="AD20" s="15">
        <f t="shared" si="15"/>
        <v>8905.89895890411</v>
      </c>
      <c r="AE20" s="15">
        <f t="shared" si="3"/>
        <v>8142.536190998043</v>
      </c>
      <c r="AF20" s="15">
        <f t="shared" si="10"/>
        <v>5428.357460665362</v>
      </c>
      <c r="AG20" s="31">
        <f t="shared" si="11"/>
        <v>6414.6221568</v>
      </c>
    </row>
    <row r="21" spans="1:33" ht="12.75">
      <c r="A21" s="7">
        <f>EOMONTH(A20,1)</f>
        <v>37680</v>
      </c>
      <c r="B21" s="10"/>
      <c r="C21" s="41"/>
      <c r="D21" s="14"/>
      <c r="E21" s="15"/>
      <c r="F21" s="15"/>
      <c r="G21" s="15"/>
      <c r="H21" s="15">
        <f>(G20-H20)+H20</f>
        <v>15066.75456</v>
      </c>
      <c r="I21" s="28"/>
      <c r="J21" s="15">
        <f t="shared" si="5"/>
        <v>15066.75456</v>
      </c>
      <c r="K21" s="15"/>
      <c r="L21" s="15"/>
      <c r="M21" s="17"/>
      <c r="N21" s="14"/>
      <c r="O21" s="15"/>
      <c r="P21" s="15"/>
      <c r="Q21" s="15"/>
      <c r="R21" s="15">
        <f>(Q20-R20)+R20</f>
        <v>15066.75456</v>
      </c>
      <c r="S21" s="28"/>
      <c r="T21" s="15">
        <f t="shared" si="7"/>
        <v>7352.57622528</v>
      </c>
      <c r="U21" s="15">
        <f t="shared" si="8"/>
        <v>7695.5439142074365</v>
      </c>
      <c r="V21" s="15"/>
      <c r="W21" s="55"/>
      <c r="X21" s="14"/>
      <c r="Y21" s="15"/>
      <c r="Z21" s="15"/>
      <c r="AA21" s="15"/>
      <c r="AB21" s="15">
        <f>(AA20-AB20)+AB20</f>
        <v>30133.50912</v>
      </c>
      <c r="AC21" s="14"/>
      <c r="AD21" s="15">
        <f t="shared" si="15"/>
        <v>9287.72541369863</v>
      </c>
      <c r="AE21" s="15">
        <f t="shared" si="3"/>
        <v>8491.634663953033</v>
      </c>
      <c r="AF21" s="15">
        <f t="shared" si="10"/>
        <v>5661.089775968689</v>
      </c>
      <c r="AG21" s="31">
        <f t="shared" si="11"/>
        <v>6689.63902464</v>
      </c>
    </row>
    <row r="22" spans="1:33" ht="12.75">
      <c r="A22" s="7">
        <f>EOMONTH(A21,1)</f>
        <v>37711</v>
      </c>
      <c r="B22" s="10"/>
      <c r="C22" s="41"/>
      <c r="D22" s="14"/>
      <c r="E22" s="15"/>
      <c r="F22" s="15"/>
      <c r="G22" s="15"/>
      <c r="H22" s="15"/>
      <c r="I22" s="28"/>
      <c r="J22" s="15"/>
      <c r="K22" s="15"/>
      <c r="L22" s="15"/>
      <c r="M22" s="17"/>
      <c r="N22" s="14"/>
      <c r="O22" s="15"/>
      <c r="P22" s="15"/>
      <c r="Q22" s="15"/>
      <c r="R22" s="15"/>
      <c r="S22" s="28"/>
      <c r="T22" s="15"/>
      <c r="U22" s="15"/>
      <c r="V22" s="15"/>
      <c r="W22" s="17"/>
      <c r="X22" s="14"/>
      <c r="Y22" s="15"/>
      <c r="Z22" s="15"/>
      <c r="AA22" s="15"/>
      <c r="AB22" s="15"/>
      <c r="AC22" s="28"/>
      <c r="AD22" s="15"/>
      <c r="AE22" s="15"/>
      <c r="AF22" s="15"/>
      <c r="AG22" s="31"/>
    </row>
    <row r="23" spans="1:33" ht="12.75">
      <c r="A23" s="7">
        <f>EOMONTH(A22,1)</f>
        <v>37741</v>
      </c>
      <c r="B23" s="10"/>
      <c r="C23" s="41"/>
      <c r="D23" s="14"/>
      <c r="E23" s="15"/>
      <c r="F23" s="15"/>
      <c r="G23" s="15"/>
      <c r="H23" s="15"/>
      <c r="I23" s="28"/>
      <c r="J23" s="15"/>
      <c r="K23" s="15"/>
      <c r="L23" s="15"/>
      <c r="M23" s="17"/>
      <c r="N23" s="14"/>
      <c r="O23" s="15"/>
      <c r="P23" s="15"/>
      <c r="Q23" s="15"/>
      <c r="R23" s="15"/>
      <c r="S23" s="28"/>
      <c r="T23" s="15"/>
      <c r="U23" s="15"/>
      <c r="V23" s="15"/>
      <c r="W23" s="17"/>
      <c r="X23" s="14"/>
      <c r="Y23" s="15"/>
      <c r="Z23" s="15"/>
      <c r="AA23" s="15"/>
      <c r="AB23" s="15"/>
      <c r="AC23" s="28"/>
      <c r="AD23" s="15"/>
      <c r="AE23" s="15"/>
      <c r="AF23" s="15"/>
      <c r="AG23" s="17"/>
    </row>
    <row r="24" spans="1:33" ht="12.75">
      <c r="A24" s="7">
        <f>EOMONTH(A23,1)</f>
        <v>37772</v>
      </c>
      <c r="B24" s="10"/>
      <c r="C24" s="41"/>
      <c r="D24" s="14"/>
      <c r="E24" s="15"/>
      <c r="F24" s="15"/>
      <c r="G24" s="15"/>
      <c r="H24" s="15"/>
      <c r="I24" s="28"/>
      <c r="J24" s="15"/>
      <c r="K24" s="15"/>
      <c r="L24" s="15"/>
      <c r="M24" s="17"/>
      <c r="N24" s="14"/>
      <c r="O24" s="15"/>
      <c r="P24" s="15"/>
      <c r="Q24" s="15"/>
      <c r="R24" s="15"/>
      <c r="S24" s="28"/>
      <c r="T24" s="15"/>
      <c r="U24" s="15"/>
      <c r="V24" s="15"/>
      <c r="W24" s="17"/>
      <c r="X24" s="14"/>
      <c r="Y24" s="15"/>
      <c r="Z24" s="15"/>
      <c r="AA24" s="15"/>
      <c r="AB24" s="15"/>
      <c r="AC24" s="28"/>
      <c r="AD24" s="15"/>
      <c r="AE24" s="15"/>
      <c r="AF24" s="15"/>
      <c r="AG24" s="17"/>
    </row>
    <row r="25" spans="1:33" ht="12.75">
      <c r="A25" s="7">
        <f>EOMONTH(A24,1)</f>
        <v>37802</v>
      </c>
      <c r="B25" s="10"/>
      <c r="C25" s="41"/>
      <c r="D25" s="14"/>
      <c r="E25" s="15"/>
      <c r="F25" s="15"/>
      <c r="G25" s="15"/>
      <c r="H25" s="15"/>
      <c r="I25" s="28"/>
      <c r="J25" s="15"/>
      <c r="K25" s="15"/>
      <c r="L25" s="15"/>
      <c r="M25" s="17"/>
      <c r="N25" s="14"/>
      <c r="O25" s="15"/>
      <c r="P25" s="15"/>
      <c r="Q25" s="15"/>
      <c r="R25" s="15"/>
      <c r="S25" s="28"/>
      <c r="T25" s="15"/>
      <c r="U25" s="15"/>
      <c r="V25" s="15"/>
      <c r="W25" s="17"/>
      <c r="X25" s="14"/>
      <c r="Y25" s="15"/>
      <c r="Z25" s="15"/>
      <c r="AA25" s="15"/>
      <c r="AB25" s="15"/>
      <c r="AC25" s="28"/>
      <c r="AD25" s="15"/>
      <c r="AE25" s="15"/>
      <c r="AF25" s="15"/>
      <c r="AG25" s="17"/>
    </row>
    <row r="26" spans="1:33" ht="12.75">
      <c r="A26" s="7">
        <f>EOMONTH(A25,1)</f>
        <v>37833</v>
      </c>
      <c r="B26" s="10"/>
      <c r="C26" s="41"/>
      <c r="D26" s="14"/>
      <c r="E26" s="15"/>
      <c r="F26" s="15"/>
      <c r="G26" s="15"/>
      <c r="H26" s="16"/>
      <c r="I26" s="28"/>
      <c r="J26" s="16"/>
      <c r="K26" s="16"/>
      <c r="L26" s="16"/>
      <c r="M26" s="17"/>
      <c r="N26" s="14"/>
      <c r="O26" s="15"/>
      <c r="P26" s="15"/>
      <c r="Q26" s="15"/>
      <c r="R26" s="16"/>
      <c r="S26" s="28"/>
      <c r="T26" s="16"/>
      <c r="U26" s="16"/>
      <c r="V26" s="16"/>
      <c r="W26" s="17"/>
      <c r="X26" s="14"/>
      <c r="Y26" s="15"/>
      <c r="Z26" s="15"/>
      <c r="AA26" s="15"/>
      <c r="AB26" s="16"/>
      <c r="AC26" s="28"/>
      <c r="AD26" s="16"/>
      <c r="AE26" s="16"/>
      <c r="AF26" s="16"/>
      <c r="AG26" s="17"/>
    </row>
    <row r="27" spans="1:33" ht="12.75">
      <c r="A27" s="7">
        <f>EOMONTH(A26,1)</f>
        <v>37864</v>
      </c>
      <c r="B27" s="10"/>
      <c r="C27" s="41"/>
      <c r="D27" s="14"/>
      <c r="E27" s="15"/>
      <c r="F27" s="15"/>
      <c r="G27" s="15"/>
      <c r="H27" s="16"/>
      <c r="I27" s="28"/>
      <c r="J27" s="16"/>
      <c r="K27" s="16"/>
      <c r="L27" s="16"/>
      <c r="M27" s="17"/>
      <c r="N27" s="14"/>
      <c r="O27" s="15"/>
      <c r="P27" s="15"/>
      <c r="Q27" s="15"/>
      <c r="R27" s="16"/>
      <c r="S27" s="28"/>
      <c r="T27" s="16"/>
      <c r="U27" s="16"/>
      <c r="V27" s="16"/>
      <c r="W27" s="17"/>
      <c r="X27" s="14"/>
      <c r="Y27" s="15"/>
      <c r="Z27" s="15"/>
      <c r="AA27" s="15"/>
      <c r="AB27" s="16"/>
      <c r="AC27" s="28"/>
      <c r="AD27" s="16"/>
      <c r="AE27" s="16"/>
      <c r="AF27" s="16"/>
      <c r="AG27" s="17"/>
    </row>
    <row r="28" spans="1:33" ht="12.75">
      <c r="A28" s="7">
        <f>EOMONTH(A27,1)</f>
        <v>37894</v>
      </c>
      <c r="B28" s="10"/>
      <c r="C28" s="41"/>
      <c r="D28" s="14"/>
      <c r="E28" s="15"/>
      <c r="F28" s="15"/>
      <c r="G28" s="15"/>
      <c r="H28" s="16"/>
      <c r="I28" s="28"/>
      <c r="J28" s="16"/>
      <c r="K28" s="16"/>
      <c r="L28" s="16"/>
      <c r="M28" s="17"/>
      <c r="N28" s="14"/>
      <c r="O28" s="15"/>
      <c r="P28" s="15"/>
      <c r="Q28" s="15"/>
      <c r="R28" s="16"/>
      <c r="S28" s="28"/>
      <c r="T28" s="16"/>
      <c r="U28" s="16"/>
      <c r="V28" s="16"/>
      <c r="W28" s="17"/>
      <c r="X28" s="14"/>
      <c r="Y28" s="15"/>
      <c r="Z28" s="15"/>
      <c r="AA28" s="15"/>
      <c r="AB28" s="16"/>
      <c r="AC28" s="28"/>
      <c r="AD28" s="16"/>
      <c r="AE28" s="16"/>
      <c r="AF28" s="16"/>
      <c r="AG28" s="17"/>
    </row>
    <row r="29" spans="1:33" s="20" customFormat="1" ht="12.75">
      <c r="A29" s="8">
        <f>EOMONTH(A28,1)</f>
        <v>37925</v>
      </c>
      <c r="B29" s="11"/>
      <c r="C29" s="42"/>
      <c r="D29" s="18"/>
      <c r="E29" s="19"/>
      <c r="F29" s="19"/>
      <c r="G29" s="19"/>
      <c r="I29" s="29"/>
      <c r="M29" s="21"/>
      <c r="N29" s="18"/>
      <c r="O29" s="19"/>
      <c r="P29" s="19"/>
      <c r="Q29" s="19"/>
      <c r="S29" s="29"/>
      <c r="W29" s="21"/>
      <c r="X29" s="18"/>
      <c r="Y29" s="19"/>
      <c r="Z29" s="19"/>
      <c r="AA29" s="19"/>
      <c r="AC29" s="29"/>
      <c r="AG29" s="21"/>
    </row>
    <row r="31" spans="4:26" ht="12.75">
      <c r="D31" s="4" t="s">
        <v>2</v>
      </c>
      <c r="N31" s="4"/>
      <c r="O31" s="4"/>
      <c r="P31" s="4"/>
      <c r="X31" s="4"/>
      <c r="Y31" s="4"/>
      <c r="Z31" s="4"/>
    </row>
    <row r="32" spans="4:33" ht="12.75">
      <c r="D32" s="4" t="s">
        <v>3</v>
      </c>
      <c r="F32" s="54">
        <v>37076</v>
      </c>
      <c r="G32" s="54"/>
      <c r="H32" t="s">
        <v>9</v>
      </c>
      <c r="M32" s="4">
        <f>2112+988*2</f>
        <v>4088</v>
      </c>
      <c r="N32" s="4"/>
      <c r="O32" s="4"/>
      <c r="P32" s="2"/>
      <c r="W32" s="4"/>
      <c r="X32" s="4"/>
      <c r="Y32" s="4"/>
      <c r="Z32" s="2"/>
      <c r="AG32" s="4"/>
    </row>
    <row r="33" spans="4:33" ht="12.75">
      <c r="D33" s="4" t="s">
        <v>4</v>
      </c>
      <c r="F33" s="54">
        <f>F32+12</f>
        <v>37088</v>
      </c>
      <c r="G33" s="54"/>
      <c r="H33" t="s">
        <v>10</v>
      </c>
      <c r="M33" s="4">
        <v>630</v>
      </c>
      <c r="N33" s="4"/>
      <c r="O33" s="4"/>
      <c r="P33" s="2"/>
      <c r="W33" s="4"/>
      <c r="X33" s="4"/>
      <c r="Y33" s="4"/>
      <c r="Z33" s="2"/>
      <c r="AG33" s="4"/>
    </row>
    <row r="34" spans="4:33" ht="12.75">
      <c r="D34" s="4" t="s">
        <v>6</v>
      </c>
      <c r="F34" s="4">
        <v>140</v>
      </c>
      <c r="H34" t="s">
        <v>11</v>
      </c>
      <c r="M34" s="3">
        <f>M33/M32</f>
        <v>0.1541095890410959</v>
      </c>
      <c r="N34" s="4"/>
      <c r="O34" s="4"/>
      <c r="P34" s="4"/>
      <c r="W34" s="3"/>
      <c r="X34" s="4"/>
      <c r="Y34" s="4"/>
      <c r="Z34" s="4"/>
      <c r="AG34" s="3"/>
    </row>
    <row r="35" spans="4:33" ht="12.75">
      <c r="D35" s="4" t="s">
        <v>7</v>
      </c>
      <c r="F35" s="54">
        <f>F33+F34</f>
        <v>37228</v>
      </c>
      <c r="G35" s="54"/>
      <c r="H35" t="s">
        <v>14</v>
      </c>
      <c r="M35" s="4">
        <v>576</v>
      </c>
      <c r="N35" s="4"/>
      <c r="O35" s="4"/>
      <c r="P35" s="2"/>
      <c r="W35" s="4"/>
      <c r="X35" s="4"/>
      <c r="Y35" s="4"/>
      <c r="Z35" s="2"/>
      <c r="AG35" s="4"/>
    </row>
    <row r="36" spans="4:33" ht="12.75">
      <c r="D36" s="4" t="s">
        <v>8</v>
      </c>
      <c r="F36" s="4">
        <v>256</v>
      </c>
      <c r="H36" t="s">
        <v>15</v>
      </c>
      <c r="M36" s="3">
        <f>M35/M32</f>
        <v>0.14090019569471623</v>
      </c>
      <c r="N36" s="4"/>
      <c r="O36" s="4"/>
      <c r="P36" s="4"/>
      <c r="W36" s="3"/>
      <c r="X36" s="4"/>
      <c r="Y36" s="4"/>
      <c r="Z36" s="4"/>
      <c r="AG36" s="3"/>
    </row>
    <row r="37" spans="6:26" ht="12.75">
      <c r="F37" s="3"/>
      <c r="H37" s="48" t="s">
        <v>32</v>
      </c>
      <c r="I37" s="48"/>
      <c r="J37" s="48"/>
      <c r="M37">
        <v>384</v>
      </c>
      <c r="N37" s="4"/>
      <c r="O37" s="4"/>
      <c r="P37" s="3"/>
      <c r="X37" s="4"/>
      <c r="Y37" s="4"/>
      <c r="Z37" s="3"/>
    </row>
    <row r="38" spans="4:26" ht="12.75">
      <c r="D38" s="4" t="s">
        <v>5</v>
      </c>
      <c r="F38" s="3">
        <v>0.99</v>
      </c>
      <c r="H38" s="48" t="s">
        <v>33</v>
      </c>
      <c r="I38" s="48"/>
      <c r="J38" s="48"/>
      <c r="M38" s="3">
        <f>M37/M32</f>
        <v>0.09393346379647749</v>
      </c>
      <c r="N38" s="4"/>
      <c r="O38" s="4"/>
      <c r="P38" s="3"/>
      <c r="X38" s="4"/>
      <c r="Y38" s="4"/>
      <c r="Z38" s="3"/>
    </row>
    <row r="39" spans="8:13" ht="12.75">
      <c r="H39" s="48" t="s">
        <v>34</v>
      </c>
      <c r="I39" s="48"/>
      <c r="J39" s="48"/>
      <c r="M39">
        <v>522</v>
      </c>
    </row>
    <row r="40" spans="4:13" ht="12.75">
      <c r="D40" s="45" t="s">
        <v>43</v>
      </c>
      <c r="E40" s="45"/>
      <c r="F40" s="4">
        <v>60231</v>
      </c>
      <c r="H40" s="49" t="s">
        <v>35</v>
      </c>
      <c r="I40" s="49"/>
      <c r="J40" s="49"/>
      <c r="M40" s="3">
        <f>M39/M32</f>
        <v>0.1276908023483366</v>
      </c>
    </row>
    <row r="41" spans="8:13" ht="12.75">
      <c r="H41" s="49" t="s">
        <v>36</v>
      </c>
      <c r="I41" s="49"/>
      <c r="J41" s="49"/>
      <c r="M41" s="30">
        <v>1976</v>
      </c>
    </row>
    <row r="42" spans="8:13" ht="12.75">
      <c r="H42" s="50" t="s">
        <v>37</v>
      </c>
      <c r="I42" s="50"/>
      <c r="J42" s="50"/>
      <c r="K42" s="20"/>
      <c r="L42" s="20"/>
      <c r="M42" s="32">
        <f>M41/M32</f>
        <v>0.48336594911937375</v>
      </c>
    </row>
    <row r="43" spans="8:13" ht="12.75">
      <c r="H43" s="51" t="s">
        <v>38</v>
      </c>
      <c r="I43" s="51"/>
      <c r="J43" s="51"/>
      <c r="K43" s="52"/>
      <c r="M43" s="3">
        <v>0.25</v>
      </c>
    </row>
    <row r="44" spans="8:13" ht="12.75">
      <c r="H44" s="49" t="s">
        <v>39</v>
      </c>
      <c r="I44" s="49"/>
      <c r="J44" s="49"/>
      <c r="K44" s="48"/>
      <c r="M44" s="3">
        <v>0.122</v>
      </c>
    </row>
    <row r="45" spans="8:13" ht="12.75">
      <c r="H45" s="53" t="s">
        <v>40</v>
      </c>
      <c r="I45" s="53"/>
      <c r="J45" s="53"/>
      <c r="K45" s="52"/>
      <c r="M45" s="3">
        <v>0.111</v>
      </c>
    </row>
  </sheetData>
  <mergeCells count="16">
    <mergeCell ref="H45:K45"/>
    <mergeCell ref="F32:G32"/>
    <mergeCell ref="F33:G33"/>
    <mergeCell ref="F35:G35"/>
    <mergeCell ref="H41:J41"/>
    <mergeCell ref="H42:J42"/>
    <mergeCell ref="H43:K43"/>
    <mergeCell ref="H44:K44"/>
    <mergeCell ref="D40:E40"/>
    <mergeCell ref="D1:H1"/>
    <mergeCell ref="N1:R1"/>
    <mergeCell ref="X1:AB1"/>
    <mergeCell ref="H37:J37"/>
    <mergeCell ref="H38:J38"/>
    <mergeCell ref="H39:J39"/>
    <mergeCell ref="H40:J40"/>
  </mergeCells>
  <printOptions horizontalCentered="1"/>
  <pageMargins left="0.5" right="0.5" top="1.25" bottom="0.25" header="0.5" footer="0.25"/>
  <pageSetup horizontalDpi="600" verticalDpi="600" orientation="landscape" pageOrder="overThenDown" scale="90" r:id="rId1"/>
  <headerFooter alignWithMargins="0">
    <oddHeader xml:space="preserve">&amp;C&amp;"Arial,Bold"SCT ABCD Wafer Production Plan&amp;"Arial,Regular"
All numbers except Expected Yield are CUM numbers as of end of month
 </oddHeader>
  </headerFooter>
  <colBreaks count="2" manualBreakCount="2">
    <brk id="13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A. Grillo</dc:creator>
  <cp:keywords/>
  <dc:description/>
  <cp:lastModifiedBy>Alexander A. Grillo</cp:lastModifiedBy>
  <cp:lastPrinted>2001-05-25T04:23:45Z</cp:lastPrinted>
  <dcterms:created xsi:type="dcterms:W3CDTF">2001-03-05T22:18:45Z</dcterms:created>
  <dcterms:modified xsi:type="dcterms:W3CDTF">2001-05-24T23:39:51Z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