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8610" tabRatio="782" activeTab="0"/>
  </bookViews>
  <sheets>
    <sheet name="2005-2009 Specific Obj." sheetId="1" r:id="rId1"/>
    <sheet name="Info Needed from COC" sheetId="2" r:id="rId2"/>
  </sheets>
  <definedNames>
    <definedName name="PERSONAL_Sheet1_List">#REF!</definedName>
    <definedName name="_xlnm.Print_Area" localSheetId="0">'2005-2009 Specific Obj.'!$A$1:$AM$59</definedName>
    <definedName name="_xlnm.Print_Titles" localSheetId="0">'2005-2009 Specific Obj.'!$A:$E,'2005-2009 Specific Obj.'!$1:$3</definedName>
  </definedNames>
  <calcPr fullCalcOnLoad="1"/>
</workbook>
</file>

<file path=xl/sharedStrings.xml><?xml version="1.0" encoding="utf-8"?>
<sst xmlns="http://schemas.openxmlformats.org/spreadsheetml/2006/main" count="430" uniqueCount="134">
  <si>
    <t>CDBG</t>
  </si>
  <si>
    <t>Other</t>
  </si>
  <si>
    <t>Sources of Funds</t>
  </si>
  <si>
    <t>Performance Indicators</t>
  </si>
  <si>
    <t>DH-1</t>
  </si>
  <si>
    <t>DH-1.1</t>
  </si>
  <si>
    <t>DH-2</t>
  </si>
  <si>
    <t>DH-2.1</t>
  </si>
  <si>
    <t>DH-3</t>
  </si>
  <si>
    <t>DH-3.1</t>
  </si>
  <si>
    <t>SL-1</t>
  </si>
  <si>
    <t>SL-1.1</t>
  </si>
  <si>
    <t>SL-2</t>
  </si>
  <si>
    <t>SL-2.1</t>
  </si>
  <si>
    <t>SL-3</t>
  </si>
  <si>
    <t>SL-3.1</t>
  </si>
  <si>
    <t>EO-1</t>
  </si>
  <si>
    <t>EO-1.1</t>
  </si>
  <si>
    <t>EO-2</t>
  </si>
  <si>
    <t>EO-2.1</t>
  </si>
  <si>
    <t>EO-3</t>
  </si>
  <si>
    <t>EO-3.1</t>
  </si>
  <si>
    <t>NR-1</t>
  </si>
  <si>
    <t>Neighborhood Revitalization</t>
  </si>
  <si>
    <t>O-1</t>
  </si>
  <si>
    <t>O-1.1</t>
  </si>
  <si>
    <t>Outcome/Objective
Specific Annual Objectives</t>
  </si>
  <si>
    <t>People</t>
  </si>
  <si>
    <t>Households</t>
  </si>
  <si>
    <t xml:space="preserve">FHPAP </t>
  </si>
  <si>
    <t>Housing Units</t>
  </si>
  <si>
    <t>Anoka County</t>
  </si>
  <si>
    <t>Specific Objective</t>
  </si>
  <si>
    <t xml:space="preserve">HUD </t>
  </si>
  <si>
    <t>Actual #</t>
  </si>
  <si>
    <t>%</t>
  </si>
  <si>
    <t>Proposed #</t>
  </si>
  <si>
    <t>CoC</t>
  </si>
  <si>
    <t>Public Facilities</t>
  </si>
  <si>
    <t>Businesses</t>
  </si>
  <si>
    <t>Projects</t>
  </si>
  <si>
    <t>Availability/Accessibility of DECENT HOUSING</t>
  </si>
  <si>
    <t>Affordability of DECENT HOUSING</t>
  </si>
  <si>
    <t>Sustainability of DECENT HOUSING</t>
  </si>
  <si>
    <t>Availability/Accessibility of SUITABLE LIVING ENVIRONMENT</t>
  </si>
  <si>
    <t>Affordability of SUITABLE LIVING ENVIRONMENT</t>
  </si>
  <si>
    <t>Sustainability of SUITABLE LIVING ENVIRONMENT</t>
  </si>
  <si>
    <t>Availability/Accessibility of ECONOMIC OPPORTUNITY</t>
  </si>
  <si>
    <t>Affordability of ECONOMIC OPPORTUNITY</t>
  </si>
  <si>
    <t>Sustainability of ECONOMIC OPPORTUNITY</t>
  </si>
  <si>
    <t>No objectives or projects impacting this outcome.</t>
  </si>
  <si>
    <t>TOTAL</t>
  </si>
  <si>
    <t>#9</t>
  </si>
  <si>
    <t>Evaluate support facilities and service needs of the homeless and those at imminent threat of becoming homeless, and identify appropriate agencies and resources.</t>
  </si>
  <si>
    <t>#8</t>
  </si>
  <si>
    <t>Complete planning and administration projects that support the above objectives.</t>
  </si>
  <si>
    <t>#6</t>
  </si>
  <si>
    <t>Support economic development in Anoka County to provide new jobs, primarily for lower income persons.</t>
  </si>
  <si>
    <t>#5</t>
  </si>
  <si>
    <t>Develop and upgrade public facilities and infrastructure to help lower income persons and those with special needs.</t>
  </si>
  <si>
    <t>#4</t>
  </si>
  <si>
    <t>#1</t>
  </si>
  <si>
    <t>Support construction and acquisition of housing to create decent and safe housing for lower income persons.</t>
  </si>
  <si>
    <t>Conserve and improve housing through rehabilitation of existing structures.</t>
  </si>
  <si>
    <t>#2</t>
  </si>
  <si>
    <t>Fund activities that eliminate slum and blight for the creation of new development.</t>
  </si>
  <si>
    <t>#7</t>
  </si>
  <si>
    <t>Fund public service activities serving primarily lower income persons and those with special needs.</t>
  </si>
  <si>
    <t>TABLE 1C, 2C, 3A</t>
  </si>
  <si>
    <t>% of Goal</t>
  </si>
  <si>
    <t>Jobs</t>
  </si>
  <si>
    <t>Facility/ Businesses</t>
  </si>
  <si>
    <t>Fund Activities that eliminate slum and blight for the creation of new development.</t>
  </si>
  <si>
    <t>Formula Grant Funding $</t>
  </si>
  <si>
    <t>HOME</t>
  </si>
  <si>
    <t xml:space="preserve">CDBG </t>
  </si>
  <si>
    <t>506, 508, 510</t>
  </si>
  <si>
    <t>504, 502, 509, 511</t>
  </si>
  <si>
    <t>519, 531</t>
  </si>
  <si>
    <t>503, 507</t>
  </si>
  <si>
    <t>520, 522, 523, 525, 526, 527, 528, 776, 533, 535, 538, 540, 541, 542, 543, 544, 546</t>
  </si>
  <si>
    <t>539, 548</t>
  </si>
  <si>
    <t>515, 516, 529, 547</t>
  </si>
  <si>
    <t>Anoka County Project #</t>
  </si>
  <si>
    <t>--</t>
  </si>
  <si>
    <t>602, 605</t>
  </si>
  <si>
    <t>611, 619, 620. 625</t>
  </si>
  <si>
    <t>626, 628</t>
  </si>
  <si>
    <t>612, 614, 616, 618, 621, 622, 623, 627, 629, 630, 631, 632, 634</t>
  </si>
  <si>
    <t>11 projects</t>
  </si>
  <si>
    <t>19 projects</t>
  </si>
  <si>
    <t>0 projects</t>
  </si>
  <si>
    <t>1 project</t>
  </si>
  <si>
    <t>4 projects</t>
  </si>
  <si>
    <t>8 projects</t>
  </si>
  <si>
    <t>15 projects</t>
  </si>
  <si>
    <t>2 projects</t>
  </si>
  <si>
    <t>712, 724</t>
  </si>
  <si>
    <t>HRLF07, BRLF07</t>
  </si>
  <si>
    <t>Buisinesses</t>
  </si>
  <si>
    <t>714, 720, 723,  CRLF07</t>
  </si>
  <si>
    <t>16 projects</t>
  </si>
  <si>
    <t>5 projects</t>
  </si>
  <si>
    <t>NR-1.1</t>
  </si>
  <si>
    <t>SUMMARY OF SPECIFIC ANNUAL OBJECTIVES - ANOKA COUNTY *</t>
  </si>
  <si>
    <t>709, 711, 713, 716, 719, 721, 722, 725, 726, 727, 728, 731, 732, 733</t>
  </si>
  <si>
    <t>30 projects</t>
  </si>
  <si>
    <t>31 projects</t>
  </si>
  <si>
    <t>State of MN</t>
  </si>
  <si>
    <t>McKinney Vento</t>
  </si>
  <si>
    <t>610, 617, 633</t>
  </si>
  <si>
    <t>708, 729, 730</t>
  </si>
  <si>
    <t>41 projects</t>
  </si>
  <si>
    <t>FHPAP</t>
  </si>
  <si>
    <t>Continuum of Care</t>
  </si>
  <si>
    <t>State of MN (FHPAP)</t>
  </si>
  <si>
    <t>McKinney Vento (COC)</t>
  </si>
  <si>
    <t>702, 703, 704</t>
  </si>
  <si>
    <t>702, 704</t>
  </si>
  <si>
    <t xml:space="preserve">State of MN </t>
  </si>
  <si>
    <t>Elim, Rise</t>
  </si>
  <si>
    <t>City of Anoka, JW Moore, Twin Cities Habitat</t>
  </si>
  <si>
    <t>ELIM, RISE</t>
  </si>
  <si>
    <t>Admin</t>
  </si>
  <si>
    <t>Not Reported</t>
  </si>
  <si>
    <t>TBD</t>
  </si>
  <si>
    <t xml:space="preserve">NOTE:  * Proposed and Actual numbers match project sheet.xls calculations.  Actual numbers are reported from CAPER.  The "FHPAP" and "McKenney Vento" information obtained from Anoka County Income Maintenance Department.  </t>
  </si>
  <si>
    <t>624 - canceled</t>
  </si>
  <si>
    <t>635 - canceled</t>
  </si>
  <si>
    <t>826, 829, CPRL</t>
  </si>
  <si>
    <t>BLDC, HLDC</t>
  </si>
  <si>
    <t>815, 816</t>
  </si>
  <si>
    <t>817, 819, 820, 821, 822, 823, 824, 827, 828, 833, 834, 835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</si>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</sst>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 dd"/>
    <numFmt numFmtId="168" formatCode="\ò\ @"/>
    <numFmt numFmtId="169" formatCode="\•\ @"/>
    <numFmt numFmtId="170" formatCode="mmmm\ d\,\ yyyy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_);\(&quot;$&quot;#,##0.0\)"/>
  </numFmts>
  <fonts count="28">
    <font>
      <sz val="12"/>
      <name val="Times New Roman"/>
      <family val="1"/>
    </font>
    <font>
      <sz val="10"/>
      <name val="Times New Roman"/>
      <family val="0"/>
    </font>
    <font>
      <b/>
      <sz val="14"/>
      <color indexed="9"/>
      <name val="Lucida Sans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2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8"/>
      <color indexed="63"/>
      <name val="Times New Roman"/>
      <family val="1"/>
    </font>
    <font>
      <b/>
      <sz val="9"/>
      <color indexed="63"/>
      <name val="Times New Roman"/>
      <family val="1"/>
    </font>
    <font>
      <sz val="9"/>
      <color indexed="6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 style="thin"/>
      <top style="double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2" borderId="0">
      <alignment horizontal="center" vertical="center" wrapText="1"/>
      <protection/>
    </xf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3" borderId="7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3" fontId="3" fillId="4" borderId="0" xfId="0" applyNumberFormat="1" applyFont="1" applyFill="1" applyBorder="1" applyAlignment="1">
      <alignment horizontal="center" vertical="center" wrapText="1"/>
    </xf>
    <xf numFmtId="171" fontId="1" fillId="4" borderId="8" xfId="23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9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top"/>
    </xf>
    <xf numFmtId="0" fontId="4" fillId="0" borderId="12" xfId="0" applyFont="1" applyBorder="1" applyAlignment="1">
      <alignment horizontal="center" vertical="top"/>
    </xf>
    <xf numFmtId="5" fontId="6" fillId="0" borderId="13" xfId="0" applyNumberFormat="1" applyFont="1" applyFill="1" applyBorder="1" applyAlignment="1">
      <alignment horizontal="center" vertical="center" wrapText="1"/>
    </xf>
    <xf numFmtId="5" fontId="6" fillId="0" borderId="14" xfId="0" applyNumberFormat="1" applyFont="1" applyFill="1" applyBorder="1" applyAlignment="1">
      <alignment horizontal="center" vertical="center" wrapText="1"/>
    </xf>
    <xf numFmtId="5" fontId="6" fillId="0" borderId="1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" fontId="11" fillId="0" borderId="16" xfId="0" applyNumberFormat="1" applyFont="1" applyFill="1" applyBorder="1" applyAlignment="1">
      <alignment horizontal="center" vertical="top" wrapText="1"/>
    </xf>
    <xf numFmtId="5" fontId="11" fillId="0" borderId="11" xfId="16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5" fontId="11" fillId="0" borderId="16" xfId="16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9" fontId="6" fillId="0" borderId="21" xfId="23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5" fontId="11" fillId="0" borderId="11" xfId="18" applyNumberFormat="1" applyFont="1" applyFill="1" applyBorder="1" applyAlignment="1">
      <alignment horizontal="center" vertical="top" wrapText="1"/>
    </xf>
    <xf numFmtId="5" fontId="11" fillId="0" borderId="1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5" fontId="11" fillId="0" borderId="16" xfId="0" applyNumberFormat="1" applyFont="1" applyFill="1" applyBorder="1" applyAlignment="1">
      <alignment horizontal="center" vertical="center" wrapText="1"/>
    </xf>
    <xf numFmtId="5" fontId="11" fillId="0" borderId="23" xfId="0" applyNumberFormat="1" applyFont="1" applyFill="1" applyBorder="1" applyAlignment="1">
      <alignment horizontal="center" vertical="top" wrapText="1"/>
    </xf>
    <xf numFmtId="5" fontId="11" fillId="0" borderId="11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 wrapText="1"/>
    </xf>
    <xf numFmtId="5" fontId="11" fillId="0" borderId="24" xfId="0" applyNumberFormat="1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5" fontId="11" fillId="0" borderId="26" xfId="0" applyNumberFormat="1" applyFont="1" applyFill="1" applyBorder="1" applyAlignment="1">
      <alignment horizontal="center" vertical="top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9" fontId="6" fillId="0" borderId="29" xfId="2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1" fontId="6" fillId="4" borderId="0" xfId="23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center" wrapText="1"/>
    </xf>
    <xf numFmtId="171" fontId="6" fillId="4" borderId="24" xfId="23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 wrapText="1"/>
    </xf>
    <xf numFmtId="5" fontId="6" fillId="0" borderId="19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top" wrapText="1"/>
    </xf>
    <xf numFmtId="5" fontId="11" fillId="0" borderId="17" xfId="0" applyNumberFormat="1" applyFont="1" applyFill="1" applyBorder="1" applyAlignment="1">
      <alignment horizontal="center" vertical="top" wrapText="1"/>
    </xf>
    <xf numFmtId="5" fontId="6" fillId="0" borderId="19" xfId="0" applyNumberFormat="1" applyFont="1" applyFill="1" applyBorder="1" applyAlignment="1">
      <alignment horizontal="left" vertical="center" wrapText="1"/>
    </xf>
    <xf numFmtId="5" fontId="11" fillId="0" borderId="25" xfId="0" applyNumberFormat="1" applyFont="1" applyFill="1" applyBorder="1" applyAlignment="1">
      <alignment horizontal="center" vertical="top" wrapText="1"/>
    </xf>
    <xf numFmtId="5" fontId="11" fillId="0" borderId="30" xfId="16" applyNumberFormat="1" applyFont="1" applyFill="1" applyBorder="1" applyAlignment="1" quotePrefix="1">
      <alignment horizontal="center" vertical="top" wrapText="1"/>
    </xf>
    <xf numFmtId="5" fontId="11" fillId="0" borderId="4" xfId="16" applyNumberFormat="1" applyFont="1" applyFill="1" applyBorder="1" applyAlignment="1" quotePrefix="1">
      <alignment horizontal="center" vertical="top" wrapText="1"/>
    </xf>
    <xf numFmtId="5" fontId="11" fillId="0" borderId="23" xfId="18" applyNumberFormat="1" applyFont="1" applyFill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5" fontId="6" fillId="0" borderId="32" xfId="0" applyNumberFormat="1" applyFont="1" applyFill="1" applyBorder="1" applyAlignment="1">
      <alignment horizontal="left" vertical="center" wrapText="1"/>
    </xf>
    <xf numFmtId="5" fontId="6" fillId="0" borderId="13" xfId="0" applyNumberFormat="1" applyFont="1" applyFill="1" applyBorder="1" applyAlignment="1">
      <alignment horizontal="left" vertical="center" wrapText="1"/>
    </xf>
    <xf numFmtId="5" fontId="11" fillId="0" borderId="16" xfId="18" applyNumberFormat="1" applyFont="1" applyFill="1" applyBorder="1" applyAlignment="1">
      <alignment horizontal="center" vertical="top" wrapText="1"/>
    </xf>
    <xf numFmtId="5" fontId="11" fillId="0" borderId="4" xfId="16" applyNumberFormat="1" applyFont="1" applyFill="1" applyBorder="1" applyAlignment="1">
      <alignment horizontal="center" vertical="top" wrapText="1"/>
    </xf>
    <xf numFmtId="5" fontId="11" fillId="0" borderId="28" xfId="0" applyNumberFormat="1" applyFont="1" applyFill="1" applyBorder="1" applyAlignment="1">
      <alignment horizontal="center" vertical="top" wrapText="1"/>
    </xf>
    <xf numFmtId="5" fontId="11" fillId="0" borderId="7" xfId="0" applyNumberFormat="1" applyFont="1" applyFill="1" applyBorder="1" applyAlignment="1">
      <alignment horizontal="center" vertical="top" wrapText="1"/>
    </xf>
    <xf numFmtId="5" fontId="11" fillId="0" borderId="20" xfId="0" applyNumberFormat="1" applyFont="1" applyFill="1" applyBorder="1" applyAlignment="1">
      <alignment horizontal="center" vertical="top" wrapText="1"/>
    </xf>
    <xf numFmtId="5" fontId="6" fillId="0" borderId="33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9" fontId="11" fillId="0" borderId="9" xfId="23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71" fontId="11" fillId="0" borderId="9" xfId="23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9" fontId="11" fillId="0" borderId="5" xfId="23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71" fontId="11" fillId="0" borderId="5" xfId="23" applyNumberFormat="1" applyFont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171" fontId="11" fillId="0" borderId="21" xfId="23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horizontal="center" vertical="center" wrapText="1"/>
    </xf>
    <xf numFmtId="171" fontId="11" fillId="0" borderId="35" xfId="23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top" wrapText="1"/>
    </xf>
    <xf numFmtId="171" fontId="11" fillId="0" borderId="3" xfId="23" applyNumberFormat="1" applyFont="1" applyBorder="1" applyAlignment="1">
      <alignment horizontal="center" vertical="top" wrapText="1"/>
    </xf>
    <xf numFmtId="3" fontId="11" fillId="0" borderId="18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171" fontId="11" fillId="0" borderId="5" xfId="23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top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71" fontId="11" fillId="0" borderId="29" xfId="23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36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171" fontId="11" fillId="0" borderId="31" xfId="23" applyNumberFormat="1" applyFont="1" applyBorder="1" applyAlignment="1">
      <alignment horizontal="center" vertical="top" wrapText="1"/>
    </xf>
    <xf numFmtId="3" fontId="6" fillId="0" borderId="37" xfId="0" applyNumberFormat="1" applyFont="1" applyBorder="1" applyAlignment="1">
      <alignment horizontal="center" vertical="center" wrapText="1"/>
    </xf>
    <xf numFmtId="3" fontId="16" fillId="0" borderId="38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71" fontId="11" fillId="0" borderId="31" xfId="23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5" fontId="11" fillId="0" borderId="17" xfId="0" applyNumberFormat="1" applyFont="1" applyFill="1" applyBorder="1" applyAlignment="1" quotePrefix="1">
      <alignment horizontal="center" vertical="top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5" fontId="6" fillId="0" borderId="34" xfId="0" applyNumberFormat="1" applyFont="1" applyFill="1" applyBorder="1" applyAlignment="1">
      <alignment horizontal="center" vertical="center" wrapText="1"/>
    </xf>
    <xf numFmtId="5" fontId="6" fillId="0" borderId="32" xfId="0" applyNumberFormat="1" applyFont="1" applyFill="1" applyBorder="1" applyAlignment="1">
      <alignment horizontal="center" vertical="center" wrapText="1"/>
    </xf>
    <xf numFmtId="5" fontId="6" fillId="0" borderId="39" xfId="0" applyNumberFormat="1" applyFont="1" applyFill="1" applyBorder="1" applyAlignment="1">
      <alignment horizontal="center" vertical="center" wrapText="1"/>
    </xf>
    <xf numFmtId="9" fontId="6" fillId="0" borderId="40" xfId="23" applyNumberFormat="1" applyFont="1" applyBorder="1" applyAlignment="1">
      <alignment horizontal="center" vertical="center" wrapText="1"/>
    </xf>
    <xf numFmtId="171" fontId="6" fillId="0" borderId="29" xfId="23" applyNumberFormat="1" applyFont="1" applyBorder="1" applyAlignment="1">
      <alignment horizontal="center" vertical="center" wrapText="1"/>
    </xf>
    <xf numFmtId="9" fontId="6" fillId="0" borderId="35" xfId="23" applyNumberFormat="1" applyFont="1" applyBorder="1" applyAlignment="1">
      <alignment horizontal="center" vertical="center" wrapText="1"/>
    </xf>
    <xf numFmtId="9" fontId="6" fillId="0" borderId="21" xfId="23" applyNumberFormat="1" applyFont="1" applyBorder="1" applyAlignment="1">
      <alignment horizontal="center" vertical="center" wrapText="1"/>
    </xf>
    <xf numFmtId="0" fontId="11" fillId="0" borderId="4" xfId="0" applyFont="1" applyBorder="1" applyAlignment="1" quotePrefix="1">
      <alignment horizontal="center" vertical="top" wrapText="1"/>
    </xf>
    <xf numFmtId="9" fontId="6" fillId="0" borderId="41" xfId="23" applyNumberFormat="1" applyFont="1" applyBorder="1" applyAlignment="1">
      <alignment horizontal="center" vertical="center" wrapText="1"/>
    </xf>
    <xf numFmtId="5" fontId="6" fillId="0" borderId="39" xfId="0" applyNumberFormat="1" applyFont="1" applyFill="1" applyBorder="1" applyAlignment="1">
      <alignment horizontal="left" vertical="center" wrapText="1"/>
    </xf>
    <xf numFmtId="3" fontId="6" fillId="0" borderId="39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5" fontId="6" fillId="0" borderId="38" xfId="0" applyNumberFormat="1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left" vertical="top" wrapText="1"/>
    </xf>
    <xf numFmtId="0" fontId="6" fillId="4" borderId="42" xfId="0" applyFont="1" applyFill="1" applyBorder="1" applyAlignment="1">
      <alignment horizontal="left" vertical="center" wrapText="1"/>
    </xf>
    <xf numFmtId="171" fontId="6" fillId="4" borderId="23" xfId="23" applyNumberFormat="1" applyFont="1" applyFill="1" applyBorder="1" applyAlignment="1">
      <alignment horizontal="center" vertical="center" wrapText="1"/>
    </xf>
    <xf numFmtId="171" fontId="6" fillId="4" borderId="42" xfId="23" applyNumberFormat="1" applyFont="1" applyFill="1" applyBorder="1" applyAlignment="1">
      <alignment horizontal="center" vertical="center" wrapText="1"/>
    </xf>
    <xf numFmtId="3" fontId="3" fillId="4" borderId="42" xfId="0" applyNumberFormat="1" applyFont="1" applyFill="1" applyBorder="1" applyAlignment="1">
      <alignment horizontal="center" vertical="center" wrapText="1"/>
    </xf>
    <xf numFmtId="3" fontId="13" fillId="4" borderId="42" xfId="0" applyNumberFormat="1" applyFont="1" applyFill="1" applyBorder="1" applyAlignment="1">
      <alignment horizontal="center" vertical="center" wrapText="1"/>
    </xf>
    <xf numFmtId="171" fontId="1" fillId="4" borderId="43" xfId="23" applyNumberFormat="1" applyFont="1" applyFill="1" applyBorder="1" applyAlignment="1">
      <alignment horizontal="center" vertical="center" wrapText="1"/>
    </xf>
    <xf numFmtId="5" fontId="6" fillId="0" borderId="44" xfId="0" applyNumberFormat="1" applyFont="1" applyFill="1" applyBorder="1" applyAlignment="1">
      <alignment horizontal="center" vertical="center" wrapText="1"/>
    </xf>
    <xf numFmtId="9" fontId="6" fillId="0" borderId="29" xfId="23" applyNumberFormat="1" applyFont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left" vertical="top" wrapText="1"/>
    </xf>
    <xf numFmtId="0" fontId="1" fillId="0" borderId="45" xfId="0" applyFont="1" applyBorder="1" applyAlignment="1">
      <alignment horizontal="center" vertical="top" wrapText="1"/>
    </xf>
    <xf numFmtId="5" fontId="6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4" borderId="42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 quotePrefix="1">
      <alignment horizontal="center" vertical="top" wrapText="1"/>
    </xf>
    <xf numFmtId="5" fontId="6" fillId="0" borderId="38" xfId="0" applyNumberFormat="1" applyFont="1" applyFill="1" applyBorder="1" applyAlignment="1">
      <alignment horizontal="center" vertical="center" wrapText="1"/>
    </xf>
    <xf numFmtId="5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5" fontId="6" fillId="0" borderId="46" xfId="0" applyNumberFormat="1" applyFont="1" applyFill="1" applyBorder="1" applyAlignment="1">
      <alignment horizontal="center" vertical="center" wrapText="1"/>
    </xf>
    <xf numFmtId="5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16" fillId="0" borderId="46" xfId="0" applyNumberFormat="1" applyFont="1" applyBorder="1" applyAlignment="1">
      <alignment horizontal="center" vertical="center"/>
    </xf>
    <xf numFmtId="9" fontId="6" fillId="0" borderId="35" xfId="23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171" fontId="6" fillId="0" borderId="35" xfId="23" applyNumberFormat="1" applyFont="1" applyBorder="1" applyAlignment="1">
      <alignment horizontal="center" vertical="center"/>
    </xf>
    <xf numFmtId="5" fontId="6" fillId="0" borderId="34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" fillId="4" borderId="47" xfId="0" applyFont="1" applyFill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center" wrapText="1"/>
    </xf>
    <xf numFmtId="0" fontId="11" fillId="0" borderId="2" xfId="0" applyFont="1" applyBorder="1" applyAlignment="1" quotePrefix="1">
      <alignment horizontal="center" vertical="top" wrapText="1"/>
    </xf>
    <xf numFmtId="3" fontId="11" fillId="0" borderId="17" xfId="0" applyNumberFormat="1" applyFont="1" applyBorder="1" applyAlignment="1">
      <alignment horizontal="center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left" vertical="top" wrapText="1"/>
    </xf>
    <xf numFmtId="171" fontId="11" fillId="0" borderId="29" xfId="23" applyNumberFormat="1" applyFont="1" applyBorder="1" applyAlignment="1">
      <alignment horizontal="center" vertical="top" wrapText="1"/>
    </xf>
    <xf numFmtId="5" fontId="6" fillId="0" borderId="24" xfId="0" applyNumberFormat="1" applyFont="1" applyFill="1" applyBorder="1" applyAlignment="1">
      <alignment horizontal="center" vertical="center" wrapText="1"/>
    </xf>
    <xf numFmtId="5" fontId="6" fillId="0" borderId="28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vertical="top" wrapText="1"/>
    </xf>
    <xf numFmtId="5" fontId="6" fillId="0" borderId="19" xfId="0" applyNumberFormat="1" applyFont="1" applyFill="1" applyBorder="1" applyAlignment="1" quotePrefix="1">
      <alignment horizontal="center" vertical="center" wrapText="1"/>
    </xf>
    <xf numFmtId="0" fontId="3" fillId="3" borderId="22" xfId="0" applyFont="1" applyFill="1" applyBorder="1" applyAlignment="1">
      <alignment horizontal="left" vertical="top" wrapText="1"/>
    </xf>
    <xf numFmtId="5" fontId="6" fillId="0" borderId="37" xfId="0" applyNumberFormat="1" applyFont="1" applyFill="1" applyBorder="1" applyAlignment="1">
      <alignment horizontal="center" vertical="center" wrapText="1"/>
    </xf>
    <xf numFmtId="5" fontId="6" fillId="0" borderId="27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" fillId="4" borderId="50" xfId="0" applyFont="1" applyFill="1" applyBorder="1" applyAlignment="1">
      <alignment horizontal="center" vertical="top" wrapText="1"/>
    </xf>
    <xf numFmtId="0" fontId="1" fillId="4" borderId="45" xfId="0" applyFont="1" applyFill="1" applyBorder="1" applyAlignment="1">
      <alignment horizontal="left" vertical="top" wrapText="1"/>
    </xf>
    <xf numFmtId="0" fontId="6" fillId="4" borderId="45" xfId="0" applyFont="1" applyFill="1" applyBorder="1" applyAlignment="1">
      <alignment horizontal="left" vertical="center" wrapText="1"/>
    </xf>
    <xf numFmtId="0" fontId="3" fillId="4" borderId="45" xfId="0" applyFont="1" applyFill="1" applyBorder="1" applyAlignment="1">
      <alignment horizontal="left" vertical="center" wrapText="1"/>
    </xf>
    <xf numFmtId="0" fontId="6" fillId="4" borderId="45" xfId="0" applyFont="1" applyFill="1" applyBorder="1" applyAlignment="1">
      <alignment horizontal="center" vertical="center" wrapText="1"/>
    </xf>
    <xf numFmtId="171" fontId="6" fillId="4" borderId="11" xfId="23" applyNumberFormat="1" applyFont="1" applyFill="1" applyBorder="1" applyAlignment="1">
      <alignment horizontal="center" vertical="center" wrapText="1"/>
    </xf>
    <xf numFmtId="171" fontId="6" fillId="4" borderId="45" xfId="23" applyNumberFormat="1" applyFont="1" applyFill="1" applyBorder="1" applyAlignment="1">
      <alignment horizontal="center" vertical="center" wrapText="1"/>
    </xf>
    <xf numFmtId="3" fontId="3" fillId="4" borderId="45" xfId="0" applyNumberFormat="1" applyFont="1" applyFill="1" applyBorder="1" applyAlignment="1">
      <alignment horizontal="center" vertical="center" wrapText="1"/>
    </xf>
    <xf numFmtId="3" fontId="13" fillId="4" borderId="45" xfId="0" applyNumberFormat="1" applyFont="1" applyFill="1" applyBorder="1" applyAlignment="1">
      <alignment horizontal="center" vertical="center" wrapText="1"/>
    </xf>
    <xf numFmtId="171" fontId="1" fillId="4" borderId="10" xfId="23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0" fillId="4" borderId="11" xfId="0" applyFill="1" applyBorder="1" applyAlignment="1">
      <alignment vertical="top" wrapText="1"/>
    </xf>
    <xf numFmtId="0" fontId="1" fillId="4" borderId="45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9" fontId="7" fillId="4" borderId="45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top" wrapText="1"/>
    </xf>
    <xf numFmtId="0" fontId="3" fillId="0" borderId="30" xfId="0" applyFont="1" applyBorder="1" applyAlignment="1">
      <alignment vertical="top" wrapText="1"/>
    </xf>
    <xf numFmtId="5" fontId="11" fillId="0" borderId="30" xfId="16" applyNumberFormat="1" applyFont="1" applyFill="1" applyBorder="1" applyAlignment="1">
      <alignment horizontal="center" vertical="top" wrapText="1"/>
    </xf>
    <xf numFmtId="5" fontId="11" fillId="0" borderId="18" xfId="16" applyNumberFormat="1" applyFont="1" applyFill="1" applyBorder="1" applyAlignment="1">
      <alignment horizontal="center" vertical="top" wrapText="1"/>
    </xf>
    <xf numFmtId="5" fontId="11" fillId="0" borderId="30" xfId="18" applyNumberFormat="1" applyFont="1" applyFill="1" applyBorder="1" applyAlignment="1">
      <alignment horizontal="center" vertical="top" wrapText="1"/>
    </xf>
    <xf numFmtId="5" fontId="11" fillId="0" borderId="18" xfId="0" applyNumberFormat="1" applyFont="1" applyFill="1" applyBorder="1" applyAlignment="1">
      <alignment horizontal="center" vertical="top" wrapText="1"/>
    </xf>
    <xf numFmtId="5" fontId="11" fillId="0" borderId="30" xfId="0" applyNumberFormat="1" applyFont="1" applyFill="1" applyBorder="1" applyAlignment="1">
      <alignment horizontal="center" vertical="top" wrapText="1"/>
    </xf>
    <xf numFmtId="5" fontId="11" fillId="0" borderId="17" xfId="18" applyNumberFormat="1" applyFont="1" applyFill="1" applyBorder="1" applyAlignment="1">
      <alignment horizontal="center" vertical="top" wrapText="1"/>
    </xf>
    <xf numFmtId="5" fontId="11" fillId="0" borderId="18" xfId="18" applyNumberFormat="1" applyFont="1" applyFill="1" applyBorder="1" applyAlignment="1">
      <alignment horizontal="center" vertical="top" wrapText="1"/>
    </xf>
    <xf numFmtId="5" fontId="11" fillId="0" borderId="36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9" fontId="7" fillId="0" borderId="50" xfId="0" applyNumberFormat="1" applyFont="1" applyBorder="1" applyAlignment="1">
      <alignment horizontal="center" vertical="center" wrapText="1"/>
    </xf>
    <xf numFmtId="9" fontId="1" fillId="4" borderId="45" xfId="23" applyNumberFormat="1" applyFont="1" applyFill="1" applyBorder="1" applyAlignment="1">
      <alignment horizontal="center" vertical="center" wrapText="1"/>
    </xf>
    <xf numFmtId="9" fontId="1" fillId="4" borderId="42" xfId="23" applyNumberFormat="1" applyFont="1" applyFill="1" applyBorder="1" applyAlignment="1">
      <alignment horizontal="center" vertical="center" wrapText="1"/>
    </xf>
    <xf numFmtId="9" fontId="11" fillId="0" borderId="6" xfId="23" applyNumberFormat="1" applyFont="1" applyBorder="1" applyAlignment="1">
      <alignment horizontal="center" vertical="top" wrapText="1"/>
    </xf>
    <xf numFmtId="9" fontId="11" fillId="0" borderId="51" xfId="23" applyNumberFormat="1" applyFont="1" applyBorder="1" applyAlignment="1">
      <alignment horizontal="center" vertical="top" wrapText="1"/>
    </xf>
    <xf numFmtId="9" fontId="6" fillId="0" borderId="47" xfId="23" applyNumberFormat="1" applyFont="1" applyBorder="1" applyAlignment="1">
      <alignment horizontal="center" vertical="center" wrapText="1"/>
    </xf>
    <xf numFmtId="9" fontId="6" fillId="0" borderId="52" xfId="23" applyNumberFormat="1" applyFont="1" applyBorder="1" applyAlignment="1">
      <alignment horizontal="center" vertical="center" wrapText="1"/>
    </xf>
    <xf numFmtId="9" fontId="11" fillId="0" borderId="50" xfId="23" applyNumberFormat="1" applyFont="1" applyBorder="1" applyAlignment="1">
      <alignment horizontal="center" vertical="top" wrapText="1"/>
    </xf>
    <xf numFmtId="9" fontId="11" fillId="0" borderId="47" xfId="23" applyNumberFormat="1" applyFont="1" applyBorder="1" applyAlignment="1">
      <alignment horizontal="center" vertical="center" wrapText="1"/>
    </xf>
    <xf numFmtId="9" fontId="6" fillId="0" borderId="47" xfId="23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71" fontId="6" fillId="4" borderId="30" xfId="23" applyNumberFormat="1" applyFont="1" applyFill="1" applyBorder="1" applyAlignment="1">
      <alignment horizontal="center" vertical="center" wrapText="1"/>
    </xf>
    <xf numFmtId="9" fontId="6" fillId="0" borderId="53" xfId="23" applyNumberFormat="1" applyFont="1" applyBorder="1" applyAlignment="1">
      <alignment horizontal="center" vertical="center" wrapText="1"/>
    </xf>
    <xf numFmtId="9" fontId="6" fillId="0" borderId="52" xfId="23" applyNumberFormat="1" applyFont="1" applyFill="1" applyBorder="1" applyAlignment="1">
      <alignment horizontal="center" vertical="center" wrapText="1"/>
    </xf>
    <xf numFmtId="9" fontId="6" fillId="0" borderId="54" xfId="23" applyNumberFormat="1" applyFont="1" applyBorder="1" applyAlignment="1">
      <alignment horizontal="center" vertical="center"/>
    </xf>
    <xf numFmtId="5" fontId="11" fillId="0" borderId="30" xfId="0" applyNumberFormat="1" applyFont="1" applyFill="1" applyBorder="1" applyAlignment="1">
      <alignment horizontal="center" vertical="center" wrapText="1"/>
    </xf>
    <xf numFmtId="5" fontId="11" fillId="0" borderId="18" xfId="0" applyNumberFormat="1" applyFont="1" applyFill="1" applyBorder="1" applyAlignment="1">
      <alignment horizontal="center" vertical="center" wrapText="1"/>
    </xf>
    <xf numFmtId="5" fontId="6" fillId="0" borderId="55" xfId="0" applyNumberFormat="1" applyFont="1" applyFill="1" applyBorder="1" applyAlignment="1">
      <alignment horizontal="center" vertical="center" wrapText="1"/>
    </xf>
    <xf numFmtId="171" fontId="6" fillId="4" borderId="27" xfId="23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vertical="top" wrapText="1"/>
    </xf>
    <xf numFmtId="5" fontId="11" fillId="0" borderId="19" xfId="0" applyNumberFormat="1" applyFont="1" applyFill="1" applyBorder="1" applyAlignment="1">
      <alignment horizontal="center" vertical="top" wrapText="1"/>
    </xf>
    <xf numFmtId="5" fontId="11" fillId="0" borderId="27" xfId="0" applyNumberFormat="1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vertical="top" wrapText="1"/>
    </xf>
    <xf numFmtId="171" fontId="6" fillId="4" borderId="17" xfId="2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0" fontId="3" fillId="0" borderId="48" xfId="0" applyFont="1" applyBorder="1" applyAlignment="1">
      <alignment horizontal="center"/>
    </xf>
    <xf numFmtId="9" fontId="6" fillId="0" borderId="23" xfId="23" applyNumberFormat="1" applyFont="1" applyBorder="1" applyAlignment="1">
      <alignment horizontal="center" vertical="center" wrapText="1"/>
    </xf>
    <xf numFmtId="9" fontId="11" fillId="0" borderId="23" xfId="23" applyNumberFormat="1" applyFont="1" applyBorder="1" applyAlignment="1">
      <alignment horizontal="center" vertical="center" wrapText="1"/>
    </xf>
    <xf numFmtId="9" fontId="6" fillId="0" borderId="23" xfId="23" applyNumberFormat="1" applyFont="1" applyFill="1" applyBorder="1" applyAlignment="1">
      <alignment horizontal="center" vertical="center" wrapText="1"/>
    </xf>
    <xf numFmtId="9" fontId="6" fillId="0" borderId="56" xfId="23" applyNumberFormat="1" applyFont="1" applyFill="1" applyBorder="1" applyAlignment="1">
      <alignment horizontal="center" vertical="center" wrapText="1"/>
    </xf>
    <xf numFmtId="9" fontId="6" fillId="0" borderId="57" xfId="23" applyNumberFormat="1" applyFont="1" applyBorder="1" applyAlignment="1">
      <alignment horizontal="center" vertical="center" wrapText="1"/>
    </xf>
    <xf numFmtId="9" fontId="6" fillId="0" borderId="58" xfId="23" applyNumberFormat="1" applyFont="1" applyFill="1" applyBorder="1" applyAlignment="1">
      <alignment horizontal="center" vertical="center" wrapText="1"/>
    </xf>
    <xf numFmtId="9" fontId="6" fillId="0" borderId="59" xfId="23" applyNumberFormat="1" applyFont="1" applyBorder="1" applyAlignment="1">
      <alignment horizontal="center" vertical="center"/>
    </xf>
    <xf numFmtId="0" fontId="0" fillId="3" borderId="23" xfId="0" applyFill="1" applyBorder="1" applyAlignment="1">
      <alignment horizontal="center" wrapText="1"/>
    </xf>
    <xf numFmtId="0" fontId="7" fillId="0" borderId="50" xfId="0" applyFont="1" applyBorder="1" applyAlignment="1">
      <alignment horizontal="center" vertical="center" wrapText="1"/>
    </xf>
    <xf numFmtId="171" fontId="1" fillId="4" borderId="0" xfId="23" applyNumberFormat="1" applyFont="1" applyFill="1" applyBorder="1" applyAlignment="1">
      <alignment horizontal="center" vertical="center" wrapText="1"/>
    </xf>
    <xf numFmtId="171" fontId="1" fillId="4" borderId="42" xfId="23" applyNumberFormat="1" applyFont="1" applyFill="1" applyBorder="1" applyAlignment="1">
      <alignment horizontal="center" vertical="center" wrapText="1"/>
    </xf>
    <xf numFmtId="171" fontId="11" fillId="0" borderId="6" xfId="23" applyNumberFormat="1" applyFont="1" applyBorder="1" applyAlignment="1">
      <alignment horizontal="center" vertical="top" wrapText="1"/>
    </xf>
    <xf numFmtId="171" fontId="11" fillId="0" borderId="51" xfId="23" applyNumberFormat="1" applyFont="1" applyBorder="1" applyAlignment="1">
      <alignment horizontal="center" vertical="top" wrapText="1"/>
    </xf>
    <xf numFmtId="171" fontId="6" fillId="0" borderId="47" xfId="23" applyNumberFormat="1" applyFont="1" applyBorder="1" applyAlignment="1">
      <alignment horizontal="center" vertical="center" wrapText="1"/>
    </xf>
    <xf numFmtId="9" fontId="6" fillId="0" borderId="54" xfId="23" applyNumberFormat="1" applyFont="1" applyBorder="1" applyAlignment="1">
      <alignment horizontal="center" vertical="center" wrapText="1"/>
    </xf>
    <xf numFmtId="171" fontId="11" fillId="0" borderId="50" xfId="23" applyNumberFormat="1" applyFont="1" applyBorder="1" applyAlignment="1">
      <alignment horizontal="center" vertical="top" wrapText="1"/>
    </xf>
    <xf numFmtId="9" fontId="6" fillId="0" borderId="60" xfId="23" applyNumberFormat="1" applyFont="1" applyBorder="1" applyAlignment="1">
      <alignment horizontal="center" vertical="center" wrapText="1"/>
    </xf>
    <xf numFmtId="171" fontId="11" fillId="0" borderId="51" xfId="23" applyNumberFormat="1" applyFont="1" applyBorder="1" applyAlignment="1">
      <alignment horizontal="center" vertical="center" wrapText="1"/>
    </xf>
    <xf numFmtId="171" fontId="11" fillId="0" borderId="47" xfId="23" applyNumberFormat="1" applyFont="1" applyBorder="1" applyAlignment="1">
      <alignment horizontal="center" vertical="center" wrapText="1"/>
    </xf>
    <xf numFmtId="171" fontId="11" fillId="0" borderId="61" xfId="23" applyNumberFormat="1" applyFont="1" applyBorder="1" applyAlignment="1">
      <alignment horizontal="center" vertical="center" wrapText="1"/>
    </xf>
    <xf numFmtId="171" fontId="11" fillId="0" borderId="52" xfId="23" applyNumberFormat="1" applyFont="1" applyBorder="1" applyAlignment="1">
      <alignment horizontal="center" vertical="center" wrapText="1"/>
    </xf>
    <xf numFmtId="171" fontId="11" fillId="0" borderId="54" xfId="23" applyNumberFormat="1" applyFont="1" applyBorder="1" applyAlignment="1">
      <alignment horizontal="center" vertical="center" wrapText="1"/>
    </xf>
    <xf numFmtId="171" fontId="11" fillId="0" borderId="61" xfId="23" applyNumberFormat="1" applyFont="1" applyBorder="1" applyAlignment="1">
      <alignment horizontal="center" vertical="top" wrapText="1"/>
    </xf>
    <xf numFmtId="171" fontId="6" fillId="0" borderId="52" xfId="23" applyNumberFormat="1" applyFont="1" applyBorder="1" applyAlignment="1">
      <alignment horizontal="center" vertical="center" wrapText="1"/>
    </xf>
    <xf numFmtId="171" fontId="11" fillId="0" borderId="52" xfId="23" applyNumberFormat="1" applyFont="1" applyBorder="1" applyAlignment="1">
      <alignment horizontal="center" vertical="top" wrapText="1"/>
    </xf>
    <xf numFmtId="171" fontId="6" fillId="0" borderId="54" xfId="23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top" wrapText="1"/>
    </xf>
    <xf numFmtId="0" fontId="6" fillId="4" borderId="23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3" xfId="0" applyFont="1" applyBorder="1" applyAlignment="1" quotePrefix="1">
      <alignment horizontal="center" vertical="top" wrapText="1"/>
    </xf>
    <xf numFmtId="0" fontId="3" fillId="3" borderId="23" xfId="0" applyFont="1" applyFill="1" applyBorder="1" applyAlignment="1">
      <alignment horizontal="left" vertical="top" wrapText="1"/>
    </xf>
    <xf numFmtId="9" fontId="6" fillId="0" borderId="62" xfId="23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top" wrapText="1"/>
    </xf>
    <xf numFmtId="0" fontId="11" fillId="0" borderId="24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23" fillId="0" borderId="12" xfId="0" applyFont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5" fontId="27" fillId="0" borderId="11" xfId="16" applyNumberFormat="1" applyFont="1" applyFill="1" applyBorder="1" applyAlignment="1">
      <alignment horizontal="center" vertical="top" wrapText="1"/>
    </xf>
    <xf numFmtId="5" fontId="27" fillId="0" borderId="30" xfId="16" applyNumberFormat="1" applyFont="1" applyFill="1" applyBorder="1" applyAlignment="1" quotePrefix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9" fontId="27" fillId="0" borderId="9" xfId="23" applyNumberFormat="1" applyFont="1" applyFill="1" applyBorder="1" applyAlignment="1">
      <alignment horizontal="center" vertical="top" wrapText="1"/>
    </xf>
    <xf numFmtId="5" fontId="27" fillId="0" borderId="16" xfId="16" applyNumberFormat="1" applyFont="1" applyFill="1" applyBorder="1" applyAlignment="1">
      <alignment horizontal="center" vertical="top" wrapText="1"/>
    </xf>
    <xf numFmtId="5" fontId="27" fillId="0" borderId="4" xfId="16" applyNumberFormat="1" applyFont="1" applyFill="1" applyBorder="1" applyAlignment="1" quotePrefix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9" fontId="27" fillId="0" borderId="5" xfId="23" applyNumberFormat="1" applyFont="1" applyFill="1" applyBorder="1" applyAlignment="1">
      <alignment horizontal="center" vertical="top" wrapText="1"/>
    </xf>
    <xf numFmtId="5" fontId="26" fillId="0" borderId="13" xfId="0" applyNumberFormat="1" applyFont="1" applyFill="1" applyBorder="1" applyAlignment="1">
      <alignment horizontal="center" vertical="center" wrapText="1"/>
    </xf>
    <xf numFmtId="5" fontId="26" fillId="0" borderId="19" xfId="0" applyNumberFormat="1" applyFont="1" applyFill="1" applyBorder="1" applyAlignment="1" quotePrefix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Fill="1" applyBorder="1" applyAlignment="1">
      <alignment horizontal="center" vertical="center" wrapText="1"/>
    </xf>
    <xf numFmtId="9" fontId="26" fillId="0" borderId="21" xfId="23" applyNumberFormat="1" applyFont="1" applyFill="1" applyBorder="1" applyAlignment="1">
      <alignment horizontal="center" vertical="center" wrapText="1"/>
    </xf>
    <xf numFmtId="5" fontId="27" fillId="0" borderId="11" xfId="18" applyNumberFormat="1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9" fontId="27" fillId="0" borderId="9" xfId="23" applyNumberFormat="1" applyFont="1" applyBorder="1" applyAlignment="1">
      <alignment horizontal="center" vertical="top" wrapText="1"/>
    </xf>
    <xf numFmtId="5" fontId="27" fillId="0" borderId="11" xfId="0" applyNumberFormat="1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30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5" fontId="27" fillId="0" borderId="16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9" fontId="27" fillId="0" borderId="31" xfId="23" applyNumberFormat="1" applyFont="1" applyFill="1" applyBorder="1" applyAlignment="1">
      <alignment horizontal="center" vertical="top" wrapText="1"/>
    </xf>
    <xf numFmtId="5" fontId="26" fillId="0" borderId="19" xfId="0" applyNumberFormat="1" applyFont="1" applyFill="1" applyBorder="1" applyAlignment="1">
      <alignment horizontal="center" vertical="center" wrapText="1"/>
    </xf>
    <xf numFmtId="5" fontId="27" fillId="0" borderId="23" xfId="0" applyNumberFormat="1" applyFont="1" applyFill="1" applyBorder="1" applyAlignment="1">
      <alignment horizontal="center" vertical="top" wrapText="1"/>
    </xf>
    <xf numFmtId="5" fontId="26" fillId="0" borderId="44" xfId="0" applyNumberFormat="1" applyFont="1" applyFill="1" applyBorder="1" applyAlignment="1">
      <alignment horizontal="center" vertical="center" wrapText="1"/>
    </xf>
    <xf numFmtId="5" fontId="26" fillId="0" borderId="38" xfId="0" applyNumberFormat="1" applyFont="1" applyFill="1" applyBorder="1" applyAlignment="1">
      <alignment horizontal="center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3" fontId="26" fillId="0" borderId="28" xfId="0" applyNumberFormat="1" applyFont="1" applyFill="1" applyBorder="1" applyAlignment="1">
      <alignment horizontal="center" vertical="center" wrapText="1"/>
    </xf>
    <xf numFmtId="9" fontId="26" fillId="0" borderId="29" xfId="23" applyNumberFormat="1" applyFont="1" applyFill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left" vertical="center" wrapText="1"/>
    </xf>
    <xf numFmtId="3" fontId="26" fillId="4" borderId="45" xfId="0" applyNumberFormat="1" applyFont="1" applyFill="1" applyBorder="1" applyAlignment="1">
      <alignment horizontal="center" vertical="center" wrapText="1"/>
    </xf>
    <xf numFmtId="171" fontId="26" fillId="4" borderId="10" xfId="23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top" wrapText="1"/>
    </xf>
    <xf numFmtId="3" fontId="27" fillId="0" borderId="4" xfId="0" applyNumberFormat="1" applyFont="1" applyFill="1" applyBorder="1" applyAlignment="1">
      <alignment horizontal="center" vertical="top" wrapText="1"/>
    </xf>
    <xf numFmtId="0" fontId="26" fillId="3" borderId="2" xfId="0" applyFont="1" applyFill="1" applyBorder="1" applyAlignment="1">
      <alignment vertical="top" wrapText="1"/>
    </xf>
    <xf numFmtId="5" fontId="27" fillId="0" borderId="16" xfId="18" applyNumberFormat="1" applyFont="1" applyFill="1" applyBorder="1" applyAlignment="1">
      <alignment horizontal="center" vertical="top" wrapText="1"/>
    </xf>
    <xf numFmtId="0" fontId="27" fillId="0" borderId="4" xfId="0" applyFont="1" applyBorder="1" applyAlignment="1" quotePrefix="1">
      <alignment horizontal="center" vertical="top" wrapText="1"/>
    </xf>
    <xf numFmtId="3" fontId="27" fillId="0" borderId="18" xfId="0" applyNumberFormat="1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center" wrapText="1"/>
    </xf>
    <xf numFmtId="9" fontId="27" fillId="0" borderId="5" xfId="23" applyNumberFormat="1" applyFont="1" applyBorder="1" applyAlignment="1">
      <alignment horizontal="center" vertical="top" wrapText="1"/>
    </xf>
    <xf numFmtId="5" fontId="26" fillId="0" borderId="15" xfId="0" applyNumberFormat="1" applyFont="1" applyFill="1" applyBorder="1" applyAlignment="1">
      <alignment horizontal="center" vertical="center" wrapText="1"/>
    </xf>
    <xf numFmtId="5" fontId="27" fillId="0" borderId="23" xfId="18" applyNumberFormat="1" applyFont="1" applyFill="1" applyBorder="1" applyAlignment="1">
      <alignment horizontal="center" vertical="top" wrapText="1"/>
    </xf>
    <xf numFmtId="0" fontId="27" fillId="0" borderId="2" xfId="0" applyFont="1" applyBorder="1" applyAlignment="1" quotePrefix="1">
      <alignment horizontal="center" vertical="top" wrapText="1"/>
    </xf>
    <xf numFmtId="3" fontId="27" fillId="0" borderId="17" xfId="0" applyNumberFormat="1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5" fontId="26" fillId="0" borderId="7" xfId="0" applyNumberFormat="1" applyFont="1" applyFill="1" applyBorder="1" applyAlignment="1">
      <alignment horizontal="center" vertical="center" wrapText="1"/>
    </xf>
    <xf numFmtId="5" fontId="26" fillId="0" borderId="20" xfId="0" applyNumberFormat="1" applyFont="1" applyFill="1" applyBorder="1" applyAlignment="1">
      <alignment horizontal="center" vertical="center" wrapText="1"/>
    </xf>
    <xf numFmtId="5" fontId="27" fillId="0" borderId="26" xfId="0" applyNumberFormat="1" applyFont="1" applyFill="1" applyBorder="1" applyAlignment="1">
      <alignment horizontal="center" vertical="top" wrapText="1"/>
    </xf>
    <xf numFmtId="0" fontId="27" fillId="0" borderId="36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top" wrapText="1"/>
    </xf>
    <xf numFmtId="0" fontId="26" fillId="4" borderId="42" xfId="0" applyFont="1" applyFill="1" applyBorder="1" applyAlignment="1">
      <alignment horizontal="left" vertical="center" wrapText="1"/>
    </xf>
    <xf numFmtId="0" fontId="26" fillId="4" borderId="42" xfId="0" applyFont="1" applyFill="1" applyBorder="1" applyAlignment="1">
      <alignment horizontal="center" vertical="center" wrapText="1"/>
    </xf>
    <xf numFmtId="3" fontId="26" fillId="4" borderId="42" xfId="0" applyNumberFormat="1" applyFont="1" applyFill="1" applyBorder="1" applyAlignment="1">
      <alignment horizontal="center" vertical="center" wrapText="1"/>
    </xf>
    <xf numFmtId="171" fontId="26" fillId="4" borderId="43" xfId="23" applyNumberFormat="1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5" fontId="26" fillId="0" borderId="24" xfId="0" applyNumberFormat="1" applyFont="1" applyFill="1" applyBorder="1" applyAlignment="1">
      <alignment horizontal="center" vertical="center" wrapText="1"/>
    </xf>
    <xf numFmtId="5" fontId="26" fillId="0" borderId="28" xfId="0" applyNumberFormat="1" applyFont="1" applyFill="1" applyBorder="1" applyAlignment="1">
      <alignment horizontal="center" vertical="center" wrapText="1"/>
    </xf>
    <xf numFmtId="5" fontId="26" fillId="0" borderId="33" xfId="0" applyNumberFormat="1" applyFont="1" applyFill="1" applyBorder="1" applyAlignment="1">
      <alignment horizontal="center" vertical="center"/>
    </xf>
    <xf numFmtId="5" fontId="26" fillId="0" borderId="46" xfId="0" applyNumberFormat="1" applyFont="1" applyFill="1" applyBorder="1" applyAlignment="1">
      <alignment horizontal="center" vertical="center" wrapText="1"/>
    </xf>
    <xf numFmtId="3" fontId="26" fillId="0" borderId="34" xfId="0" applyNumberFormat="1" applyFont="1" applyFill="1" applyBorder="1" applyAlignment="1">
      <alignment horizontal="center" vertical="center"/>
    </xf>
    <xf numFmtId="3" fontId="26" fillId="0" borderId="46" xfId="0" applyNumberFormat="1" applyFont="1" applyFill="1" applyBorder="1" applyAlignment="1">
      <alignment horizontal="center" vertical="center"/>
    </xf>
    <xf numFmtId="9" fontId="26" fillId="0" borderId="35" xfId="23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1" xfId="0" applyFont="1" applyBorder="1" applyAlignment="1" quotePrefix="1">
      <alignment horizontal="center" vertical="top" wrapText="1"/>
    </xf>
    <xf numFmtId="3" fontId="27" fillId="0" borderId="30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wrapText="1"/>
    </xf>
    <xf numFmtId="9" fontId="27" fillId="0" borderId="3" xfId="23" applyNumberFormat="1" applyFont="1" applyBorder="1" applyAlignment="1">
      <alignment horizontal="center" vertical="top" wrapText="1"/>
    </xf>
    <xf numFmtId="9" fontId="6" fillId="0" borderId="7" xfId="23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vertical="top" wrapText="1"/>
    </xf>
    <xf numFmtId="0" fontId="15" fillId="0" borderId="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3" fontId="11" fillId="0" borderId="36" xfId="0" applyNumberFormat="1" applyFont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center" wrapText="1"/>
    </xf>
    <xf numFmtId="9" fontId="11" fillId="0" borderId="31" xfId="23" applyNumberFormat="1" applyFont="1" applyBorder="1" applyAlignment="1">
      <alignment horizontal="center" vertical="top" wrapText="1"/>
    </xf>
    <xf numFmtId="0" fontId="0" fillId="3" borderId="6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5" fontId="1" fillId="0" borderId="9" xfId="0" applyNumberFormat="1" applyFont="1" applyBorder="1" applyAlignment="1">
      <alignment horizontal="center" vertical="top" wrapText="1"/>
    </xf>
    <xf numFmtId="3" fontId="11" fillId="0" borderId="2" xfId="0" applyNumberFormat="1" applyFont="1" applyFill="1" applyBorder="1" applyAlignment="1">
      <alignment horizontal="center" vertical="top" wrapText="1"/>
    </xf>
    <xf numFmtId="3" fontId="11" fillId="0" borderId="18" xfId="0" applyNumberFormat="1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3" fontId="11" fillId="0" borderId="17" xfId="0" applyNumberFormat="1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0" fontId="11" fillId="0" borderId="17" xfId="0" applyNumberFormat="1" applyFont="1" applyFill="1" applyBorder="1" applyAlignment="1" quotePrefix="1">
      <alignment horizontal="center" vertical="top" wrapText="1"/>
    </xf>
    <xf numFmtId="5" fontId="11" fillId="0" borderId="27" xfId="18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3" fontId="11" fillId="0" borderId="27" xfId="0" applyNumberFormat="1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top" wrapText="1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6" fillId="3" borderId="17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6" fillId="3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8" fillId="0" borderId="50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 wrapText="1"/>
    </xf>
    <xf numFmtId="0" fontId="18" fillId="0" borderId="47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52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top" wrapText="1"/>
    </xf>
    <xf numFmtId="0" fontId="22" fillId="0" borderId="42" xfId="0" applyFont="1" applyBorder="1" applyAlignment="1">
      <alignment horizontal="center" wrapText="1"/>
    </xf>
    <xf numFmtId="0" fontId="22" fillId="0" borderId="43" xfId="0" applyFont="1" applyBorder="1" applyAlignment="1">
      <alignment horizontal="center" wrapText="1"/>
    </xf>
    <xf numFmtId="0" fontId="3" fillId="0" borderId="17" xfId="0" applyFont="1" applyBorder="1" applyAlignment="1">
      <alignment vertical="top" wrapText="1"/>
    </xf>
    <xf numFmtId="0" fontId="24" fillId="3" borderId="2" xfId="0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3" fillId="3" borderId="6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top" wrapText="1"/>
    </xf>
    <xf numFmtId="0" fontId="6" fillId="3" borderId="63" xfId="0" applyFont="1" applyFill="1" applyBorder="1" applyAlignment="1">
      <alignment horizontal="center" vertical="center" wrapText="1"/>
    </xf>
    <xf numFmtId="0" fontId="24" fillId="3" borderId="42" xfId="0" applyFont="1" applyFill="1" applyBorder="1" applyAlignment="1">
      <alignment horizontal="center" vertical="top" wrapText="1"/>
    </xf>
    <xf numFmtId="0" fontId="22" fillId="0" borderId="42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top" wrapText="1"/>
    </xf>
    <xf numFmtId="0" fontId="6" fillId="3" borderId="63" xfId="0" applyFont="1" applyFill="1" applyBorder="1" applyAlignment="1">
      <alignment horizontal="center" vertical="top" wrapText="1"/>
    </xf>
    <xf numFmtId="0" fontId="0" fillId="0" borderId="42" xfId="0" applyBorder="1" applyAlignment="1">
      <alignment/>
    </xf>
    <xf numFmtId="0" fontId="18" fillId="0" borderId="52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3" fillId="0" borderId="24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0" borderId="68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/>
    </xf>
    <xf numFmtId="0" fontId="24" fillId="0" borderId="64" xfId="0" applyFont="1" applyFill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6" fillId="0" borderId="4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73" xfId="0" applyFont="1" applyBorder="1" applyAlignment="1">
      <alignment vertical="top" wrapText="1"/>
    </xf>
    <xf numFmtId="0" fontId="3" fillId="0" borderId="58" xfId="0" applyFont="1" applyBorder="1" applyAlignment="1">
      <alignment vertical="top" wrapText="1"/>
    </xf>
    <xf numFmtId="0" fontId="6" fillId="3" borderId="1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0">
    <cellStyle name="Normal" xfId="0"/>
    <cellStyle name="Bullet" xfId="15"/>
    <cellStyle name="Comma" xfId="16"/>
    <cellStyle name="Comma [0]" xfId="17"/>
    <cellStyle name="Currency" xfId="18"/>
    <cellStyle name="Currency [0]" xfId="19"/>
    <cellStyle name="Followed Hyperlink" xfId="20"/>
    <cellStyle name="Heading1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9"/>
  <sheetViews>
    <sheetView tabSelected="1" zoomScale="70" zoomScaleNormal="7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I11" sqref="AI11"/>
    </sheetView>
  </sheetViews>
  <sheetFormatPr defaultColWidth="9.00390625" defaultRowHeight="15.75"/>
  <cols>
    <col min="1" max="1" width="6.625" style="1" customWidth="1"/>
    <col min="2" max="2" width="2.625" style="8" customWidth="1"/>
    <col min="3" max="3" width="25.75390625" style="0" customWidth="1"/>
    <col min="4" max="4" width="7.50390625" style="0" customWidth="1"/>
    <col min="5" max="5" width="11.50390625" style="154" customWidth="1"/>
    <col min="6" max="6" width="12.50390625" style="380" bestFit="1" customWidth="1"/>
    <col min="7" max="7" width="10.125" style="381" customWidth="1"/>
    <col min="8" max="8" width="8.75390625" style="382" bestFit="1" customWidth="1"/>
    <col min="9" max="9" width="6.25390625" style="382" bestFit="1" customWidth="1"/>
    <col min="10" max="10" width="5.50390625" style="382" bestFit="1" customWidth="1"/>
    <col min="11" max="11" width="12.50390625" style="54" bestFit="1" customWidth="1"/>
    <col min="12" max="12" width="10.25390625" style="161" customWidth="1"/>
    <col min="13" max="13" width="6.50390625" style="0" customWidth="1"/>
    <col min="14" max="14" width="6.375" style="70" customWidth="1"/>
    <col min="15" max="15" width="5.50390625" style="21" bestFit="1" customWidth="1"/>
    <col min="16" max="16" width="7.50390625" style="0" customWidth="1"/>
    <col min="17" max="17" width="10.375" style="21" customWidth="1"/>
    <col min="18" max="18" width="9.75390625" style="234" customWidth="1"/>
    <col min="19" max="19" width="10.375" style="162" customWidth="1"/>
    <col min="20" max="20" width="6.50390625" style="0" customWidth="1"/>
    <col min="21" max="22" width="4.875" style="0" customWidth="1"/>
    <col min="23" max="24" width="10.375" style="0" hidden="1" customWidth="1"/>
    <col min="25" max="25" width="6.50390625" style="0" hidden="1" customWidth="1"/>
    <col min="26" max="27" width="4.875" style="0" hidden="1" customWidth="1"/>
    <col min="28" max="29" width="10.375" style="0" hidden="1" customWidth="1"/>
    <col min="30" max="30" width="6.50390625" style="0" hidden="1" customWidth="1"/>
    <col min="31" max="32" width="4.875" style="0" hidden="1" customWidth="1"/>
    <col min="33" max="33" width="7.50390625" style="0" customWidth="1"/>
    <col min="34" max="34" width="10.375" style="21" customWidth="1"/>
    <col min="35" max="35" width="11.25390625" style="234" customWidth="1"/>
    <col min="36" max="36" width="10.375" style="162" customWidth="1"/>
    <col min="37" max="37" width="6.50390625" style="0" customWidth="1"/>
    <col min="38" max="38" width="4.875" style="0" customWidth="1"/>
    <col min="39" max="39" width="7.75390625" style="0" bestFit="1" customWidth="1"/>
  </cols>
  <sheetData>
    <row r="1" spans="2:39" s="18" customFormat="1" ht="35.25" customHeight="1" thickBot="1">
      <c r="B1" s="25"/>
      <c r="C1" s="25"/>
      <c r="D1" s="25"/>
      <c r="E1" s="178"/>
      <c r="F1" s="307"/>
      <c r="G1" s="308"/>
      <c r="H1" s="308"/>
      <c r="I1" s="308"/>
      <c r="J1" s="308"/>
      <c r="K1" s="25"/>
      <c r="L1" s="235" t="s">
        <v>104</v>
      </c>
      <c r="M1" s="25"/>
      <c r="N1" s="25"/>
      <c r="O1" s="25"/>
      <c r="P1" s="25"/>
      <c r="R1" s="236"/>
      <c r="S1" s="236"/>
      <c r="T1" s="236"/>
      <c r="U1" s="236"/>
      <c r="V1" s="264"/>
      <c r="W1" s="236"/>
      <c r="X1" s="236"/>
      <c r="Y1" s="236"/>
      <c r="Z1" s="236"/>
      <c r="AA1" s="236"/>
      <c r="AB1" s="25"/>
      <c r="AC1" s="24"/>
      <c r="AD1" s="24"/>
      <c r="AE1" s="24"/>
      <c r="AG1" s="236"/>
      <c r="AH1" s="236"/>
      <c r="AI1" s="292"/>
      <c r="AJ1" s="236"/>
      <c r="AK1" s="508" t="s">
        <v>68</v>
      </c>
      <c r="AL1" s="509"/>
      <c r="AM1" s="509"/>
    </row>
    <row r="2" spans="1:39" s="154" customFormat="1" ht="16.5" customHeight="1">
      <c r="A2" s="173" t="s">
        <v>33</v>
      </c>
      <c r="B2" s="477" t="s">
        <v>31</v>
      </c>
      <c r="C2" s="478"/>
      <c r="D2" s="478"/>
      <c r="E2" s="479"/>
      <c r="F2" s="480">
        <v>2005</v>
      </c>
      <c r="G2" s="481"/>
      <c r="H2" s="481"/>
      <c r="I2" s="481"/>
      <c r="J2" s="482"/>
      <c r="K2" s="483">
        <v>2006</v>
      </c>
      <c r="L2" s="422"/>
      <c r="M2" s="422"/>
      <c r="N2" s="422"/>
      <c r="O2" s="422"/>
      <c r="P2" s="265"/>
      <c r="Q2" s="422">
        <v>2007</v>
      </c>
      <c r="R2" s="422"/>
      <c r="S2" s="422"/>
      <c r="T2" s="422"/>
      <c r="U2" s="422"/>
      <c r="V2" s="423"/>
      <c r="W2" s="476">
        <v>2008</v>
      </c>
      <c r="X2" s="422"/>
      <c r="Y2" s="422"/>
      <c r="Z2" s="422"/>
      <c r="AA2" s="423"/>
      <c r="AB2" s="422">
        <v>2009</v>
      </c>
      <c r="AC2" s="422"/>
      <c r="AD2" s="422"/>
      <c r="AE2" s="422"/>
      <c r="AF2" s="422"/>
      <c r="AG2" s="265"/>
      <c r="AH2" s="422">
        <v>2008</v>
      </c>
      <c r="AI2" s="422"/>
      <c r="AJ2" s="422"/>
      <c r="AK2" s="422"/>
      <c r="AL2" s="422"/>
      <c r="AM2" s="423"/>
    </row>
    <row r="3" spans="1:39" ht="36">
      <c r="A3" s="23" t="s">
        <v>32</v>
      </c>
      <c r="B3" s="484" t="s">
        <v>26</v>
      </c>
      <c r="C3" s="485"/>
      <c r="D3" s="20" t="s">
        <v>2</v>
      </c>
      <c r="E3" s="22" t="s">
        <v>3</v>
      </c>
      <c r="F3" s="309" t="s">
        <v>73</v>
      </c>
      <c r="G3" s="309" t="s">
        <v>83</v>
      </c>
      <c r="H3" s="309" t="s">
        <v>36</v>
      </c>
      <c r="I3" s="309" t="s">
        <v>34</v>
      </c>
      <c r="J3" s="310" t="s">
        <v>69</v>
      </c>
      <c r="K3" s="29" t="s">
        <v>73</v>
      </c>
      <c r="L3" s="29" t="s">
        <v>83</v>
      </c>
      <c r="M3" s="16" t="s">
        <v>36</v>
      </c>
      <c r="N3" s="69" t="s">
        <v>34</v>
      </c>
      <c r="O3" s="237" t="s">
        <v>69</v>
      </c>
      <c r="P3" s="20" t="s">
        <v>2</v>
      </c>
      <c r="Q3" s="247" t="s">
        <v>73</v>
      </c>
      <c r="R3" s="22" t="s">
        <v>3</v>
      </c>
      <c r="S3" s="29" t="s">
        <v>83</v>
      </c>
      <c r="T3" s="16" t="s">
        <v>36</v>
      </c>
      <c r="U3" s="16" t="s">
        <v>34</v>
      </c>
      <c r="V3" s="17" t="s">
        <v>35</v>
      </c>
      <c r="W3" s="29" t="s">
        <v>73</v>
      </c>
      <c r="X3" s="29" t="s">
        <v>83</v>
      </c>
      <c r="Y3" s="16" t="s">
        <v>36</v>
      </c>
      <c r="Z3" s="16" t="s">
        <v>34</v>
      </c>
      <c r="AA3" s="17" t="s">
        <v>35</v>
      </c>
      <c r="AB3" s="247" t="s">
        <v>73</v>
      </c>
      <c r="AC3" s="29" t="s">
        <v>83</v>
      </c>
      <c r="AD3" s="16" t="s">
        <v>36</v>
      </c>
      <c r="AE3" s="16" t="s">
        <v>34</v>
      </c>
      <c r="AF3" s="274" t="s">
        <v>35</v>
      </c>
      <c r="AG3" s="293" t="s">
        <v>2</v>
      </c>
      <c r="AH3" s="247" t="s">
        <v>73</v>
      </c>
      <c r="AI3" s="22" t="s">
        <v>3</v>
      </c>
      <c r="AJ3" s="29" t="s">
        <v>83</v>
      </c>
      <c r="AK3" s="16" t="s">
        <v>36</v>
      </c>
      <c r="AL3" s="16" t="s">
        <v>34</v>
      </c>
      <c r="AM3" s="17" t="s">
        <v>35</v>
      </c>
    </row>
    <row r="4" spans="1:39" ht="4.5" customHeight="1">
      <c r="A4" s="211"/>
      <c r="B4" s="212"/>
      <c r="C4" s="213"/>
      <c r="D4" s="213"/>
      <c r="E4" s="214"/>
      <c r="F4" s="311"/>
      <c r="G4" s="311"/>
      <c r="H4" s="311"/>
      <c r="I4" s="311"/>
      <c r="J4" s="312"/>
      <c r="K4" s="198"/>
      <c r="L4" s="198"/>
      <c r="M4" s="213"/>
      <c r="N4" s="215"/>
      <c r="O4" s="216"/>
      <c r="P4" s="213"/>
      <c r="Q4" s="216"/>
      <c r="R4" s="214"/>
      <c r="S4" s="198"/>
      <c r="T4" s="213"/>
      <c r="U4" s="213"/>
      <c r="V4" s="217"/>
      <c r="W4" s="14"/>
      <c r="X4" s="14"/>
      <c r="Y4" s="14"/>
      <c r="Z4" s="14"/>
      <c r="AA4" s="15"/>
      <c r="AB4" s="14"/>
      <c r="AC4" s="14"/>
      <c r="AD4" s="14"/>
      <c r="AE4" s="14"/>
      <c r="AF4" s="14"/>
      <c r="AG4" s="294"/>
      <c r="AH4" s="216"/>
      <c r="AI4" s="214"/>
      <c r="AJ4" s="198"/>
      <c r="AK4" s="213"/>
      <c r="AL4" s="213"/>
      <c r="AM4" s="217"/>
    </row>
    <row r="5" spans="1:39" ht="15.75" customHeight="1">
      <c r="A5" s="208" t="s">
        <v>4</v>
      </c>
      <c r="B5" s="447" t="s">
        <v>41</v>
      </c>
      <c r="C5" s="493"/>
      <c r="D5" s="493"/>
      <c r="E5" s="493"/>
      <c r="F5" s="505" t="s">
        <v>41</v>
      </c>
      <c r="G5" s="510"/>
      <c r="H5" s="510"/>
      <c r="I5" s="510"/>
      <c r="J5" s="510"/>
      <c r="K5" s="419" t="s">
        <v>41</v>
      </c>
      <c r="L5" s="425"/>
      <c r="M5" s="425"/>
      <c r="N5" s="425"/>
      <c r="O5" s="432"/>
      <c r="P5" s="273"/>
      <c r="Q5" s="504" t="s">
        <v>41</v>
      </c>
      <c r="R5" s="419"/>
      <c r="S5" s="425"/>
      <c r="T5" s="425"/>
      <c r="U5" s="425"/>
      <c r="V5" s="425"/>
      <c r="W5" s="474"/>
      <c r="X5" s="474"/>
      <c r="Y5" s="474"/>
      <c r="Z5" s="474"/>
      <c r="AA5" s="475"/>
      <c r="AB5" s="486"/>
      <c r="AC5" s="474"/>
      <c r="AD5" s="474"/>
      <c r="AE5" s="474"/>
      <c r="AF5" s="487"/>
      <c r="AG5" s="273"/>
      <c r="AH5" s="486" t="s">
        <v>41</v>
      </c>
      <c r="AI5" s="511"/>
      <c r="AJ5" s="511"/>
      <c r="AK5" s="511"/>
      <c r="AL5" s="511"/>
      <c r="AM5" s="512"/>
    </row>
    <row r="6" spans="1:39" ht="25.5" customHeight="1">
      <c r="A6" s="472" t="s">
        <v>5</v>
      </c>
      <c r="B6" s="440" t="s">
        <v>52</v>
      </c>
      <c r="C6" s="455" t="s">
        <v>53</v>
      </c>
      <c r="D6" s="3" t="s">
        <v>29</v>
      </c>
      <c r="E6" s="4" t="s">
        <v>28</v>
      </c>
      <c r="F6" s="313" t="s">
        <v>108</v>
      </c>
      <c r="G6" s="314" t="s">
        <v>84</v>
      </c>
      <c r="H6" s="315">
        <v>200</v>
      </c>
      <c r="I6" s="316">
        <v>182</v>
      </c>
      <c r="J6" s="317">
        <f>SUM(I6/H6)</f>
        <v>0.91</v>
      </c>
      <c r="K6" s="31" t="s">
        <v>115</v>
      </c>
      <c r="L6" s="65" t="s">
        <v>84</v>
      </c>
      <c r="M6" s="79">
        <v>400</v>
      </c>
      <c r="N6" s="192">
        <v>245</v>
      </c>
      <c r="O6" s="240">
        <f>+N6/M6</f>
        <v>0.6125</v>
      </c>
      <c r="P6" s="3" t="s">
        <v>29</v>
      </c>
      <c r="Q6" s="220" t="s">
        <v>113</v>
      </c>
      <c r="R6" s="228" t="s">
        <v>28</v>
      </c>
      <c r="S6" s="65" t="s">
        <v>84</v>
      </c>
      <c r="T6" s="79">
        <v>200</v>
      </c>
      <c r="U6" s="192">
        <v>190</v>
      </c>
      <c r="V6" s="81">
        <f>+U6/T6</f>
        <v>0.95</v>
      </c>
      <c r="W6" s="31"/>
      <c r="X6" s="65" t="s">
        <v>84</v>
      </c>
      <c r="Y6" s="79"/>
      <c r="Z6" s="82"/>
      <c r="AA6" s="83"/>
      <c r="AB6" s="220"/>
      <c r="AC6" s="65" t="s">
        <v>84</v>
      </c>
      <c r="AD6" s="79"/>
      <c r="AE6" s="82"/>
      <c r="AF6" s="277"/>
      <c r="AG6" s="295" t="s">
        <v>29</v>
      </c>
      <c r="AH6" s="220" t="s">
        <v>119</v>
      </c>
      <c r="AI6" s="228" t="s">
        <v>28</v>
      </c>
      <c r="AJ6" s="65" t="s">
        <v>84</v>
      </c>
      <c r="AK6" s="32">
        <v>536</v>
      </c>
      <c r="AL6" s="192"/>
      <c r="AM6" s="81">
        <v>0</v>
      </c>
    </row>
    <row r="7" spans="1:39" ht="25.5" customHeight="1" thickBot="1">
      <c r="A7" s="473"/>
      <c r="B7" s="446"/>
      <c r="C7" s="455"/>
      <c r="D7" s="5" t="s">
        <v>37</v>
      </c>
      <c r="E7" s="6" t="s">
        <v>27</v>
      </c>
      <c r="F7" s="318" t="s">
        <v>109</v>
      </c>
      <c r="G7" s="319" t="s">
        <v>84</v>
      </c>
      <c r="H7" s="320">
        <f>SUM(3+16+20+4+9)</f>
        <v>52</v>
      </c>
      <c r="I7" s="321">
        <f>SUM(3+20+4+8+9)</f>
        <v>44</v>
      </c>
      <c r="J7" s="322">
        <f>SUM(I7/H7)</f>
        <v>0.8461538461538461</v>
      </c>
      <c r="K7" s="34" t="s">
        <v>116</v>
      </c>
      <c r="L7" s="66" t="s">
        <v>84</v>
      </c>
      <c r="M7" s="84">
        <v>155</v>
      </c>
      <c r="N7" s="193" t="s">
        <v>124</v>
      </c>
      <c r="O7" s="241">
        <v>0</v>
      </c>
      <c r="P7" s="5" t="s">
        <v>37</v>
      </c>
      <c r="Q7" s="221" t="s">
        <v>114</v>
      </c>
      <c r="R7" s="229" t="s">
        <v>27</v>
      </c>
      <c r="S7" s="66" t="s">
        <v>84</v>
      </c>
      <c r="T7" s="84">
        <v>90</v>
      </c>
      <c r="U7" s="193" t="s">
        <v>125</v>
      </c>
      <c r="V7" s="86">
        <v>0</v>
      </c>
      <c r="W7" s="34"/>
      <c r="X7" s="66" t="s">
        <v>84</v>
      </c>
      <c r="Y7" s="84"/>
      <c r="Z7" s="87"/>
      <c r="AA7" s="88"/>
      <c r="AB7" s="221"/>
      <c r="AC7" s="66" t="s">
        <v>84</v>
      </c>
      <c r="AD7" s="84"/>
      <c r="AE7" s="87"/>
      <c r="AF7" s="278"/>
      <c r="AG7" s="295" t="s">
        <v>37</v>
      </c>
      <c r="AH7" s="221" t="s">
        <v>109</v>
      </c>
      <c r="AI7" s="229" t="s">
        <v>27</v>
      </c>
      <c r="AJ7" s="66" t="s">
        <v>84</v>
      </c>
      <c r="AK7" s="35"/>
      <c r="AL7" s="193"/>
      <c r="AM7" s="86">
        <v>0</v>
      </c>
    </row>
    <row r="8" spans="1:39" s="10" customFormat="1" ht="16.5" customHeight="1" thickTop="1">
      <c r="A8" s="473"/>
      <c r="B8" s="441"/>
      <c r="C8" s="455"/>
      <c r="D8" s="450" t="s">
        <v>51</v>
      </c>
      <c r="E8" s="451"/>
      <c r="F8" s="323">
        <f>SUM(F6:F7)</f>
        <v>0</v>
      </c>
      <c r="G8" s="324" t="s">
        <v>84</v>
      </c>
      <c r="H8" s="325">
        <f>SUM(H6:H7)</f>
        <v>252</v>
      </c>
      <c r="I8" s="326">
        <f>SUM(I6:I7)</f>
        <v>226</v>
      </c>
      <c r="J8" s="327">
        <f>SUM(I8/H8)</f>
        <v>0.8968253968253969</v>
      </c>
      <c r="K8" s="28">
        <f>SUM(K6:K7)</f>
        <v>0</v>
      </c>
      <c r="L8" s="187" t="s">
        <v>84</v>
      </c>
      <c r="M8" s="89">
        <f>SUM(M6:M7)</f>
        <v>555</v>
      </c>
      <c r="N8" s="90">
        <f>SUM(N6:N7)</f>
        <v>245</v>
      </c>
      <c r="O8" s="242">
        <f>+N8/M8</f>
        <v>0.44144144144144143</v>
      </c>
      <c r="P8" s="266"/>
      <c r="Q8" s="129">
        <f>SUM(Q6:Q7)</f>
        <v>0</v>
      </c>
      <c r="R8" s="60"/>
      <c r="S8" s="187" t="s">
        <v>84</v>
      </c>
      <c r="T8" s="89">
        <f>SUM(T6:T7)</f>
        <v>290</v>
      </c>
      <c r="U8" s="90">
        <f>SUM(U6:U7)</f>
        <v>190</v>
      </c>
      <c r="V8" s="133">
        <v>0</v>
      </c>
      <c r="W8" s="28">
        <f>SUM(W6:W7)</f>
        <v>0</v>
      </c>
      <c r="X8" s="60"/>
      <c r="Y8" s="89">
        <f>SUM(Y6:Y7)</f>
        <v>0</v>
      </c>
      <c r="Z8" s="90">
        <f>SUM(Z6:Z7)</f>
        <v>0</v>
      </c>
      <c r="AA8" s="133">
        <v>0</v>
      </c>
      <c r="AB8" s="129">
        <f>SUM(AB6:AB7)</f>
        <v>0</v>
      </c>
      <c r="AC8" s="60"/>
      <c r="AD8" s="89">
        <f>SUM(AD6:AD7)</f>
        <v>0</v>
      </c>
      <c r="AE8" s="90">
        <f>SUM(AE6:AE7)</f>
        <v>0</v>
      </c>
      <c r="AF8" s="242">
        <v>0</v>
      </c>
      <c r="AG8" s="266"/>
      <c r="AH8" s="129">
        <f>SUM(AH6:AH7)</f>
        <v>0</v>
      </c>
      <c r="AI8" s="60"/>
      <c r="AJ8" s="187" t="s">
        <v>84</v>
      </c>
      <c r="AK8" s="89">
        <f>SUM(AK6:AK7)</f>
        <v>536</v>
      </c>
      <c r="AL8" s="90">
        <f>SUM(AL6:AL7)</f>
        <v>0</v>
      </c>
      <c r="AM8" s="133">
        <v>0</v>
      </c>
    </row>
    <row r="9" spans="1:39" ht="15.75" customHeight="1">
      <c r="A9" s="208" t="s">
        <v>6</v>
      </c>
      <c r="B9" s="447" t="s">
        <v>42</v>
      </c>
      <c r="C9" s="447"/>
      <c r="D9" s="447"/>
      <c r="E9" s="447"/>
      <c r="F9" s="448" t="s">
        <v>42</v>
      </c>
      <c r="G9" s="449"/>
      <c r="H9" s="449"/>
      <c r="I9" s="449"/>
      <c r="J9" s="449"/>
      <c r="K9" s="506" t="s">
        <v>42</v>
      </c>
      <c r="L9" s="502"/>
      <c r="M9" s="502"/>
      <c r="N9" s="502"/>
      <c r="O9" s="507"/>
      <c r="P9" s="273"/>
      <c r="Q9" s="501" t="s">
        <v>42</v>
      </c>
      <c r="R9" s="506"/>
      <c r="S9" s="502"/>
      <c r="T9" s="502"/>
      <c r="U9" s="502"/>
      <c r="V9" s="502"/>
      <c r="W9" s="210"/>
      <c r="X9" s="210"/>
      <c r="Y9" s="419"/>
      <c r="Z9" s="419"/>
      <c r="AA9" s="433"/>
      <c r="AB9" s="248"/>
      <c r="AC9" s="210"/>
      <c r="AD9" s="419"/>
      <c r="AE9" s="419"/>
      <c r="AF9" s="417"/>
      <c r="AG9" s="273"/>
      <c r="AH9" s="501" t="s">
        <v>42</v>
      </c>
      <c r="AI9" s="502"/>
      <c r="AJ9" s="502"/>
      <c r="AK9" s="502"/>
      <c r="AL9" s="502"/>
      <c r="AM9" s="503"/>
    </row>
    <row r="10" spans="1:39" ht="15.75" customHeight="1">
      <c r="A10" s="472" t="s">
        <v>7</v>
      </c>
      <c r="B10" s="440" t="s">
        <v>61</v>
      </c>
      <c r="C10" s="442" t="s">
        <v>62</v>
      </c>
      <c r="D10" s="3" t="s">
        <v>74</v>
      </c>
      <c r="E10" s="4" t="s">
        <v>28</v>
      </c>
      <c r="F10" s="328">
        <f>SUM(52500+35000+25000)</f>
        <v>112500</v>
      </c>
      <c r="G10" s="329" t="s">
        <v>76</v>
      </c>
      <c r="H10" s="315">
        <f>SUM(12+32+12)</f>
        <v>56</v>
      </c>
      <c r="I10" s="316">
        <f>SUM(0+19+0)</f>
        <v>19</v>
      </c>
      <c r="J10" s="317">
        <f>SUM(I10/H10)</f>
        <v>0.3392857142857143</v>
      </c>
      <c r="K10" s="41">
        <f>SUM(16453)</f>
        <v>16453</v>
      </c>
      <c r="L10" s="82">
        <v>603</v>
      </c>
      <c r="M10" s="79">
        <v>2</v>
      </c>
      <c r="N10" s="192">
        <v>0</v>
      </c>
      <c r="O10" s="240">
        <f>+N10/M10</f>
        <v>0</v>
      </c>
      <c r="P10" s="3" t="s">
        <v>74</v>
      </c>
      <c r="Q10" s="222">
        <f>SUM(50000)</f>
        <v>50000</v>
      </c>
      <c r="R10" s="228" t="s">
        <v>28</v>
      </c>
      <c r="S10" s="33" t="s">
        <v>117</v>
      </c>
      <c r="T10" s="79">
        <f>SUM(18)</f>
        <v>18</v>
      </c>
      <c r="U10" s="82">
        <v>16</v>
      </c>
      <c r="V10" s="81">
        <f>+U10/T10</f>
        <v>0.8888888888888888</v>
      </c>
      <c r="W10" s="41"/>
      <c r="X10" s="93"/>
      <c r="Y10" s="79"/>
      <c r="Z10" s="82"/>
      <c r="AA10" s="81"/>
      <c r="AB10" s="222"/>
      <c r="AC10" s="93"/>
      <c r="AD10" s="79"/>
      <c r="AE10" s="82"/>
      <c r="AF10" s="277"/>
      <c r="AG10" s="295" t="s">
        <v>74</v>
      </c>
      <c r="AH10" s="222">
        <v>85000</v>
      </c>
      <c r="AI10" s="228" t="s">
        <v>28</v>
      </c>
      <c r="AJ10" s="82" t="s">
        <v>120</v>
      </c>
      <c r="AK10" s="79">
        <v>8</v>
      </c>
      <c r="AL10" s="82"/>
      <c r="AM10" s="81">
        <f>+AL10/AK10</f>
        <v>0</v>
      </c>
    </row>
    <row r="11" spans="1:39" ht="32.25" customHeight="1">
      <c r="A11" s="472"/>
      <c r="B11" s="446"/>
      <c r="C11" s="488"/>
      <c r="D11" s="3" t="s">
        <v>74</v>
      </c>
      <c r="E11" s="4" t="s">
        <v>30</v>
      </c>
      <c r="F11" s="328">
        <f>SUM(120000+56000+110000+180000)</f>
        <v>466000</v>
      </c>
      <c r="G11" s="329" t="s">
        <v>77</v>
      </c>
      <c r="H11" s="315">
        <f>SUM(2+10+2+3+3)</f>
        <v>20</v>
      </c>
      <c r="I11" s="316">
        <f>SUM(0+0+0)</f>
        <v>0</v>
      </c>
      <c r="J11" s="317">
        <f>SUM(I11/H11)</f>
        <v>0</v>
      </c>
      <c r="K11" s="41">
        <f>SUM(160106+220000)</f>
        <v>380106</v>
      </c>
      <c r="L11" s="82" t="s">
        <v>85</v>
      </c>
      <c r="M11" s="79">
        <f>SUM(2+3)</f>
        <v>5</v>
      </c>
      <c r="N11" s="192">
        <v>8</v>
      </c>
      <c r="O11" s="240">
        <f>+N11/M11</f>
        <v>1.6</v>
      </c>
      <c r="P11" s="3" t="s">
        <v>74</v>
      </c>
      <c r="Q11" s="222">
        <f>SUM(300000+300000+17710)</f>
        <v>617710</v>
      </c>
      <c r="R11" s="228" t="s">
        <v>30</v>
      </c>
      <c r="S11" s="33" t="s">
        <v>118</v>
      </c>
      <c r="T11" s="79">
        <f>SUM(2+2+2)</f>
        <v>6</v>
      </c>
      <c r="U11" s="82">
        <v>0</v>
      </c>
      <c r="V11" s="81">
        <f>+U11/T11</f>
        <v>0</v>
      </c>
      <c r="W11" s="41"/>
      <c r="X11" s="93"/>
      <c r="Y11" s="79"/>
      <c r="Z11" s="82"/>
      <c r="AA11" s="81"/>
      <c r="AB11" s="222"/>
      <c r="AC11" s="93"/>
      <c r="AD11" s="79"/>
      <c r="AE11" s="82"/>
      <c r="AF11" s="277"/>
      <c r="AG11" s="295" t="s">
        <v>74</v>
      </c>
      <c r="AH11" s="222">
        <v>96682</v>
      </c>
      <c r="AI11" s="228" t="s">
        <v>30</v>
      </c>
      <c r="AJ11" s="302" t="s">
        <v>121</v>
      </c>
      <c r="AK11" s="79">
        <v>14</v>
      </c>
      <c r="AL11" s="82"/>
      <c r="AM11" s="81">
        <f>+AL11/AK11</f>
        <v>0</v>
      </c>
    </row>
    <row r="12" spans="1:39" ht="16.5" customHeight="1">
      <c r="A12" s="473"/>
      <c r="B12" s="446"/>
      <c r="C12" s="488"/>
      <c r="D12" s="3" t="s">
        <v>0</v>
      </c>
      <c r="E12" s="4" t="s">
        <v>30</v>
      </c>
      <c r="F12" s="313"/>
      <c r="G12" s="314"/>
      <c r="H12" s="330"/>
      <c r="I12" s="329"/>
      <c r="J12" s="331"/>
      <c r="K12" s="31"/>
      <c r="L12" s="65"/>
      <c r="M12" s="79"/>
      <c r="N12" s="80"/>
      <c r="O12" s="240"/>
      <c r="P12" s="3" t="s">
        <v>0</v>
      </c>
      <c r="Q12" s="222">
        <f>SUM(75000)</f>
        <v>75000</v>
      </c>
      <c r="R12" s="228" t="s">
        <v>30</v>
      </c>
      <c r="S12" s="82">
        <v>715</v>
      </c>
      <c r="T12" s="79">
        <f>SUM(1)</f>
        <v>1</v>
      </c>
      <c r="U12" s="33"/>
      <c r="V12" s="81">
        <f>+U12/T12</f>
        <v>0</v>
      </c>
      <c r="W12" s="41"/>
      <c r="X12" s="93"/>
      <c r="Y12" s="79"/>
      <c r="Z12" s="82"/>
      <c r="AA12" s="81"/>
      <c r="AB12" s="222"/>
      <c r="AC12" s="93"/>
      <c r="AD12" s="79"/>
      <c r="AE12" s="82"/>
      <c r="AF12" s="277"/>
      <c r="AG12" s="295" t="s">
        <v>0</v>
      </c>
      <c r="AH12" s="222">
        <v>0</v>
      </c>
      <c r="AI12" s="398" t="s">
        <v>30</v>
      </c>
      <c r="AJ12" s="33"/>
      <c r="AK12" s="32"/>
      <c r="AL12" s="33"/>
      <c r="AM12" s="81" t="e">
        <f>+AL12/AK12</f>
        <v>#DIV/0!</v>
      </c>
    </row>
    <row r="13" spans="1:39" ht="24" customHeight="1">
      <c r="A13" s="473"/>
      <c r="B13" s="440" t="s">
        <v>64</v>
      </c>
      <c r="C13" s="442" t="s">
        <v>63</v>
      </c>
      <c r="D13" s="2" t="s">
        <v>0</v>
      </c>
      <c r="E13" s="4" t="s">
        <v>30</v>
      </c>
      <c r="F13" s="332">
        <f>SUM(23782+264613)</f>
        <v>288395</v>
      </c>
      <c r="G13" s="333" t="s">
        <v>78</v>
      </c>
      <c r="H13" s="334">
        <f>SUM(14+11)</f>
        <v>25</v>
      </c>
      <c r="I13" s="335">
        <f>SUM(0+2)</f>
        <v>2</v>
      </c>
      <c r="J13" s="317">
        <f>SUM(I13/H13)</f>
        <v>0.08</v>
      </c>
      <c r="K13" s="41">
        <f>SUM(150000+20000+45000+237570)</f>
        <v>452570</v>
      </c>
      <c r="L13" s="82" t="s">
        <v>86</v>
      </c>
      <c r="M13" s="94">
        <f>SUM(6+55+30+9)</f>
        <v>100</v>
      </c>
      <c r="N13" s="191">
        <v>106</v>
      </c>
      <c r="O13" s="240">
        <f>+N13/M13</f>
        <v>1.06</v>
      </c>
      <c r="P13" s="2" t="s">
        <v>0</v>
      </c>
      <c r="Q13" s="222">
        <f>SUM(50000+235435+200000+0)</f>
        <v>485435</v>
      </c>
      <c r="R13" s="228" t="s">
        <v>30</v>
      </c>
      <c r="S13" s="82" t="s">
        <v>100</v>
      </c>
      <c r="T13" s="95">
        <f>SUM(2+9+12+2)</f>
        <v>25</v>
      </c>
      <c r="U13" s="43"/>
      <c r="V13" s="81">
        <f>+U13/T13</f>
        <v>0</v>
      </c>
      <c r="W13" s="42"/>
      <c r="X13" s="93"/>
      <c r="Y13" s="95"/>
      <c r="Z13" s="96"/>
      <c r="AA13" s="81"/>
      <c r="AB13" s="253"/>
      <c r="AC13" s="93"/>
      <c r="AD13" s="95"/>
      <c r="AE13" s="96"/>
      <c r="AF13" s="277"/>
      <c r="AG13" s="295" t="s">
        <v>0</v>
      </c>
      <c r="AH13" s="222">
        <v>390921</v>
      </c>
      <c r="AI13" s="398" t="s">
        <v>30</v>
      </c>
      <c r="AJ13" s="33" t="s">
        <v>129</v>
      </c>
      <c r="AK13" s="399">
        <v>18</v>
      </c>
      <c r="AL13" s="43"/>
      <c r="AM13" s="81">
        <f>+AL13/AK13</f>
        <v>0</v>
      </c>
    </row>
    <row r="14" spans="1:39" ht="17.25" customHeight="1" thickBot="1">
      <c r="A14" s="473"/>
      <c r="B14" s="446"/>
      <c r="C14" s="488"/>
      <c r="D14" s="5" t="s">
        <v>74</v>
      </c>
      <c r="E14" s="6" t="s">
        <v>30</v>
      </c>
      <c r="F14" s="336">
        <f>SUM(92480+20000)</f>
        <v>112480</v>
      </c>
      <c r="G14" s="337" t="s">
        <v>79</v>
      </c>
      <c r="H14" s="320">
        <f>SUM(25+10)</f>
        <v>35</v>
      </c>
      <c r="I14" s="321">
        <v>0</v>
      </c>
      <c r="J14" s="338">
        <f>SUM(I14/H14)</f>
        <v>0</v>
      </c>
      <c r="K14" s="41">
        <f>SUM(220000)</f>
        <v>220000</v>
      </c>
      <c r="L14" s="87">
        <v>604</v>
      </c>
      <c r="M14" s="84">
        <v>3</v>
      </c>
      <c r="N14" s="193">
        <v>0</v>
      </c>
      <c r="O14" s="241">
        <f>+N14/M14</f>
        <v>0</v>
      </c>
      <c r="P14" s="5" t="s">
        <v>74</v>
      </c>
      <c r="Q14" s="223">
        <v>0</v>
      </c>
      <c r="R14" s="229" t="s">
        <v>30</v>
      </c>
      <c r="S14" s="66" t="s">
        <v>84</v>
      </c>
      <c r="T14" s="84">
        <v>0</v>
      </c>
      <c r="U14" s="87">
        <v>0</v>
      </c>
      <c r="V14" s="86">
        <v>0</v>
      </c>
      <c r="W14" s="44"/>
      <c r="X14" s="97"/>
      <c r="Y14" s="84"/>
      <c r="Z14" s="87"/>
      <c r="AA14" s="86"/>
      <c r="AB14" s="254"/>
      <c r="AC14" s="97"/>
      <c r="AD14" s="84"/>
      <c r="AE14" s="87"/>
      <c r="AF14" s="278"/>
      <c r="AG14" s="295" t="s">
        <v>74</v>
      </c>
      <c r="AH14" s="223">
        <v>0</v>
      </c>
      <c r="AI14" s="400" t="s">
        <v>30</v>
      </c>
      <c r="AJ14" s="66" t="s">
        <v>84</v>
      </c>
      <c r="AK14" s="35">
        <v>0</v>
      </c>
      <c r="AL14" s="36">
        <v>0</v>
      </c>
      <c r="AM14" s="86">
        <v>0</v>
      </c>
    </row>
    <row r="15" spans="1:39" s="10" customFormat="1" ht="16.5" customHeight="1" thickTop="1">
      <c r="A15" s="473"/>
      <c r="B15" s="441"/>
      <c r="C15" s="443"/>
      <c r="D15" s="450" t="s">
        <v>51</v>
      </c>
      <c r="E15" s="451"/>
      <c r="F15" s="323">
        <f>SUM(F10:F14)</f>
        <v>979375</v>
      </c>
      <c r="G15" s="339" t="s">
        <v>89</v>
      </c>
      <c r="H15" s="325">
        <f>SUM(H10:H14)</f>
        <v>136</v>
      </c>
      <c r="I15" s="326">
        <f>SUM(I10:I14)</f>
        <v>21</v>
      </c>
      <c r="J15" s="327">
        <f>SUM(I15/H15)</f>
        <v>0.15441176470588236</v>
      </c>
      <c r="K15" s="28">
        <f>SUM(K10:K14)</f>
        <v>1069129</v>
      </c>
      <c r="L15" s="60" t="s">
        <v>94</v>
      </c>
      <c r="M15" s="89">
        <f>SUM(M10:M14)</f>
        <v>110</v>
      </c>
      <c r="N15" s="90">
        <f>SUM(N10:N14)</f>
        <v>114</v>
      </c>
      <c r="O15" s="242">
        <f>+N15/M15</f>
        <v>1.0363636363636364</v>
      </c>
      <c r="P15" s="266"/>
      <c r="Q15" s="129">
        <f>SUM(Q10:Q14)</f>
        <v>1228145</v>
      </c>
      <c r="R15" s="60"/>
      <c r="S15" s="60" t="s">
        <v>94</v>
      </c>
      <c r="T15" s="89">
        <f>SUM(T10:T14)</f>
        <v>50</v>
      </c>
      <c r="U15" s="90">
        <f>SUM(U10:U14)</f>
        <v>16</v>
      </c>
      <c r="V15" s="133">
        <f>+U15/T15</f>
        <v>0.32</v>
      </c>
      <c r="W15" s="28">
        <f>SUM(W10:W14)</f>
        <v>0</v>
      </c>
      <c r="X15" s="63"/>
      <c r="Y15" s="89">
        <f>SUM(Y10:Y14)</f>
        <v>0</v>
      </c>
      <c r="Z15" s="89">
        <f>SUM(Z10:Z14)</f>
        <v>0</v>
      </c>
      <c r="AA15" s="133">
        <v>0</v>
      </c>
      <c r="AB15" s="129">
        <f>SUM(AB10:AB14)</f>
        <v>0</v>
      </c>
      <c r="AC15" s="63"/>
      <c r="AD15" s="89">
        <f>SUM(AD10:AD14)</f>
        <v>0</v>
      </c>
      <c r="AE15" s="91"/>
      <c r="AF15" s="279"/>
      <c r="AG15" s="266"/>
      <c r="AH15" s="129">
        <f>SUM(AH10:AH14)</f>
        <v>572603</v>
      </c>
      <c r="AI15" s="60"/>
      <c r="AJ15" s="60" t="s">
        <v>102</v>
      </c>
      <c r="AK15" s="89">
        <f>SUM(AK10:AK14)</f>
        <v>40</v>
      </c>
      <c r="AL15" s="90">
        <f>SUM(AL10:AL14)</f>
        <v>0</v>
      </c>
      <c r="AM15" s="133">
        <f>+AL15/AK15</f>
        <v>0</v>
      </c>
    </row>
    <row r="16" spans="1:39" ht="15.75" customHeight="1">
      <c r="A16" s="208" t="s">
        <v>8</v>
      </c>
      <c r="B16" s="447" t="s">
        <v>43</v>
      </c>
      <c r="C16" s="447"/>
      <c r="D16" s="447"/>
      <c r="E16" s="447"/>
      <c r="F16" s="448" t="s">
        <v>43</v>
      </c>
      <c r="G16" s="449"/>
      <c r="H16" s="449"/>
      <c r="I16" s="449"/>
      <c r="J16" s="449"/>
      <c r="K16" s="506" t="s">
        <v>43</v>
      </c>
      <c r="L16" s="502"/>
      <c r="M16" s="502"/>
      <c r="N16" s="502"/>
      <c r="O16" s="507"/>
      <c r="P16" s="273"/>
      <c r="Q16" s="501" t="s">
        <v>43</v>
      </c>
      <c r="R16" s="506"/>
      <c r="S16" s="502"/>
      <c r="T16" s="502"/>
      <c r="U16" s="502"/>
      <c r="V16" s="502"/>
      <c r="W16" s="210"/>
      <c r="X16" s="210"/>
      <c r="Y16" s="419"/>
      <c r="Z16" s="419"/>
      <c r="AA16" s="433"/>
      <c r="AB16" s="248"/>
      <c r="AC16" s="210"/>
      <c r="AD16" s="419"/>
      <c r="AE16" s="419"/>
      <c r="AF16" s="417"/>
      <c r="AG16" s="273"/>
      <c r="AH16" s="501" t="s">
        <v>43</v>
      </c>
      <c r="AI16" s="502"/>
      <c r="AJ16" s="502"/>
      <c r="AK16" s="502"/>
      <c r="AL16" s="502"/>
      <c r="AM16" s="503"/>
    </row>
    <row r="17" spans="1:39" ht="24" customHeight="1" thickBot="1">
      <c r="A17" s="472" t="s">
        <v>9</v>
      </c>
      <c r="B17" s="440" t="s">
        <v>60</v>
      </c>
      <c r="C17" s="455" t="s">
        <v>65</v>
      </c>
      <c r="D17" s="3" t="s">
        <v>0</v>
      </c>
      <c r="E17" s="6" t="s">
        <v>27</v>
      </c>
      <c r="F17" s="340">
        <v>91000</v>
      </c>
      <c r="G17" s="337">
        <v>521</v>
      </c>
      <c r="H17" s="320">
        <v>15</v>
      </c>
      <c r="I17" s="321">
        <v>12</v>
      </c>
      <c r="J17" s="322">
        <f>SUM(I17/H17)</f>
        <v>0.8</v>
      </c>
      <c r="K17" s="45">
        <f>SUM(130000)</f>
        <v>130000</v>
      </c>
      <c r="L17" s="87">
        <v>613</v>
      </c>
      <c r="M17" s="84">
        <v>18</v>
      </c>
      <c r="N17" s="193">
        <v>15</v>
      </c>
      <c r="O17" s="241">
        <f>+N17/M17</f>
        <v>0.8333333333333334</v>
      </c>
      <c r="P17" s="3" t="s">
        <v>0</v>
      </c>
      <c r="Q17" s="62">
        <v>0</v>
      </c>
      <c r="R17" s="229" t="s">
        <v>27</v>
      </c>
      <c r="S17" s="66" t="s">
        <v>84</v>
      </c>
      <c r="T17" s="35">
        <v>0</v>
      </c>
      <c r="U17" s="36">
        <v>0</v>
      </c>
      <c r="V17" s="86">
        <v>0</v>
      </c>
      <c r="W17" s="45"/>
      <c r="X17" s="97"/>
      <c r="Y17" s="84">
        <v>0</v>
      </c>
      <c r="Z17" s="87"/>
      <c r="AA17" s="86">
        <v>0</v>
      </c>
      <c r="AB17" s="62"/>
      <c r="AC17" s="97"/>
      <c r="AD17" s="84">
        <v>0</v>
      </c>
      <c r="AE17" s="87"/>
      <c r="AF17" s="241">
        <v>0</v>
      </c>
      <c r="AG17" s="295" t="s">
        <v>0</v>
      </c>
      <c r="AH17" s="62"/>
      <c r="AI17" s="229" t="s">
        <v>27</v>
      </c>
      <c r="AJ17" s="66" t="s">
        <v>84</v>
      </c>
      <c r="AK17" s="84">
        <v>0</v>
      </c>
      <c r="AL17" s="87"/>
      <c r="AM17" s="86">
        <v>0</v>
      </c>
    </row>
    <row r="18" spans="1:39" s="10" customFormat="1" ht="16.5" customHeight="1" thickBot="1" thickTop="1">
      <c r="A18" s="489"/>
      <c r="B18" s="446"/>
      <c r="C18" s="490"/>
      <c r="D18" s="450" t="s">
        <v>51</v>
      </c>
      <c r="E18" s="451"/>
      <c r="F18" s="341">
        <f>SUM(F17)</f>
        <v>91000</v>
      </c>
      <c r="G18" s="342" t="s">
        <v>92</v>
      </c>
      <c r="H18" s="343">
        <f>SUM(H17:H17)</f>
        <v>15</v>
      </c>
      <c r="I18" s="344">
        <f>SUM(I17:I17)</f>
        <v>12</v>
      </c>
      <c r="J18" s="345">
        <f>SUM(I18/H18)</f>
        <v>0.8</v>
      </c>
      <c r="K18" s="149">
        <f>SUM(K17)</f>
        <v>130000</v>
      </c>
      <c r="L18" s="159" t="s">
        <v>92</v>
      </c>
      <c r="M18" s="118">
        <f>SUM(M17)</f>
        <v>18</v>
      </c>
      <c r="N18" s="120">
        <f>SUM(N17:N17)</f>
        <v>15</v>
      </c>
      <c r="O18" s="243">
        <f>+N18/M18</f>
        <v>0.8333333333333334</v>
      </c>
      <c r="P18" s="266"/>
      <c r="Q18" s="189">
        <v>0</v>
      </c>
      <c r="R18" s="189"/>
      <c r="S18" s="159" t="s">
        <v>91</v>
      </c>
      <c r="T18" s="118">
        <f>SUM(T17)</f>
        <v>0</v>
      </c>
      <c r="U18" s="119">
        <f>SUM(U17)</f>
        <v>0</v>
      </c>
      <c r="V18" s="150">
        <v>0</v>
      </c>
      <c r="W18" s="27">
        <f>SUM(W17)</f>
        <v>0</v>
      </c>
      <c r="X18" s="71"/>
      <c r="Y18" s="98">
        <f>SUM(Y17)</f>
        <v>0</v>
      </c>
      <c r="Z18" s="98">
        <f>SUM(Z17)</f>
        <v>0</v>
      </c>
      <c r="AA18" s="132">
        <v>0</v>
      </c>
      <c r="AB18" s="255">
        <f>SUM(AB17)</f>
        <v>0</v>
      </c>
      <c r="AC18" s="71"/>
      <c r="AD18" s="98">
        <f>SUM(AD17)</f>
        <v>0</v>
      </c>
      <c r="AE18" s="98">
        <f>SUM(AE17)</f>
        <v>0</v>
      </c>
      <c r="AF18" s="280">
        <v>0</v>
      </c>
      <c r="AG18" s="266"/>
      <c r="AH18" s="189">
        <v>0</v>
      </c>
      <c r="AI18" s="189"/>
      <c r="AJ18" s="159" t="s">
        <v>91</v>
      </c>
      <c r="AK18" s="118">
        <f>SUM(AK17)</f>
        <v>0</v>
      </c>
      <c r="AL18" s="119">
        <f>SUM(AL17)</f>
        <v>0</v>
      </c>
      <c r="AM18" s="150">
        <v>0</v>
      </c>
    </row>
    <row r="19" spans="1:39" s="13" customFormat="1" ht="4.5" customHeight="1">
      <c r="A19" s="206"/>
      <c r="B19" s="194"/>
      <c r="C19" s="207"/>
      <c r="D19" s="196"/>
      <c r="E19" s="197"/>
      <c r="F19" s="346"/>
      <c r="G19" s="311"/>
      <c r="H19" s="347"/>
      <c r="I19" s="347"/>
      <c r="J19" s="348"/>
      <c r="K19" s="199"/>
      <c r="L19" s="200"/>
      <c r="M19" s="201"/>
      <c r="N19" s="202"/>
      <c r="O19" s="238"/>
      <c r="P19" s="196"/>
      <c r="Q19" s="249"/>
      <c r="R19" s="214"/>
      <c r="S19" s="200"/>
      <c r="T19" s="201"/>
      <c r="U19" s="201"/>
      <c r="V19" s="203"/>
      <c r="W19" s="58"/>
      <c r="X19" s="55"/>
      <c r="Y19" s="11"/>
      <c r="Z19" s="11"/>
      <c r="AA19" s="12"/>
      <c r="AB19" s="256"/>
      <c r="AC19" s="55"/>
      <c r="AD19" s="11"/>
      <c r="AE19" s="11"/>
      <c r="AF19" s="275"/>
      <c r="AG19" s="296"/>
      <c r="AH19" s="249"/>
      <c r="AI19" s="214"/>
      <c r="AJ19" s="200"/>
      <c r="AK19" s="201"/>
      <c r="AL19" s="201"/>
      <c r="AM19" s="203"/>
    </row>
    <row r="20" spans="1:39" ht="27.75" customHeight="1">
      <c r="A20" s="208" t="s">
        <v>10</v>
      </c>
      <c r="B20" s="447" t="s">
        <v>44</v>
      </c>
      <c r="C20" s="493"/>
      <c r="D20" s="493"/>
      <c r="E20" s="493"/>
      <c r="F20" s="505" t="s">
        <v>44</v>
      </c>
      <c r="G20" s="449"/>
      <c r="H20" s="449"/>
      <c r="I20" s="449"/>
      <c r="J20" s="449"/>
      <c r="K20" s="419" t="s">
        <v>44</v>
      </c>
      <c r="L20" s="502"/>
      <c r="M20" s="502"/>
      <c r="N20" s="502"/>
      <c r="O20" s="507"/>
      <c r="P20" s="273"/>
      <c r="Q20" s="504" t="s">
        <v>44</v>
      </c>
      <c r="R20" s="419"/>
      <c r="S20" s="502"/>
      <c r="T20" s="502"/>
      <c r="U20" s="502"/>
      <c r="V20" s="502"/>
      <c r="W20" s="502"/>
      <c r="X20" s="209"/>
      <c r="Y20" s="419"/>
      <c r="Z20" s="419"/>
      <c r="AA20" s="433"/>
      <c r="AB20" s="257"/>
      <c r="AC20" s="209"/>
      <c r="AD20" s="419"/>
      <c r="AE20" s="419"/>
      <c r="AF20" s="417"/>
      <c r="AG20" s="273"/>
      <c r="AH20" s="504" t="s">
        <v>44</v>
      </c>
      <c r="AI20" s="502"/>
      <c r="AJ20" s="502"/>
      <c r="AK20" s="502"/>
      <c r="AL20" s="502"/>
      <c r="AM20" s="503"/>
    </row>
    <row r="21" spans="1:39" ht="28.5" customHeight="1">
      <c r="A21" s="472" t="s">
        <v>11</v>
      </c>
      <c r="B21" s="440" t="s">
        <v>58</v>
      </c>
      <c r="C21" s="442" t="s">
        <v>59</v>
      </c>
      <c r="D21" s="3" t="s">
        <v>0</v>
      </c>
      <c r="E21" s="4" t="s">
        <v>38</v>
      </c>
      <c r="F21" s="332">
        <f>SUM(140000)</f>
        <v>140000</v>
      </c>
      <c r="G21" s="329">
        <v>524</v>
      </c>
      <c r="H21" s="315">
        <v>1</v>
      </c>
      <c r="I21" s="316">
        <v>1</v>
      </c>
      <c r="J21" s="317">
        <f>SUM(I21/H21)</f>
        <v>1</v>
      </c>
      <c r="K21" s="46">
        <f>SUM(26000+35000)</f>
        <v>61000</v>
      </c>
      <c r="L21" s="82" t="s">
        <v>87</v>
      </c>
      <c r="M21" s="80">
        <f>SUM(1+1)</f>
        <v>2</v>
      </c>
      <c r="N21" s="192">
        <v>2</v>
      </c>
      <c r="O21" s="240">
        <f>+N21/M21</f>
        <v>1</v>
      </c>
      <c r="P21" s="3" t="s">
        <v>0</v>
      </c>
      <c r="Q21" s="222">
        <f>SUM(20000+25000)</f>
        <v>45000</v>
      </c>
      <c r="R21" s="228" t="s">
        <v>38</v>
      </c>
      <c r="S21" s="82" t="s">
        <v>97</v>
      </c>
      <c r="T21" s="100">
        <f>SUM(1+1)</f>
        <v>2</v>
      </c>
      <c r="U21" s="33"/>
      <c r="V21" s="81">
        <f>+U21/T21</f>
        <v>0</v>
      </c>
      <c r="W21" s="46"/>
      <c r="X21" s="93"/>
      <c r="Y21" s="79"/>
      <c r="Z21" s="82"/>
      <c r="AA21" s="83"/>
      <c r="AB21" s="224"/>
      <c r="AC21" s="93"/>
      <c r="AD21" s="79"/>
      <c r="AE21" s="82"/>
      <c r="AF21" s="277"/>
      <c r="AG21" s="295" t="s">
        <v>0</v>
      </c>
      <c r="AH21" s="222">
        <v>200000</v>
      </c>
      <c r="AI21" s="398" t="s">
        <v>38</v>
      </c>
      <c r="AJ21" s="33">
        <v>1</v>
      </c>
      <c r="AK21" s="403"/>
      <c r="AL21" s="33"/>
      <c r="AM21" s="81" t="e">
        <f>+AL21/AK21</f>
        <v>#DIV/0!</v>
      </c>
    </row>
    <row r="22" spans="1:39" ht="27.75" customHeight="1">
      <c r="A22" s="472"/>
      <c r="B22" s="441"/>
      <c r="C22" s="443"/>
      <c r="D22" s="2" t="s">
        <v>0</v>
      </c>
      <c r="E22" s="4" t="s">
        <v>27</v>
      </c>
      <c r="F22" s="332">
        <v>10000</v>
      </c>
      <c r="G22" s="333">
        <v>537</v>
      </c>
      <c r="H22" s="334">
        <f>SUM(0+45)</f>
        <v>45</v>
      </c>
      <c r="I22" s="335">
        <f>SUM(54+45)</f>
        <v>99</v>
      </c>
      <c r="J22" s="317">
        <f>SUM(I22/H22)</f>
        <v>2.2</v>
      </c>
      <c r="K22" s="46"/>
      <c r="L22" s="65"/>
      <c r="M22" s="95"/>
      <c r="N22" s="191"/>
      <c r="O22" s="244"/>
      <c r="P22" s="2"/>
      <c r="Q22" s="224"/>
      <c r="R22" s="228"/>
      <c r="S22" s="65"/>
      <c r="T22" s="95"/>
      <c r="U22" s="191"/>
      <c r="V22" s="81"/>
      <c r="W22" s="46"/>
      <c r="X22" s="65"/>
      <c r="Y22" s="95"/>
      <c r="Z22" s="96"/>
      <c r="AA22" s="101"/>
      <c r="AB22" s="224"/>
      <c r="AC22" s="65"/>
      <c r="AD22" s="95"/>
      <c r="AE22" s="96"/>
      <c r="AF22" s="281"/>
      <c r="AG22" s="295" t="s">
        <v>0</v>
      </c>
      <c r="AH22" s="224"/>
      <c r="AI22" s="398" t="s">
        <v>27</v>
      </c>
      <c r="AJ22" s="65"/>
      <c r="AK22" s="399"/>
      <c r="AL22" s="191"/>
      <c r="AM22" s="81">
        <v>0</v>
      </c>
    </row>
    <row r="23" spans="1:39" ht="72" customHeight="1" thickBot="1">
      <c r="A23" s="473"/>
      <c r="B23" s="440" t="s">
        <v>66</v>
      </c>
      <c r="C23" s="442" t="s">
        <v>67</v>
      </c>
      <c r="D23" s="5" t="s">
        <v>75</v>
      </c>
      <c r="E23" s="6" t="s">
        <v>27</v>
      </c>
      <c r="F23" s="336">
        <f>SUM(15000+26654+20000+10000+10000+10000+10000+10000+15000+10000+10000+50000+40000+30000)</f>
        <v>266654</v>
      </c>
      <c r="G23" s="337" t="s">
        <v>80</v>
      </c>
      <c r="H23" s="349">
        <f>SUM(400+900+575+175+155+105+150+350+270+65+10+60+150+100+18+1000+15)</f>
        <v>4498</v>
      </c>
      <c r="I23" s="350">
        <f>SUM(329+842+311+0+20+105+102+0+135+0+18+1365+128+286+8+1211+17)</f>
        <v>4877</v>
      </c>
      <c r="J23" s="322">
        <f>SUM(I23/H23)</f>
        <v>1.0842596709648733</v>
      </c>
      <c r="K23" s="41">
        <f>SUM(10000+25000+25000+40000+10000+10000+12000+12734+15000+18000+10000+15000+20000)</f>
        <v>222734</v>
      </c>
      <c r="L23" s="87" t="s">
        <v>88</v>
      </c>
      <c r="M23" s="85">
        <f>SUM(400+900+400+52+100+130+375+80+140+300+25+410+2000)</f>
        <v>5312</v>
      </c>
      <c r="N23" s="193">
        <v>3267</v>
      </c>
      <c r="O23" s="241">
        <f>+N23/M23</f>
        <v>0.6150225903614458</v>
      </c>
      <c r="P23" s="5" t="s">
        <v>75</v>
      </c>
      <c r="Q23" s="222">
        <f>SUM(10000+15000+30000+10000+10000+10000+10000+35000+15000+25329+10000+10000+10000+2227)</f>
        <v>202556</v>
      </c>
      <c r="R23" s="229" t="s">
        <v>27</v>
      </c>
      <c r="S23" s="87" t="s">
        <v>105</v>
      </c>
      <c r="T23" s="102">
        <f>SUM(310+850+150+80+124+200+65+700+1146+18+1920+110+150+30)</f>
        <v>5853</v>
      </c>
      <c r="U23" s="36"/>
      <c r="V23" s="86">
        <f>+U23/T23</f>
        <v>0</v>
      </c>
      <c r="W23" s="30"/>
      <c r="X23" s="97"/>
      <c r="Y23" s="102"/>
      <c r="Z23" s="87"/>
      <c r="AA23" s="88"/>
      <c r="AB23" s="223"/>
      <c r="AC23" s="97"/>
      <c r="AD23" s="102"/>
      <c r="AE23" s="87"/>
      <c r="AF23" s="278"/>
      <c r="AG23" s="295" t="s">
        <v>75</v>
      </c>
      <c r="AH23" s="222">
        <v>214482</v>
      </c>
      <c r="AI23" s="400" t="s">
        <v>27</v>
      </c>
      <c r="AJ23" s="36" t="s">
        <v>132</v>
      </c>
      <c r="AK23" s="404">
        <v>18535</v>
      </c>
      <c r="AL23" s="36"/>
      <c r="AM23" s="86">
        <f>+AL23/AK23</f>
        <v>0</v>
      </c>
    </row>
    <row r="24" spans="1:39" s="10" customFormat="1" ht="17.25" customHeight="1" thickTop="1">
      <c r="A24" s="473"/>
      <c r="B24" s="441"/>
      <c r="C24" s="443"/>
      <c r="D24" s="450" t="s">
        <v>51</v>
      </c>
      <c r="E24" s="451"/>
      <c r="F24" s="323">
        <f>SUM(F21:F23)</f>
        <v>416654</v>
      </c>
      <c r="G24" s="339" t="s">
        <v>90</v>
      </c>
      <c r="H24" s="325">
        <f>SUM(H21:H23)</f>
        <v>4544</v>
      </c>
      <c r="I24" s="326">
        <f>SUM(I21:I23)</f>
        <v>4977</v>
      </c>
      <c r="J24" s="327">
        <f>SUM(I24/H24)</f>
        <v>1.0952904929577465</v>
      </c>
      <c r="K24" s="28">
        <f>SUM(K21:K23)</f>
        <v>283734</v>
      </c>
      <c r="L24" s="60" t="s">
        <v>95</v>
      </c>
      <c r="M24" s="89">
        <f>SUM(M21:M23)</f>
        <v>5314</v>
      </c>
      <c r="N24" s="90">
        <f>SUM(N21:N21)</f>
        <v>2</v>
      </c>
      <c r="O24" s="245">
        <f>+N24/M24</f>
        <v>0.0003763643206624012</v>
      </c>
      <c r="P24" s="267"/>
      <c r="Q24" s="129">
        <f>SUM(Q21:Q23)</f>
        <v>247556</v>
      </c>
      <c r="R24" s="60"/>
      <c r="S24" s="60" t="s">
        <v>101</v>
      </c>
      <c r="T24" s="89">
        <f>SUM(T21:T23)</f>
        <v>5855</v>
      </c>
      <c r="U24" s="90">
        <f>SUM(U21:U21)</f>
        <v>0</v>
      </c>
      <c r="V24" s="133">
        <f>+U24/T24</f>
        <v>0</v>
      </c>
      <c r="W24" s="28">
        <f>SUM(W21:W23)</f>
        <v>0</v>
      </c>
      <c r="X24" s="63"/>
      <c r="Y24" s="89">
        <f>SUM(Y21:Y23)</f>
        <v>0</v>
      </c>
      <c r="Z24" s="89">
        <f>SUM(Z21:Z23)</f>
        <v>0</v>
      </c>
      <c r="AA24" s="135">
        <v>0</v>
      </c>
      <c r="AB24" s="129">
        <f>SUM(AB21:AB23)</f>
        <v>0</v>
      </c>
      <c r="AC24" s="136"/>
      <c r="AD24" s="137">
        <f>SUM(AD21:AD23)</f>
        <v>0</v>
      </c>
      <c r="AE24" s="138">
        <f>SUM(AE21:AE23)</f>
        <v>0</v>
      </c>
      <c r="AF24" s="282">
        <v>0</v>
      </c>
      <c r="AG24" s="267"/>
      <c r="AH24" s="129">
        <f>SUM(AH21:AH23)</f>
        <v>414482</v>
      </c>
      <c r="AI24" s="60"/>
      <c r="AJ24" s="60" t="s">
        <v>101</v>
      </c>
      <c r="AK24" s="89">
        <f>SUM(AK21:AK23)</f>
        <v>18535</v>
      </c>
      <c r="AL24" s="90">
        <f>SUM(AL21:AL21)</f>
        <v>0</v>
      </c>
      <c r="AM24" s="133">
        <f>+AL24/AK24</f>
        <v>0</v>
      </c>
    </row>
    <row r="25" spans="1:39" ht="16.5" customHeight="1">
      <c r="A25" s="205" t="s">
        <v>12</v>
      </c>
      <c r="B25" s="444" t="s">
        <v>45</v>
      </c>
      <c r="C25" s="445"/>
      <c r="D25" s="445"/>
      <c r="E25" s="445"/>
      <c r="F25" s="456" t="s">
        <v>45</v>
      </c>
      <c r="G25" s="457"/>
      <c r="H25" s="457"/>
      <c r="I25" s="457"/>
      <c r="J25" s="351"/>
      <c r="K25" s="431" t="s">
        <v>45</v>
      </c>
      <c r="L25" s="425"/>
      <c r="M25" s="425"/>
      <c r="N25" s="425"/>
      <c r="O25" s="432"/>
      <c r="P25" s="273"/>
      <c r="Q25" s="424" t="s">
        <v>45</v>
      </c>
      <c r="R25" s="431"/>
      <c r="S25" s="425"/>
      <c r="T25" s="425"/>
      <c r="U25" s="425"/>
      <c r="V25" s="425"/>
      <c r="W25" s="204"/>
      <c r="X25" s="204"/>
      <c r="Y25" s="419"/>
      <c r="Z25" s="419"/>
      <c r="AA25" s="433"/>
      <c r="AB25" s="258"/>
      <c r="AC25" s="204"/>
      <c r="AD25" s="419"/>
      <c r="AE25" s="419"/>
      <c r="AF25" s="417"/>
      <c r="AG25" s="273"/>
      <c r="AH25" s="424" t="s">
        <v>45</v>
      </c>
      <c r="AI25" s="425"/>
      <c r="AJ25" s="425"/>
      <c r="AK25" s="425"/>
      <c r="AL25" s="425"/>
      <c r="AM25" s="426"/>
    </row>
    <row r="26" spans="1:39" ht="37.5" customHeight="1" thickBot="1">
      <c r="A26" s="434" t="s">
        <v>13</v>
      </c>
      <c r="B26" s="440" t="s">
        <v>58</v>
      </c>
      <c r="C26" s="442" t="s">
        <v>59</v>
      </c>
      <c r="D26" s="2" t="s">
        <v>0</v>
      </c>
      <c r="E26" s="4" t="s">
        <v>38</v>
      </c>
      <c r="F26" s="328"/>
      <c r="G26" s="383"/>
      <c r="H26" s="384"/>
      <c r="I26" s="385"/>
      <c r="J26" s="386"/>
      <c r="K26" s="41">
        <f>SUM(51144)</f>
        <v>51144</v>
      </c>
      <c r="L26" s="96">
        <v>615</v>
      </c>
      <c r="M26" s="96">
        <f>SUM(1)</f>
        <v>1</v>
      </c>
      <c r="N26" s="388">
        <v>1</v>
      </c>
      <c r="O26" s="244">
        <f>+N26/M26</f>
        <v>1</v>
      </c>
      <c r="P26" s="2" t="s">
        <v>0</v>
      </c>
      <c r="Q26" s="222">
        <f>SUM(200000)</f>
        <v>200000</v>
      </c>
      <c r="R26" s="228" t="s">
        <v>38</v>
      </c>
      <c r="S26" s="87">
        <v>717</v>
      </c>
      <c r="T26" s="102">
        <f>SUM(19)</f>
        <v>19</v>
      </c>
      <c r="U26" s="305"/>
      <c r="V26" s="86">
        <f>+U26/T26</f>
        <v>0</v>
      </c>
      <c r="W26" s="47"/>
      <c r="X26" s="97"/>
      <c r="Y26" s="105"/>
      <c r="Z26" s="103"/>
      <c r="AA26" s="104"/>
      <c r="AB26" s="61"/>
      <c r="AC26" s="97"/>
      <c r="AD26" s="105"/>
      <c r="AE26" s="103"/>
      <c r="AF26" s="283"/>
      <c r="AG26" s="410" t="s">
        <v>0</v>
      </c>
      <c r="AH26" s="222"/>
      <c r="AI26" s="400" t="s">
        <v>38</v>
      </c>
      <c r="AJ26" s="36"/>
      <c r="AK26" s="404"/>
      <c r="AL26" s="305"/>
      <c r="AM26" s="86" t="e">
        <f>+AL26/AK26</f>
        <v>#DIV/0!</v>
      </c>
    </row>
    <row r="27" spans="1:39" ht="18.75" customHeight="1" thickBot="1" thickTop="1">
      <c r="A27" s="471"/>
      <c r="B27" s="446"/>
      <c r="C27" s="488"/>
      <c r="D27" s="389"/>
      <c r="E27" s="177"/>
      <c r="F27" s="352"/>
      <c r="G27" s="353"/>
      <c r="H27" s="354"/>
      <c r="I27" s="355"/>
      <c r="J27" s="356"/>
      <c r="K27" s="73"/>
      <c r="L27" s="87"/>
      <c r="M27" s="84"/>
      <c r="N27" s="390"/>
      <c r="O27" s="241"/>
      <c r="P27" s="391"/>
      <c r="Q27" s="226"/>
      <c r="R27" s="392"/>
      <c r="S27" s="114"/>
      <c r="T27" s="393"/>
      <c r="U27" s="394"/>
      <c r="V27" s="395"/>
      <c r="W27" s="303"/>
      <c r="X27" s="182"/>
      <c r="Y27" s="107"/>
      <c r="Z27" s="108"/>
      <c r="AA27" s="109"/>
      <c r="AB27" s="304"/>
      <c r="AC27" s="182"/>
      <c r="AD27" s="107"/>
      <c r="AE27" s="108"/>
      <c r="AF27" s="286"/>
      <c r="AG27" s="410" t="s">
        <v>74</v>
      </c>
      <c r="AH27" s="412">
        <v>85000</v>
      </c>
      <c r="AI27" s="413" t="s">
        <v>28</v>
      </c>
      <c r="AJ27" s="414" t="s">
        <v>122</v>
      </c>
      <c r="AK27" s="415">
        <v>5</v>
      </c>
      <c r="AL27" s="416"/>
      <c r="AM27" s="86">
        <f>+AL27/AK27</f>
        <v>0</v>
      </c>
    </row>
    <row r="28" spans="1:39" s="10" customFormat="1" ht="16.5" customHeight="1" thickTop="1">
      <c r="A28" s="435"/>
      <c r="B28" s="441"/>
      <c r="C28" s="443"/>
      <c r="D28" s="491" t="s">
        <v>51</v>
      </c>
      <c r="E28" s="492"/>
      <c r="F28" s="362">
        <f>SUM(F26)</f>
        <v>0</v>
      </c>
      <c r="G28" s="363" t="s">
        <v>91</v>
      </c>
      <c r="H28" s="325">
        <f>SUM(H26)</f>
        <v>0</v>
      </c>
      <c r="I28" s="326">
        <f>SUM(I26)</f>
        <v>0</v>
      </c>
      <c r="J28" s="327">
        <v>0</v>
      </c>
      <c r="K28" s="153">
        <f>SUM(K26)</f>
        <v>51144</v>
      </c>
      <c r="L28" s="160" t="s">
        <v>92</v>
      </c>
      <c r="M28" s="37">
        <f>SUM(M26)</f>
        <v>1</v>
      </c>
      <c r="N28" s="38">
        <f>SUM(N26)</f>
        <v>1</v>
      </c>
      <c r="O28" s="246">
        <v>0</v>
      </c>
      <c r="P28" s="387"/>
      <c r="Q28" s="60">
        <f>SUM(Q26)</f>
        <v>200000</v>
      </c>
      <c r="R28" s="60"/>
      <c r="S28" s="160" t="s">
        <v>92</v>
      </c>
      <c r="T28" s="89">
        <f>SUM(T26)</f>
        <v>19</v>
      </c>
      <c r="U28" s="91">
        <f>SUM(U26)</f>
        <v>0</v>
      </c>
      <c r="V28" s="133">
        <f>+U28/T28</f>
        <v>0</v>
      </c>
      <c r="W28" s="28">
        <f>SUM(W26)</f>
        <v>0</v>
      </c>
      <c r="X28" s="72"/>
      <c r="Y28" s="89">
        <f>SUM(Y26)</f>
        <v>0</v>
      </c>
      <c r="Z28" s="91">
        <f>SUM(Z26)</f>
        <v>0</v>
      </c>
      <c r="AA28" s="92"/>
      <c r="AB28" s="129">
        <f>SUM(AB26)</f>
        <v>0</v>
      </c>
      <c r="AC28" s="72"/>
      <c r="AD28" s="89">
        <f>SUM(AD26)</f>
        <v>0</v>
      </c>
      <c r="AE28" s="91">
        <f>SUM(AE26)</f>
        <v>0</v>
      </c>
      <c r="AF28" s="284"/>
      <c r="AG28" s="268"/>
      <c r="AH28" s="129">
        <f>SUM(AH26)</f>
        <v>0</v>
      </c>
      <c r="AI28" s="129"/>
      <c r="AJ28" s="26" t="s">
        <v>96</v>
      </c>
      <c r="AK28" s="89">
        <f>SUM(AK26:AK27)</f>
        <v>5</v>
      </c>
      <c r="AL28" s="91">
        <f>SUM(AL26:AL27)</f>
        <v>0</v>
      </c>
      <c r="AM28" s="133">
        <f>+AL28/AK28</f>
        <v>0</v>
      </c>
    </row>
    <row r="29" spans="1:39" ht="15.75" customHeight="1">
      <c r="A29" s="205" t="s">
        <v>14</v>
      </c>
      <c r="B29" s="444" t="s">
        <v>46</v>
      </c>
      <c r="C29" s="445"/>
      <c r="D29" s="445"/>
      <c r="E29" s="445"/>
      <c r="F29" s="456" t="s">
        <v>46</v>
      </c>
      <c r="G29" s="457"/>
      <c r="H29" s="457"/>
      <c r="I29" s="457"/>
      <c r="J29" s="351"/>
      <c r="K29" s="431" t="s">
        <v>46</v>
      </c>
      <c r="L29" s="425"/>
      <c r="M29" s="425"/>
      <c r="N29" s="425"/>
      <c r="O29" s="432"/>
      <c r="P29" s="273"/>
      <c r="Q29" s="431" t="s">
        <v>46</v>
      </c>
      <c r="R29" s="431"/>
      <c r="S29" s="425"/>
      <c r="T29" s="425"/>
      <c r="U29" s="425"/>
      <c r="V29" s="425"/>
      <c r="W29" s="204"/>
      <c r="X29" s="204"/>
      <c r="Y29" s="419"/>
      <c r="Z29" s="419"/>
      <c r="AA29" s="433"/>
      <c r="AB29" s="258"/>
      <c r="AC29" s="204"/>
      <c r="AD29" s="419"/>
      <c r="AE29" s="419"/>
      <c r="AF29" s="417"/>
      <c r="AG29" s="273"/>
      <c r="AH29" s="424" t="s">
        <v>46</v>
      </c>
      <c r="AI29" s="425"/>
      <c r="AJ29" s="425"/>
      <c r="AK29" s="425"/>
      <c r="AL29" s="425"/>
      <c r="AM29" s="426"/>
    </row>
    <row r="30" spans="1:39" ht="40.5" customHeight="1">
      <c r="A30" s="434" t="s">
        <v>15</v>
      </c>
      <c r="B30" s="152" t="s">
        <v>61</v>
      </c>
      <c r="C30" s="218" t="s">
        <v>62</v>
      </c>
      <c r="D30" s="110" t="s">
        <v>0</v>
      </c>
      <c r="E30" s="157" t="s">
        <v>30</v>
      </c>
      <c r="F30" s="340">
        <f>SUM(124235.98+165640.02)</f>
        <v>289876</v>
      </c>
      <c r="G30" s="329">
        <v>534</v>
      </c>
      <c r="H30" s="315">
        <v>31</v>
      </c>
      <c r="I30" s="316">
        <f>SUM(1)</f>
        <v>1</v>
      </c>
      <c r="J30" s="317">
        <f>SUM(I30/H30)</f>
        <v>0.03225806451612903</v>
      </c>
      <c r="K30" s="46">
        <v>0</v>
      </c>
      <c r="L30" s="65" t="s">
        <v>84</v>
      </c>
      <c r="M30" s="95">
        <v>0</v>
      </c>
      <c r="N30" s="191"/>
      <c r="O30" s="240">
        <v>0</v>
      </c>
      <c r="P30" s="110" t="s">
        <v>0</v>
      </c>
      <c r="Q30" s="46">
        <v>0</v>
      </c>
      <c r="R30" s="230" t="s">
        <v>30</v>
      </c>
      <c r="S30" s="65" t="s">
        <v>84</v>
      </c>
      <c r="T30" s="95">
        <v>0</v>
      </c>
      <c r="U30" s="191"/>
      <c r="V30" s="81">
        <v>0</v>
      </c>
      <c r="W30" s="76"/>
      <c r="X30" s="77"/>
      <c r="Y30" s="125"/>
      <c r="Z30" s="126"/>
      <c r="AA30" s="92"/>
      <c r="AB30" s="259"/>
      <c r="AC30" s="77"/>
      <c r="AD30" s="125"/>
      <c r="AE30" s="126"/>
      <c r="AF30" s="284"/>
      <c r="AG30" s="297" t="s">
        <v>0</v>
      </c>
      <c r="AH30" s="224">
        <v>0</v>
      </c>
      <c r="AI30" s="230" t="s">
        <v>30</v>
      </c>
      <c r="AJ30" s="65"/>
      <c r="AK30" s="399"/>
      <c r="AL30" s="191"/>
      <c r="AM30" s="81">
        <v>0</v>
      </c>
    </row>
    <row r="31" spans="1:39" ht="40.5" customHeight="1">
      <c r="A31" s="471"/>
      <c r="B31" s="152" t="s">
        <v>58</v>
      </c>
      <c r="C31" s="219" t="s">
        <v>59</v>
      </c>
      <c r="D31" s="110" t="s">
        <v>133</v>
      </c>
      <c r="E31" s="176"/>
      <c r="F31" s="340"/>
      <c r="G31" s="329"/>
      <c r="H31" s="315"/>
      <c r="I31" s="316"/>
      <c r="J31" s="317"/>
      <c r="K31" s="46"/>
      <c r="L31" s="65"/>
      <c r="M31" s="95"/>
      <c r="N31" s="191"/>
      <c r="O31" s="240"/>
      <c r="P31" s="110"/>
      <c r="Q31" s="46"/>
      <c r="R31" s="231"/>
      <c r="S31" s="65"/>
      <c r="T31" s="95"/>
      <c r="U31" s="191"/>
      <c r="V31" s="81"/>
      <c r="W31" s="48"/>
      <c r="X31" s="75"/>
      <c r="Y31" s="107"/>
      <c r="Z31" s="108"/>
      <c r="AA31" s="109"/>
      <c r="AB31" s="260"/>
      <c r="AC31" s="75"/>
      <c r="AD31" s="107"/>
      <c r="AE31" s="108"/>
      <c r="AF31" s="286"/>
      <c r="AG31" s="297" t="s">
        <v>0</v>
      </c>
      <c r="AH31" s="224">
        <v>130000</v>
      </c>
      <c r="AI31" s="231" t="s">
        <v>27</v>
      </c>
      <c r="AJ31" s="65">
        <v>831</v>
      </c>
      <c r="AK31" s="399">
        <v>1337</v>
      </c>
      <c r="AL31" s="191"/>
      <c r="AM31" s="81"/>
    </row>
    <row r="32" spans="1:39" ht="16.5" thickBot="1">
      <c r="A32" s="471"/>
      <c r="B32" s="440" t="s">
        <v>60</v>
      </c>
      <c r="C32" s="455" t="s">
        <v>65</v>
      </c>
      <c r="D32" s="110" t="s">
        <v>0</v>
      </c>
      <c r="E32" s="176" t="s">
        <v>99</v>
      </c>
      <c r="F32" s="358"/>
      <c r="G32" s="359"/>
      <c r="H32" s="360"/>
      <c r="I32" s="361"/>
      <c r="J32" s="331"/>
      <c r="K32" s="67">
        <v>0</v>
      </c>
      <c r="L32" s="174" t="s">
        <v>84</v>
      </c>
      <c r="M32" s="175">
        <v>0</v>
      </c>
      <c r="N32" s="306"/>
      <c r="O32" s="240">
        <v>0</v>
      </c>
      <c r="P32" s="110" t="s">
        <v>0</v>
      </c>
      <c r="Q32" s="67">
        <f>SUM(55000)</f>
        <v>55000</v>
      </c>
      <c r="R32" s="231" t="s">
        <v>99</v>
      </c>
      <c r="S32" s="82">
        <v>718</v>
      </c>
      <c r="T32" s="175">
        <v>1</v>
      </c>
      <c r="U32" s="306"/>
      <c r="V32" s="81">
        <f>+U32/T32</f>
        <v>0</v>
      </c>
      <c r="W32" s="50"/>
      <c r="X32" s="75"/>
      <c r="Y32" s="121"/>
      <c r="Z32" s="121"/>
      <c r="AA32" s="122"/>
      <c r="AB32" s="227"/>
      <c r="AC32" s="64"/>
      <c r="AD32" s="123"/>
      <c r="AE32" s="121"/>
      <c r="AF32" s="285"/>
      <c r="AG32" s="297" t="s">
        <v>0</v>
      </c>
      <c r="AH32" s="225"/>
      <c r="AI32" s="405"/>
      <c r="AJ32" s="33"/>
      <c r="AK32" s="406"/>
      <c r="AL32" s="306"/>
      <c r="AM32" s="81" t="e">
        <f>+AL32/AK32</f>
        <v>#DIV/0!</v>
      </c>
    </row>
    <row r="33" spans="1:39" ht="17.25" customHeight="1" thickBot="1" thickTop="1">
      <c r="A33" s="471"/>
      <c r="B33" s="446"/>
      <c r="C33" s="455"/>
      <c r="D33" s="106" t="s">
        <v>0</v>
      </c>
      <c r="E33" s="177" t="s">
        <v>27</v>
      </c>
      <c r="F33" s="352"/>
      <c r="G33" s="353"/>
      <c r="H33" s="354"/>
      <c r="I33" s="355"/>
      <c r="J33" s="356"/>
      <c r="K33" s="73">
        <v>0</v>
      </c>
      <c r="L33" s="134" t="s">
        <v>84</v>
      </c>
      <c r="M33" s="102">
        <v>0</v>
      </c>
      <c r="N33" s="305"/>
      <c r="O33" s="241">
        <v>0</v>
      </c>
      <c r="P33" s="106" t="s">
        <v>0</v>
      </c>
      <c r="Q33" s="73">
        <f>SUM(125000)</f>
        <v>125000</v>
      </c>
      <c r="R33" s="232" t="s">
        <v>27</v>
      </c>
      <c r="S33" s="87">
        <v>710</v>
      </c>
      <c r="T33" s="84">
        <f>SUM(16)</f>
        <v>16</v>
      </c>
      <c r="U33" s="36"/>
      <c r="V33" s="86">
        <f>+U33/T33</f>
        <v>0</v>
      </c>
      <c r="W33" s="48"/>
      <c r="X33" s="75"/>
      <c r="Y33" s="108"/>
      <c r="Z33" s="107"/>
      <c r="AA33" s="109"/>
      <c r="AB33" s="260"/>
      <c r="AC33" s="75"/>
      <c r="AD33" s="107"/>
      <c r="AE33" s="107"/>
      <c r="AF33" s="286"/>
      <c r="AG33" s="297" t="s">
        <v>0</v>
      </c>
      <c r="AH33" s="226">
        <v>150000</v>
      </c>
      <c r="AI33" s="407" t="s">
        <v>27</v>
      </c>
      <c r="AJ33" s="36">
        <v>818</v>
      </c>
      <c r="AK33" s="35">
        <v>18</v>
      </c>
      <c r="AL33" s="36"/>
      <c r="AM33" s="86">
        <f>+AL33/AK33</f>
        <v>0</v>
      </c>
    </row>
    <row r="34" spans="1:39" s="10" customFormat="1" ht="16.5" customHeight="1" thickBot="1" thickTop="1">
      <c r="A34" s="435"/>
      <c r="B34" s="441"/>
      <c r="C34" s="455"/>
      <c r="D34" s="491" t="s">
        <v>51</v>
      </c>
      <c r="E34" s="492"/>
      <c r="F34" s="362">
        <f>SUM(F30)</f>
        <v>289876</v>
      </c>
      <c r="G34" s="363" t="s">
        <v>92</v>
      </c>
      <c r="H34" s="325">
        <f>SUM(H30)</f>
        <v>31</v>
      </c>
      <c r="I34" s="326">
        <f>SUM(I30)</f>
        <v>1</v>
      </c>
      <c r="J34" s="327">
        <f>SUM(I34/H34)</f>
        <v>0.03225806451612903</v>
      </c>
      <c r="K34" s="153">
        <f>SUM(K30)</f>
        <v>0</v>
      </c>
      <c r="L34" s="160" t="s">
        <v>91</v>
      </c>
      <c r="M34" s="37">
        <f>SUM(M30)</f>
        <v>0</v>
      </c>
      <c r="N34" s="38">
        <f>SUM(N30)</f>
        <v>0</v>
      </c>
      <c r="O34" s="246">
        <v>0</v>
      </c>
      <c r="P34" s="269"/>
      <c r="Q34" s="153">
        <f>SUM(Q30)</f>
        <v>0</v>
      </c>
      <c r="R34" s="60"/>
      <c r="S34" s="160" t="s">
        <v>96</v>
      </c>
      <c r="T34" s="37">
        <f>SUM(T30:T33)</f>
        <v>17</v>
      </c>
      <c r="U34" s="38">
        <f>SUM(U30:U33)</f>
        <v>0</v>
      </c>
      <c r="V34" s="39">
        <v>0</v>
      </c>
      <c r="W34" s="78">
        <f>SUM(W30:W32)</f>
        <v>0</v>
      </c>
      <c r="X34" s="71"/>
      <c r="Y34" s="128">
        <f>SUM(Y30:Y32)</f>
        <v>0</v>
      </c>
      <c r="Z34" s="127">
        <f>SUM(Z30:Z32)</f>
        <v>0</v>
      </c>
      <c r="AA34" s="99"/>
      <c r="AB34" s="127">
        <f>SUM(AB30:AB32)</f>
        <v>0</v>
      </c>
      <c r="AC34" s="71"/>
      <c r="AD34" s="128">
        <f>SUM(AD30:AD32)</f>
        <v>0</v>
      </c>
      <c r="AE34" s="127">
        <f>SUM(AE30:AE32)</f>
        <v>0</v>
      </c>
      <c r="AF34" s="287"/>
      <c r="AG34" s="268"/>
      <c r="AH34" s="60">
        <f>SUM(AH30)</f>
        <v>0</v>
      </c>
      <c r="AI34" s="60"/>
      <c r="AJ34" s="160" t="s">
        <v>96</v>
      </c>
      <c r="AK34" s="37">
        <f>SUM(AK30:AK33)</f>
        <v>1355</v>
      </c>
      <c r="AL34" s="38">
        <f>SUM(AL30:AL33)</f>
        <v>0</v>
      </c>
      <c r="AM34" s="39">
        <v>0</v>
      </c>
    </row>
    <row r="35" spans="1:39" s="10" customFormat="1" ht="5.25" customHeight="1">
      <c r="A35" s="140"/>
      <c r="B35" s="194"/>
      <c r="C35" s="195"/>
      <c r="D35" s="196"/>
      <c r="E35" s="197"/>
      <c r="F35" s="346"/>
      <c r="G35" s="311"/>
      <c r="H35" s="347"/>
      <c r="I35" s="347"/>
      <c r="J35" s="348"/>
      <c r="K35" s="199"/>
      <c r="L35" s="200"/>
      <c r="M35" s="201"/>
      <c r="N35" s="202"/>
      <c r="O35" s="238"/>
      <c r="P35" s="196"/>
      <c r="Q35" s="199"/>
      <c r="R35" s="214"/>
      <c r="S35" s="200"/>
      <c r="T35" s="201"/>
      <c r="U35" s="201"/>
      <c r="V35" s="203"/>
      <c r="W35" s="58"/>
      <c r="X35" s="55"/>
      <c r="Y35" s="11"/>
      <c r="Z35" s="11"/>
      <c r="AA35" s="12"/>
      <c r="AB35" s="256"/>
      <c r="AC35" s="55"/>
      <c r="AD35" s="11"/>
      <c r="AE35" s="11"/>
      <c r="AF35" s="275"/>
      <c r="AG35" s="296"/>
      <c r="AH35" s="249"/>
      <c r="AI35" s="214"/>
      <c r="AJ35" s="200"/>
      <c r="AK35" s="201"/>
      <c r="AL35" s="201"/>
      <c r="AM35" s="203"/>
    </row>
    <row r="36" spans="1:39" ht="15.75" customHeight="1">
      <c r="A36" s="9" t="s">
        <v>16</v>
      </c>
      <c r="B36" s="444" t="s">
        <v>47</v>
      </c>
      <c r="C36" s="445"/>
      <c r="D36" s="445"/>
      <c r="E36" s="445"/>
      <c r="F36" s="456" t="s">
        <v>47</v>
      </c>
      <c r="G36" s="457"/>
      <c r="H36" s="457"/>
      <c r="I36" s="457"/>
      <c r="J36" s="457"/>
      <c r="K36" s="431" t="s">
        <v>47</v>
      </c>
      <c r="L36" s="425"/>
      <c r="M36" s="425"/>
      <c r="N36" s="425"/>
      <c r="O36" s="432"/>
      <c r="P36" s="273"/>
      <c r="Q36" s="431" t="s">
        <v>47</v>
      </c>
      <c r="R36" s="431"/>
      <c r="S36" s="425"/>
      <c r="T36" s="425"/>
      <c r="U36" s="425"/>
      <c r="V36" s="425"/>
      <c r="W36" s="204"/>
      <c r="X36" s="204"/>
      <c r="Y36" s="419"/>
      <c r="Z36" s="419"/>
      <c r="AA36" s="433"/>
      <c r="AB36" s="258"/>
      <c r="AC36" s="204"/>
      <c r="AD36" s="419"/>
      <c r="AE36" s="419"/>
      <c r="AF36" s="417"/>
      <c r="AG36" s="273"/>
      <c r="AH36" s="424" t="s">
        <v>47</v>
      </c>
      <c r="AI36" s="425"/>
      <c r="AJ36" s="425"/>
      <c r="AK36" s="425"/>
      <c r="AL36" s="425"/>
      <c r="AM36" s="426"/>
    </row>
    <row r="37" spans="1:39" ht="27" customHeight="1" thickBot="1">
      <c r="A37" s="434" t="s">
        <v>17</v>
      </c>
      <c r="B37" s="440" t="s">
        <v>56</v>
      </c>
      <c r="C37" s="442" t="s">
        <v>57</v>
      </c>
      <c r="D37" s="87" t="s">
        <v>0</v>
      </c>
      <c r="E37" s="179" t="s">
        <v>70</v>
      </c>
      <c r="F37" s="352">
        <v>0</v>
      </c>
      <c r="G37" s="353" t="s">
        <v>84</v>
      </c>
      <c r="H37" s="354">
        <v>0</v>
      </c>
      <c r="I37" s="355">
        <v>0</v>
      </c>
      <c r="J37" s="356">
        <v>0</v>
      </c>
      <c r="K37" s="73">
        <v>0</v>
      </c>
      <c r="L37" s="134" t="s">
        <v>84</v>
      </c>
      <c r="M37" s="102">
        <v>0</v>
      </c>
      <c r="N37" s="305"/>
      <c r="O37" s="241">
        <v>0</v>
      </c>
      <c r="P37" s="87" t="s">
        <v>0</v>
      </c>
      <c r="Q37" s="73">
        <f>SUM(0)</f>
        <v>0</v>
      </c>
      <c r="R37" s="179" t="s">
        <v>70</v>
      </c>
      <c r="S37" s="74" t="s">
        <v>98</v>
      </c>
      <c r="T37" s="112">
        <f>SUM(5+5)</f>
        <v>10</v>
      </c>
      <c r="U37" s="49"/>
      <c r="V37" s="86">
        <f>+U37/T37</f>
        <v>0</v>
      </c>
      <c r="W37" s="47"/>
      <c r="X37" s="61"/>
      <c r="Y37" s="105"/>
      <c r="Z37" s="103"/>
      <c r="AA37" s="104"/>
      <c r="AB37" s="61"/>
      <c r="AC37" s="61"/>
      <c r="AD37" s="105"/>
      <c r="AE37" s="103"/>
      <c r="AF37" s="283"/>
      <c r="AG37" s="298" t="s">
        <v>0</v>
      </c>
      <c r="AH37" s="226">
        <v>1</v>
      </c>
      <c r="AI37" s="401" t="s">
        <v>70</v>
      </c>
      <c r="AJ37" s="74" t="s">
        <v>130</v>
      </c>
      <c r="AK37" s="112">
        <f>SUM(5+5)</f>
        <v>10</v>
      </c>
      <c r="AL37" s="114"/>
      <c r="AM37" s="86">
        <f>+AL37/AK37</f>
        <v>0</v>
      </c>
    </row>
    <row r="38" spans="1:39" s="10" customFormat="1" ht="17.25" customHeight="1" thickTop="1">
      <c r="A38" s="435"/>
      <c r="B38" s="441"/>
      <c r="C38" s="443"/>
      <c r="D38" s="450" t="s">
        <v>51</v>
      </c>
      <c r="E38" s="451"/>
      <c r="F38" s="357">
        <v>0</v>
      </c>
      <c r="G38" s="323" t="s">
        <v>91</v>
      </c>
      <c r="H38" s="325">
        <f>SUM(H37)</f>
        <v>0</v>
      </c>
      <c r="I38" s="326">
        <f>SUM(I37)</f>
        <v>0</v>
      </c>
      <c r="J38" s="327">
        <v>0</v>
      </c>
      <c r="K38" s="28">
        <v>0</v>
      </c>
      <c r="L38" s="26" t="s">
        <v>91</v>
      </c>
      <c r="M38" s="37">
        <f>SUM(M37)</f>
        <v>0</v>
      </c>
      <c r="N38" s="38">
        <f>SUM(N37)</f>
        <v>0</v>
      </c>
      <c r="O38" s="246">
        <v>0</v>
      </c>
      <c r="P38" s="269"/>
      <c r="Q38" s="28">
        <v>0</v>
      </c>
      <c r="R38" s="129"/>
      <c r="S38" s="26" t="s">
        <v>96</v>
      </c>
      <c r="T38" s="37">
        <f>SUM(T37)</f>
        <v>10</v>
      </c>
      <c r="U38" s="38">
        <f>SUM(U37)</f>
        <v>0</v>
      </c>
      <c r="V38" s="39">
        <v>0</v>
      </c>
      <c r="W38" s="28">
        <f>SUM(W37)</f>
        <v>0</v>
      </c>
      <c r="X38" s="72"/>
      <c r="Y38" s="26">
        <f>SUM(Y37)</f>
        <v>0</v>
      </c>
      <c r="Z38" s="129">
        <f>SUM(Z37)</f>
        <v>0</v>
      </c>
      <c r="AA38" s="92"/>
      <c r="AB38" s="129">
        <f>SUM(AB37)</f>
        <v>0</v>
      </c>
      <c r="AC38" s="72"/>
      <c r="AD38" s="26">
        <f>SUM(AD37)</f>
        <v>0</v>
      </c>
      <c r="AE38" s="129">
        <f>SUM(AE37)</f>
        <v>0</v>
      </c>
      <c r="AF38" s="284"/>
      <c r="AG38" s="268"/>
      <c r="AH38" s="129">
        <v>0</v>
      </c>
      <c r="AI38" s="129"/>
      <c r="AJ38" s="26" t="s">
        <v>96</v>
      </c>
      <c r="AK38" s="37">
        <f>SUM(AK37)</f>
        <v>10</v>
      </c>
      <c r="AL38" s="38">
        <f>SUM(AL37)</f>
        <v>0</v>
      </c>
      <c r="AM38" s="39">
        <v>0</v>
      </c>
    </row>
    <row r="39" spans="1:39" ht="15.75" customHeight="1">
      <c r="A39" s="205" t="s">
        <v>18</v>
      </c>
      <c r="B39" s="444" t="s">
        <v>48</v>
      </c>
      <c r="C39" s="445"/>
      <c r="D39" s="445"/>
      <c r="E39" s="445"/>
      <c r="F39" s="456" t="s">
        <v>48</v>
      </c>
      <c r="G39" s="457"/>
      <c r="H39" s="457"/>
      <c r="I39" s="457"/>
      <c r="J39" s="457"/>
      <c r="K39" s="431" t="s">
        <v>48</v>
      </c>
      <c r="L39" s="425"/>
      <c r="M39" s="425"/>
      <c r="N39" s="425"/>
      <c r="O39" s="432"/>
      <c r="P39" s="273"/>
      <c r="Q39" s="431" t="s">
        <v>48</v>
      </c>
      <c r="R39" s="431"/>
      <c r="S39" s="425"/>
      <c r="T39" s="425"/>
      <c r="U39" s="425"/>
      <c r="V39" s="425"/>
      <c r="W39" s="204"/>
      <c r="X39" s="204"/>
      <c r="Y39" s="419"/>
      <c r="Z39" s="419"/>
      <c r="AA39" s="433"/>
      <c r="AB39" s="258"/>
      <c r="AC39" s="204"/>
      <c r="AD39" s="419"/>
      <c r="AE39" s="419"/>
      <c r="AF39" s="417"/>
      <c r="AG39" s="273"/>
      <c r="AH39" s="424" t="s">
        <v>48</v>
      </c>
      <c r="AI39" s="425"/>
      <c r="AJ39" s="425"/>
      <c r="AK39" s="425"/>
      <c r="AL39" s="425"/>
      <c r="AM39" s="426"/>
    </row>
    <row r="40" spans="1:39" ht="16.5" customHeight="1" thickBot="1">
      <c r="A40" s="434" t="s">
        <v>19</v>
      </c>
      <c r="B40" s="436" t="s">
        <v>50</v>
      </c>
      <c r="C40" s="437"/>
      <c r="D40" s="134" t="s">
        <v>84</v>
      </c>
      <c r="E40" s="158" t="s">
        <v>84</v>
      </c>
      <c r="F40" s="352">
        <v>0</v>
      </c>
      <c r="G40" s="353" t="s">
        <v>84</v>
      </c>
      <c r="H40" s="354">
        <v>0</v>
      </c>
      <c r="I40" s="355">
        <v>0</v>
      </c>
      <c r="J40" s="356">
        <v>0</v>
      </c>
      <c r="K40" s="73">
        <v>0</v>
      </c>
      <c r="L40" s="134" t="s">
        <v>84</v>
      </c>
      <c r="M40" s="102">
        <v>0</v>
      </c>
      <c r="N40" s="103">
        <v>0</v>
      </c>
      <c r="O40" s="241">
        <v>0</v>
      </c>
      <c r="P40" s="134" t="s">
        <v>84</v>
      </c>
      <c r="Q40" s="73">
        <v>0</v>
      </c>
      <c r="R40" s="158" t="s">
        <v>84</v>
      </c>
      <c r="S40" s="134" t="s">
        <v>84</v>
      </c>
      <c r="T40" s="102">
        <v>0</v>
      </c>
      <c r="U40" s="103"/>
      <c r="V40" s="86">
        <v>0</v>
      </c>
      <c r="W40" s="47"/>
      <c r="X40" s="61"/>
      <c r="Y40" s="105"/>
      <c r="Z40" s="103"/>
      <c r="AA40" s="104"/>
      <c r="AB40" s="61"/>
      <c r="AC40" s="61"/>
      <c r="AD40" s="105"/>
      <c r="AE40" s="103"/>
      <c r="AF40" s="283"/>
      <c r="AG40" s="299" t="s">
        <v>84</v>
      </c>
      <c r="AH40" s="226">
        <v>0</v>
      </c>
      <c r="AI40" s="158" t="s">
        <v>84</v>
      </c>
      <c r="AJ40" s="134" t="s">
        <v>84</v>
      </c>
      <c r="AK40" s="102">
        <v>0</v>
      </c>
      <c r="AL40" s="103">
        <v>0</v>
      </c>
      <c r="AM40" s="86">
        <v>0</v>
      </c>
    </row>
    <row r="41" spans="1:39" s="10" customFormat="1" ht="15.75" customHeight="1" thickBot="1" thickTop="1">
      <c r="A41" s="435"/>
      <c r="B41" s="438"/>
      <c r="C41" s="439"/>
      <c r="D41" s="450" t="s">
        <v>51</v>
      </c>
      <c r="E41" s="451"/>
      <c r="F41" s="357">
        <v>0</v>
      </c>
      <c r="G41" s="323" t="s">
        <v>91</v>
      </c>
      <c r="H41" s="325">
        <f>SUM(H40)</f>
        <v>0</v>
      </c>
      <c r="I41" s="326">
        <f>SUM(I40)</f>
        <v>0</v>
      </c>
      <c r="J41" s="327">
        <v>0</v>
      </c>
      <c r="K41" s="28">
        <v>0</v>
      </c>
      <c r="L41" s="26" t="s">
        <v>91</v>
      </c>
      <c r="M41" s="37">
        <f>SUM(M40)</f>
        <v>0</v>
      </c>
      <c r="N41" s="38">
        <f>SUM(N40)</f>
        <v>0</v>
      </c>
      <c r="O41" s="246">
        <v>0</v>
      </c>
      <c r="P41" s="269"/>
      <c r="Q41" s="28">
        <v>0</v>
      </c>
      <c r="R41" s="129"/>
      <c r="S41" s="26" t="s">
        <v>91</v>
      </c>
      <c r="T41" s="37">
        <f>SUM(T40)</f>
        <v>0</v>
      </c>
      <c r="U41" s="38">
        <f>SUM(U40)</f>
        <v>0</v>
      </c>
      <c r="V41" s="39">
        <v>0</v>
      </c>
      <c r="W41" s="28">
        <f>SUM(W40)</f>
        <v>0</v>
      </c>
      <c r="X41" s="72"/>
      <c r="Y41" s="26">
        <f>SUM(Y40)</f>
        <v>0</v>
      </c>
      <c r="Z41" s="129">
        <f>SUM(Z40)</f>
        <v>0</v>
      </c>
      <c r="AA41" s="92"/>
      <c r="AB41" s="129">
        <f>SUM(AB40)</f>
        <v>0</v>
      </c>
      <c r="AC41" s="72"/>
      <c r="AD41" s="26">
        <f>SUM(AD40)</f>
        <v>0</v>
      </c>
      <c r="AE41" s="129">
        <f>SUM(AE40)</f>
        <v>0</v>
      </c>
      <c r="AF41" s="284"/>
      <c r="AG41" s="268"/>
      <c r="AH41" s="129">
        <v>0</v>
      </c>
      <c r="AI41" s="158" t="s">
        <v>84</v>
      </c>
      <c r="AJ41" s="26" t="s">
        <v>91</v>
      </c>
      <c r="AK41" s="37">
        <f>SUM(AK40)</f>
        <v>0</v>
      </c>
      <c r="AL41" s="38">
        <f>SUM(AL40)</f>
        <v>0</v>
      </c>
      <c r="AM41" s="39">
        <v>0</v>
      </c>
    </row>
    <row r="42" spans="1:39" ht="15.75" customHeight="1" thickTop="1">
      <c r="A42" s="205" t="s">
        <v>20</v>
      </c>
      <c r="B42" s="444" t="s">
        <v>49</v>
      </c>
      <c r="C42" s="445"/>
      <c r="D42" s="445"/>
      <c r="E42" s="445"/>
      <c r="F42" s="456" t="s">
        <v>49</v>
      </c>
      <c r="G42" s="457"/>
      <c r="H42" s="457"/>
      <c r="I42" s="457"/>
      <c r="J42" s="457"/>
      <c r="K42" s="431" t="s">
        <v>49</v>
      </c>
      <c r="L42" s="425"/>
      <c r="M42" s="425"/>
      <c r="N42" s="425"/>
      <c r="O42" s="432"/>
      <c r="P42" s="273"/>
      <c r="Q42" s="431" t="s">
        <v>49</v>
      </c>
      <c r="R42" s="431"/>
      <c r="S42" s="425"/>
      <c r="T42" s="425"/>
      <c r="U42" s="425"/>
      <c r="V42" s="425"/>
      <c r="W42" s="204"/>
      <c r="X42" s="204"/>
      <c r="Y42" s="419"/>
      <c r="Z42" s="419"/>
      <c r="AA42" s="433"/>
      <c r="AB42" s="258"/>
      <c r="AC42" s="204"/>
      <c r="AD42" s="419"/>
      <c r="AE42" s="419"/>
      <c r="AF42" s="417"/>
      <c r="AG42" s="273"/>
      <c r="AH42" s="424" t="s">
        <v>49</v>
      </c>
      <c r="AI42" s="425"/>
      <c r="AJ42" s="425"/>
      <c r="AK42" s="425"/>
      <c r="AL42" s="425"/>
      <c r="AM42" s="426"/>
    </row>
    <row r="43" spans="1:39" ht="23.25" customHeight="1">
      <c r="A43" s="434" t="s">
        <v>21</v>
      </c>
      <c r="B43" s="440" t="s">
        <v>60</v>
      </c>
      <c r="C43" s="442" t="s">
        <v>72</v>
      </c>
      <c r="D43" s="110" t="s">
        <v>0</v>
      </c>
      <c r="E43" s="19" t="s">
        <v>39</v>
      </c>
      <c r="F43" s="340">
        <v>0</v>
      </c>
      <c r="G43" s="314" t="s">
        <v>84</v>
      </c>
      <c r="H43" s="315">
        <v>0</v>
      </c>
      <c r="I43" s="315">
        <v>0</v>
      </c>
      <c r="J43" s="317">
        <f>SUM(H406)</f>
        <v>0</v>
      </c>
      <c r="K43" s="41">
        <f>SUM(200000)</f>
        <v>200000</v>
      </c>
      <c r="L43" s="82" t="s">
        <v>127</v>
      </c>
      <c r="M43" s="79">
        <f>SUM(2)</f>
        <v>2</v>
      </c>
      <c r="N43" s="192">
        <v>0</v>
      </c>
      <c r="O43" s="240">
        <f>+N43/M43</f>
        <v>0</v>
      </c>
      <c r="P43" s="110" t="s">
        <v>0</v>
      </c>
      <c r="Q43" s="45">
        <v>0</v>
      </c>
      <c r="R43" s="230"/>
      <c r="S43" s="124" t="s">
        <v>84</v>
      </c>
      <c r="T43" s="79">
        <v>0</v>
      </c>
      <c r="U43" s="192"/>
      <c r="V43" s="81">
        <v>0</v>
      </c>
      <c r="W43" s="45"/>
      <c r="X43" s="93"/>
      <c r="Y43" s="79"/>
      <c r="Z43" s="82"/>
      <c r="AA43" s="83"/>
      <c r="AB43" s="62"/>
      <c r="AC43" s="93"/>
      <c r="AD43" s="79"/>
      <c r="AE43" s="82"/>
      <c r="AF43" s="277"/>
      <c r="AG43" s="297" t="s">
        <v>0</v>
      </c>
      <c r="AH43" s="62">
        <v>75000</v>
      </c>
      <c r="AI43" s="408" t="s">
        <v>39</v>
      </c>
      <c r="AJ43" s="411">
        <v>825</v>
      </c>
      <c r="AK43" s="32">
        <v>2</v>
      </c>
      <c r="AL43" s="192"/>
      <c r="AM43" s="81">
        <v>0</v>
      </c>
    </row>
    <row r="44" spans="1:39" ht="20.25" customHeight="1">
      <c r="A44" s="471"/>
      <c r="B44" s="441"/>
      <c r="C44" s="443"/>
      <c r="D44" s="110" t="s">
        <v>0</v>
      </c>
      <c r="E44" s="19" t="s">
        <v>30</v>
      </c>
      <c r="F44" s="340">
        <v>200000</v>
      </c>
      <c r="G44" s="329">
        <v>545</v>
      </c>
      <c r="H44" s="315">
        <v>1</v>
      </c>
      <c r="I44" s="315">
        <v>0</v>
      </c>
      <c r="J44" s="317">
        <f>SUM(H407)</f>
        <v>0</v>
      </c>
      <c r="K44" s="45">
        <v>0</v>
      </c>
      <c r="L44" s="124" t="s">
        <v>84</v>
      </c>
      <c r="M44" s="79">
        <v>0</v>
      </c>
      <c r="N44" s="80">
        <v>0</v>
      </c>
      <c r="O44" s="240">
        <v>0</v>
      </c>
      <c r="P44" s="110" t="s">
        <v>0</v>
      </c>
      <c r="Q44" s="45">
        <v>0</v>
      </c>
      <c r="R44" s="402"/>
      <c r="S44" s="124" t="s">
        <v>84</v>
      </c>
      <c r="T44" s="79">
        <v>0</v>
      </c>
      <c r="U44" s="80"/>
      <c r="V44" s="81">
        <v>0</v>
      </c>
      <c r="W44" s="45"/>
      <c r="X44" s="62"/>
      <c r="Y44" s="79"/>
      <c r="Z44" s="82"/>
      <c r="AA44" s="83"/>
      <c r="AB44" s="62"/>
      <c r="AC44" s="62"/>
      <c r="AD44" s="79"/>
      <c r="AE44" s="82"/>
      <c r="AF44" s="277"/>
      <c r="AG44" s="297" t="s">
        <v>0</v>
      </c>
      <c r="AH44" s="62">
        <v>0</v>
      </c>
      <c r="AI44" s="408"/>
      <c r="AJ44" s="124" t="s">
        <v>84</v>
      </c>
      <c r="AK44" s="32">
        <v>0</v>
      </c>
      <c r="AL44" s="192"/>
      <c r="AM44" s="81">
        <v>0</v>
      </c>
    </row>
    <row r="45" spans="1:39" ht="54.75" customHeight="1">
      <c r="A45" s="471"/>
      <c r="B45" s="7" t="s">
        <v>58</v>
      </c>
      <c r="C45" s="219" t="s">
        <v>59</v>
      </c>
      <c r="D45" s="110" t="s">
        <v>0</v>
      </c>
      <c r="E45" s="19" t="s">
        <v>71</v>
      </c>
      <c r="F45" s="340">
        <f>SUM(10000+64000)</f>
        <v>74000</v>
      </c>
      <c r="G45" s="329" t="s">
        <v>81</v>
      </c>
      <c r="H45" s="315">
        <f>SUM(1+1)</f>
        <v>2</v>
      </c>
      <c r="I45" s="316">
        <f>SUM(1+0)</f>
        <v>1</v>
      </c>
      <c r="J45" s="317">
        <f>SUM(I45/H45)</f>
        <v>0.5</v>
      </c>
      <c r="K45" s="67">
        <f>SUM(252144)</f>
        <v>252144</v>
      </c>
      <c r="L45" s="82" t="s">
        <v>128</v>
      </c>
      <c r="M45" s="79">
        <v>7</v>
      </c>
      <c r="N45" s="192">
        <v>0</v>
      </c>
      <c r="O45" s="240">
        <f>+N45/M45</f>
        <v>0</v>
      </c>
      <c r="P45" s="110" t="s">
        <v>0</v>
      </c>
      <c r="Q45" s="45">
        <v>0</v>
      </c>
      <c r="R45" s="230"/>
      <c r="S45" s="124" t="s">
        <v>84</v>
      </c>
      <c r="T45" s="79">
        <v>0</v>
      </c>
      <c r="U45" s="192"/>
      <c r="V45" s="81">
        <v>0</v>
      </c>
      <c r="W45" s="45"/>
      <c r="X45" s="93"/>
      <c r="Y45" s="79"/>
      <c r="Z45" s="82"/>
      <c r="AA45" s="83"/>
      <c r="AB45" s="62"/>
      <c r="AC45" s="93"/>
      <c r="AD45" s="79"/>
      <c r="AE45" s="82"/>
      <c r="AF45" s="277"/>
      <c r="AG45" s="297" t="s">
        <v>0</v>
      </c>
      <c r="AH45" s="62">
        <v>0</v>
      </c>
      <c r="AI45" s="408"/>
      <c r="AJ45" s="124" t="s">
        <v>84</v>
      </c>
      <c r="AK45" s="32">
        <v>0</v>
      </c>
      <c r="AL45" s="192"/>
      <c r="AM45" s="81">
        <v>0</v>
      </c>
    </row>
    <row r="46" spans="1:39" ht="24" customHeight="1" thickBot="1">
      <c r="A46" s="471"/>
      <c r="B46" s="446" t="s">
        <v>56</v>
      </c>
      <c r="C46" s="442" t="s">
        <v>57</v>
      </c>
      <c r="D46" s="111" t="s">
        <v>0</v>
      </c>
      <c r="E46" s="68" t="s">
        <v>70</v>
      </c>
      <c r="F46" s="364">
        <v>50000</v>
      </c>
      <c r="G46" s="329">
        <v>536</v>
      </c>
      <c r="H46" s="365">
        <v>6</v>
      </c>
      <c r="I46" s="366">
        <v>0</v>
      </c>
      <c r="J46" s="322">
        <f>SUM(I46/H46)</f>
        <v>0</v>
      </c>
      <c r="K46" s="50">
        <v>0</v>
      </c>
      <c r="L46" s="66" t="s">
        <v>84</v>
      </c>
      <c r="M46" s="112">
        <v>0</v>
      </c>
      <c r="N46" s="113">
        <v>0</v>
      </c>
      <c r="O46" s="241">
        <v>0</v>
      </c>
      <c r="P46" s="111" t="s">
        <v>0</v>
      </c>
      <c r="Q46" s="73">
        <f>SUM(0)</f>
        <v>0</v>
      </c>
      <c r="R46" s="233"/>
      <c r="S46" s="124" t="s">
        <v>84</v>
      </c>
      <c r="T46" s="79">
        <v>0</v>
      </c>
      <c r="U46" s="114"/>
      <c r="V46" s="86">
        <v>0</v>
      </c>
      <c r="W46" s="50"/>
      <c r="X46" s="66"/>
      <c r="Y46" s="112"/>
      <c r="Z46" s="114"/>
      <c r="AA46" s="115"/>
      <c r="AB46" s="227"/>
      <c r="AC46" s="66"/>
      <c r="AD46" s="112"/>
      <c r="AE46" s="114"/>
      <c r="AF46" s="288"/>
      <c r="AG46" s="297" t="s">
        <v>0</v>
      </c>
      <c r="AH46" s="226">
        <f>SUM(0)</f>
        <v>0</v>
      </c>
      <c r="AI46" s="409"/>
      <c r="AJ46" s="124" t="s">
        <v>84</v>
      </c>
      <c r="AK46" s="32">
        <v>0</v>
      </c>
      <c r="AL46" s="49"/>
      <c r="AM46" s="86">
        <v>0</v>
      </c>
    </row>
    <row r="47" spans="1:39" s="10" customFormat="1" ht="30.75" customHeight="1" thickTop="1">
      <c r="A47" s="471"/>
      <c r="B47" s="446"/>
      <c r="C47" s="488"/>
      <c r="D47" s="450" t="s">
        <v>51</v>
      </c>
      <c r="E47" s="451"/>
      <c r="F47" s="341">
        <f>SUM(F43:F46)</f>
        <v>324000</v>
      </c>
      <c r="G47" s="342" t="s">
        <v>93</v>
      </c>
      <c r="H47" s="343">
        <f>SUM(H43:H46)</f>
        <v>9</v>
      </c>
      <c r="I47" s="344">
        <f>SUM(I43:I46)</f>
        <v>1</v>
      </c>
      <c r="J47" s="345">
        <f>SUM(I47/H47)</f>
        <v>0.1111111111111111</v>
      </c>
      <c r="K47" s="149">
        <f>SUM(K43:K46)</f>
        <v>452144</v>
      </c>
      <c r="L47" s="159" t="s">
        <v>96</v>
      </c>
      <c r="M47" s="116">
        <f>SUM(M43:M46)</f>
        <v>9</v>
      </c>
      <c r="N47" s="117">
        <f>SUM(N43:N46)</f>
        <v>0</v>
      </c>
      <c r="O47" s="250">
        <f>+N47/M47</f>
        <v>0</v>
      </c>
      <c r="P47" s="270"/>
      <c r="Q47" s="149">
        <f>SUM(Q43:Q46)</f>
        <v>0</v>
      </c>
      <c r="R47" s="189"/>
      <c r="S47" s="26" t="s">
        <v>91</v>
      </c>
      <c r="T47" s="116">
        <f>SUM(T43:T46)</f>
        <v>0</v>
      </c>
      <c r="U47" s="117">
        <f>SUM(U43:U46)</f>
        <v>0</v>
      </c>
      <c r="V47" s="130">
        <v>0</v>
      </c>
      <c r="W47" s="28">
        <f>SUM(W43:W46)</f>
        <v>0</v>
      </c>
      <c r="X47" s="72"/>
      <c r="Y47" s="116">
        <f>SUM(Y43:Y46)</f>
        <v>0</v>
      </c>
      <c r="Z47" s="117">
        <f>SUM(Z43:Z46)</f>
        <v>0</v>
      </c>
      <c r="AA47" s="130"/>
      <c r="AB47" s="129">
        <f>SUM(AB43:AB46)</f>
        <v>0</v>
      </c>
      <c r="AC47" s="72"/>
      <c r="AD47" s="116">
        <f>SUM(AD43:AD46)</f>
        <v>0</v>
      </c>
      <c r="AE47" s="117">
        <f>SUM(AE43:AE46)</f>
        <v>0</v>
      </c>
      <c r="AF47" s="250"/>
      <c r="AG47" s="266"/>
      <c r="AH47" s="189">
        <f>SUM(AH43:AH46)</f>
        <v>75000</v>
      </c>
      <c r="AI47" s="189"/>
      <c r="AJ47" s="26" t="s">
        <v>91</v>
      </c>
      <c r="AK47" s="116">
        <f>SUM(AK43:AK46)</f>
        <v>2</v>
      </c>
      <c r="AL47" s="117">
        <f>SUM(AL43:AL46)</f>
        <v>0</v>
      </c>
      <c r="AM47" s="130">
        <v>0</v>
      </c>
    </row>
    <row r="48" spans="1:39" s="10" customFormat="1" ht="7.5" customHeight="1">
      <c r="A48" s="140"/>
      <c r="B48" s="141"/>
      <c r="C48" s="142"/>
      <c r="D48" s="143"/>
      <c r="E48" s="156"/>
      <c r="F48" s="367"/>
      <c r="G48" s="368"/>
      <c r="H48" s="369"/>
      <c r="I48" s="369"/>
      <c r="J48" s="370"/>
      <c r="K48" s="144"/>
      <c r="L48" s="145"/>
      <c r="M48" s="146"/>
      <c r="N48" s="147"/>
      <c r="O48" s="239"/>
      <c r="P48" s="143"/>
      <c r="Q48" s="144"/>
      <c r="R48" s="155"/>
      <c r="S48" s="145"/>
      <c r="T48" s="146"/>
      <c r="U48" s="146"/>
      <c r="V48" s="148"/>
      <c r="W48" s="58"/>
      <c r="X48" s="55"/>
      <c r="Y48" s="11"/>
      <c r="Z48" s="11"/>
      <c r="AA48" s="12"/>
      <c r="AB48" s="256"/>
      <c r="AC48" s="55"/>
      <c r="AD48" s="11"/>
      <c r="AE48" s="11"/>
      <c r="AF48" s="275"/>
      <c r="AG48" s="296"/>
      <c r="AH48" s="263"/>
      <c r="AI48" s="155"/>
      <c r="AJ48" s="145"/>
      <c r="AK48" s="146"/>
      <c r="AL48" s="146"/>
      <c r="AM48" s="148"/>
    </row>
    <row r="49" spans="1:39" ht="15.75" customHeight="1">
      <c r="A49" s="9" t="s">
        <v>22</v>
      </c>
      <c r="B49" s="458" t="s">
        <v>23</v>
      </c>
      <c r="C49" s="468"/>
      <c r="D49" s="468"/>
      <c r="E49" s="468"/>
      <c r="F49" s="452" t="s">
        <v>23</v>
      </c>
      <c r="G49" s="453"/>
      <c r="H49" s="453"/>
      <c r="I49" s="453"/>
      <c r="J49" s="454"/>
      <c r="K49" s="463" t="s">
        <v>23</v>
      </c>
      <c r="L49" s="428"/>
      <c r="M49" s="428"/>
      <c r="N49" s="428"/>
      <c r="O49" s="428"/>
      <c r="P49" s="396"/>
      <c r="Q49" s="463" t="s">
        <v>23</v>
      </c>
      <c r="R49" s="427"/>
      <c r="S49" s="428"/>
      <c r="T49" s="428"/>
      <c r="U49" s="428"/>
      <c r="V49" s="420"/>
      <c r="W49" s="57"/>
      <c r="X49" s="40"/>
      <c r="Y49" s="460"/>
      <c r="Z49" s="460"/>
      <c r="AA49" s="461"/>
      <c r="AB49" s="261"/>
      <c r="AC49" s="40"/>
      <c r="AD49" s="460"/>
      <c r="AE49" s="460"/>
      <c r="AF49" s="460"/>
      <c r="AG49" s="397"/>
      <c r="AH49" s="427" t="s">
        <v>23</v>
      </c>
      <c r="AI49" s="428"/>
      <c r="AJ49" s="428"/>
      <c r="AK49" s="428"/>
      <c r="AL49" s="428"/>
      <c r="AM49" s="420"/>
    </row>
    <row r="50" spans="1:39" ht="16.5" customHeight="1" thickBot="1">
      <c r="A50" s="434" t="s">
        <v>103</v>
      </c>
      <c r="B50" s="436" t="s">
        <v>50</v>
      </c>
      <c r="C50" s="437"/>
      <c r="D50" s="134" t="s">
        <v>84</v>
      </c>
      <c r="E50" s="158" t="s">
        <v>84</v>
      </c>
      <c r="F50" s="364">
        <v>0</v>
      </c>
      <c r="G50" s="319" t="s">
        <v>84</v>
      </c>
      <c r="H50" s="371">
        <v>0</v>
      </c>
      <c r="I50" s="372">
        <v>0</v>
      </c>
      <c r="J50" s="356">
        <v>0</v>
      </c>
      <c r="K50" s="50">
        <v>0</v>
      </c>
      <c r="L50" s="66" t="s">
        <v>84</v>
      </c>
      <c r="M50" s="112">
        <v>0</v>
      </c>
      <c r="N50" s="113">
        <v>0</v>
      </c>
      <c r="O50" s="241">
        <v>0</v>
      </c>
      <c r="P50" s="134" t="s">
        <v>84</v>
      </c>
      <c r="Q50" s="50">
        <v>0</v>
      </c>
      <c r="R50" s="158" t="s">
        <v>84</v>
      </c>
      <c r="S50" s="66" t="s">
        <v>84</v>
      </c>
      <c r="T50" s="112">
        <v>0</v>
      </c>
      <c r="U50" s="113">
        <v>0</v>
      </c>
      <c r="V50" s="86">
        <v>0</v>
      </c>
      <c r="W50" s="47"/>
      <c r="X50" s="61"/>
      <c r="Y50" s="84"/>
      <c r="Z50" s="87"/>
      <c r="AA50" s="88"/>
      <c r="AB50" s="61"/>
      <c r="AC50" s="61"/>
      <c r="AD50" s="84"/>
      <c r="AE50" s="87"/>
      <c r="AF50" s="278"/>
      <c r="AG50" s="299" t="s">
        <v>84</v>
      </c>
      <c r="AH50" s="227">
        <v>0</v>
      </c>
      <c r="AI50" s="158" t="s">
        <v>84</v>
      </c>
      <c r="AJ50" s="66" t="s">
        <v>84</v>
      </c>
      <c r="AK50" s="112">
        <v>0</v>
      </c>
      <c r="AL50" s="113">
        <v>0</v>
      </c>
      <c r="AM50" s="86">
        <v>0</v>
      </c>
    </row>
    <row r="51" spans="1:39" s="10" customFormat="1" ht="16.5" customHeight="1" thickTop="1">
      <c r="A51" s="471"/>
      <c r="B51" s="469"/>
      <c r="C51" s="470"/>
      <c r="D51" s="450" t="s">
        <v>51</v>
      </c>
      <c r="E51" s="451"/>
      <c r="F51" s="341">
        <v>0</v>
      </c>
      <c r="G51" s="342" t="s">
        <v>91</v>
      </c>
      <c r="H51" s="343">
        <f>SUM(H50)</f>
        <v>0</v>
      </c>
      <c r="I51" s="344">
        <f>SUM(I50)</f>
        <v>0</v>
      </c>
      <c r="J51" s="345">
        <v>0</v>
      </c>
      <c r="K51" s="149">
        <v>0</v>
      </c>
      <c r="L51" s="159" t="s">
        <v>91</v>
      </c>
      <c r="M51" s="51">
        <f>SUM(M50)</f>
        <v>0</v>
      </c>
      <c r="N51" s="52">
        <f>SUM(N50)</f>
        <v>0</v>
      </c>
      <c r="O51" s="251">
        <v>0</v>
      </c>
      <c r="P51" s="271"/>
      <c r="Q51" s="149">
        <v>0</v>
      </c>
      <c r="R51" s="189"/>
      <c r="S51" s="159" t="s">
        <v>91</v>
      </c>
      <c r="T51" s="118">
        <f>SUM(T50)</f>
        <v>0</v>
      </c>
      <c r="U51" s="118">
        <f>SUM(U50)</f>
        <v>0</v>
      </c>
      <c r="V51" s="53">
        <v>0</v>
      </c>
      <c r="W51" s="28">
        <v>0</v>
      </c>
      <c r="X51" s="72"/>
      <c r="Y51" s="118">
        <f>SUM(Y50)</f>
        <v>0</v>
      </c>
      <c r="Z51" s="118">
        <f>SUM(Z50)</f>
        <v>0</v>
      </c>
      <c r="AA51" s="131"/>
      <c r="AB51" s="129">
        <v>0</v>
      </c>
      <c r="AC51" s="72"/>
      <c r="AD51" s="118">
        <f>SUM(AD50)</f>
        <v>0</v>
      </c>
      <c r="AE51" s="118">
        <f>SUM(AE50)</f>
        <v>0</v>
      </c>
      <c r="AF51" s="289"/>
      <c r="AG51" s="268"/>
      <c r="AH51" s="189">
        <v>0</v>
      </c>
      <c r="AI51" s="189"/>
      <c r="AJ51" s="159" t="s">
        <v>91</v>
      </c>
      <c r="AK51" s="118">
        <f>SUM(AK50)</f>
        <v>0</v>
      </c>
      <c r="AL51" s="118">
        <f>SUM(AL50)</f>
        <v>0</v>
      </c>
      <c r="AM51" s="53">
        <v>0</v>
      </c>
    </row>
    <row r="52" spans="1:39" s="10" customFormat="1" ht="4.5" customHeight="1">
      <c r="A52" s="140"/>
      <c r="B52" s="141"/>
      <c r="C52" s="151"/>
      <c r="D52" s="143"/>
      <c r="E52" s="156"/>
      <c r="F52" s="367"/>
      <c r="G52" s="368"/>
      <c r="H52" s="369"/>
      <c r="I52" s="369"/>
      <c r="J52" s="370"/>
      <c r="K52" s="144"/>
      <c r="L52" s="145"/>
      <c r="M52" s="146"/>
      <c r="N52" s="147"/>
      <c r="O52" s="239"/>
      <c r="P52" s="143"/>
      <c r="Q52" s="144"/>
      <c r="R52" s="155"/>
      <c r="S52" s="145"/>
      <c r="T52" s="146"/>
      <c r="U52" s="146"/>
      <c r="V52" s="148"/>
      <c r="W52" s="58"/>
      <c r="X52" s="55"/>
      <c r="Y52" s="11"/>
      <c r="Z52" s="11"/>
      <c r="AA52" s="12"/>
      <c r="AB52" s="256"/>
      <c r="AC52" s="55"/>
      <c r="AD52" s="11"/>
      <c r="AE52" s="11"/>
      <c r="AF52" s="275"/>
      <c r="AG52" s="296"/>
      <c r="AH52" s="263"/>
      <c r="AI52" s="155"/>
      <c r="AJ52" s="145"/>
      <c r="AK52" s="146"/>
      <c r="AL52" s="146"/>
      <c r="AM52" s="148"/>
    </row>
    <row r="53" spans="1:39" ht="15.75">
      <c r="A53" s="9" t="s">
        <v>24</v>
      </c>
      <c r="B53" s="458" t="s">
        <v>1</v>
      </c>
      <c r="C53" s="459"/>
      <c r="D53" s="188"/>
      <c r="E53" s="188"/>
      <c r="F53" s="464" t="s">
        <v>1</v>
      </c>
      <c r="G53" s="465"/>
      <c r="H53" s="465"/>
      <c r="I53" s="465"/>
      <c r="J53" s="466"/>
      <c r="K53" s="467" t="s">
        <v>1</v>
      </c>
      <c r="L53" s="429"/>
      <c r="M53" s="429"/>
      <c r="N53" s="429"/>
      <c r="O53" s="429"/>
      <c r="P53" s="188"/>
      <c r="Q53" s="467" t="s">
        <v>1</v>
      </c>
      <c r="R53" s="418"/>
      <c r="S53" s="429"/>
      <c r="T53" s="429"/>
      <c r="U53" s="429"/>
      <c r="V53" s="430"/>
      <c r="W53" s="59"/>
      <c r="X53" s="56"/>
      <c r="Y53" s="421"/>
      <c r="Z53" s="421"/>
      <c r="AA53" s="462"/>
      <c r="AB53" s="262"/>
      <c r="AC53" s="56"/>
      <c r="AD53" s="421"/>
      <c r="AE53" s="421"/>
      <c r="AF53" s="421"/>
      <c r="AG53" s="300"/>
      <c r="AH53" s="418" t="s">
        <v>1</v>
      </c>
      <c r="AI53" s="429"/>
      <c r="AJ53" s="429"/>
      <c r="AK53" s="429"/>
      <c r="AL53" s="429"/>
      <c r="AM53" s="430"/>
    </row>
    <row r="54" spans="1:39" ht="25.5" customHeight="1" thickBot="1">
      <c r="A54" s="499" t="s">
        <v>25</v>
      </c>
      <c r="B54" s="440" t="s">
        <v>54</v>
      </c>
      <c r="C54" s="442" t="s">
        <v>55</v>
      </c>
      <c r="D54" s="110" t="s">
        <v>0</v>
      </c>
      <c r="E54" s="19" t="s">
        <v>40</v>
      </c>
      <c r="F54" s="340">
        <f>SUM(164436+5000+75000+5000)</f>
        <v>249436</v>
      </c>
      <c r="G54" s="329" t="s">
        <v>82</v>
      </c>
      <c r="H54" s="315">
        <f>SUM(3+1)</f>
        <v>4</v>
      </c>
      <c r="I54" s="316">
        <v>0</v>
      </c>
      <c r="J54" s="317">
        <f>SUM(I54/H54)</f>
        <v>0</v>
      </c>
      <c r="K54" s="45">
        <f>SUM(206896+29203.5+29203.5)</f>
        <v>265303</v>
      </c>
      <c r="L54" s="82" t="s">
        <v>110</v>
      </c>
      <c r="M54" s="79">
        <v>3</v>
      </c>
      <c r="N54" s="192">
        <v>3</v>
      </c>
      <c r="O54" s="240">
        <f>+N54/M54</f>
        <v>1</v>
      </c>
      <c r="P54" s="110" t="s">
        <v>0</v>
      </c>
      <c r="Q54" s="67">
        <f>SUM(255352+5000+5000)</f>
        <v>265352</v>
      </c>
      <c r="R54" s="230" t="s">
        <v>40</v>
      </c>
      <c r="S54" s="82" t="s">
        <v>111</v>
      </c>
      <c r="T54" s="79">
        <v>3</v>
      </c>
      <c r="U54" s="33"/>
      <c r="V54" s="81">
        <v>0</v>
      </c>
      <c r="W54" s="30"/>
      <c r="X54" s="97"/>
      <c r="Y54" s="84"/>
      <c r="Z54" s="87"/>
      <c r="AA54" s="88"/>
      <c r="AB54" s="223"/>
      <c r="AC54" s="97"/>
      <c r="AD54" s="84"/>
      <c r="AE54" s="87"/>
      <c r="AF54" s="278"/>
      <c r="AG54" s="297" t="s">
        <v>0</v>
      </c>
      <c r="AH54" s="225">
        <v>219482</v>
      </c>
      <c r="AI54" s="230" t="s">
        <v>40</v>
      </c>
      <c r="AJ54" s="33" t="s">
        <v>131</v>
      </c>
      <c r="AK54" s="32">
        <v>2</v>
      </c>
      <c r="AL54" s="33"/>
      <c r="AM54" s="81">
        <v>0</v>
      </c>
    </row>
    <row r="55" spans="1:39" ht="15.75" customHeight="1" thickBot="1" thickTop="1">
      <c r="A55" s="500"/>
      <c r="B55" s="446"/>
      <c r="C55" s="488"/>
      <c r="D55" s="106" t="s">
        <v>74</v>
      </c>
      <c r="E55" s="186" t="s">
        <v>40</v>
      </c>
      <c r="F55" s="336">
        <v>70925</v>
      </c>
      <c r="G55" s="337">
        <v>501</v>
      </c>
      <c r="H55" s="320">
        <v>1</v>
      </c>
      <c r="I55" s="320">
        <v>0</v>
      </c>
      <c r="J55" s="322">
        <f>SUM(H418)</f>
        <v>0</v>
      </c>
      <c r="K55" s="30">
        <v>67123</v>
      </c>
      <c r="L55" s="87">
        <v>601</v>
      </c>
      <c r="M55" s="84">
        <v>1</v>
      </c>
      <c r="N55" s="193">
        <v>1</v>
      </c>
      <c r="O55" s="240">
        <f>+N55/M55</f>
        <v>1</v>
      </c>
      <c r="P55" s="106" t="s">
        <v>74</v>
      </c>
      <c r="Q55" s="73">
        <v>66806</v>
      </c>
      <c r="R55" s="232" t="s">
        <v>40</v>
      </c>
      <c r="S55" s="87">
        <v>701</v>
      </c>
      <c r="T55" s="84">
        <v>1</v>
      </c>
      <c r="U55" s="36">
        <v>1</v>
      </c>
      <c r="V55" s="86">
        <f>+U55/T55</f>
        <v>1</v>
      </c>
      <c r="W55" s="48"/>
      <c r="X55" s="182"/>
      <c r="Y55" s="181"/>
      <c r="Z55" s="180"/>
      <c r="AA55" s="183"/>
      <c r="AB55" s="260"/>
      <c r="AC55" s="182"/>
      <c r="AD55" s="181"/>
      <c r="AE55" s="180"/>
      <c r="AF55" s="290"/>
      <c r="AG55" s="297" t="s">
        <v>74</v>
      </c>
      <c r="AH55" s="226" t="s">
        <v>123</v>
      </c>
      <c r="AI55" s="232" t="s">
        <v>40</v>
      </c>
      <c r="AJ55" s="87">
        <v>1</v>
      </c>
      <c r="AK55" s="84">
        <v>1</v>
      </c>
      <c r="AL55" s="87"/>
      <c r="AM55" s="86">
        <v>0</v>
      </c>
    </row>
    <row r="56" spans="1:39" s="10" customFormat="1" ht="16.5" customHeight="1" thickTop="1">
      <c r="A56" s="500"/>
      <c r="B56" s="441"/>
      <c r="C56" s="488"/>
      <c r="D56" s="497" t="s">
        <v>51</v>
      </c>
      <c r="E56" s="498"/>
      <c r="F56" s="373">
        <f>SUM(F54:F55)</f>
        <v>320361</v>
      </c>
      <c r="G56" s="374" t="s">
        <v>102</v>
      </c>
      <c r="H56" s="343">
        <f>SUM(H54:H55)</f>
        <v>5</v>
      </c>
      <c r="I56" s="344">
        <f>SUM(I54)</f>
        <v>0</v>
      </c>
      <c r="J56" s="345">
        <f>SUM(I56/H56)</f>
        <v>0</v>
      </c>
      <c r="K56" s="184">
        <f>SUM(K54:K55)</f>
        <v>332426</v>
      </c>
      <c r="L56" s="185" t="s">
        <v>93</v>
      </c>
      <c r="M56" s="118">
        <f>SUM(M54:M55)</f>
        <v>4</v>
      </c>
      <c r="N56" s="118">
        <f>SUM(N54:N55)</f>
        <v>4</v>
      </c>
      <c r="O56" s="251">
        <f>SUM(N56/M56)</f>
        <v>1</v>
      </c>
      <c r="P56" s="271"/>
      <c r="Q56" s="184">
        <f>SUM(Q54)</f>
        <v>265352</v>
      </c>
      <c r="R56" s="190"/>
      <c r="S56" s="185" t="s">
        <v>93</v>
      </c>
      <c r="T56" s="118">
        <f>SUM(T54:T55)</f>
        <v>4</v>
      </c>
      <c r="U56" s="118">
        <f>SUM(U54:U55)</f>
        <v>1</v>
      </c>
      <c r="V56" s="251">
        <f>SUM(U56/T56)</f>
        <v>0.25</v>
      </c>
      <c r="W56" s="149">
        <f>SUM(W54)</f>
        <v>0</v>
      </c>
      <c r="X56" s="139"/>
      <c r="Y56" s="118">
        <f>SUM(Y54)</f>
        <v>0</v>
      </c>
      <c r="Z56" s="119">
        <f>SUM(Z54)</f>
        <v>0</v>
      </c>
      <c r="AA56" s="131"/>
      <c r="AB56" s="189">
        <f>SUM(AB54)</f>
        <v>0</v>
      </c>
      <c r="AC56" s="139"/>
      <c r="AD56" s="118">
        <f>SUM(AD54)</f>
        <v>0</v>
      </c>
      <c r="AE56" s="119">
        <f>SUM(AE54)</f>
        <v>0</v>
      </c>
      <c r="AF56" s="289"/>
      <c r="AG56" s="268"/>
      <c r="AH56" s="190">
        <f>SUM(AH54)</f>
        <v>219482</v>
      </c>
      <c r="AI56" s="190"/>
      <c r="AJ56" s="118">
        <f>SUM(AJ54:AJ55)</f>
        <v>1</v>
      </c>
      <c r="AK56" s="118">
        <f>SUM(AK54:AK55)</f>
        <v>3</v>
      </c>
      <c r="AL56" s="118">
        <f>SUM(AL54:AL55)</f>
        <v>0</v>
      </c>
      <c r="AM56" s="251">
        <f>SUM(AL56/AK56)</f>
        <v>0</v>
      </c>
    </row>
    <row r="57" spans="1:39" s="171" customFormat="1" ht="4.5" customHeight="1">
      <c r="A57" s="140"/>
      <c r="B57" s="172"/>
      <c r="C57" s="151"/>
      <c r="D57" s="143"/>
      <c r="E57" s="156"/>
      <c r="F57" s="367"/>
      <c r="G57" s="368"/>
      <c r="H57" s="369"/>
      <c r="I57" s="369"/>
      <c r="J57" s="370"/>
      <c r="K57" s="144"/>
      <c r="L57" s="145"/>
      <c r="M57" s="146"/>
      <c r="N57" s="147"/>
      <c r="O57" s="239"/>
      <c r="P57" s="143"/>
      <c r="Q57" s="144"/>
      <c r="R57" s="155"/>
      <c r="S57" s="145"/>
      <c r="T57" s="146"/>
      <c r="U57" s="146"/>
      <c r="V57" s="148"/>
      <c r="W57" s="144"/>
      <c r="X57" s="145"/>
      <c r="Y57" s="146"/>
      <c r="Z57" s="146"/>
      <c r="AA57" s="148"/>
      <c r="AB57" s="263"/>
      <c r="AC57" s="145"/>
      <c r="AD57" s="146"/>
      <c r="AE57" s="146"/>
      <c r="AF57" s="276"/>
      <c r="AG57" s="296"/>
      <c r="AH57" s="263"/>
      <c r="AI57" s="155"/>
      <c r="AJ57" s="145"/>
      <c r="AK57" s="146"/>
      <c r="AL57" s="146"/>
      <c r="AM57" s="148"/>
    </row>
    <row r="58" spans="1:39" ht="24.75" customHeight="1" thickBot="1">
      <c r="A58" s="494" t="s">
        <v>51</v>
      </c>
      <c r="B58" s="495"/>
      <c r="C58" s="495"/>
      <c r="D58" s="495"/>
      <c r="E58" s="496"/>
      <c r="F58" s="375">
        <f>SUM(F8+F15+F18+F24+F28+F34+F38+F41+F47+F56)</f>
        <v>2421266</v>
      </c>
      <c r="G58" s="376" t="s">
        <v>112</v>
      </c>
      <c r="H58" s="377">
        <f>SUM(H8+H15+H18+H24+H28+H34+H38+H41+H47+H51+H56)</f>
        <v>4992</v>
      </c>
      <c r="I58" s="378">
        <f>SUM(I8+I15+I18+I24+I28+I34+I38+I41+I47+I51+I56)</f>
        <v>5238</v>
      </c>
      <c r="J58" s="379">
        <f>SUM(I58/H58)</f>
        <v>1.0492788461538463</v>
      </c>
      <c r="K58" s="164">
        <f>SUM(K8+K15+K18+K24+K28+K34+K38+K41+K47+K56)</f>
        <v>2318577</v>
      </c>
      <c r="L58" s="163" t="s">
        <v>107</v>
      </c>
      <c r="M58" s="165">
        <f>SUM(M8+M15+M18+M24+M28+M34+M38+M41+M47+M51+M56)</f>
        <v>6011</v>
      </c>
      <c r="N58" s="166">
        <f>SUM(N8+N15+N18+N24+N28+N34+N38+N41+N47+N51+N56)</f>
        <v>381</v>
      </c>
      <c r="O58" s="252">
        <f>SUM(N58/M58)</f>
        <v>0.06338379637331559</v>
      </c>
      <c r="P58" s="272"/>
      <c r="Q58" s="164">
        <f>SUM(Q8+Q15+Q18+Q24+Q28+Q34+Q38+Q41+Q47+Q56)</f>
        <v>1941053</v>
      </c>
      <c r="R58" s="170"/>
      <c r="S58" s="163" t="s">
        <v>106</v>
      </c>
      <c r="T58" s="165">
        <f>SUM(T8+T15+T18+T24+T28+T34+T38+T41+T47+T51+T56)</f>
        <v>6245</v>
      </c>
      <c r="U58" s="168">
        <f>SUM(U8+U15+U18+U24+U28+U34+U38+U41+U47+U51+U56)</f>
        <v>207</v>
      </c>
      <c r="V58" s="252">
        <f>SUM(U58/T58)</f>
        <v>0.033146517213771015</v>
      </c>
      <c r="W58" s="164">
        <f>SUM(W8+W15+W18+W24+W28+W34+W38+W41+W47+W56)</f>
        <v>0</v>
      </c>
      <c r="X58" s="170"/>
      <c r="Y58" s="165">
        <f>SUM(Y8+Y15+Y18+Y24+Y28+Y34+Y38+Y41+Y47+Y51+Y56)</f>
        <v>0</v>
      </c>
      <c r="Z58" s="168">
        <f>SUM(Z8+Z15+Z18+Z24+Z28+Z34+Z38+Z41+Z47+Z51+Z56)</f>
        <v>0</v>
      </c>
      <c r="AA58" s="169"/>
      <c r="AB58" s="170">
        <f>SUM(AB8+AB15+AB18+AB24+AB28+AB34+AB38+AB41+AB47+AB56)</f>
        <v>0</v>
      </c>
      <c r="AC58" s="170"/>
      <c r="AD58" s="165">
        <f>SUM(AD8+AD15+AD18+AD24+AD28+AD34+AD38+AD41+AD47+AD51+AD56)</f>
        <v>0</v>
      </c>
      <c r="AE58" s="168">
        <f>SUM(AE8+AE15+AE18+AE24+AE28+AE34+AE38+AE41+AE47+AE51+AE56)</f>
        <v>0</v>
      </c>
      <c r="AF58" s="291"/>
      <c r="AG58" s="301"/>
      <c r="AH58" s="170">
        <f>SUM(AH8+AH15+AH18+AH24+AH28+AH34+AH38+AH41+AH47+AH56)</f>
        <v>1281567</v>
      </c>
      <c r="AI58" s="170"/>
      <c r="AJ58" s="163" t="s">
        <v>106</v>
      </c>
      <c r="AK58" s="165">
        <f>SUM(AK8+AK15+AK18+AK24+AK28+AK34+AK38+AK41+AK47+AK51+AK56)</f>
        <v>20486</v>
      </c>
      <c r="AL58" s="168">
        <f>SUM(AL8+AL15+AL18+AL24+AL28+AL34+AL38+AL41+AL47+AL51+AL56)</f>
        <v>0</v>
      </c>
      <c r="AM58" s="167">
        <v>0</v>
      </c>
    </row>
    <row r="59" ht="25.5" customHeight="1">
      <c r="A59" s="1" t="s">
        <v>126</v>
      </c>
    </row>
  </sheetData>
  <mergeCells count="135">
    <mergeCell ref="AK1:AM1"/>
    <mergeCell ref="Q9:V9"/>
    <mergeCell ref="AH9:AM9"/>
    <mergeCell ref="B5:E5"/>
    <mergeCell ref="F5:J5"/>
    <mergeCell ref="K5:O5"/>
    <mergeCell ref="Q5:V5"/>
    <mergeCell ref="AH5:AM5"/>
    <mergeCell ref="D8:E8"/>
    <mergeCell ref="K9:O9"/>
    <mergeCell ref="Y9:AA9"/>
    <mergeCell ref="Y16:AA16"/>
    <mergeCell ref="AD9:AF9"/>
    <mergeCell ref="AD16:AF16"/>
    <mergeCell ref="AD42:AF42"/>
    <mergeCell ref="AD49:AF49"/>
    <mergeCell ref="K16:O16"/>
    <mergeCell ref="K20:O20"/>
    <mergeCell ref="Q16:V16"/>
    <mergeCell ref="K49:O49"/>
    <mergeCell ref="K36:O36"/>
    <mergeCell ref="Q36:V36"/>
    <mergeCell ref="Q39:V39"/>
    <mergeCell ref="Q42:V42"/>
    <mergeCell ref="F29:I29"/>
    <mergeCell ref="K29:O29"/>
    <mergeCell ref="Q29:V29"/>
    <mergeCell ref="AH16:AM16"/>
    <mergeCell ref="AH20:AM20"/>
    <mergeCell ref="Q20:W20"/>
    <mergeCell ref="Y20:AA20"/>
    <mergeCell ref="AD20:AF20"/>
    <mergeCell ref="Q25:V25"/>
    <mergeCell ref="F20:J20"/>
    <mergeCell ref="A58:E58"/>
    <mergeCell ref="D56:E56"/>
    <mergeCell ref="D51:E51"/>
    <mergeCell ref="D47:E47"/>
    <mergeCell ref="A54:A56"/>
    <mergeCell ref="C46:C47"/>
    <mergeCell ref="A50:A51"/>
    <mergeCell ref="A43:A47"/>
    <mergeCell ref="C54:C56"/>
    <mergeCell ref="B54:B56"/>
    <mergeCell ref="A17:A18"/>
    <mergeCell ref="C17:C18"/>
    <mergeCell ref="D41:E41"/>
    <mergeCell ref="D38:E38"/>
    <mergeCell ref="D34:E34"/>
    <mergeCell ref="D28:E28"/>
    <mergeCell ref="C26:C28"/>
    <mergeCell ref="B20:E20"/>
    <mergeCell ref="C21:C22"/>
    <mergeCell ref="B21:B22"/>
    <mergeCell ref="A6:A8"/>
    <mergeCell ref="A10:A15"/>
    <mergeCell ref="C6:C8"/>
    <mergeCell ref="B10:B12"/>
    <mergeCell ref="C10:C12"/>
    <mergeCell ref="B13:B15"/>
    <mergeCell ref="C13:C15"/>
    <mergeCell ref="B6:B8"/>
    <mergeCell ref="B9:E9"/>
    <mergeCell ref="D15:E15"/>
    <mergeCell ref="W5:AA5"/>
    <mergeCell ref="W2:AA2"/>
    <mergeCell ref="B2:E2"/>
    <mergeCell ref="AB2:AF2"/>
    <mergeCell ref="Q2:V2"/>
    <mergeCell ref="F2:J2"/>
    <mergeCell ref="K2:O2"/>
    <mergeCell ref="B3:C3"/>
    <mergeCell ref="AB5:AF5"/>
    <mergeCell ref="A26:A28"/>
    <mergeCell ref="A30:A34"/>
    <mergeCell ref="B23:B24"/>
    <mergeCell ref="B32:B34"/>
    <mergeCell ref="A21:A24"/>
    <mergeCell ref="B26:B28"/>
    <mergeCell ref="B29:E29"/>
    <mergeCell ref="C43:C44"/>
    <mergeCell ref="B49:E49"/>
    <mergeCell ref="B50:C51"/>
    <mergeCell ref="B43:B44"/>
    <mergeCell ref="B46:B47"/>
    <mergeCell ref="B53:C53"/>
    <mergeCell ref="Y39:AA39"/>
    <mergeCell ref="Y42:AA42"/>
    <mergeCell ref="Y49:AA49"/>
    <mergeCell ref="Y53:AA53"/>
    <mergeCell ref="Q49:V49"/>
    <mergeCell ref="F53:J53"/>
    <mergeCell ref="K53:O53"/>
    <mergeCell ref="Q53:V53"/>
    <mergeCell ref="K42:O42"/>
    <mergeCell ref="F49:J49"/>
    <mergeCell ref="C32:C34"/>
    <mergeCell ref="D24:E24"/>
    <mergeCell ref="F39:J39"/>
    <mergeCell ref="B42:E42"/>
    <mergeCell ref="F42:J42"/>
    <mergeCell ref="B25:E25"/>
    <mergeCell ref="F25:I25"/>
    <mergeCell ref="B36:E36"/>
    <mergeCell ref="F36:J36"/>
    <mergeCell ref="B17:B18"/>
    <mergeCell ref="C23:C24"/>
    <mergeCell ref="B16:E16"/>
    <mergeCell ref="F9:J9"/>
    <mergeCell ref="D18:E18"/>
    <mergeCell ref="F16:J16"/>
    <mergeCell ref="A40:A41"/>
    <mergeCell ref="A37:A38"/>
    <mergeCell ref="B40:C41"/>
    <mergeCell ref="B37:B38"/>
    <mergeCell ref="C37:C38"/>
    <mergeCell ref="B39:E39"/>
    <mergeCell ref="K25:O25"/>
    <mergeCell ref="AD29:AF29"/>
    <mergeCell ref="AD36:AF36"/>
    <mergeCell ref="AD39:AF39"/>
    <mergeCell ref="Y25:AA25"/>
    <mergeCell ref="Y29:AA29"/>
    <mergeCell ref="Y36:AA36"/>
    <mergeCell ref="K39:O39"/>
    <mergeCell ref="AD53:AF53"/>
    <mergeCell ref="AH2:AM2"/>
    <mergeCell ref="AH36:AM36"/>
    <mergeCell ref="AH29:AM29"/>
    <mergeCell ref="AH25:AM25"/>
    <mergeCell ref="AH49:AM49"/>
    <mergeCell ref="AH39:AM39"/>
    <mergeCell ref="AD25:AF25"/>
    <mergeCell ref="AH53:AM53"/>
    <mergeCell ref="AH42:AM42"/>
  </mergeCells>
  <printOptions horizontalCentered="1"/>
  <pageMargins left="0.25" right="0.25" top="0.71" bottom="0.25" header="0" footer="0.25"/>
  <pageSetup horizontalDpi="600" verticalDpi="600" orientation="landscape" paperSize="5" scale="70" r:id="rId1"/>
  <rowBreaks count="1" manualBreakCount="1">
    <brk id="34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Swanson</dc:creator>
  <cp:keywords/>
  <dc:description/>
  <cp:lastModifiedBy>h09881</cp:lastModifiedBy>
  <cp:lastPrinted>2008-06-13T15:44:35Z</cp:lastPrinted>
  <dcterms:created xsi:type="dcterms:W3CDTF">2001-12-18T14:53:43Z</dcterms:created>
  <dcterms:modified xsi:type="dcterms:W3CDTF">2008-06-13T15:53:15Z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862796071</vt:i4>
  </property>
  <property fmtid="{D5CDD505-2E9C-101B-9397-08002B2CF9AE}" pid="4" name="_NewReviewCyc">
    <vt:lpwstr/>
  </property>
  <property fmtid="{D5CDD505-2E9C-101B-9397-08002B2CF9AE}" pid="5" name="_EmailSubje">
    <vt:lpwstr>UPDATE: Consolidated Plan Performance Reporting Webpage  </vt:lpwstr>
  </property>
  <property fmtid="{D5CDD505-2E9C-101B-9397-08002B2CF9AE}" pid="6" name="_AuthorEma">
    <vt:lpwstr>Salvatore.Sclafani@hud.gov</vt:lpwstr>
  </property>
  <property fmtid="{D5CDD505-2E9C-101B-9397-08002B2CF9AE}" pid="7" name="_AuthorEmailDisplayNa">
    <vt:lpwstr>Sclafani, Salvatore</vt:lpwstr>
  </property>
</Properties>
</file>