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9320" windowHeight="14880" activeTab="0"/>
  </bookViews>
  <sheets>
    <sheet name="venting calculations" sheetId="1" r:id="rId1"/>
    <sheet name="L` table" sheetId="2" r:id="rId2"/>
    <sheet name="L' chart" sheetId="3" r:id="rId3"/>
  </sheets>
  <definedNames/>
  <calcPr fullCalcOnLoad="1"/>
</workbook>
</file>

<file path=xl/sharedStrings.xml><?xml version="1.0" encoding="utf-8"?>
<sst xmlns="http://schemas.openxmlformats.org/spreadsheetml/2006/main" count="228" uniqueCount="167">
  <si>
    <t>Straight runs total length</t>
  </si>
  <si>
    <t xml:space="preserve">The last elbow is actually in the 6-inch PVC, which does total about 96 inches long.  </t>
  </si>
  <si>
    <t xml:space="preserve">Notes (Tom P.) </t>
  </si>
  <si>
    <t xml:space="preserve">3-inch piping above burst disk looks like 14 inches long total.  </t>
  </si>
  <si>
    <t>Final calculated P at discharge (bar)</t>
  </si>
  <si>
    <t>Tx</t>
  </si>
  <si>
    <t>vx</t>
  </si>
  <si>
    <t>hx</t>
  </si>
  <si>
    <t>mx</t>
  </si>
  <si>
    <t>0.5*(m1+mx)</t>
  </si>
  <si>
    <t>(m1-mx)</t>
  </si>
  <si>
    <t>(hx-h1)</t>
  </si>
  <si>
    <t>L`</t>
  </si>
  <si>
    <t>3.9-GHz helium vessel surface area</t>
  </si>
  <si>
    <t>cm^2</t>
  </si>
  <si>
    <t>L'</t>
  </si>
  <si>
    <t>[J/g]</t>
  </si>
  <si>
    <t>Heat flux for loss of insul vacuum</t>
  </si>
  <si>
    <t>W/cm^2</t>
  </si>
  <si>
    <t>Mass flow rate</t>
  </si>
  <si>
    <t>[g/sec]</t>
  </si>
  <si>
    <t>SR 90 deg pipe bend</t>
  </si>
  <si>
    <t>d_1-684</t>
  </si>
  <si>
    <t>(for 1.684-inch diameter pipe)</t>
  </si>
  <si>
    <t>Re_1-684</t>
  </si>
  <si>
    <t>f_1-684</t>
  </si>
  <si>
    <t>LR 90 deg bend</t>
  </si>
  <si>
    <t>Vent line on vessel - elbows, run &amp; contract</t>
  </si>
  <si>
    <t>Vent line on vessel - run to dewar</t>
  </si>
  <si>
    <t>in^2</t>
  </si>
  <si>
    <t>for helium vessel</t>
  </si>
  <si>
    <t>for RF cavity</t>
  </si>
  <si>
    <t>Vessel supply pipe</t>
  </si>
  <si>
    <t>d_1-76</t>
  </si>
  <si>
    <t>Re_1-76</t>
  </si>
  <si>
    <t>f_1-76</t>
  </si>
  <si>
    <t>(for 1.76-inch diameter pipe)</t>
  </si>
  <si>
    <t>Helium pressure in 2.16-inch pipe</t>
  </si>
  <si>
    <t>Helium pressure in 1.7-inch pipe</t>
  </si>
  <si>
    <t>(inch)</t>
  </si>
  <si>
    <t>L</t>
  </si>
  <si>
    <t>d</t>
  </si>
  <si>
    <t>(kg/m^3)</t>
  </si>
  <si>
    <t>(ft^3/lbm)</t>
  </si>
  <si>
    <t>(psi)</t>
  </si>
  <si>
    <t>latent heat</t>
  </si>
  <si>
    <t>(J/g)</t>
  </si>
  <si>
    <t>Mass flow</t>
  </si>
  <si>
    <t>(g/sec)</t>
  </si>
  <si>
    <t>Heat input</t>
  </si>
  <si>
    <t>(W)</t>
  </si>
  <si>
    <t>Assume T=8K at each section</t>
  </si>
  <si>
    <t>Effective</t>
  </si>
  <si>
    <t>kg/sec</t>
  </si>
  <si>
    <t>lbm/hr</t>
  </si>
  <si>
    <t>bar</t>
  </si>
  <si>
    <t>Helium temperature</t>
  </si>
  <si>
    <t>K</t>
  </si>
  <si>
    <t>absolute viscosity</t>
  </si>
  <si>
    <t>cP</t>
  </si>
  <si>
    <t>d_2-16</t>
  </si>
  <si>
    <t>inch</t>
  </si>
  <si>
    <t>Re_2-16</t>
  </si>
  <si>
    <t>(for 2.16-inch diameter pipe)</t>
  </si>
  <si>
    <t>f_2-16</t>
  </si>
  <si>
    <t>d_2</t>
  </si>
  <si>
    <t>Re_2</t>
  </si>
  <si>
    <t>(for 2-inch diameter pipe)</t>
  </si>
  <si>
    <t>f_2</t>
  </si>
  <si>
    <t>d_3-26</t>
  </si>
  <si>
    <t>Re_3-26</t>
  </si>
  <si>
    <t>(for 3-inch diameter pipe)</t>
  </si>
  <si>
    <t>f_3-26</t>
  </si>
  <si>
    <t>d_4-26</t>
  </si>
  <si>
    <t>Re_4-26</t>
  </si>
  <si>
    <t>(for 4-inch diameter pipe)</t>
  </si>
  <si>
    <t>f_4-26</t>
  </si>
  <si>
    <t>d_6-357</t>
  </si>
  <si>
    <t>Re_6-357</t>
  </si>
  <si>
    <t>(for 6-inch diameter pipe)</t>
  </si>
  <si>
    <t>f_6-357</t>
  </si>
  <si>
    <t>fT</t>
  </si>
  <si>
    <t>r</t>
  </si>
  <si>
    <t>r/d</t>
  </si>
  <si>
    <t>Beta</t>
  </si>
  <si>
    <t>K_R</t>
  </si>
  <si>
    <t>Total K for section</t>
  </si>
  <si>
    <t>Piping within HTC</t>
  </si>
  <si>
    <t>Vent line on vessel - entrance</t>
  </si>
  <si>
    <t>Entrance into vent pipe</t>
  </si>
  <si>
    <t>Straight run</t>
  </si>
  <si>
    <t>Vent line to LL dewar</t>
  </si>
  <si>
    <t>Thru LL dewar</t>
  </si>
  <si>
    <t>Vent line through LL dewar 1</t>
  </si>
  <si>
    <t xml:space="preserve">  straight run</t>
  </si>
  <si>
    <t xml:space="preserve">  tee thru</t>
  </si>
  <si>
    <t>Vent line through LL dewar 2</t>
  </si>
  <si>
    <t xml:space="preserve">  2-90 deg bends</t>
  </si>
  <si>
    <t>Sudden contraction</t>
  </si>
  <si>
    <t>Flexhose</t>
  </si>
  <si>
    <t>Flexhose assy</t>
  </si>
  <si>
    <t>Sudden expansion</t>
  </si>
  <si>
    <t>Pumping line weldment</t>
  </si>
  <si>
    <t xml:space="preserve">Note (TomP.):  I leave the above table and associated chart for reference but use this mass flow for 2.0 bar </t>
  </si>
  <si>
    <t xml:space="preserve">Multiplied K for flex hose by 4 to account for bellows convolutions.  </t>
  </si>
  <si>
    <t xml:space="preserve">The following all look over-estimated, but I left them as is in the spreadsheet.  </t>
  </si>
  <si>
    <t xml:space="preserve">4-inch stainless and PVC vent line looks like 184 inches long with three (not four) 90 degree elbows.  </t>
  </si>
  <si>
    <t xml:space="preserve">Divided predicted flow by 0.9 </t>
  </si>
  <si>
    <t>Method:  calculate the pressure drop step-by-step through the vent line</t>
  </si>
  <si>
    <t>adjust density for new pressure at each step</t>
  </si>
  <si>
    <t>iterate to find vessel pressure which results in approx. 1 bar at vent exit</t>
  </si>
  <si>
    <t>In cell B52 fixed one more inverted use of Beta</t>
  </si>
  <si>
    <t>Gradual enlargement</t>
  </si>
  <si>
    <t>Ref is reference dia (1.68) / actual or downstream dia</t>
  </si>
  <si>
    <t>Ref</t>
  </si>
  <si>
    <t>Beta is smaller dia / larger dia for a fitting</t>
  </si>
  <si>
    <t>He pressure</t>
  </si>
  <si>
    <t>He density</t>
  </si>
  <si>
    <t>He spec vol</t>
  </si>
  <si>
    <t>Press drop</t>
  </si>
  <si>
    <t>K x Ref^4</t>
  </si>
  <si>
    <t>Another revision March 28, 2008, by Tom Peterson (rev's in red)</t>
  </si>
  <si>
    <t>Components of pumping line weldment</t>
  </si>
  <si>
    <t xml:space="preserve">  helicoflex flange</t>
  </si>
  <si>
    <t xml:space="preserve">  90 deg bend</t>
  </si>
  <si>
    <t xml:space="preserve">  tee branch</t>
  </si>
  <si>
    <t>Helium vent line branch</t>
  </si>
  <si>
    <t>Components of helium vent line branch</t>
  </si>
  <si>
    <t>Expansion 2 to 3-inch</t>
  </si>
  <si>
    <t>3-inch diameter piping</t>
  </si>
  <si>
    <t>Cmpts of 3-in diameter piping</t>
  </si>
  <si>
    <t>BS&amp;B LPS burst disk</t>
  </si>
  <si>
    <t>Expansion 3 to 4-inch</t>
  </si>
  <si>
    <t>4-inch diameter piping</t>
  </si>
  <si>
    <t>Discharge line to atmosphere</t>
  </si>
  <si>
    <t>90 deg elbow</t>
  </si>
  <si>
    <t>Expansion 4 to 6-inch</t>
  </si>
  <si>
    <t>6-inch diameter piping</t>
  </si>
  <si>
    <t>Exit</t>
  </si>
  <si>
    <t>Total K</t>
  </si>
  <si>
    <t>(assume constant through entire vent line)</t>
  </si>
  <si>
    <t>Helium pressure in 3-inch pipe</t>
  </si>
  <si>
    <t>Helium pressure in 4-inch pipe</t>
  </si>
  <si>
    <t>Helium pressure in 6-inch pipe</t>
  </si>
  <si>
    <t>(bar)</t>
  </si>
  <si>
    <t>Determine the range of L' for relief pressure 12-psig</t>
  </si>
  <si>
    <t>Based on _Technology of Liquid Helium_ Monograph 111</t>
  </si>
  <si>
    <t>Relief pressure</t>
  </si>
  <si>
    <t>psia</t>
  </si>
  <si>
    <t>DENSITY</t>
  </si>
  <si>
    <t>ENTHALPY</t>
  </si>
  <si>
    <t>[Lb/ft3]</t>
  </si>
  <si>
    <t>[BTU/Lb]</t>
  </si>
  <si>
    <t>Sp volume</t>
  </si>
  <si>
    <t>[ft^3/lbm]</t>
  </si>
  <si>
    <t>TEMP</t>
  </si>
  <si>
    <t>[R]</t>
  </si>
  <si>
    <t>m1</t>
  </si>
  <si>
    <t>[lbm]</t>
  </si>
  <si>
    <t>Mass</t>
  </si>
  <si>
    <t>T1</t>
  </si>
  <si>
    <t>v1</t>
  </si>
  <si>
    <t>h1</t>
  </si>
  <si>
    <t>Total dP</t>
  </si>
  <si>
    <t>Revised March 5, 2008 by D. Olis with corrections provided by M. Cooper.</t>
  </si>
  <si>
    <t>Adjusted mass flow rate helium</t>
  </si>
  <si>
    <t>Subtraction arithmetic check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</si>
</sst>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9">
    <font>
      <sz val="10"/>
      <name val="Arial"/>
      <family val="0"/>
    </font>
    <font>
      <i/>
      <sz val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2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0" fontId="1" fillId="2" borderId="3" xfId="0" applyFont="1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3" borderId="3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3" borderId="4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4" borderId="0" xfId="0" applyFill="1" applyAlignment="1">
      <alignment/>
    </xf>
    <xf numFmtId="164" fontId="0" fillId="3" borderId="5" xfId="0" applyNumberFormat="1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2" fontId="0" fillId="0" borderId="0" xfId="0" applyNumberFormat="1" applyBorder="1" applyAlignment="1">
      <alignment/>
    </xf>
    <xf numFmtId="165" fontId="0" fillId="3" borderId="3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6" fontId="0" fillId="0" borderId="0" xfId="0" applyNumberFormat="1" applyAlignment="1">
      <alignment/>
    </xf>
    <xf numFmtId="0" fontId="0" fillId="0" borderId="4" xfId="0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0" fillId="0" borderId="5" xfId="0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0" fontId="0" fillId="0" borderId="0" xfId="0" applyFill="1" applyAlignment="1">
      <alignment/>
    </xf>
    <xf numFmtId="2" fontId="0" fillId="4" borderId="0" xfId="0" applyNumberFormat="1" applyFill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2" fontId="7" fillId="3" borderId="4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2" fontId="7" fillId="0" borderId="0" xfId="0" applyNumberFormat="1" applyFont="1" applyAlignment="1">
      <alignment/>
    </xf>
    <xf numFmtId="2" fontId="8" fillId="0" borderId="0" xfId="0" applyNumberFormat="1" applyFont="1" applyAlignment="1">
      <alignment horizontal="right"/>
    </xf>
    <xf numFmtId="165" fontId="7" fillId="2" borderId="3" xfId="0" applyNumberFormat="1" applyFont="1" applyFill="1" applyBorder="1" applyAlignment="1">
      <alignment horizontal="center"/>
    </xf>
    <xf numFmtId="165" fontId="0" fillId="3" borderId="3" xfId="0" applyNumberFormat="1" applyFont="1" applyFill="1" applyBorder="1" applyAlignment="1">
      <alignment horizontal="center"/>
    </xf>
    <xf numFmtId="165" fontId="0" fillId="2" borderId="3" xfId="0" applyNumberFormat="1" applyFont="1" applyFill="1" applyBorder="1" applyAlignment="1">
      <alignment horizontal="center"/>
    </xf>
    <xf numFmtId="2" fontId="7" fillId="3" borderId="3" xfId="0" applyNumberFormat="1" applyFont="1" applyFill="1" applyBorder="1" applyAlignment="1">
      <alignment horizontal="center"/>
    </xf>
    <xf numFmtId="2" fontId="7" fillId="2" borderId="3" xfId="0" applyNumberFormat="1" applyFont="1" applyFill="1" applyBorder="1" applyAlignment="1">
      <alignment horizontal="center"/>
    </xf>
    <xf numFmtId="165" fontId="7" fillId="3" borderId="3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E1 - Heat absorbed per pound helium efflux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</a:t>
            </a:r>
            <a:r>
              <a:rPr lang="en-US" cap="none" sz="1000" b="1" i="0" u="sng" baseline="0">
                <a:latin typeface="Arial"/>
                <a:ea typeface="Arial"/>
                <a:cs typeface="Arial"/>
              </a:rPr>
              <a:t>Technology of Liquid Helium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, Monograph 111)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Relief at 26.7 psia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'L` table'!$C$11:$C$19</c:f>
              <c:numCach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'L` table'!$P$11:$P$18</c:f>
              <c:numCache>
                <c:ptCount val="8"/>
                <c:pt idx="0">
                  <c:v>15.708355172413777</c:v>
                </c:pt>
                <c:pt idx="1">
                  <c:v>13.034001512859307</c:v>
                </c:pt>
                <c:pt idx="2">
                  <c:v>6.820890036138359</c:v>
                </c:pt>
                <c:pt idx="3">
                  <c:v>7.3964000000000025</c:v>
                </c:pt>
                <c:pt idx="4">
                  <c:v>9.504845528455276</c:v>
                </c:pt>
                <c:pt idx="5">
                  <c:v>11.24931803490628</c:v>
                </c:pt>
                <c:pt idx="6">
                  <c:v>12.885081081081074</c:v>
                </c:pt>
                <c:pt idx="7">
                  <c:v>14.453848413631027</c:v>
                </c:pt>
              </c:numCache>
            </c:numRef>
          </c:yVal>
          <c:smooth val="1"/>
        </c:ser>
        <c:ser>
          <c:idx val="1"/>
          <c:order val="1"/>
          <c:tx>
            <c:v>Relief at 50.0 psia</c:v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'L` table'!$C$23:$C$27</c:f>
              <c:numCach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'L` table'!$P$23:$P$27</c:f>
              <c:numCache>
                <c:ptCount val="5"/>
                <c:pt idx="0">
                  <c:v>11.069639703153992</c:v>
                </c:pt>
                <c:pt idx="1">
                  <c:v>8.753909696323923</c:v>
                </c:pt>
                <c:pt idx="2">
                  <c:v>11.717903225806452</c:v>
                </c:pt>
                <c:pt idx="3">
                  <c:v>15.090000000000002</c:v>
                </c:pt>
                <c:pt idx="4">
                  <c:v>18.29411764705881</c:v>
                </c:pt>
              </c:numCache>
            </c:numRef>
          </c:yVal>
          <c:smooth val="1"/>
        </c:ser>
        <c:axId val="29017744"/>
        <c:axId val="59833105"/>
      </c:scatterChart>
      <c:valAx>
        <c:axId val="29017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833105"/>
        <c:crosses val="autoZero"/>
        <c:crossBetween val="midCat"/>
        <c:dispUnits/>
      </c:valAx>
      <c:valAx>
        <c:axId val="59833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L' (BTu/lb efflux)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0177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5"/>
  <sheetViews>
    <sheetView tabSelected="1" workbookViewId="0" topLeftCell="D60">
      <selection activeCell="T67" sqref="T67"/>
    </sheetView>
  </sheetViews>
  <sheetFormatPr defaultColWidth="9.140625" defaultRowHeight="12.75"/>
  <cols>
    <col min="1" max="1" width="28.421875" style="0" customWidth="1"/>
    <col min="2" max="2" width="10.00390625" style="0" customWidth="1"/>
    <col min="3" max="3" width="9.8515625" style="0" customWidth="1"/>
    <col min="4" max="4" width="7.28125" style="0" customWidth="1"/>
    <col min="5" max="5" width="7.421875" style="0" customWidth="1"/>
    <col min="6" max="6" width="6.421875" style="0" customWidth="1"/>
    <col min="7" max="7" width="5.140625" style="0" bestFit="1" customWidth="1"/>
    <col min="8" max="8" width="4.7109375" style="0" bestFit="1" customWidth="1"/>
    <col min="9" max="9" width="4.7109375" style="0" customWidth="1"/>
    <col min="10" max="10" width="4.8515625" style="1" bestFit="1" customWidth="1"/>
    <col min="11" max="11" width="5.00390625" style="0" bestFit="1" customWidth="1"/>
    <col min="12" max="12" width="34.8515625" style="0" bestFit="1" customWidth="1"/>
    <col min="13" max="13" width="10.140625" style="0" bestFit="1" customWidth="1"/>
    <col min="14" max="15" width="11.7109375" style="0" customWidth="1"/>
    <col min="18" max="16384" width="8.8515625" style="0" customWidth="1"/>
  </cols>
  <sheetData>
    <row r="1" ht="12.75">
      <c r="A1" t="s">
        <v>164</v>
      </c>
    </row>
    <row r="2" spans="1:2" ht="12.75">
      <c r="A2" s="67" t="s">
        <v>121</v>
      </c>
      <c r="B2" s="67"/>
    </row>
    <row r="3" spans="1:17" ht="12.75">
      <c r="A3" s="67" t="s">
        <v>108</v>
      </c>
      <c r="B3" s="67"/>
      <c r="M3" s="1"/>
      <c r="N3" s="1"/>
      <c r="O3" s="2"/>
      <c r="P3" s="1"/>
      <c r="Q3" s="1"/>
    </row>
    <row r="4" spans="1:17" ht="12.75">
      <c r="A4" s="67" t="s">
        <v>109</v>
      </c>
      <c r="B4" s="67"/>
      <c r="M4" s="1"/>
      <c r="N4" s="1"/>
      <c r="O4" s="2"/>
      <c r="P4" s="1"/>
      <c r="Q4" s="1"/>
    </row>
    <row r="5" spans="1:17" ht="12.75">
      <c r="A5" s="67" t="s">
        <v>110</v>
      </c>
      <c r="B5" s="67"/>
      <c r="M5" s="1"/>
      <c r="N5" s="1"/>
      <c r="O5" s="2"/>
      <c r="P5" s="1"/>
      <c r="Q5" s="1"/>
    </row>
    <row r="6" spans="13:17" ht="12.75">
      <c r="M6" s="1"/>
      <c r="N6" s="1"/>
      <c r="O6" s="2"/>
      <c r="P6" s="1"/>
      <c r="Q6" s="1"/>
    </row>
    <row r="7" spans="1:17" ht="12.75">
      <c r="A7" s="67" t="s">
        <v>165</v>
      </c>
      <c r="B7" s="68">
        <f>('L` table'!F34/1000)/0.9</f>
        <v>0.8461998329156223</v>
      </c>
      <c r="C7" t="s">
        <v>53</v>
      </c>
      <c r="D7" s="67" t="s">
        <v>107</v>
      </c>
      <c r="M7" s="1"/>
      <c r="N7" s="1"/>
      <c r="O7" s="2"/>
      <c r="P7" s="1"/>
      <c r="Q7" s="1"/>
    </row>
    <row r="8" spans="2:17" ht="12.75">
      <c r="B8" s="50">
        <f>B7*2.205*3600</f>
        <v>6717.13427368421</v>
      </c>
      <c r="C8" t="s">
        <v>54</v>
      </c>
      <c r="M8" s="1"/>
      <c r="N8" s="1"/>
      <c r="O8" s="2"/>
      <c r="P8" s="1"/>
      <c r="Q8" s="1"/>
    </row>
    <row r="9" spans="1:17" ht="12.75">
      <c r="A9" t="s">
        <v>56</v>
      </c>
      <c r="B9">
        <v>8</v>
      </c>
      <c r="C9" t="s">
        <v>57</v>
      </c>
      <c r="D9" t="s">
        <v>140</v>
      </c>
      <c r="M9" s="1"/>
      <c r="N9" s="1"/>
      <c r="O9" s="2"/>
      <c r="P9" s="1"/>
      <c r="Q9" s="1"/>
    </row>
    <row r="10" spans="1:17" ht="12.75">
      <c r="A10" t="s">
        <v>38</v>
      </c>
      <c r="B10" s="1">
        <f>M45</f>
        <v>2</v>
      </c>
      <c r="C10" t="s">
        <v>55</v>
      </c>
      <c r="M10" s="1"/>
      <c r="N10" s="1"/>
      <c r="O10" s="2"/>
      <c r="P10" s="1"/>
      <c r="Q10" s="1"/>
    </row>
    <row r="11" spans="1:17" ht="12.75">
      <c r="A11" t="s">
        <v>58</v>
      </c>
      <c r="B11" s="3">
        <v>0.002</v>
      </c>
      <c r="C11" t="s">
        <v>59</v>
      </c>
      <c r="M11" s="1"/>
      <c r="N11" s="1"/>
      <c r="O11" s="2"/>
      <c r="P11" s="1"/>
      <c r="Q11" s="1"/>
    </row>
    <row r="12" spans="1:17" ht="12.75">
      <c r="A12" t="s">
        <v>22</v>
      </c>
      <c r="B12" s="1">
        <v>1.684</v>
      </c>
      <c r="C12" t="s">
        <v>61</v>
      </c>
      <c r="M12" s="1"/>
      <c r="N12" s="1"/>
      <c r="O12" s="2"/>
      <c r="P12" s="1"/>
      <c r="Q12" s="1"/>
    </row>
    <row r="13" spans="1:17" ht="12.75">
      <c r="A13" t="s">
        <v>24</v>
      </c>
      <c r="B13" s="3">
        <f>6.31*$B$8/B12/$B$11</f>
        <v>12584654.770471307</v>
      </c>
      <c r="C13" t="s">
        <v>23</v>
      </c>
      <c r="M13" s="1"/>
      <c r="N13" s="1"/>
      <c r="O13" s="2"/>
      <c r="P13" s="1"/>
      <c r="Q13" s="1"/>
    </row>
    <row r="14" spans="1:17" ht="12.75">
      <c r="A14" t="s">
        <v>25</v>
      </c>
      <c r="B14" s="2">
        <v>0.02</v>
      </c>
      <c r="C14" t="s">
        <v>23</v>
      </c>
      <c r="M14" s="1"/>
      <c r="N14" s="1"/>
      <c r="O14" s="2"/>
      <c r="P14" s="1"/>
      <c r="Q14" s="1"/>
    </row>
    <row r="15" spans="1:17" ht="12.75">
      <c r="A15" t="s">
        <v>33</v>
      </c>
      <c r="B15" s="2">
        <v>1.76</v>
      </c>
      <c r="C15" t="s">
        <v>61</v>
      </c>
      <c r="M15" s="1"/>
      <c r="N15" s="1"/>
      <c r="O15" s="2"/>
      <c r="P15" s="1"/>
      <c r="Q15" s="1"/>
    </row>
    <row r="16" spans="1:17" ht="12.75">
      <c r="A16" t="s">
        <v>34</v>
      </c>
      <c r="B16" s="3">
        <f>6.31*$B$8/B15/$B$11</f>
        <v>12041226.496291863</v>
      </c>
      <c r="C16" t="s">
        <v>36</v>
      </c>
      <c r="M16" s="1"/>
      <c r="N16" s="1"/>
      <c r="O16" s="2"/>
      <c r="P16" s="1"/>
      <c r="Q16" s="1"/>
    </row>
    <row r="17" spans="1:17" ht="12.75">
      <c r="A17" t="s">
        <v>35</v>
      </c>
      <c r="B17" s="2">
        <v>0.02</v>
      </c>
      <c r="C17" t="s">
        <v>36</v>
      </c>
      <c r="M17" s="1"/>
      <c r="N17" s="1"/>
      <c r="O17" s="2"/>
      <c r="P17" s="1"/>
      <c r="Q17" s="1"/>
    </row>
    <row r="18" spans="1:17" ht="12.75">
      <c r="A18" t="s">
        <v>37</v>
      </c>
      <c r="B18" s="1">
        <f>M54</f>
        <v>1.660037226084792</v>
      </c>
      <c r="C18" t="s">
        <v>55</v>
      </c>
      <c r="M18" s="1"/>
      <c r="N18" s="1"/>
      <c r="O18" s="2"/>
      <c r="P18" s="1"/>
      <c r="Q18" s="1"/>
    </row>
    <row r="19" spans="1:17" ht="12.75">
      <c r="A19" t="s">
        <v>58</v>
      </c>
      <c r="B19" s="3">
        <v>0.002</v>
      </c>
      <c r="C19" t="s">
        <v>59</v>
      </c>
      <c r="M19" s="1"/>
      <c r="N19" s="1"/>
      <c r="O19" s="2"/>
      <c r="P19" s="1"/>
      <c r="Q19" s="1"/>
    </row>
    <row r="20" spans="1:17" ht="12.75">
      <c r="A20" t="s">
        <v>60</v>
      </c>
      <c r="B20" s="1">
        <v>2.16</v>
      </c>
      <c r="C20" t="s">
        <v>61</v>
      </c>
      <c r="M20" s="1"/>
      <c r="N20" s="1"/>
      <c r="O20" s="2"/>
      <c r="P20" s="1"/>
      <c r="Q20" s="1"/>
    </row>
    <row r="21" spans="1:17" ht="12.75">
      <c r="A21" t="s">
        <v>62</v>
      </c>
      <c r="B21" s="3">
        <f>6.31*$B$8/B20/$B$19</f>
        <v>9811369.737719294</v>
      </c>
      <c r="C21" t="s">
        <v>63</v>
      </c>
      <c r="M21" s="1"/>
      <c r="N21" s="1"/>
      <c r="O21" s="2"/>
      <c r="P21" s="1"/>
      <c r="Q21" s="1"/>
    </row>
    <row r="22" spans="1:17" ht="12.75">
      <c r="A22" t="s">
        <v>64</v>
      </c>
      <c r="B22">
        <v>0.019</v>
      </c>
      <c r="C22" t="s">
        <v>63</v>
      </c>
      <c r="M22" s="1"/>
      <c r="N22" s="1"/>
      <c r="O22" s="2"/>
      <c r="P22" s="1"/>
      <c r="Q22" s="1"/>
    </row>
    <row r="23" spans="1:17" ht="12.75">
      <c r="A23" t="s">
        <v>65</v>
      </c>
      <c r="B23" s="1">
        <v>2</v>
      </c>
      <c r="C23" t="s">
        <v>61</v>
      </c>
      <c r="M23" s="1"/>
      <c r="N23" s="1"/>
      <c r="O23" s="2"/>
      <c r="P23" s="1"/>
      <c r="Q23" s="1"/>
    </row>
    <row r="24" spans="1:17" ht="12.75">
      <c r="A24" t="s">
        <v>66</v>
      </c>
      <c r="B24" s="3">
        <f>6.31*B8/B23/B19</f>
        <v>10596279.31673684</v>
      </c>
      <c r="C24" t="s">
        <v>67</v>
      </c>
      <c r="M24" s="1"/>
      <c r="N24" s="1"/>
      <c r="O24" s="2"/>
      <c r="P24" s="1"/>
      <c r="Q24" s="1"/>
    </row>
    <row r="25" spans="1:17" ht="12.75">
      <c r="A25" t="s">
        <v>68</v>
      </c>
      <c r="B25">
        <v>0.019</v>
      </c>
      <c r="C25" t="s">
        <v>67</v>
      </c>
      <c r="M25" s="1"/>
      <c r="N25" s="1"/>
      <c r="O25" s="2"/>
      <c r="P25" s="1"/>
      <c r="Q25" s="1"/>
    </row>
    <row r="26" spans="1:17" ht="12.75">
      <c r="A26" t="s">
        <v>141</v>
      </c>
      <c r="B26" s="1">
        <f>M73</f>
        <v>1.3401775051730251</v>
      </c>
      <c r="C26" t="s">
        <v>55</v>
      </c>
      <c r="M26" s="1"/>
      <c r="N26" s="1"/>
      <c r="O26" s="2"/>
      <c r="P26" s="1"/>
      <c r="Q26" s="1"/>
    </row>
    <row r="27" spans="1:17" ht="12.75">
      <c r="A27" t="s">
        <v>58</v>
      </c>
      <c r="B27" s="3">
        <v>0.002</v>
      </c>
      <c r="C27" t="s">
        <v>59</v>
      </c>
      <c r="M27" s="1"/>
      <c r="N27" s="1"/>
      <c r="O27" s="2"/>
      <c r="P27" s="1"/>
      <c r="Q27" s="1"/>
    </row>
    <row r="28" spans="1:17" ht="12.75">
      <c r="A28" t="s">
        <v>69</v>
      </c>
      <c r="B28" s="1">
        <v>3.26</v>
      </c>
      <c r="C28" t="s">
        <v>61</v>
      </c>
      <c r="M28" s="1"/>
      <c r="N28" s="1"/>
      <c r="O28" s="2"/>
      <c r="P28" s="1"/>
      <c r="Q28" s="1"/>
    </row>
    <row r="29" spans="1:17" ht="12.75">
      <c r="A29" t="s">
        <v>70</v>
      </c>
      <c r="B29" s="3">
        <f>6.31*$B$8/B28/$B$27</f>
        <v>6500784.856893767</v>
      </c>
      <c r="C29" t="s">
        <v>71</v>
      </c>
      <c r="M29" s="1"/>
      <c r="N29" s="1"/>
      <c r="O29" s="2"/>
      <c r="P29" s="1"/>
      <c r="Q29" s="1"/>
    </row>
    <row r="30" spans="1:17" ht="12.75">
      <c r="A30" t="s">
        <v>72</v>
      </c>
      <c r="B30">
        <v>0.0175</v>
      </c>
      <c r="C30" t="s">
        <v>71</v>
      </c>
      <c r="M30" s="1"/>
      <c r="N30" s="1"/>
      <c r="O30" s="2"/>
      <c r="P30" s="1"/>
      <c r="Q30" s="1"/>
    </row>
    <row r="31" spans="1:17" ht="12.75">
      <c r="A31" t="s">
        <v>142</v>
      </c>
      <c r="B31" s="1">
        <f>M77</f>
        <v>1.317238876797662</v>
      </c>
      <c r="C31" t="s">
        <v>55</v>
      </c>
      <c r="M31" s="1"/>
      <c r="N31" s="1"/>
      <c r="O31" s="2"/>
      <c r="P31" s="1"/>
      <c r="Q31" s="1"/>
    </row>
    <row r="32" spans="1:17" ht="12.75">
      <c r="A32" t="s">
        <v>58</v>
      </c>
      <c r="B32" s="3">
        <v>0.002</v>
      </c>
      <c r="C32" t="s">
        <v>59</v>
      </c>
      <c r="M32" s="1"/>
      <c r="N32" s="1"/>
      <c r="O32" s="2"/>
      <c r="P32" s="1"/>
      <c r="Q32" s="1"/>
    </row>
    <row r="33" spans="1:17" ht="12.75">
      <c r="A33" s="4" t="s">
        <v>73</v>
      </c>
      <c r="B33" s="1">
        <v>4</v>
      </c>
      <c r="C33" t="s">
        <v>61</v>
      </c>
      <c r="M33" s="1"/>
      <c r="N33" s="1"/>
      <c r="O33" s="2"/>
      <c r="P33" s="1"/>
      <c r="Q33" s="1"/>
    </row>
    <row r="34" spans="1:17" ht="12.75">
      <c r="A34" s="4" t="s">
        <v>74</v>
      </c>
      <c r="B34" s="3">
        <f>6.31*$B$8/B33/$B$32</f>
        <v>5298139.65836842</v>
      </c>
      <c r="C34" t="s">
        <v>75</v>
      </c>
      <c r="M34" s="1"/>
      <c r="N34" s="1"/>
      <c r="O34" s="2"/>
      <c r="P34" s="1"/>
      <c r="Q34" s="1"/>
    </row>
    <row r="35" spans="1:17" ht="12.75">
      <c r="A35" s="4" t="s">
        <v>76</v>
      </c>
      <c r="B35">
        <v>0.0161</v>
      </c>
      <c r="C35" t="s">
        <v>75</v>
      </c>
      <c r="M35" s="1"/>
      <c r="N35" s="1"/>
      <c r="O35" s="2"/>
      <c r="P35" s="1"/>
      <c r="Q35" s="1"/>
    </row>
    <row r="36" spans="1:17" ht="12.75">
      <c r="A36" t="s">
        <v>143</v>
      </c>
      <c r="B36" s="1">
        <f>M84</f>
        <v>1.2985394775498986</v>
      </c>
      <c r="C36" t="s">
        <v>55</v>
      </c>
      <c r="M36" s="1"/>
      <c r="N36" s="1"/>
      <c r="O36" s="2"/>
      <c r="P36" s="1"/>
      <c r="Q36" s="1"/>
    </row>
    <row r="37" spans="1:17" ht="12.75">
      <c r="A37" t="s">
        <v>58</v>
      </c>
      <c r="B37" s="3">
        <v>0.002</v>
      </c>
      <c r="C37" t="s">
        <v>59</v>
      </c>
      <c r="M37" s="1"/>
      <c r="N37" s="1"/>
      <c r="O37" s="2"/>
      <c r="P37" s="1"/>
      <c r="Q37" s="1"/>
    </row>
    <row r="38" spans="1:17" ht="12.75">
      <c r="A38" s="4" t="s">
        <v>77</v>
      </c>
      <c r="B38" s="1">
        <v>6</v>
      </c>
      <c r="C38" t="s">
        <v>61</v>
      </c>
      <c r="M38" s="1"/>
      <c r="N38" s="1"/>
      <c r="O38" s="2"/>
      <c r="P38" s="1"/>
      <c r="Q38" s="1"/>
    </row>
    <row r="39" spans="1:17" ht="12.75">
      <c r="A39" s="4" t="s">
        <v>78</v>
      </c>
      <c r="B39" s="3">
        <f>6.31*$B$8/B38/$B$37</f>
        <v>3532093.1055789464</v>
      </c>
      <c r="C39" t="s">
        <v>79</v>
      </c>
      <c r="M39" s="1"/>
      <c r="N39" s="1"/>
      <c r="O39" s="2"/>
      <c r="P39" s="1"/>
      <c r="Q39" s="1"/>
    </row>
    <row r="40" spans="1:17" ht="12.75">
      <c r="A40" s="4" t="s">
        <v>80</v>
      </c>
      <c r="B40">
        <v>0.015</v>
      </c>
      <c r="C40" t="s">
        <v>79</v>
      </c>
      <c r="M40" s="1"/>
      <c r="N40" s="1"/>
      <c r="O40" s="2"/>
      <c r="P40" s="1"/>
      <c r="Q40" s="1"/>
    </row>
    <row r="41" spans="1:17" ht="12.75">
      <c r="A41" s="4"/>
      <c r="B41" s="4"/>
      <c r="I41" t="s">
        <v>115</v>
      </c>
      <c r="M41" s="1"/>
      <c r="N41" s="1"/>
      <c r="O41" s="2"/>
      <c r="P41" s="1"/>
      <c r="Q41" s="1"/>
    </row>
    <row r="42" spans="10:17" ht="12.75">
      <c r="J42" s="1" t="s">
        <v>113</v>
      </c>
      <c r="N42" s="5" t="s">
        <v>51</v>
      </c>
      <c r="O42" s="6"/>
      <c r="P42" s="1"/>
      <c r="Q42" s="1"/>
    </row>
    <row r="43" spans="1:17" ht="12.75">
      <c r="A43" s="54"/>
      <c r="B43" s="55" t="s">
        <v>57</v>
      </c>
      <c r="C43" s="55" t="s">
        <v>120</v>
      </c>
      <c r="D43" s="56" t="s">
        <v>40</v>
      </c>
      <c r="E43" s="56" t="s">
        <v>41</v>
      </c>
      <c r="F43" s="57" t="s">
        <v>81</v>
      </c>
      <c r="G43" s="55" t="s">
        <v>82</v>
      </c>
      <c r="H43" s="55" t="s">
        <v>83</v>
      </c>
      <c r="I43" s="55" t="s">
        <v>84</v>
      </c>
      <c r="J43" s="56" t="s">
        <v>114</v>
      </c>
      <c r="K43" s="51" t="s">
        <v>85</v>
      </c>
      <c r="L43" s="51" t="s">
        <v>86</v>
      </c>
      <c r="M43" s="52" t="s">
        <v>116</v>
      </c>
      <c r="N43" s="52" t="s">
        <v>117</v>
      </c>
      <c r="O43" s="53" t="s">
        <v>118</v>
      </c>
      <c r="P43" s="52" t="s">
        <v>119</v>
      </c>
      <c r="Q43" s="52" t="s">
        <v>119</v>
      </c>
    </row>
    <row r="44" spans="1:17" ht="12.75">
      <c r="A44" s="58"/>
      <c r="B44" s="58"/>
      <c r="C44" s="59"/>
      <c r="D44" s="60" t="s">
        <v>39</v>
      </c>
      <c r="E44" s="60" t="s">
        <v>39</v>
      </c>
      <c r="F44" s="61"/>
      <c r="G44" s="59"/>
      <c r="H44" s="59"/>
      <c r="I44" s="59"/>
      <c r="J44" s="60"/>
      <c r="K44" s="62"/>
      <c r="L44" s="62"/>
      <c r="M44" s="63" t="s">
        <v>144</v>
      </c>
      <c r="N44" s="63" t="s">
        <v>42</v>
      </c>
      <c r="O44" s="64" t="s">
        <v>43</v>
      </c>
      <c r="P44" s="63" t="s">
        <v>44</v>
      </c>
      <c r="Q44" s="63" t="s">
        <v>144</v>
      </c>
    </row>
    <row r="45" spans="1:17" ht="12.75">
      <c r="A45" s="25" t="s">
        <v>87</v>
      </c>
      <c r="B45" s="75"/>
      <c r="C45" s="43"/>
      <c r="D45" s="32"/>
      <c r="E45" s="32"/>
      <c r="F45" s="48"/>
      <c r="G45" s="43"/>
      <c r="H45" s="43"/>
      <c r="I45" s="77"/>
      <c r="J45" s="77"/>
      <c r="K45" s="26"/>
      <c r="L45" s="27" t="s">
        <v>88</v>
      </c>
      <c r="M45" s="69">
        <v>2</v>
      </c>
      <c r="N45" s="69">
        <v>13.45</v>
      </c>
      <c r="O45" s="30">
        <f>1/(N45*0.06243)</f>
        <v>1.1909249139705615</v>
      </c>
      <c r="P45" s="29">
        <f>0.00000028*L46*$B$8^2*O45/$E$49^4</f>
        <v>1.5680496159795694</v>
      </c>
      <c r="Q45" s="29">
        <f>P45*6894.8*0.00001</f>
        <v>0.10811388492255937</v>
      </c>
    </row>
    <row r="46" spans="1:17" ht="12.75">
      <c r="A46" s="26" t="s">
        <v>89</v>
      </c>
      <c r="B46" s="79">
        <v>1</v>
      </c>
      <c r="C46" s="79">
        <f>B46*J46^4</f>
        <v>0.8381421415299927</v>
      </c>
      <c r="D46" s="32"/>
      <c r="E46" s="32"/>
      <c r="F46" s="48"/>
      <c r="G46" s="43"/>
      <c r="H46" s="43"/>
      <c r="I46" s="77"/>
      <c r="J46" s="77">
        <f>E50/E47</f>
        <v>0.9568181818181818</v>
      </c>
      <c r="K46" s="26"/>
      <c r="L46" s="36">
        <f>C46</f>
        <v>0.8381421415299927</v>
      </c>
      <c r="M46" s="36"/>
      <c r="N46" s="36"/>
      <c r="O46" s="45"/>
      <c r="P46" s="36"/>
      <c r="Q46" s="36"/>
    </row>
    <row r="47" spans="1:17" ht="12.75">
      <c r="A47" s="26" t="s">
        <v>32</v>
      </c>
      <c r="B47" s="79">
        <f>B17*D47/E47</f>
        <v>0.034627773801002154</v>
      </c>
      <c r="C47" s="79">
        <f>B47*J47^4</f>
        <v>0.02902299648998812</v>
      </c>
      <c r="D47" s="32">
        <f>(143.4-132/2)/25.4</f>
        <v>3.0472440944881893</v>
      </c>
      <c r="E47" s="32">
        <v>1.76</v>
      </c>
      <c r="F47" s="48"/>
      <c r="G47" s="43"/>
      <c r="H47" s="43"/>
      <c r="I47" s="77"/>
      <c r="J47" s="77">
        <f>E50/E47</f>
        <v>0.9568181818181818</v>
      </c>
      <c r="K47" s="26"/>
      <c r="L47" s="33"/>
      <c r="M47" s="33"/>
      <c r="N47" s="29"/>
      <c r="O47" s="30"/>
      <c r="P47" s="29"/>
      <c r="Q47" s="29"/>
    </row>
    <row r="48" spans="1:17" ht="12.75">
      <c r="A48" s="26" t="s">
        <v>98</v>
      </c>
      <c r="B48" s="48">
        <f>0.5*(1-I48^2)</f>
        <v>0.042249483471074434</v>
      </c>
      <c r="C48" s="48">
        <f>B48*J48^4</f>
        <v>0.042249483471074434</v>
      </c>
      <c r="D48" s="32"/>
      <c r="E48" s="32"/>
      <c r="F48" s="48"/>
      <c r="G48" s="43"/>
      <c r="H48" s="43"/>
      <c r="I48" s="77">
        <f>E49/E47</f>
        <v>0.9568181818181818</v>
      </c>
      <c r="J48" s="77">
        <f>E50/E49</f>
        <v>1</v>
      </c>
      <c r="K48" s="26"/>
      <c r="L48" s="33"/>
      <c r="M48" s="33"/>
      <c r="N48" s="33"/>
      <c r="O48" s="46"/>
      <c r="P48" s="33"/>
      <c r="Q48" s="33"/>
    </row>
    <row r="49" spans="1:17" ht="12.75">
      <c r="A49" s="26" t="s">
        <v>21</v>
      </c>
      <c r="B49" s="75">
        <f>20*F49</f>
        <v>0.4</v>
      </c>
      <c r="C49" s="48">
        <f>B49*J49^4</f>
        <v>0.4</v>
      </c>
      <c r="D49" s="32"/>
      <c r="E49" s="32">
        <v>1.684</v>
      </c>
      <c r="F49" s="48">
        <v>0.02</v>
      </c>
      <c r="G49" s="43">
        <v>1.5</v>
      </c>
      <c r="H49" s="32">
        <f>G49/E49</f>
        <v>0.8907363420427554</v>
      </c>
      <c r="I49" s="77"/>
      <c r="J49" s="77">
        <f>$E50/E49</f>
        <v>1</v>
      </c>
      <c r="K49" s="26"/>
      <c r="L49" s="38" t="s">
        <v>27</v>
      </c>
      <c r="M49" s="33">
        <f>M45-Q45</f>
        <v>1.8918861150774406</v>
      </c>
      <c r="N49" s="33">
        <f>N45*(M49/M45)^1.1</f>
        <v>12.652425184234536</v>
      </c>
      <c r="O49" s="46">
        <f>1/(N49*0.06243)</f>
        <v>1.2659976138695601</v>
      </c>
      <c r="P49" s="33">
        <f>0.00000028*L50*$B$8^2*O49/$E$49^4</f>
        <v>3.3060923594747225</v>
      </c>
      <c r="Q49" s="33">
        <f>P49*6894.8*0.00001</f>
        <v>0.2279484560010632</v>
      </c>
    </row>
    <row r="50" spans="1:17" ht="12.75">
      <c r="A50" s="26" t="s">
        <v>90</v>
      </c>
      <c r="B50" s="75">
        <f>$B$14*D50/E50</f>
        <v>0.041567695961995256</v>
      </c>
      <c r="C50" s="48">
        <f aca="true" t="shared" si="0" ref="C50:C60">B50*J50^4</f>
        <v>0.041567695961995256</v>
      </c>
      <c r="D50" s="32">
        <v>3.5</v>
      </c>
      <c r="E50" s="32">
        <v>1.684</v>
      </c>
      <c r="F50" s="48"/>
      <c r="G50" s="43"/>
      <c r="H50" s="43"/>
      <c r="I50" s="77"/>
      <c r="J50" s="77">
        <f>E50/E50</f>
        <v>1</v>
      </c>
      <c r="K50" s="26"/>
      <c r="L50" s="33">
        <f>SUM(C46:C52)</f>
        <v>1.6623572141967649</v>
      </c>
      <c r="M50" s="33"/>
      <c r="N50" s="36"/>
      <c r="O50" s="45"/>
      <c r="P50" s="36"/>
      <c r="Q50" s="36"/>
    </row>
    <row r="51" spans="1:17" ht="12.75">
      <c r="A51" s="26" t="s">
        <v>26</v>
      </c>
      <c r="B51" s="75">
        <f>14*F51</f>
        <v>0.28</v>
      </c>
      <c r="C51" s="48">
        <f t="shared" si="0"/>
        <v>0.28</v>
      </c>
      <c r="D51" s="32"/>
      <c r="E51" s="32">
        <v>1.684</v>
      </c>
      <c r="F51" s="48">
        <v>0.02</v>
      </c>
      <c r="G51" s="43">
        <v>2.25</v>
      </c>
      <c r="H51" s="32">
        <f>G51/E51</f>
        <v>1.3361045130641331</v>
      </c>
      <c r="I51" s="77"/>
      <c r="J51" s="77">
        <f>E50/E51</f>
        <v>1</v>
      </c>
      <c r="K51" s="26"/>
      <c r="L51" s="11" t="s">
        <v>28</v>
      </c>
      <c r="M51" s="12">
        <f>M49-Q49</f>
        <v>1.6639376590763775</v>
      </c>
      <c r="N51" s="18">
        <f>N49*(M51/M49)^1.1</f>
        <v>10.98601139722616</v>
      </c>
      <c r="O51" s="13">
        <f>1/(N51*0.06243)</f>
        <v>1.4580305366284614</v>
      </c>
      <c r="P51" s="12">
        <f>0.00000028*L53*$B$8^2*O51/$E$49^4</f>
        <v>0.056570647322410836</v>
      </c>
      <c r="Q51" s="12">
        <f>P51*6894.8*0.00001</f>
        <v>0.0039004329915855824</v>
      </c>
    </row>
    <row r="52" spans="1:17" ht="12.75">
      <c r="A52" s="26" t="s">
        <v>112</v>
      </c>
      <c r="B52" s="79">
        <f>2.6*(SIN(RADIANS(9/2)))*(1-I52^2)^2/I52^4</f>
        <v>0.08492371049726459</v>
      </c>
      <c r="C52" s="79">
        <f t="shared" si="0"/>
        <v>0.031374896743714194</v>
      </c>
      <c r="D52" s="32"/>
      <c r="E52" s="32"/>
      <c r="F52" s="48"/>
      <c r="G52" s="43"/>
      <c r="H52" s="32"/>
      <c r="I52" s="77">
        <f>E51/E53</f>
        <v>0.7796296296296296</v>
      </c>
      <c r="J52" s="77">
        <f>E50/E53</f>
        <v>0.7796296296296296</v>
      </c>
      <c r="K52" s="26"/>
      <c r="L52" s="17"/>
      <c r="M52" s="18"/>
      <c r="N52" s="18"/>
      <c r="O52" s="19"/>
      <c r="P52" s="18"/>
      <c r="Q52" s="18"/>
    </row>
    <row r="53" spans="1:17" ht="12.75">
      <c r="A53" s="10" t="s">
        <v>91</v>
      </c>
      <c r="B53" s="74">
        <f>$B$22*D53/E53</f>
        <v>0.06685185185185184</v>
      </c>
      <c r="C53" s="74">
        <f t="shared" si="0"/>
        <v>0.02469828433892429</v>
      </c>
      <c r="D53" s="14">
        <v>7.6</v>
      </c>
      <c r="E53" s="14">
        <v>2.16</v>
      </c>
      <c r="F53" s="49"/>
      <c r="G53" s="9"/>
      <c r="H53" s="14"/>
      <c r="I53" s="78"/>
      <c r="J53" s="78">
        <f>E50/E53</f>
        <v>0.7796296296296296</v>
      </c>
      <c r="K53" s="10"/>
      <c r="L53" s="15">
        <f>SUM(C53)</f>
        <v>0.02469828433892429</v>
      </c>
      <c r="M53" s="15"/>
      <c r="N53" s="15"/>
      <c r="O53" s="16"/>
      <c r="P53" s="15"/>
      <c r="Q53" s="15"/>
    </row>
    <row r="54" spans="1:17" ht="12.75">
      <c r="A54" s="10" t="s">
        <v>92</v>
      </c>
      <c r="B54" s="76"/>
      <c r="C54" s="76"/>
      <c r="D54" s="14"/>
      <c r="E54" s="14"/>
      <c r="F54" s="49"/>
      <c r="G54" s="9"/>
      <c r="H54" s="14"/>
      <c r="I54" s="78"/>
      <c r="J54" s="78"/>
      <c r="K54" s="10"/>
      <c r="L54" s="11" t="s">
        <v>93</v>
      </c>
      <c r="M54" s="12">
        <f>M51-Q51</f>
        <v>1.660037226084792</v>
      </c>
      <c r="N54" s="18">
        <f>N51*(M54/M51)^1.1</f>
        <v>10.957687203225104</v>
      </c>
      <c r="O54" s="13">
        <f>1/(N54*0.06243)</f>
        <v>1.4617993556331483</v>
      </c>
      <c r="P54" s="12">
        <f>0.00000028*L55*$B$8^2*O54/$E$49^4</f>
        <v>0.34823532855129913</v>
      </c>
      <c r="Q54" s="12">
        <f>P54*6894.8*0.00001</f>
        <v>0.024010129432954976</v>
      </c>
    </row>
    <row r="55" spans="1:17" ht="12.75">
      <c r="A55" s="10" t="s">
        <v>94</v>
      </c>
      <c r="B55" s="74">
        <f>$B$22*D55/E55</f>
        <v>0.04046296296296296</v>
      </c>
      <c r="C55" s="74">
        <f t="shared" si="0"/>
        <v>0.014948961573559438</v>
      </c>
      <c r="D55" s="14">
        <v>4.6</v>
      </c>
      <c r="E55" s="14">
        <v>2.16</v>
      </c>
      <c r="F55" s="49"/>
      <c r="G55" s="9"/>
      <c r="H55" s="14"/>
      <c r="I55" s="78"/>
      <c r="J55" s="78">
        <f>E50/E55</f>
        <v>0.7796296296296296</v>
      </c>
      <c r="K55" s="10"/>
      <c r="L55" s="18">
        <f>SUM(C55:C56)</f>
        <v>0.15164472918899083</v>
      </c>
      <c r="M55" s="18"/>
      <c r="N55" s="18"/>
      <c r="O55" s="19"/>
      <c r="P55" s="18"/>
      <c r="Q55" s="18"/>
    </row>
    <row r="56" spans="1:17" ht="12.75">
      <c r="A56" s="10" t="s">
        <v>95</v>
      </c>
      <c r="B56" s="76">
        <f>20*F56</f>
        <v>0.37</v>
      </c>
      <c r="C56" s="76">
        <f t="shared" si="0"/>
        <v>0.1366957676154314</v>
      </c>
      <c r="D56" s="14"/>
      <c r="E56" s="14">
        <v>2.16</v>
      </c>
      <c r="F56" s="49">
        <v>0.0185</v>
      </c>
      <c r="G56" s="9"/>
      <c r="H56" s="14"/>
      <c r="I56" s="78"/>
      <c r="J56" s="78">
        <f>E50/E56</f>
        <v>0.7796296296296296</v>
      </c>
      <c r="K56" s="10"/>
      <c r="L56" s="11" t="s">
        <v>96</v>
      </c>
      <c r="M56" s="12"/>
      <c r="N56" s="20"/>
      <c r="O56" s="13"/>
      <c r="P56" s="21"/>
      <c r="Q56" s="12"/>
    </row>
    <row r="57" spans="1:17" ht="12.75">
      <c r="A57" s="10" t="s">
        <v>97</v>
      </c>
      <c r="B57" s="76">
        <f>(0.25*PI()*F57*H57+0.5*20*F57)+20*F57</f>
        <v>0.5704716165984081</v>
      </c>
      <c r="C57" s="76">
        <f t="shared" si="0"/>
        <v>0.21075960955063638</v>
      </c>
      <c r="D57" s="14"/>
      <c r="E57" s="14">
        <v>2.16</v>
      </c>
      <c r="F57" s="49">
        <v>0.0185</v>
      </c>
      <c r="G57" s="9">
        <v>2.3</v>
      </c>
      <c r="H57" s="14">
        <f>G57/E57</f>
        <v>1.0648148148148147</v>
      </c>
      <c r="I57" s="78"/>
      <c r="J57" s="78">
        <f>E50/E57</f>
        <v>0.7796296296296296</v>
      </c>
      <c r="K57" s="10"/>
      <c r="L57" s="18">
        <f>SUM(C57:C58)</f>
        <v>0.21855906776292827</v>
      </c>
      <c r="M57" s="18">
        <f>M54-Q54</f>
        <v>1.636027096651837</v>
      </c>
      <c r="N57" s="18">
        <f>N54*(M57/M54)^1.1</f>
        <v>10.783477356721855</v>
      </c>
      <c r="O57" s="22">
        <f>1/(N57*0.06243)</f>
        <v>1.4854150996959536</v>
      </c>
      <c r="P57" s="18">
        <f>0.00000028*L57*$B$8^2*O57/$E$49^4</f>
        <v>0.5100049675437524</v>
      </c>
      <c r="Q57" s="23">
        <f>P57*6894.8*0.00001</f>
        <v>0.03516382250220664</v>
      </c>
    </row>
    <row r="58" spans="1:17" ht="12.75">
      <c r="A58" s="10" t="s">
        <v>94</v>
      </c>
      <c r="B58" s="76">
        <f>$B$22*D58/E58</f>
        <v>0.02111111111111111</v>
      </c>
      <c r="C58" s="76">
        <f t="shared" si="0"/>
        <v>0.007799458212291881</v>
      </c>
      <c r="D58" s="14">
        <v>2.4</v>
      </c>
      <c r="E58" s="14">
        <v>2.16</v>
      </c>
      <c r="F58" s="49"/>
      <c r="G58" s="9"/>
      <c r="H58" s="14"/>
      <c r="I58" s="78"/>
      <c r="J58" s="78">
        <f>E50/E58</f>
        <v>0.7796296296296296</v>
      </c>
      <c r="K58" s="10"/>
      <c r="L58" s="24"/>
      <c r="M58" s="15"/>
      <c r="N58" s="15"/>
      <c r="O58" s="16"/>
      <c r="P58" s="15"/>
      <c r="Q58" s="15"/>
    </row>
    <row r="59" spans="1:17" ht="12.75">
      <c r="A59" s="10" t="s">
        <v>98</v>
      </c>
      <c r="B59" s="74">
        <f>0.5*(1-I59^2)</f>
        <v>0.07133058984910845</v>
      </c>
      <c r="C59" s="74">
        <f t="shared" si="0"/>
        <v>0.0358528910444335</v>
      </c>
      <c r="D59" s="14"/>
      <c r="E59" s="14"/>
      <c r="F59" s="49"/>
      <c r="G59" s="9"/>
      <c r="H59" s="14"/>
      <c r="I59" s="78">
        <f>E60/E58</f>
        <v>0.9259259259259258</v>
      </c>
      <c r="J59" s="78">
        <f>E50/E60</f>
        <v>0.842</v>
      </c>
      <c r="K59" s="10"/>
      <c r="L59" s="11" t="s">
        <v>99</v>
      </c>
      <c r="M59" s="12"/>
      <c r="N59" s="12"/>
      <c r="O59" s="13"/>
      <c r="P59" s="12"/>
      <c r="Q59" s="12"/>
    </row>
    <row r="60" spans="1:17" ht="12.75">
      <c r="A60" s="10" t="s">
        <v>100</v>
      </c>
      <c r="B60" s="74">
        <f>4*B25*D60/E60</f>
        <v>0.9765999999999999</v>
      </c>
      <c r="C60" s="74">
        <f t="shared" si="0"/>
        <v>0.49086841238887347</v>
      </c>
      <c r="D60" s="14">
        <v>25.7</v>
      </c>
      <c r="E60" s="14">
        <v>2</v>
      </c>
      <c r="F60" s="49"/>
      <c r="G60" s="9"/>
      <c r="H60" s="14"/>
      <c r="I60" s="78"/>
      <c r="J60" s="78">
        <f>E50/E60</f>
        <v>0.842</v>
      </c>
      <c r="K60" s="10"/>
      <c r="L60" s="18">
        <f>SUM(C59:C61)</f>
        <v>0.536950934897288</v>
      </c>
      <c r="M60" s="18">
        <f>M57-Q57</f>
        <v>1.6008632741496305</v>
      </c>
      <c r="N60" s="18">
        <f>N57*(M60/M57)^1.1</f>
        <v>10.528801905597561</v>
      </c>
      <c r="O60" s="22">
        <f>1/(N60*0.06243)</f>
        <v>1.5213449959950553</v>
      </c>
      <c r="P60" s="18">
        <f>0.00000028*L60*$B$8^2*O60/$E$49^4</f>
        <v>1.2832759510421037</v>
      </c>
      <c r="Q60" s="23">
        <f>P60*6894.8*0.00001</f>
        <v>0.08847931027245097</v>
      </c>
    </row>
    <row r="61" spans="1:17" ht="12.75">
      <c r="A61" s="10" t="s">
        <v>101</v>
      </c>
      <c r="B61" s="76">
        <f>((1-I61^2)^2)/I61^4</f>
        <v>0.02768896000000007</v>
      </c>
      <c r="C61" s="49">
        <f>B61*J61^4</f>
        <v>0.01022963146398104</v>
      </c>
      <c r="D61" s="14"/>
      <c r="E61" s="14"/>
      <c r="F61" s="49"/>
      <c r="G61" s="9"/>
      <c r="H61" s="14"/>
      <c r="I61" s="78">
        <f>E60/E63</f>
        <v>0.9259259259259258</v>
      </c>
      <c r="J61" s="78">
        <f>E50/E63</f>
        <v>0.7796296296296296</v>
      </c>
      <c r="K61" s="10"/>
      <c r="L61" s="24"/>
      <c r="M61" s="15"/>
      <c r="N61" s="15"/>
      <c r="O61" s="16"/>
      <c r="P61" s="15"/>
      <c r="Q61" s="15"/>
    </row>
    <row r="62" spans="1:17" ht="12.75">
      <c r="A62" s="10" t="s">
        <v>102</v>
      </c>
      <c r="B62" s="76"/>
      <c r="C62" s="49"/>
      <c r="D62" s="14"/>
      <c r="E62" s="14"/>
      <c r="F62" s="49"/>
      <c r="G62" s="9"/>
      <c r="H62" s="14"/>
      <c r="I62" s="78"/>
      <c r="J62" s="78"/>
      <c r="K62" s="10"/>
      <c r="L62" s="17" t="s">
        <v>122</v>
      </c>
      <c r="M62" s="18"/>
      <c r="N62" s="18"/>
      <c r="O62" s="19"/>
      <c r="P62" s="18"/>
      <c r="Q62" s="18"/>
    </row>
    <row r="63" spans="1:17" ht="12.75">
      <c r="A63" s="10" t="s">
        <v>123</v>
      </c>
      <c r="B63" s="76">
        <f>$B$22*D63/E63</f>
        <v>0.010555555555555554</v>
      </c>
      <c r="C63" s="49">
        <f aca="true" t="shared" si="1" ref="C63:C75">B63*J63^4</f>
        <v>0.0038997291061459403</v>
      </c>
      <c r="D63" s="14">
        <v>1.2</v>
      </c>
      <c r="E63" s="14">
        <v>2.16</v>
      </c>
      <c r="F63" s="49"/>
      <c r="G63" s="9"/>
      <c r="H63" s="14"/>
      <c r="I63" s="78"/>
      <c r="J63" s="78">
        <f>E50/E63</f>
        <v>0.7796296296296296</v>
      </c>
      <c r="K63" s="10"/>
      <c r="L63" s="18">
        <f>SUM(C63:C65)</f>
        <v>0.16106907452884353</v>
      </c>
      <c r="M63" s="18">
        <f>M60-Q60</f>
        <v>1.5123839638771794</v>
      </c>
      <c r="N63" s="18">
        <f>N60*(M63/M60)^1.1</f>
        <v>9.890484331761938</v>
      </c>
      <c r="O63" s="22">
        <f>1/(N63*0.06243)</f>
        <v>1.6195304047411134</v>
      </c>
      <c r="P63" s="18">
        <f>0.00000028*L63*$B$8^2*O63/$E$49^4</f>
        <v>0.40978778750612216</v>
      </c>
      <c r="Q63" s="23">
        <f>P63*6894.8*0.00001</f>
        <v>0.028254048372972112</v>
      </c>
    </row>
    <row r="64" spans="1:17" ht="12.75">
      <c r="A64" s="10" t="s">
        <v>124</v>
      </c>
      <c r="B64" s="76">
        <f>20*F64</f>
        <v>0.37</v>
      </c>
      <c r="C64" s="49">
        <f t="shared" si="1"/>
        <v>0.1366957676154314</v>
      </c>
      <c r="D64" s="14"/>
      <c r="E64" s="14">
        <v>2.16</v>
      </c>
      <c r="F64" s="49">
        <v>0.0185</v>
      </c>
      <c r="G64" s="9">
        <v>2</v>
      </c>
      <c r="H64" s="14">
        <f>G64/E64</f>
        <v>0.9259259259259258</v>
      </c>
      <c r="I64" s="78"/>
      <c r="J64" s="78">
        <f>E50/E64</f>
        <v>0.7796296296296296</v>
      </c>
      <c r="K64" s="10"/>
      <c r="L64" s="18">
        <f>C66</f>
        <v>0.41008730284629413</v>
      </c>
      <c r="M64" s="18">
        <f>M63-Q63</f>
        <v>1.4841299155042074</v>
      </c>
      <c r="N64" s="18">
        <f>N63*(M64/M63)^1.1</f>
        <v>9.687426048925316</v>
      </c>
      <c r="O64" s="22">
        <f>1/(N64*0.06243)</f>
        <v>1.6534774058668578</v>
      </c>
      <c r="P64" s="18">
        <f>0.00000028*L64*$B$8^2*O64/$E$49^4</f>
        <v>1.0652028750970197</v>
      </c>
      <c r="Q64" s="23">
        <f>P64*6894.8*0.00001</f>
        <v>0.07344360783218933</v>
      </c>
    </row>
    <row r="65" spans="1:17" ht="12.75">
      <c r="A65" s="10" t="s">
        <v>94</v>
      </c>
      <c r="B65" s="76">
        <f>$B$22*D65/E65</f>
        <v>0.055416666666666656</v>
      </c>
      <c r="C65" s="49">
        <f t="shared" si="1"/>
        <v>0.020473577807266184</v>
      </c>
      <c r="D65" s="14">
        <v>6.3</v>
      </c>
      <c r="E65" s="14">
        <v>2.16</v>
      </c>
      <c r="F65" s="49"/>
      <c r="G65" s="9"/>
      <c r="H65" s="14"/>
      <c r="I65" s="78"/>
      <c r="J65" s="78">
        <f>E50/E65</f>
        <v>0.7796296296296296</v>
      </c>
      <c r="K65" s="10"/>
      <c r="L65" s="17"/>
      <c r="M65" s="18"/>
      <c r="N65" s="18"/>
      <c r="O65" s="19"/>
      <c r="P65" s="18"/>
      <c r="Q65" s="18"/>
    </row>
    <row r="66" spans="1:17" ht="12.75">
      <c r="A66" s="10" t="s">
        <v>125</v>
      </c>
      <c r="B66" s="76">
        <f>60*F66</f>
        <v>1.1099999999999999</v>
      </c>
      <c r="C66" s="49">
        <f t="shared" si="1"/>
        <v>0.41008730284629413</v>
      </c>
      <c r="D66" s="14"/>
      <c r="E66" s="14">
        <v>2.16</v>
      </c>
      <c r="F66" s="49">
        <v>0.0185</v>
      </c>
      <c r="G66" s="9"/>
      <c r="H66" s="14"/>
      <c r="I66" s="78"/>
      <c r="J66" s="78">
        <f>E50/E66</f>
        <v>0.7796296296296296</v>
      </c>
      <c r="K66" s="10"/>
      <c r="L66" s="24"/>
      <c r="M66" s="15"/>
      <c r="N66" s="15"/>
      <c r="O66" s="16"/>
      <c r="P66" s="15"/>
      <c r="Q66" s="15"/>
    </row>
    <row r="67" spans="1:17" ht="12.75">
      <c r="A67" s="10" t="s">
        <v>126</v>
      </c>
      <c r="B67" s="76"/>
      <c r="C67" s="49"/>
      <c r="D67" s="14"/>
      <c r="E67" s="14"/>
      <c r="F67" s="49"/>
      <c r="G67" s="9"/>
      <c r="H67" s="14"/>
      <c r="I67" s="78"/>
      <c r="J67" s="78"/>
      <c r="K67" s="10"/>
      <c r="L67" s="11" t="s">
        <v>127</v>
      </c>
      <c r="M67" s="12"/>
      <c r="N67" s="12"/>
      <c r="O67" s="13"/>
      <c r="P67" s="12"/>
      <c r="Q67" s="12"/>
    </row>
    <row r="68" spans="1:17" ht="12.75">
      <c r="A68" s="10" t="s">
        <v>94</v>
      </c>
      <c r="B68" s="74">
        <f>$B$22*D68/E68</f>
        <v>0.11523148148148146</v>
      </c>
      <c r="C68" s="74">
        <f t="shared" si="1"/>
        <v>0.042572042742093176</v>
      </c>
      <c r="D68" s="14">
        <v>13.1</v>
      </c>
      <c r="E68" s="14">
        <v>2.16</v>
      </c>
      <c r="F68" s="49"/>
      <c r="G68" s="9"/>
      <c r="H68" s="14"/>
      <c r="I68" s="78"/>
      <c r="J68" s="78">
        <f>E50/E68</f>
        <v>0.7796296296296296</v>
      </c>
      <c r="K68" s="10"/>
      <c r="L68" s="18">
        <f>SUM(C68:C70)</f>
        <v>0.25157528753398056</v>
      </c>
      <c r="M68" s="18">
        <f>M64-Q64</f>
        <v>1.410686307672018</v>
      </c>
      <c r="N68" s="18">
        <f>N64*(M68/M64)^1.1</f>
        <v>9.161419824332123</v>
      </c>
      <c r="O68" s="22">
        <f>1/(N68*0.06243)</f>
        <v>1.7484124076883223</v>
      </c>
      <c r="P68" s="18">
        <f>0.00000028*L68*$B$8^2*O68/$E$49^4</f>
        <v>0.6909865594171931</v>
      </c>
      <c r="Q68" s="23">
        <f>P68*6894.8*0.00001</f>
        <v>0.047642141298696636</v>
      </c>
    </row>
    <row r="69" spans="1:17" ht="12.75">
      <c r="A69" s="10" t="s">
        <v>124</v>
      </c>
      <c r="B69" s="76">
        <f>20*F69</f>
        <v>0.37</v>
      </c>
      <c r="C69" s="49">
        <f t="shared" si="1"/>
        <v>0.1366957676154314</v>
      </c>
      <c r="D69" s="14"/>
      <c r="E69" s="14">
        <v>2.16</v>
      </c>
      <c r="F69" s="49">
        <v>0.0185</v>
      </c>
      <c r="G69" s="9">
        <v>2</v>
      </c>
      <c r="H69" s="14">
        <f>G69/E69</f>
        <v>0.9259259259259258</v>
      </c>
      <c r="I69" s="78"/>
      <c r="J69" s="78">
        <f>E50/E69</f>
        <v>0.7796296296296296</v>
      </c>
      <c r="K69" s="10"/>
      <c r="L69" s="18">
        <f>C71</f>
        <v>0.11626978976021324</v>
      </c>
      <c r="M69" s="18">
        <f>M68-Q68</f>
        <v>1.3630441663733213</v>
      </c>
      <c r="N69" s="18">
        <f>N68*(M69/M68)^1.1</f>
        <v>8.821657865942667</v>
      </c>
      <c r="O69" s="22">
        <f>1/(N69*0.06243)</f>
        <v>1.8157516802758484</v>
      </c>
      <c r="P69" s="18">
        <f>0.00000028*L69*$B$8^2*O69/$E$49^4</f>
        <v>0.33165082671427787</v>
      </c>
      <c r="Q69" s="23">
        <f>P69*6894.8*0.00001</f>
        <v>0.022866661200296033</v>
      </c>
    </row>
    <row r="70" spans="1:17" ht="12.75">
      <c r="A70" s="10" t="s">
        <v>94</v>
      </c>
      <c r="B70" s="76">
        <f>$B$22*D70/E70</f>
        <v>0.19571759259259258</v>
      </c>
      <c r="C70" s="49">
        <f t="shared" si="1"/>
        <v>0.07230747717645598</v>
      </c>
      <c r="D70" s="14">
        <v>22.25</v>
      </c>
      <c r="E70" s="14">
        <v>2.16</v>
      </c>
      <c r="F70" s="49"/>
      <c r="G70" s="9"/>
      <c r="H70" s="9"/>
      <c r="I70" s="78"/>
      <c r="J70" s="78">
        <f>E50/E70</f>
        <v>0.7796296296296296</v>
      </c>
      <c r="K70" s="10"/>
      <c r="L70" s="17"/>
      <c r="M70" s="18"/>
      <c r="N70" s="18"/>
      <c r="O70" s="19"/>
      <c r="P70" s="18"/>
      <c r="Q70" s="18"/>
    </row>
    <row r="71" spans="1:17" ht="12.75">
      <c r="A71" s="10" t="s">
        <v>128</v>
      </c>
      <c r="B71" s="74">
        <f>(1-I71^2)^2/I71^4</f>
        <v>1.632935154431535</v>
      </c>
      <c r="C71" s="74">
        <f t="shared" si="1"/>
        <v>0.11626978976021324</v>
      </c>
      <c r="D71" s="14"/>
      <c r="E71" s="14"/>
      <c r="F71" s="49"/>
      <c r="G71" s="9"/>
      <c r="H71" s="9"/>
      <c r="I71" s="78">
        <f>E70/E74</f>
        <v>0.6625766871165645</v>
      </c>
      <c r="J71" s="78">
        <f>E50/E74</f>
        <v>0.5165644171779141</v>
      </c>
      <c r="K71" s="10"/>
      <c r="L71" s="24"/>
      <c r="M71" s="15"/>
      <c r="N71" s="15"/>
      <c r="O71" s="16"/>
      <c r="P71" s="15"/>
      <c r="Q71" s="15"/>
    </row>
    <row r="72" spans="1:17" ht="12.75">
      <c r="A72" s="25" t="s">
        <v>129</v>
      </c>
      <c r="B72" s="75"/>
      <c r="C72" s="48"/>
      <c r="D72" s="32"/>
      <c r="E72" s="32"/>
      <c r="F72" s="48"/>
      <c r="G72" s="43"/>
      <c r="H72" s="43"/>
      <c r="I72" s="77"/>
      <c r="J72" s="77"/>
      <c r="K72" s="43"/>
      <c r="L72" s="27" t="s">
        <v>130</v>
      </c>
      <c r="M72" s="28"/>
      <c r="N72" s="29"/>
      <c r="O72" s="30"/>
      <c r="P72" s="29"/>
      <c r="Q72" s="31"/>
    </row>
    <row r="73" spans="1:17" ht="12.75">
      <c r="A73" s="26" t="s">
        <v>131</v>
      </c>
      <c r="B73" s="75">
        <f>K73</f>
        <v>0.79</v>
      </c>
      <c r="C73" s="48">
        <f t="shared" si="1"/>
        <v>0.07843509394643752</v>
      </c>
      <c r="D73" s="32"/>
      <c r="E73" s="32">
        <v>3</v>
      </c>
      <c r="F73" s="48"/>
      <c r="G73" s="43"/>
      <c r="H73" s="43"/>
      <c r="I73" s="77"/>
      <c r="J73" s="77">
        <f>E50/E73</f>
        <v>0.5613333333333334</v>
      </c>
      <c r="K73" s="43">
        <v>0.79</v>
      </c>
      <c r="L73" s="33">
        <f>C73</f>
        <v>0.07843509394643752</v>
      </c>
      <c r="M73" s="28">
        <f>M69-Q69</f>
        <v>1.3401775051730251</v>
      </c>
      <c r="N73" s="33">
        <f>N69*(M73/M69)^1.1</f>
        <v>8.659002111730103</v>
      </c>
      <c r="O73" s="34">
        <f>1/(N73*0.06243)</f>
        <v>1.849859820591221</v>
      </c>
      <c r="P73" s="33">
        <f>0.00000028*L73*$B$8^2*O73/$E$49^4</f>
        <v>0.22793288257938224</v>
      </c>
      <c r="Q73" s="35">
        <f>P73*6894.8*0.00001</f>
        <v>0.01571551638808325</v>
      </c>
    </row>
    <row r="74" spans="1:17" ht="12.75">
      <c r="A74" s="26" t="s">
        <v>90</v>
      </c>
      <c r="B74" s="75">
        <f>B30*D74/E74</f>
        <v>0.3865030674846627</v>
      </c>
      <c r="C74" s="48">
        <f t="shared" si="1"/>
        <v>0.027520156128773825</v>
      </c>
      <c r="D74" s="32">
        <f>6*12</f>
        <v>72</v>
      </c>
      <c r="E74" s="32">
        <v>3.26</v>
      </c>
      <c r="F74" s="48"/>
      <c r="G74" s="43"/>
      <c r="H74" s="43"/>
      <c r="I74" s="77"/>
      <c r="J74" s="77">
        <f>E50/E74</f>
        <v>0.5165644171779141</v>
      </c>
      <c r="K74" s="43"/>
      <c r="L74" s="33">
        <f>C74</f>
        <v>0.027520156128773825</v>
      </c>
      <c r="M74" s="28">
        <f>M73-Q73</f>
        <v>1.3244619887849418</v>
      </c>
      <c r="N74" s="33">
        <f>N73*(M74/M73)^1.1</f>
        <v>8.547374598475114</v>
      </c>
      <c r="O74" s="34">
        <f>1/(N74*0.06243)</f>
        <v>1.8740187303551332</v>
      </c>
      <c r="P74" s="33">
        <f>0.00000028*L74*$B$8^2*O74/$E$49^4</f>
        <v>0.08101819493573238</v>
      </c>
      <c r="Q74" s="35">
        <f>P74*6894.8*0.00001</f>
        <v>0.0055860425044288765</v>
      </c>
    </row>
    <row r="75" spans="1:17" ht="12.75">
      <c r="A75" s="26" t="s">
        <v>132</v>
      </c>
      <c r="B75" s="79">
        <f>(1-I75^2)^2/I75^4</f>
        <v>0.25554434841042417</v>
      </c>
      <c r="C75" s="79">
        <f t="shared" si="1"/>
        <v>0.008027765244161765</v>
      </c>
      <c r="D75" s="32"/>
      <c r="E75" s="32"/>
      <c r="F75" s="48"/>
      <c r="G75" s="43"/>
      <c r="H75" s="43"/>
      <c r="I75" s="77">
        <f>E74/E77</f>
        <v>0.815</v>
      </c>
      <c r="J75" s="77">
        <f>E50/E77</f>
        <v>0.421</v>
      </c>
      <c r="K75" s="43"/>
      <c r="L75" s="36">
        <f>C75</f>
        <v>0.008027765244161765</v>
      </c>
      <c r="M75" s="28">
        <f>M74-Q74</f>
        <v>1.3188759462805129</v>
      </c>
      <c r="N75" s="33">
        <f>N74*(M75/M74)^1.1</f>
        <v>8.507728683027896</v>
      </c>
      <c r="O75" s="34">
        <f>1/(N75*0.06243)</f>
        <v>1.882751635563827</v>
      </c>
      <c r="P75" s="33">
        <f>0.00000028*L75*$B$8^2*O75/$E$49^4</f>
        <v>0.023743538360081994</v>
      </c>
      <c r="Q75" s="35">
        <f>P75*6894.8*0.00001</f>
        <v>0.0016370694828509336</v>
      </c>
    </row>
    <row r="76" spans="1:17" ht="12.75">
      <c r="A76" s="8" t="s">
        <v>133</v>
      </c>
      <c r="B76" s="76"/>
      <c r="C76" s="49"/>
      <c r="D76" s="14"/>
      <c r="E76" s="14"/>
      <c r="F76" s="49"/>
      <c r="G76" s="9"/>
      <c r="H76" s="9"/>
      <c r="I76" s="78"/>
      <c r="J76" s="78"/>
      <c r="K76" s="9"/>
      <c r="L76" s="11" t="s">
        <v>134</v>
      </c>
      <c r="M76" s="12"/>
      <c r="N76" s="12"/>
      <c r="O76" s="13"/>
      <c r="P76" s="12"/>
      <c r="Q76" s="21"/>
    </row>
    <row r="77" spans="1:17" ht="12.75">
      <c r="A77" s="10" t="s">
        <v>0</v>
      </c>
      <c r="B77" s="76">
        <f>B35*D77/E77</f>
        <v>0.8694</v>
      </c>
      <c r="C77" s="49">
        <f>B77*J77^4</f>
        <v>0.027311655087221394</v>
      </c>
      <c r="D77" s="14">
        <f>18*12</f>
        <v>216</v>
      </c>
      <c r="E77" s="78">
        <v>4</v>
      </c>
      <c r="F77" s="49"/>
      <c r="G77" s="9"/>
      <c r="H77" s="9"/>
      <c r="I77" s="78"/>
      <c r="J77" s="78">
        <f>E50/E77</f>
        <v>0.421</v>
      </c>
      <c r="K77" s="9"/>
      <c r="L77" s="18">
        <f aca="true" t="shared" si="2" ref="L77:L82">C77</f>
        <v>0.027311655087221394</v>
      </c>
      <c r="M77" s="18">
        <f>M75-Q75</f>
        <v>1.317238876797662</v>
      </c>
      <c r="N77" s="18">
        <f>N75*(M77/M75)^1.1</f>
        <v>8.496113059780184</v>
      </c>
      <c r="O77" s="22">
        <f aca="true" t="shared" si="3" ref="O77:O82">1/(N77*0.06243)</f>
        <v>1.885325675423448</v>
      </c>
      <c r="P77" s="18">
        <f aca="true" t="shared" si="4" ref="P77:P82">0.00000028*L77*$B$8^2*O77/$E$49^4</f>
        <v>0.08088949862439146</v>
      </c>
      <c r="Q77" s="23">
        <f aca="true" t="shared" si="5" ref="Q77:Q82">P77*6894.8*0.00001</f>
        <v>0.005577169151154544</v>
      </c>
    </row>
    <row r="78" spans="1:17" ht="12.75">
      <c r="A78" s="10" t="s">
        <v>135</v>
      </c>
      <c r="B78" s="76">
        <f>30*$B$35</f>
        <v>0.483</v>
      </c>
      <c r="C78" s="49">
        <f>30*$B$35*J78^4</f>
        <v>0.015173141715122997</v>
      </c>
      <c r="D78" s="14"/>
      <c r="E78" s="78">
        <v>4</v>
      </c>
      <c r="F78" s="49"/>
      <c r="G78" s="9"/>
      <c r="H78" s="9"/>
      <c r="I78" s="78"/>
      <c r="J78" s="78">
        <f>$E$50/E78</f>
        <v>0.421</v>
      </c>
      <c r="K78" s="9"/>
      <c r="L78" s="18">
        <f t="shared" si="2"/>
        <v>0.015173141715122997</v>
      </c>
      <c r="M78" s="18">
        <f>M77-Q77</f>
        <v>1.3116617076465074</v>
      </c>
      <c r="N78" s="18">
        <f>N77*(M78/M77)^1.1</f>
        <v>8.456551794037635</v>
      </c>
      <c r="O78" s="37">
        <f t="shared" si="3"/>
        <v>1.8941455670143992</v>
      </c>
      <c r="P78" s="18">
        <f t="shared" si="4"/>
        <v>0.04514884122459098</v>
      </c>
      <c r="Q78" s="18">
        <f t="shared" si="5"/>
        <v>0.0031129223047530992</v>
      </c>
    </row>
    <row r="79" spans="1:17" ht="12.75">
      <c r="A79" s="10" t="s">
        <v>135</v>
      </c>
      <c r="B79" s="76">
        <f>30*$B$35</f>
        <v>0.483</v>
      </c>
      <c r="C79" s="49">
        <f>30*$B$35*J79^4</f>
        <v>0.015173141715122997</v>
      </c>
      <c r="D79" s="14"/>
      <c r="E79" s="78">
        <v>4</v>
      </c>
      <c r="F79" s="49"/>
      <c r="G79" s="9"/>
      <c r="H79" s="9"/>
      <c r="I79" s="78"/>
      <c r="J79" s="78">
        <f>$E$50/E79</f>
        <v>0.421</v>
      </c>
      <c r="K79" s="9"/>
      <c r="L79" s="18">
        <f t="shared" si="2"/>
        <v>0.015173141715122997</v>
      </c>
      <c r="M79" s="18">
        <f>M78-Q78</f>
        <v>1.3085487853417543</v>
      </c>
      <c r="N79" s="18">
        <f>N78*(M79/M78)^1.1</f>
        <v>8.434477802844608</v>
      </c>
      <c r="O79" s="37">
        <f t="shared" si="3"/>
        <v>1.89910276217715</v>
      </c>
      <c r="P79" s="18">
        <f t="shared" si="4"/>
        <v>0.04526700089574821</v>
      </c>
      <c r="Q79" s="18">
        <f t="shared" si="5"/>
        <v>0.0031210691777600478</v>
      </c>
    </row>
    <row r="80" spans="1:17" ht="12.75">
      <c r="A80" s="10" t="s">
        <v>135</v>
      </c>
      <c r="B80" s="76">
        <f>30*$B$35</f>
        <v>0.483</v>
      </c>
      <c r="C80" s="49">
        <f>30*$B$35*J80^4</f>
        <v>0.015173141715122997</v>
      </c>
      <c r="D80" s="14"/>
      <c r="E80" s="78">
        <v>4</v>
      </c>
      <c r="F80" s="49"/>
      <c r="G80" s="9"/>
      <c r="H80" s="9"/>
      <c r="I80" s="78"/>
      <c r="J80" s="78">
        <f>$E$50/E80</f>
        <v>0.421</v>
      </c>
      <c r="K80" s="9"/>
      <c r="L80" s="18">
        <f t="shared" si="2"/>
        <v>0.015173141715122997</v>
      </c>
      <c r="M80" s="18">
        <f>M79-Q79</f>
        <v>1.3054277161639942</v>
      </c>
      <c r="N80" s="18">
        <f>N79*(M80/M79)^1.1</f>
        <v>8.412351312725061</v>
      </c>
      <c r="O80" s="37">
        <f t="shared" si="3"/>
        <v>1.9040978553373409</v>
      </c>
      <c r="P80" s="18">
        <f t="shared" si="4"/>
        <v>0.04538606390332211</v>
      </c>
      <c r="Q80" s="18">
        <f t="shared" si="5"/>
        <v>0.003129278334006253</v>
      </c>
    </row>
    <row r="81" spans="1:17" ht="12.75">
      <c r="A81" s="10" t="s">
        <v>135</v>
      </c>
      <c r="B81" s="76">
        <f>30*$B$35</f>
        <v>0.483</v>
      </c>
      <c r="C81" s="49">
        <f>30*$B$35*J81^4</f>
        <v>0.015173141715122997</v>
      </c>
      <c r="D81" s="14"/>
      <c r="E81" s="78">
        <v>4</v>
      </c>
      <c r="F81" s="49"/>
      <c r="G81" s="9"/>
      <c r="H81" s="9"/>
      <c r="I81" s="78"/>
      <c r="J81" s="78">
        <f>$E$50/E81</f>
        <v>0.421</v>
      </c>
      <c r="K81" s="9"/>
      <c r="L81" s="18">
        <f t="shared" si="2"/>
        <v>0.015173141715122997</v>
      </c>
      <c r="M81" s="18">
        <f>M80-Q80</f>
        <v>1.302298437829988</v>
      </c>
      <c r="N81" s="18">
        <f>N80*(M81/M80)^1.1</f>
        <v>8.390171935019803</v>
      </c>
      <c r="O81" s="37">
        <f t="shared" si="3"/>
        <v>1.9091313285305453</v>
      </c>
      <c r="P81" s="18">
        <f t="shared" si="4"/>
        <v>0.04550604173710942</v>
      </c>
      <c r="Q81" s="18">
        <f t="shared" si="5"/>
        <v>0.0031375505656902206</v>
      </c>
    </row>
    <row r="82" spans="1:17" ht="12.75">
      <c r="A82" s="10" t="s">
        <v>136</v>
      </c>
      <c r="B82" s="74">
        <f>(1-I82^2)^2/I82^4</f>
        <v>1.5625000000000002</v>
      </c>
      <c r="C82" s="74">
        <f>30*$B$35*J82^4</f>
        <v>0.0029971637955798513</v>
      </c>
      <c r="D82" s="14"/>
      <c r="E82" s="78"/>
      <c r="F82" s="49"/>
      <c r="G82" s="9"/>
      <c r="H82" s="9"/>
      <c r="I82" s="78">
        <f>E81/E84</f>
        <v>0.6666666666666666</v>
      </c>
      <c r="J82" s="78">
        <f>E50/E84</f>
        <v>0.2806666666666667</v>
      </c>
      <c r="K82" s="9"/>
      <c r="L82" s="18">
        <f t="shared" si="2"/>
        <v>0.0029971637955798513</v>
      </c>
      <c r="M82" s="18">
        <f>M81-Q81</f>
        <v>1.2991608872642977</v>
      </c>
      <c r="N82" s="18">
        <f>N81*(M82/M81)^1.1</f>
        <v>8.367939276221442</v>
      </c>
      <c r="O82" s="37">
        <f t="shared" si="3"/>
        <v>1.9142036723929219</v>
      </c>
      <c r="P82" s="18">
        <f t="shared" si="4"/>
        <v>0.00901273009222921</v>
      </c>
      <c r="Q82" s="18">
        <f t="shared" si="5"/>
        <v>0.0006214097143990196</v>
      </c>
    </row>
    <row r="83" spans="1:17" ht="12.75">
      <c r="A83" s="25" t="s">
        <v>137</v>
      </c>
      <c r="B83" s="75"/>
      <c r="C83" s="48"/>
      <c r="D83" s="32"/>
      <c r="E83" s="77"/>
      <c r="F83" s="48"/>
      <c r="G83" s="43"/>
      <c r="H83" s="43"/>
      <c r="I83" s="77"/>
      <c r="J83" s="77"/>
      <c r="K83" s="43"/>
      <c r="L83" s="38"/>
      <c r="M83" s="33"/>
      <c r="N83" s="33"/>
      <c r="O83" s="39"/>
      <c r="P83" s="33"/>
      <c r="Q83" s="33"/>
    </row>
    <row r="84" spans="1:17" ht="12.75">
      <c r="A84" s="26" t="s">
        <v>90</v>
      </c>
      <c r="B84" s="75">
        <f>B40*D84/E84</f>
        <v>0.24</v>
      </c>
      <c r="C84" s="48">
        <f>B84*J84^4</f>
        <v>0.0014892739356918516</v>
      </c>
      <c r="D84" s="32">
        <f>8*12</f>
        <v>96</v>
      </c>
      <c r="E84" s="77">
        <v>6</v>
      </c>
      <c r="F84" s="48"/>
      <c r="G84" s="43"/>
      <c r="H84" s="43"/>
      <c r="I84" s="77"/>
      <c r="J84" s="77">
        <f>$E$50/E84</f>
        <v>0.2806666666666667</v>
      </c>
      <c r="K84" s="43"/>
      <c r="L84" s="33">
        <f>C84</f>
        <v>0.0014892739356918516</v>
      </c>
      <c r="M84" s="33">
        <f>M82-Q82</f>
        <v>1.2985394775498986</v>
      </c>
      <c r="N84" s="33">
        <f>N82*(M84/M82)^1.1</f>
        <v>8.363536608413737</v>
      </c>
      <c r="O84" s="39">
        <f>1/(N84*0.06243)</f>
        <v>1.915211332582674</v>
      </c>
      <c r="P84" s="33">
        <f>0.00000028*L84*$B$8^2*O84/$E$49^4</f>
        <v>0.004480732672504281</v>
      </c>
      <c r="Q84" s="33">
        <f>P84*6894.8*0.00001</f>
        <v>0.0003089375563038252</v>
      </c>
    </row>
    <row r="85" spans="1:17" ht="12.75">
      <c r="A85" s="26" t="s">
        <v>138</v>
      </c>
      <c r="B85" s="75">
        <v>1</v>
      </c>
      <c r="C85" s="48">
        <f>B85*J85^4</f>
        <v>0.006205308065382715</v>
      </c>
      <c r="D85" s="32"/>
      <c r="E85" s="77">
        <v>6</v>
      </c>
      <c r="F85" s="48"/>
      <c r="G85" s="43"/>
      <c r="H85" s="43"/>
      <c r="I85" s="77"/>
      <c r="J85" s="77">
        <f>$E$50/E85</f>
        <v>0.2806666666666667</v>
      </c>
      <c r="K85" s="43"/>
      <c r="L85" s="40">
        <f>C85</f>
        <v>0.006205308065382715</v>
      </c>
      <c r="M85" s="36">
        <f>M84-Q84</f>
        <v>1.2982305399935947</v>
      </c>
      <c r="N85" s="33">
        <f>N84*(M85/M84)^1.1</f>
        <v>8.361347874181734</v>
      </c>
      <c r="O85" s="41">
        <f>1/(N85*0.06243)</f>
        <v>1.915712673833896</v>
      </c>
      <c r="P85" s="36">
        <f>0.00000028*L85*$B$8^2*O85/$E$49^4</f>
        <v>0.01867460660595171</v>
      </c>
      <c r="Q85" s="36">
        <f>P85*6894.8*0.00001</f>
        <v>0.0012875767762671583</v>
      </c>
    </row>
    <row r="86" spans="1:17" ht="12.75">
      <c r="A86" s="7"/>
      <c r="B86" s="7"/>
      <c r="C86" s="7"/>
      <c r="D86" s="7"/>
      <c r="E86" s="7"/>
      <c r="F86" s="7"/>
      <c r="G86" s="7"/>
      <c r="H86" s="7"/>
      <c r="I86" s="7"/>
      <c r="J86" s="47"/>
      <c r="K86" s="7"/>
      <c r="M86" s="1"/>
      <c r="N86" s="1"/>
      <c r="O86" s="2"/>
      <c r="P86" s="1"/>
      <c r="Q86" s="1"/>
    </row>
    <row r="87" spans="1:17" ht="12.75">
      <c r="A87" s="42" t="s">
        <v>139</v>
      </c>
      <c r="B87" s="42"/>
      <c r="C87" s="47">
        <f>SUM(C45:C85)</f>
        <v>3.7458906681179682</v>
      </c>
      <c r="D87" s="47">
        <f>SUM(D47:D84)</f>
        <v>473.69724409448816</v>
      </c>
      <c r="E87" s="7"/>
      <c r="F87" s="7"/>
      <c r="G87" s="7"/>
      <c r="H87" s="7"/>
      <c r="I87" s="7"/>
      <c r="J87" s="47"/>
      <c r="K87" s="7"/>
      <c r="L87" s="71" t="s">
        <v>4</v>
      </c>
      <c r="M87" s="70">
        <f>M85-Q85</f>
        <v>1.2969429632173275</v>
      </c>
      <c r="N87" s="72"/>
      <c r="O87" s="73" t="s">
        <v>163</v>
      </c>
      <c r="P87" s="70">
        <f>SUM(P45:P85)</f>
        <v>10.196917050279513</v>
      </c>
      <c r="Q87" s="70">
        <f>SUM(Q45:Q85)</f>
        <v>0.7030570367826718</v>
      </c>
    </row>
    <row r="88" spans="4:17" ht="12.75">
      <c r="D88">
        <f>D87*2.54</f>
        <v>1203.191</v>
      </c>
      <c r="O88" s="67" t="s">
        <v>166</v>
      </c>
      <c r="P88" s="67"/>
      <c r="Q88" s="70">
        <f>M45-M87</f>
        <v>0.7030570367826725</v>
      </c>
    </row>
    <row r="89" ht="12.75">
      <c r="A89" t="s">
        <v>2</v>
      </c>
    </row>
    <row r="90" ht="12.75">
      <c r="A90" t="s">
        <v>111</v>
      </c>
    </row>
    <row r="91" ht="12.75">
      <c r="A91" t="s">
        <v>104</v>
      </c>
    </row>
    <row r="92" ht="12.75">
      <c r="A92" t="s">
        <v>105</v>
      </c>
    </row>
    <row r="93" ht="12.75">
      <c r="C93" t="s">
        <v>3</v>
      </c>
    </row>
    <row r="94" ht="12.75">
      <c r="C94" t="s">
        <v>106</v>
      </c>
    </row>
    <row r="95" ht="12.75">
      <c r="C95" t="s">
        <v>1</v>
      </c>
    </row>
  </sheetData>
  <printOptions/>
  <pageMargins left="0.75" right="0.75" top="0.63" bottom="0.47" header="0.5" footer="0.5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H34" sqref="H34"/>
    </sheetView>
  </sheetViews>
  <sheetFormatPr defaultColWidth="9.140625" defaultRowHeight="12.75"/>
  <cols>
    <col min="1" max="5" width="8.8515625" style="0" customWidth="1"/>
    <col min="6" max="6" width="10.7109375" style="0" bestFit="1" customWidth="1"/>
    <col min="7" max="10" width="8.8515625" style="0" customWidth="1"/>
    <col min="11" max="11" width="10.7109375" style="0" bestFit="1" customWidth="1"/>
    <col min="12" max="12" width="8.8515625" style="0" customWidth="1"/>
    <col min="13" max="13" width="11.7109375" style="0" bestFit="1" customWidth="1"/>
    <col min="14" max="17" width="8.8515625" style="0" customWidth="1"/>
    <col min="18" max="18" width="14.421875" style="0" bestFit="1" customWidth="1"/>
    <col min="19" max="19" width="12.421875" style="0" bestFit="1" customWidth="1"/>
    <col min="20" max="16384" width="8.8515625" style="0" customWidth="1"/>
  </cols>
  <sheetData>
    <row r="1" ht="12.75">
      <c r="A1" t="s">
        <v>145</v>
      </c>
    </row>
    <row r="2" ht="12.75">
      <c r="A2" t="s">
        <v>146</v>
      </c>
    </row>
    <row r="4" spans="1:13" ht="12.75">
      <c r="A4" t="s">
        <v>13</v>
      </c>
      <c r="E4">
        <f>933-148</f>
        <v>785</v>
      </c>
      <c r="F4" t="s">
        <v>29</v>
      </c>
      <c r="H4" t="s">
        <v>13</v>
      </c>
      <c r="L4">
        <v>148</v>
      </c>
      <c r="M4" t="s">
        <v>29</v>
      </c>
    </row>
    <row r="5" spans="5:13" ht="12.75">
      <c r="E5">
        <f>E4*2.54^2</f>
        <v>5064.506</v>
      </c>
      <c r="F5" t="s">
        <v>14</v>
      </c>
      <c r="L5">
        <f>L4*2.54^2</f>
        <v>954.8368</v>
      </c>
      <c r="M5" t="s">
        <v>14</v>
      </c>
    </row>
    <row r="6" spans="1:13" ht="12.75">
      <c r="A6" t="s">
        <v>17</v>
      </c>
      <c r="E6">
        <v>2</v>
      </c>
      <c r="F6" t="s">
        <v>18</v>
      </c>
      <c r="H6" t="s">
        <v>17</v>
      </c>
      <c r="L6">
        <v>4</v>
      </c>
      <c r="M6" t="s">
        <v>18</v>
      </c>
    </row>
    <row r="8" spans="3:19" ht="12.75">
      <c r="C8" t="s">
        <v>160</v>
      </c>
      <c r="E8" t="s">
        <v>161</v>
      </c>
      <c r="F8" t="s">
        <v>162</v>
      </c>
      <c r="G8" t="s">
        <v>157</v>
      </c>
      <c r="H8" t="s">
        <v>5</v>
      </c>
      <c r="J8" t="s">
        <v>6</v>
      </c>
      <c r="K8" t="s">
        <v>7</v>
      </c>
      <c r="L8" t="s">
        <v>8</v>
      </c>
      <c r="M8" t="s">
        <v>9</v>
      </c>
      <c r="N8" t="s">
        <v>10</v>
      </c>
      <c r="O8" t="s">
        <v>11</v>
      </c>
      <c r="P8" t="s">
        <v>12</v>
      </c>
      <c r="Q8" t="s">
        <v>15</v>
      </c>
      <c r="R8" t="s">
        <v>19</v>
      </c>
      <c r="S8" t="s">
        <v>19</v>
      </c>
    </row>
    <row r="9" spans="1:19" ht="12.75">
      <c r="A9" t="s">
        <v>147</v>
      </c>
      <c r="C9" t="s">
        <v>155</v>
      </c>
      <c r="D9" t="s">
        <v>149</v>
      </c>
      <c r="E9" t="s">
        <v>153</v>
      </c>
      <c r="F9" t="s">
        <v>150</v>
      </c>
      <c r="G9" t="s">
        <v>159</v>
      </c>
      <c r="H9" t="s">
        <v>155</v>
      </c>
      <c r="I9" t="s">
        <v>149</v>
      </c>
      <c r="J9" t="s">
        <v>153</v>
      </c>
      <c r="K9" t="s">
        <v>150</v>
      </c>
      <c r="R9" t="s">
        <v>30</v>
      </c>
      <c r="S9" t="s">
        <v>31</v>
      </c>
    </row>
    <row r="10" spans="1:19" ht="12.75">
      <c r="A10" t="s">
        <v>148</v>
      </c>
      <c r="B10" t="s">
        <v>55</v>
      </c>
      <c r="C10" t="s">
        <v>156</v>
      </c>
      <c r="D10" t="s">
        <v>151</v>
      </c>
      <c r="E10" t="s">
        <v>154</v>
      </c>
      <c r="F10" t="s">
        <v>152</v>
      </c>
      <c r="G10" t="s">
        <v>158</v>
      </c>
      <c r="H10" t="s">
        <v>156</v>
      </c>
      <c r="I10" t="s">
        <v>151</v>
      </c>
      <c r="J10" t="s">
        <v>154</v>
      </c>
      <c r="K10" t="s">
        <v>152</v>
      </c>
      <c r="L10" t="s">
        <v>158</v>
      </c>
      <c r="M10" t="s">
        <v>158</v>
      </c>
      <c r="N10" t="s">
        <v>158</v>
      </c>
      <c r="O10" t="s">
        <v>152</v>
      </c>
      <c r="P10" t="s">
        <v>152</v>
      </c>
      <c r="Q10" t="s">
        <v>16</v>
      </c>
      <c r="R10" t="s">
        <v>20</v>
      </c>
      <c r="S10" t="s">
        <v>20</v>
      </c>
    </row>
    <row r="11" spans="1:19" ht="12.75">
      <c r="A11">
        <f>12+14.7</f>
        <v>26.7</v>
      </c>
      <c r="B11" s="1">
        <f>A11/14.5</f>
        <v>1.8413793103448275</v>
      </c>
      <c r="C11">
        <v>6</v>
      </c>
      <c r="D11">
        <v>8.878</v>
      </c>
      <c r="E11">
        <f>1/D11</f>
        <v>0.11263798152737103</v>
      </c>
      <c r="F11">
        <v>-3.775</v>
      </c>
      <c r="G11">
        <v>1</v>
      </c>
      <c r="H11">
        <v>7</v>
      </c>
      <c r="I11">
        <v>8.443</v>
      </c>
      <c r="J11">
        <f>1/I11</f>
        <v>0.11844131232974062</v>
      </c>
      <c r="K11">
        <v>-2.986</v>
      </c>
      <c r="L11">
        <f aca="true" t="shared" si="0" ref="L11:L19">E11*G11/J11</f>
        <v>0.9510024780355936</v>
      </c>
      <c r="M11">
        <f aca="true" t="shared" si="1" ref="M11:M19">(G11+L11)/2</f>
        <v>0.9755012390177968</v>
      </c>
      <c r="N11">
        <f aca="true" t="shared" si="2" ref="N11:N19">G11-L11</f>
        <v>0.04899752196440643</v>
      </c>
      <c r="O11">
        <f aca="true" t="shared" si="3" ref="O11:O19">K11-F11</f>
        <v>0.7889999999999997</v>
      </c>
      <c r="P11">
        <f aca="true" t="shared" si="4" ref="P11:P19">O11*M11/N11</f>
        <v>15.708355172413777</v>
      </c>
      <c r="Q11">
        <f>P11*1054.8/453.6</f>
        <v>36.528159250136795</v>
      </c>
      <c r="R11">
        <f aca="true" t="shared" si="5" ref="R11:R19">$E$6*$E$5/Q11</f>
        <v>277.2932501372094</v>
      </c>
      <c r="S11">
        <f>$L$6*$L$5/Q11</f>
        <v>104.55898349122799</v>
      </c>
    </row>
    <row r="12" spans="3:19" ht="12.75">
      <c r="C12">
        <v>7</v>
      </c>
      <c r="D12">
        <v>8.443</v>
      </c>
      <c r="E12">
        <f>1/D12</f>
        <v>0.11844131232974062</v>
      </c>
      <c r="F12">
        <v>-2.986</v>
      </c>
      <c r="G12">
        <v>1</v>
      </c>
      <c r="H12">
        <v>8</v>
      </c>
      <c r="I12">
        <v>7.782</v>
      </c>
      <c r="J12">
        <f>1/I12</f>
        <v>0.1285016705217168</v>
      </c>
      <c r="K12">
        <v>-1.924</v>
      </c>
      <c r="L12">
        <f t="shared" si="0"/>
        <v>0.9217102925500414</v>
      </c>
      <c r="M12">
        <f t="shared" si="1"/>
        <v>0.9608551462750208</v>
      </c>
      <c r="N12">
        <f t="shared" si="2"/>
        <v>0.07828970744995856</v>
      </c>
      <c r="O12">
        <f t="shared" si="3"/>
        <v>1.0620000000000003</v>
      </c>
      <c r="P12">
        <f t="shared" si="4"/>
        <v>13.034001512859307</v>
      </c>
      <c r="Q12">
        <f aca="true" t="shared" si="6" ref="Q12:Q19">P12*1054.8/453.6</f>
        <v>30.309225740220448</v>
      </c>
      <c r="R12">
        <f t="shared" si="5"/>
        <v>334.18907123578435</v>
      </c>
      <c r="S12">
        <f aca="true" t="shared" si="7" ref="S12:S19">$L$6*$L$5/Q12</f>
        <v>126.01269437680531</v>
      </c>
    </row>
    <row r="13" spans="3:19" s="65" customFormat="1" ht="12.75">
      <c r="C13" s="65">
        <v>8</v>
      </c>
      <c r="D13" s="65">
        <v>7.782</v>
      </c>
      <c r="E13" s="65">
        <f>1/D13</f>
        <v>0.1285016705217168</v>
      </c>
      <c r="F13" s="65">
        <v>-1.924</v>
      </c>
      <c r="G13" s="65">
        <v>1</v>
      </c>
      <c r="H13" s="65">
        <v>9</v>
      </c>
      <c r="I13" s="65">
        <v>1.971</v>
      </c>
      <c r="J13" s="65">
        <f>1/I13</f>
        <v>0.5073566717402334</v>
      </c>
      <c r="K13" s="65">
        <v>6.204</v>
      </c>
      <c r="L13" s="65">
        <f t="shared" si="0"/>
        <v>0.2532767925983038</v>
      </c>
      <c r="M13" s="65">
        <f t="shared" si="1"/>
        <v>0.626638396299152</v>
      </c>
      <c r="N13" s="65">
        <f t="shared" si="2"/>
        <v>0.7467232074016962</v>
      </c>
      <c r="O13" s="65">
        <f t="shared" si="3"/>
        <v>8.128</v>
      </c>
      <c r="P13" s="65">
        <f t="shared" si="4"/>
        <v>6.820890036138359</v>
      </c>
      <c r="Q13" s="65">
        <f t="shared" si="6"/>
        <v>15.861276036416978</v>
      </c>
      <c r="R13" s="65">
        <f t="shared" si="5"/>
        <v>638.6000708104516</v>
      </c>
      <c r="S13" s="65">
        <f t="shared" si="7"/>
        <v>240.79696937566072</v>
      </c>
    </row>
    <row r="14" spans="3:19" ht="12.75">
      <c r="C14">
        <v>9</v>
      </c>
      <c r="D14">
        <v>1.971</v>
      </c>
      <c r="E14">
        <f>1/D14</f>
        <v>0.5073566717402334</v>
      </c>
      <c r="F14">
        <v>6.204</v>
      </c>
      <c r="G14">
        <v>1</v>
      </c>
      <c r="H14">
        <v>10</v>
      </c>
      <c r="I14">
        <v>1.391</v>
      </c>
      <c r="J14">
        <f aca="true" t="shared" si="8" ref="J14:J19">1/I14</f>
        <v>0.7189072609633357</v>
      </c>
      <c r="K14">
        <v>8.756</v>
      </c>
      <c r="L14">
        <f t="shared" si="0"/>
        <v>0.7057331303906647</v>
      </c>
      <c r="M14">
        <f t="shared" si="1"/>
        <v>0.8528665651953323</v>
      </c>
      <c r="N14">
        <f t="shared" si="2"/>
        <v>0.29426686960933535</v>
      </c>
      <c r="O14">
        <f t="shared" si="3"/>
        <v>2.5520000000000005</v>
      </c>
      <c r="P14">
        <f t="shared" si="4"/>
        <v>7.3964000000000025</v>
      </c>
      <c r="Q14">
        <f t="shared" si="6"/>
        <v>17.199565079365083</v>
      </c>
      <c r="R14">
        <f t="shared" si="5"/>
        <v>588.9109377627303</v>
      </c>
      <c r="S14">
        <f t="shared" si="7"/>
        <v>222.06068481244353</v>
      </c>
    </row>
    <row r="15" spans="3:19" ht="12.75">
      <c r="C15">
        <v>10</v>
      </c>
      <c r="D15">
        <v>1.391</v>
      </c>
      <c r="E15">
        <f aca="true" t="shared" si="9" ref="E15:E28">1/D15</f>
        <v>0.7189072609633357</v>
      </c>
      <c r="F15">
        <v>8.756</v>
      </c>
      <c r="G15">
        <v>1</v>
      </c>
      <c r="H15">
        <v>11</v>
      </c>
      <c r="I15">
        <v>1.145</v>
      </c>
      <c r="J15">
        <f t="shared" si="8"/>
        <v>0.8733624454148472</v>
      </c>
      <c r="K15">
        <v>10.6</v>
      </c>
      <c r="L15">
        <f t="shared" si="0"/>
        <v>0.8231488138030193</v>
      </c>
      <c r="M15">
        <f t="shared" si="1"/>
        <v>0.9115744069015097</v>
      </c>
      <c r="N15">
        <f t="shared" si="2"/>
        <v>0.1768511861969807</v>
      </c>
      <c r="O15">
        <f t="shared" si="3"/>
        <v>1.8439999999999994</v>
      </c>
      <c r="P15">
        <f t="shared" si="4"/>
        <v>9.504845528455276</v>
      </c>
      <c r="Q15">
        <f t="shared" si="6"/>
        <v>22.102537617757108</v>
      </c>
      <c r="R15">
        <f t="shared" si="5"/>
        <v>458.2737138681481</v>
      </c>
      <c r="S15">
        <f t="shared" si="7"/>
        <v>172.80129847767114</v>
      </c>
    </row>
    <row r="16" spans="3:19" ht="12.75">
      <c r="C16">
        <v>11</v>
      </c>
      <c r="D16">
        <v>1.145</v>
      </c>
      <c r="E16">
        <f t="shared" si="9"/>
        <v>0.8733624454148472</v>
      </c>
      <c r="F16">
        <v>10.6</v>
      </c>
      <c r="G16">
        <v>1</v>
      </c>
      <c r="H16">
        <v>12</v>
      </c>
      <c r="I16">
        <v>0.9903</v>
      </c>
      <c r="J16">
        <f t="shared" si="8"/>
        <v>1.0097950116126426</v>
      </c>
      <c r="K16">
        <v>12.23</v>
      </c>
      <c r="L16">
        <f t="shared" si="0"/>
        <v>0.8648908296943232</v>
      </c>
      <c r="M16">
        <f t="shared" si="1"/>
        <v>0.9324454148471616</v>
      </c>
      <c r="N16">
        <f t="shared" si="2"/>
        <v>0.13510917030567682</v>
      </c>
      <c r="O16">
        <f t="shared" si="3"/>
        <v>1.6300000000000008</v>
      </c>
      <c r="P16">
        <f t="shared" si="4"/>
        <v>11.24931803490628</v>
      </c>
      <c r="Q16">
        <f t="shared" si="6"/>
        <v>26.159128446250314</v>
      </c>
      <c r="R16">
        <f t="shared" si="5"/>
        <v>387.20754863115127</v>
      </c>
      <c r="S16">
        <f t="shared" si="7"/>
        <v>146.00437502524937</v>
      </c>
    </row>
    <row r="17" spans="3:19" ht="12.75">
      <c r="C17">
        <v>12</v>
      </c>
      <c r="D17">
        <v>0.9903</v>
      </c>
      <c r="E17">
        <f t="shared" si="9"/>
        <v>1.0097950116126426</v>
      </c>
      <c r="F17">
        <v>12.23</v>
      </c>
      <c r="G17">
        <v>1</v>
      </c>
      <c r="H17">
        <v>13</v>
      </c>
      <c r="I17">
        <v>0.8793</v>
      </c>
      <c r="J17">
        <f t="shared" si="8"/>
        <v>1.1372682815876265</v>
      </c>
      <c r="K17">
        <v>13.76</v>
      </c>
      <c r="L17">
        <f t="shared" si="0"/>
        <v>0.8879127537109966</v>
      </c>
      <c r="M17">
        <f t="shared" si="1"/>
        <v>0.9439563768554984</v>
      </c>
      <c r="N17">
        <f t="shared" si="2"/>
        <v>0.11208724628900335</v>
      </c>
      <c r="O17">
        <f t="shared" si="3"/>
        <v>1.5299999999999994</v>
      </c>
      <c r="P17">
        <f t="shared" si="4"/>
        <v>12.885081081081074</v>
      </c>
      <c r="Q17">
        <f t="shared" si="6"/>
        <v>29.96292664092662</v>
      </c>
      <c r="R17">
        <f t="shared" si="5"/>
        <v>338.051490142645</v>
      </c>
      <c r="S17">
        <f t="shared" si="7"/>
        <v>127.46909692002919</v>
      </c>
    </row>
    <row r="18" spans="3:19" ht="12.75">
      <c r="C18">
        <v>13</v>
      </c>
      <c r="D18">
        <v>0.8793</v>
      </c>
      <c r="E18">
        <f t="shared" si="9"/>
        <v>1.1372682815876265</v>
      </c>
      <c r="F18">
        <v>13.76</v>
      </c>
      <c r="G18">
        <v>1</v>
      </c>
      <c r="H18">
        <v>14</v>
      </c>
      <c r="I18">
        <v>0.7942</v>
      </c>
      <c r="J18">
        <f t="shared" si="8"/>
        <v>1.2591286829513977</v>
      </c>
      <c r="K18">
        <v>15.23</v>
      </c>
      <c r="L18">
        <f t="shared" si="0"/>
        <v>0.903218469236893</v>
      </c>
      <c r="M18">
        <f t="shared" si="1"/>
        <v>0.9516092346184465</v>
      </c>
      <c r="N18">
        <f t="shared" si="2"/>
        <v>0.09678153076310703</v>
      </c>
      <c r="O18">
        <f t="shared" si="3"/>
        <v>1.4700000000000006</v>
      </c>
      <c r="P18">
        <f t="shared" si="4"/>
        <v>14.453848413631027</v>
      </c>
      <c r="Q18">
        <f t="shared" si="6"/>
        <v>33.610933215824524</v>
      </c>
      <c r="R18">
        <f t="shared" si="5"/>
        <v>301.3606297379185</v>
      </c>
      <c r="S18">
        <f t="shared" si="7"/>
        <v>113.63407185022149</v>
      </c>
    </row>
    <row r="19" spans="3:19" ht="12.75">
      <c r="C19">
        <v>14</v>
      </c>
      <c r="D19">
        <v>0.7942</v>
      </c>
      <c r="E19">
        <f t="shared" si="9"/>
        <v>1.2591286829513977</v>
      </c>
      <c r="F19">
        <v>15.23</v>
      </c>
      <c r="G19">
        <v>1</v>
      </c>
      <c r="H19">
        <v>15</v>
      </c>
      <c r="I19">
        <v>0.7261</v>
      </c>
      <c r="J19">
        <f t="shared" si="8"/>
        <v>1.3772207684891888</v>
      </c>
      <c r="K19">
        <v>16.65</v>
      </c>
      <c r="L19">
        <f t="shared" si="0"/>
        <v>0.9142533366910098</v>
      </c>
      <c r="M19">
        <f t="shared" si="1"/>
        <v>0.9571266683455049</v>
      </c>
      <c r="N19">
        <f t="shared" si="2"/>
        <v>0.08574666330899017</v>
      </c>
      <c r="O19">
        <f t="shared" si="3"/>
        <v>1.4199999999999982</v>
      </c>
      <c r="P19">
        <f t="shared" si="4"/>
        <v>15.85041116005872</v>
      </c>
      <c r="Q19">
        <f t="shared" si="6"/>
        <v>36.85849579283496</v>
      </c>
      <c r="R19">
        <f t="shared" si="5"/>
        <v>274.80806750580996</v>
      </c>
      <c r="S19">
        <f t="shared" si="7"/>
        <v>103.62189551811431</v>
      </c>
    </row>
    <row r="20" spans="3:7" ht="12.75">
      <c r="C20">
        <v>15</v>
      </c>
      <c r="D20">
        <v>0.7261</v>
      </c>
      <c r="E20">
        <f t="shared" si="9"/>
        <v>1.3772207684891888</v>
      </c>
      <c r="F20">
        <v>16.65</v>
      </c>
      <c r="G20">
        <v>1</v>
      </c>
    </row>
    <row r="22" spans="1:16" ht="12.75">
      <c r="A22">
        <v>50</v>
      </c>
      <c r="C22">
        <v>6</v>
      </c>
      <c r="D22">
        <v>9.112</v>
      </c>
      <c r="E22">
        <f t="shared" si="9"/>
        <v>0.10974539069359086</v>
      </c>
      <c r="F22">
        <v>-3.4012</v>
      </c>
      <c r="G22">
        <v>1</v>
      </c>
      <c r="H22">
        <v>8</v>
      </c>
      <c r="I22">
        <v>8.264</v>
      </c>
      <c r="J22">
        <f aca="true" t="shared" si="10" ref="J22:J27">1/I22</f>
        <v>0.12100677637947727</v>
      </c>
      <c r="K22">
        <v>-1.7582</v>
      </c>
      <c r="L22">
        <f aca="true" t="shared" si="11" ref="L22:L27">E22*G22/J22</f>
        <v>0.9069359086918348</v>
      </c>
      <c r="M22">
        <f aca="true" t="shared" si="12" ref="M22:M27">(G22+L22)/2</f>
        <v>0.9534679543459175</v>
      </c>
      <c r="N22">
        <f aca="true" t="shared" si="13" ref="N22:N27">G22-L22</f>
        <v>0.09306409130816518</v>
      </c>
      <c r="O22">
        <f aca="true" t="shared" si="14" ref="O22:O27">K22-F22</f>
        <v>1.6429999999999998</v>
      </c>
      <c r="P22">
        <f aca="true" t="shared" si="15" ref="P22:P27">O22*M22/N22</f>
        <v>16.832999999999977</v>
      </c>
    </row>
    <row r="23" spans="3:16" ht="12.75">
      <c r="C23">
        <v>8</v>
      </c>
      <c r="D23">
        <v>8.264</v>
      </c>
      <c r="E23">
        <f t="shared" si="9"/>
        <v>0.12100677637947727</v>
      </c>
      <c r="F23">
        <v>-1.7582</v>
      </c>
      <c r="G23">
        <v>1</v>
      </c>
      <c r="H23">
        <v>10</v>
      </c>
      <c r="I23">
        <v>6.108</v>
      </c>
      <c r="J23">
        <f t="shared" si="10"/>
        <v>0.16371971185330714</v>
      </c>
      <c r="K23">
        <v>1.563</v>
      </c>
      <c r="L23">
        <f t="shared" si="11"/>
        <v>0.7391093901258471</v>
      </c>
      <c r="M23">
        <f t="shared" si="12"/>
        <v>0.8695546950629236</v>
      </c>
      <c r="N23">
        <f t="shared" si="13"/>
        <v>0.2608906098741529</v>
      </c>
      <c r="O23">
        <f t="shared" si="14"/>
        <v>3.3212</v>
      </c>
      <c r="P23">
        <f t="shared" si="15"/>
        <v>11.069639703153992</v>
      </c>
    </row>
    <row r="24" spans="3:16" ht="12.75">
      <c r="C24">
        <v>10</v>
      </c>
      <c r="D24">
        <v>6.108</v>
      </c>
      <c r="E24">
        <f t="shared" si="9"/>
        <v>0.16371971185330714</v>
      </c>
      <c r="F24">
        <v>1.563</v>
      </c>
      <c r="G24">
        <v>1</v>
      </c>
      <c r="H24">
        <v>12</v>
      </c>
      <c r="I24">
        <v>2.354</v>
      </c>
      <c r="J24">
        <f t="shared" si="10"/>
        <v>0.42480883602378927</v>
      </c>
      <c r="K24">
        <v>9.33</v>
      </c>
      <c r="L24">
        <f t="shared" si="11"/>
        <v>0.385396201702685</v>
      </c>
      <c r="M24">
        <f t="shared" si="12"/>
        <v>0.6926981008513425</v>
      </c>
      <c r="N24">
        <f t="shared" si="13"/>
        <v>0.6146037982973149</v>
      </c>
      <c r="O24">
        <f t="shared" si="14"/>
        <v>7.767</v>
      </c>
      <c r="P24">
        <f t="shared" si="15"/>
        <v>8.753909696323923</v>
      </c>
    </row>
    <row r="25" spans="3:16" ht="12.75">
      <c r="C25">
        <v>12</v>
      </c>
      <c r="D25">
        <v>2.354</v>
      </c>
      <c r="E25">
        <f t="shared" si="9"/>
        <v>0.42480883602378927</v>
      </c>
      <c r="F25">
        <v>9.33</v>
      </c>
      <c r="G25">
        <v>1</v>
      </c>
      <c r="H25">
        <v>14</v>
      </c>
      <c r="I25">
        <v>1.672</v>
      </c>
      <c r="J25">
        <f t="shared" si="10"/>
        <v>0.5980861244019139</v>
      </c>
      <c r="K25">
        <v>13.3</v>
      </c>
      <c r="L25">
        <f t="shared" si="11"/>
        <v>0.7102803738317757</v>
      </c>
      <c r="M25">
        <f t="shared" si="12"/>
        <v>0.8551401869158879</v>
      </c>
      <c r="N25">
        <f t="shared" si="13"/>
        <v>0.28971962616822433</v>
      </c>
      <c r="O25">
        <f t="shared" si="14"/>
        <v>3.9700000000000006</v>
      </c>
      <c r="P25">
        <f t="shared" si="15"/>
        <v>11.717903225806452</v>
      </c>
    </row>
    <row r="26" spans="3:16" ht="12.75">
      <c r="C26">
        <v>14</v>
      </c>
      <c r="D26">
        <v>1.672</v>
      </c>
      <c r="E26">
        <f t="shared" si="9"/>
        <v>0.5980861244019139</v>
      </c>
      <c r="F26">
        <v>13.3</v>
      </c>
      <c r="G26">
        <v>1</v>
      </c>
      <c r="H26">
        <v>16</v>
      </c>
      <c r="I26">
        <v>1.346</v>
      </c>
      <c r="J26">
        <f t="shared" si="10"/>
        <v>0.7429420505200593</v>
      </c>
      <c r="K26">
        <v>16.56</v>
      </c>
      <c r="L26">
        <f t="shared" si="11"/>
        <v>0.8050239234449762</v>
      </c>
      <c r="M26">
        <f t="shared" si="12"/>
        <v>0.9025119617224882</v>
      </c>
      <c r="N26">
        <f t="shared" si="13"/>
        <v>0.1949760765550238</v>
      </c>
      <c r="O26">
        <f t="shared" si="14"/>
        <v>3.259999999999998</v>
      </c>
      <c r="P26">
        <f t="shared" si="15"/>
        <v>15.090000000000002</v>
      </c>
    </row>
    <row r="27" spans="3:16" ht="12.75">
      <c r="C27">
        <v>16</v>
      </c>
      <c r="D27">
        <v>1.346</v>
      </c>
      <c r="E27">
        <f t="shared" si="9"/>
        <v>0.7429420505200593</v>
      </c>
      <c r="F27">
        <v>16.56</v>
      </c>
      <c r="G27">
        <v>1</v>
      </c>
      <c r="H27">
        <v>18</v>
      </c>
      <c r="I27">
        <v>1.142</v>
      </c>
      <c r="J27">
        <f t="shared" si="10"/>
        <v>0.8756567425569177</v>
      </c>
      <c r="K27">
        <v>19.56</v>
      </c>
      <c r="L27">
        <f t="shared" si="11"/>
        <v>0.8484398216939077</v>
      </c>
      <c r="M27">
        <f t="shared" si="12"/>
        <v>0.9242199108469539</v>
      </c>
      <c r="N27">
        <f t="shared" si="13"/>
        <v>0.15156017830609225</v>
      </c>
      <c r="O27">
        <f t="shared" si="14"/>
        <v>3</v>
      </c>
      <c r="P27">
        <f t="shared" si="15"/>
        <v>18.29411764705881</v>
      </c>
    </row>
    <row r="28" spans="3:7" ht="12.75">
      <c r="C28">
        <v>18</v>
      </c>
      <c r="D28">
        <v>1.142</v>
      </c>
      <c r="E28">
        <f t="shared" si="9"/>
        <v>0.8756567425569177</v>
      </c>
      <c r="F28">
        <v>19.56</v>
      </c>
      <c r="G28">
        <v>1</v>
      </c>
    </row>
    <row r="30" spans="2:6" ht="12.75">
      <c r="B30" s="44"/>
      <c r="C30" s="44"/>
      <c r="D30" s="44" t="s">
        <v>52</v>
      </c>
      <c r="E30" s="44"/>
      <c r="F30" s="44"/>
    </row>
    <row r="31" spans="2:6" ht="12.75">
      <c r="B31" s="44"/>
      <c r="C31" s="44"/>
      <c r="D31" s="44" t="s">
        <v>45</v>
      </c>
      <c r="E31" s="44" t="s">
        <v>49</v>
      </c>
      <c r="F31" s="44" t="s">
        <v>47</v>
      </c>
    </row>
    <row r="32" spans="2:6" ht="12.75">
      <c r="B32" s="44"/>
      <c r="C32" s="44"/>
      <c r="D32" s="44" t="s">
        <v>46</v>
      </c>
      <c r="E32" s="44" t="s">
        <v>50</v>
      </c>
      <c r="F32" s="44" t="s">
        <v>48</v>
      </c>
    </row>
    <row r="33" spans="2:16" ht="12.75">
      <c r="B33" s="66">
        <v>2.2</v>
      </c>
      <c r="C33" s="44"/>
      <c r="D33" s="66">
        <v>13</v>
      </c>
      <c r="E33" s="66">
        <f>E5*E6</f>
        <v>10129.012</v>
      </c>
      <c r="F33" s="66">
        <f>E33/D33</f>
        <v>779.1547692307693</v>
      </c>
      <c r="I33" s="65"/>
      <c r="J33" s="65"/>
      <c r="K33" s="65"/>
      <c r="L33" s="65"/>
      <c r="M33" s="65"/>
      <c r="N33" s="65"/>
      <c r="O33" s="65"/>
      <c r="P33" s="65"/>
    </row>
    <row r="34" spans="2:16" ht="12.75">
      <c r="B34" s="66">
        <v>2</v>
      </c>
      <c r="C34" s="44"/>
      <c r="D34" s="66">
        <v>13.3</v>
      </c>
      <c r="E34" s="66">
        <f>E33</f>
        <v>10129.012</v>
      </c>
      <c r="F34" s="66">
        <f>E34/D34</f>
        <v>761.5798496240601</v>
      </c>
      <c r="H34" s="44" t="s">
        <v>103</v>
      </c>
      <c r="I34" s="44"/>
      <c r="J34" s="44"/>
      <c r="K34" s="44"/>
      <c r="L34" s="44"/>
      <c r="M34" s="44"/>
      <c r="N34" s="44"/>
      <c r="O34" s="44"/>
      <c r="P34" s="44"/>
    </row>
    <row r="35" spans="2:6" ht="12.75">
      <c r="B35" s="66">
        <v>1.8</v>
      </c>
      <c r="C35" s="44"/>
      <c r="D35" s="66">
        <v>13.7</v>
      </c>
      <c r="E35" s="66">
        <f>E34</f>
        <v>10129.012</v>
      </c>
      <c r="F35" s="66">
        <f>E35/D35</f>
        <v>739.3439416058395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mlwong</dc:creator>
  <cp:keywords/>
  <dc:description/>
  <cp:lastModifiedBy> Tom Peterson </cp:lastModifiedBy>
  <cp:lastPrinted>2008-03-05T16:40:24Z</cp:lastPrinted>
  <dcterms:created xsi:type="dcterms:W3CDTF">2008-01-10T17:23:34Z</dcterms:created>
  <dcterms:modified xsi:type="dcterms:W3CDTF">2008-04-11T21:36:38Z</dcterms:modified>
  <cp:category/>
  <cp:version/>
  <cp:contentType/>
  <cp:contentStatus/>
</cp:coreProperties>
</file>