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3060" tabRatio="858" activeTab="3"/>
  </bookViews>
  <sheets>
    <sheet name="6-A" sheetId="1" r:id="rId1"/>
    <sheet name="6-C" sheetId="2" r:id="rId2"/>
    <sheet name="6-D" sheetId="3" r:id="rId3"/>
    <sheet name="6-J-1" sheetId="4" r:id="rId4"/>
    <sheet name="6-J-2" sheetId="5" r:id="rId5"/>
    <sheet name="6-J-3" sheetId="6" r:id="rId6"/>
    <sheet name="6-J-4" sheetId="7" r:id="rId7"/>
    <sheet name="6-J-5" sheetId="8" r:id="rId8"/>
    <sheet name="6-J-6" sheetId="9" r:id="rId9"/>
    <sheet name="6-J-7" sheetId="10" r:id="rId10"/>
    <sheet name="6-J-8" sheetId="11" r:id="rId11"/>
    <sheet name="6-N-1" sheetId="12" r:id="rId12"/>
    <sheet name="6-N-2" sheetId="13" r:id="rId13"/>
    <sheet name="6-N-3" sheetId="14" r:id="rId14"/>
  </sheets>
  <definedNames>
    <definedName name="\a">#REF!</definedName>
    <definedName name="_xlnm.Print_Area" localSheetId="0">'6-A'!$A$1:$T$53</definedName>
    <definedName name="_xlnm.Print_Area" localSheetId="1">'6-C'!$A$1:$P$32</definedName>
    <definedName name="_xlnm.Print_Area" localSheetId="2">'6-D'!$A$1:$P$37</definedName>
    <definedName name="_xlnm.Print_Area" localSheetId="4">'6-J-2'!$A$1:$L$48</definedName>
    <definedName name="_xlnm.Print_Area" localSheetId="5">'6-J-3'!$A$1:$T$49</definedName>
    <definedName name="_xlnm.Print_Area" localSheetId="6">'6-J-4'!$A$1:$T$48</definedName>
    <definedName name="_xlnm.Print_Area" localSheetId="7">'6-J-5'!$A$1:$I$48</definedName>
    <definedName name="_xlnm.Print_Area" localSheetId="9">'6-J-7'!$A$1:$J$48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<sst xmlns="http://schemas.openxmlformats.org/spreadsheetml/2006/main" count="842" uniqueCount="289">
  <si>
    <t>TEST YEAR</t>
  </si>
  <si>
    <t>Final Adjustments</t>
  </si>
  <si>
    <t>REVENUES</t>
  </si>
  <si>
    <t>STATEMENTS OF REVENUE AND EXPENSE</t>
  </si>
  <si>
    <t>($ IN MILLIONS)</t>
  </si>
  <si>
    <t>ACTUAL</t>
  </si>
  <si>
    <t xml:space="preserve">ESTIMATE </t>
  </si>
  <si>
    <t>LINE</t>
  </si>
  <si>
    <t>NUMBER</t>
  </si>
  <si>
    <t>OPERATING REVENUE</t>
  </si>
  <si>
    <t xml:space="preserve">APPROPRIATIONS </t>
  </si>
  <si>
    <t>INTEREST &amp; INVESTMENT INCOME</t>
  </si>
  <si>
    <t xml:space="preserve">TOTAL REVENUES </t>
  </si>
  <si>
    <t>OPERATING EXPENSES</t>
  </si>
  <si>
    <t>POSTMASTERS</t>
  </si>
  <si>
    <t>MANAGERS, SUPERVISORS &amp; TECHNICAL PERSONNEL</t>
  </si>
  <si>
    <t>CLERKS &amp; MAILHANDERS</t>
  </si>
  <si>
    <t>CLERKS, CAG K POST OFFICES</t>
  </si>
  <si>
    <t>CITY DELIVERY CARRIERS</t>
  </si>
  <si>
    <t xml:space="preserve">   </t>
  </si>
  <si>
    <t>VEHICLE SERVICE DRIVERS</t>
  </si>
  <si>
    <t>SPECIAL DELIVERY MESSENGERS</t>
  </si>
  <si>
    <t>RURAL CARRIERS</t>
  </si>
  <si>
    <t xml:space="preserve">CUSTODIAL &amp; MAINTENANCE SERVICES </t>
  </si>
  <si>
    <t>MOTOR VEHICLE SERVICES</t>
  </si>
  <si>
    <t>MISCELLANEOUS LOCAL OPERATIONS</t>
  </si>
  <si>
    <t>CONTRACTURAL TRANSPORTATION OF MAIL</t>
  </si>
  <si>
    <t>BUILDING OCCUPANCY</t>
  </si>
  <si>
    <t>RESEARCH &amp; DEVELOPMENT</t>
  </si>
  <si>
    <t>EQUIPMENT MAINT. &amp; MANAGEMENT TRAINING SUPPORT</t>
  </si>
  <si>
    <t xml:space="preserve">SUPPLIES &amp; SERVICES    </t>
  </si>
  <si>
    <t xml:space="preserve">HQ &amp; AREA ADMIN. &amp; CORPORATEWIDE PERSONNEL COSTS    </t>
  </si>
  <si>
    <t xml:space="preserve">DEPRECIATION, WRITE-OFFS, CLAIMS, &amp; INTEREST   </t>
  </si>
  <si>
    <t xml:space="preserve">TOTAL ACCRUED COSTS </t>
  </si>
  <si>
    <t xml:space="preserve">NET INCOME (LOSS) </t>
  </si>
  <si>
    <t xml:space="preserve">CONTINGENCY </t>
  </si>
  <si>
    <t>NET INCOME (LOSS) WITH CONTINGENCY</t>
  </si>
  <si>
    <t>RECOVERY OF PRIOR YEAR LOSSES</t>
  </si>
  <si>
    <t xml:space="preserve">TOTAL REVENUE REQUIREMENT </t>
  </si>
  <si>
    <t>NET SURPLUS (DEFICIENCY)</t>
  </si>
  <si>
    <t xml:space="preserve">      NOTE:  NUMBERS MAY NOT ADD DUE TO ROUNDING</t>
  </si>
  <si>
    <t>6&amp;7</t>
  </si>
  <si>
    <t>(Millions)</t>
  </si>
  <si>
    <t>Line</t>
  </si>
  <si>
    <t>No.</t>
  </si>
  <si>
    <t>Class</t>
  </si>
  <si>
    <t>Actual 1/</t>
  </si>
  <si>
    <t>Estimate 2/</t>
  </si>
  <si>
    <t>First Class</t>
  </si>
  <si>
    <t>Priority</t>
  </si>
  <si>
    <t>Express Mail</t>
  </si>
  <si>
    <t>Mailgrams</t>
  </si>
  <si>
    <t>Periodicals</t>
  </si>
  <si>
    <t>U.S.Postal Service</t>
  </si>
  <si>
    <t>Free for the Blind</t>
  </si>
  <si>
    <t>International</t>
  </si>
  <si>
    <t>Total Mail Volume</t>
  </si>
  <si>
    <t>Total Mail Revenue</t>
  </si>
  <si>
    <t>Special Services</t>
  </si>
  <si>
    <t>Other Income</t>
  </si>
  <si>
    <t>Dollars In Thousands</t>
  </si>
  <si>
    <t>Workyear</t>
  </si>
  <si>
    <t xml:space="preserve">Adjusted </t>
  </si>
  <si>
    <t>Rollforward</t>
  </si>
  <si>
    <t>Mix</t>
  </si>
  <si>
    <t>Total</t>
  </si>
  <si>
    <t>Other</t>
  </si>
  <si>
    <t xml:space="preserve">SUBTOTAL   </t>
  </si>
  <si>
    <t>Unallocated Final Adjustments</t>
  </si>
  <si>
    <t>Totals</t>
  </si>
  <si>
    <t>Package Services</t>
  </si>
  <si>
    <t>Mail</t>
  </si>
  <si>
    <t xml:space="preserve">Standard Mail </t>
  </si>
  <si>
    <t>FY 2005</t>
  </si>
  <si>
    <t>Total Revenue</t>
  </si>
  <si>
    <t>Appropriations</t>
  </si>
  <si>
    <t>USPS 6 N</t>
  </si>
  <si>
    <t>USPS 6D</t>
  </si>
  <si>
    <t>USPS 6A</t>
  </si>
  <si>
    <t xml:space="preserve">HQ &amp; AREA ADMIN. &amp; SERVICEWIDE PERSONNEL COSTS    </t>
  </si>
  <si>
    <t>FINAL ADJUSTMENTS (not allocated to cost segment)</t>
  </si>
  <si>
    <t>Test Yr BR</t>
  </si>
  <si>
    <t>Test Yr AR</t>
  </si>
  <si>
    <t>Adjustment of Rollforward Cost for Workyear Mix and Final Adjustments</t>
  </si>
  <si>
    <t>COMPARATIVE STATEMENTS OF REVENUE AND EXPENSE</t>
  </si>
  <si>
    <t>($ MILLIONS)</t>
  </si>
  <si>
    <t>OVER OR</t>
  </si>
  <si>
    <t>A.</t>
  </si>
  <si>
    <t>REVENUE AND OPERATING RECEIPTS</t>
  </si>
  <si>
    <t>(UNDER)</t>
  </si>
  <si>
    <t>INTEREST INCOME</t>
  </si>
  <si>
    <t>TOTAL REVENUES &amp; OPERATING RECEIPTS</t>
  </si>
  <si>
    <t>B.</t>
  </si>
  <si>
    <t>REVENUE REQUIREMENT</t>
  </si>
  <si>
    <t>FINAL ADJUSTMENTS</t>
  </si>
  <si>
    <t>TOTAL COSTS</t>
  </si>
  <si>
    <t>C.</t>
  </si>
  <si>
    <t>REVENUE SURPLUS (DEFICIENCY)</t>
  </si>
  <si>
    <t>NET INCOME (LOSS) WITHOUT CONTINGENCY</t>
  </si>
  <si>
    <t>USPS 6J</t>
  </si>
  <si>
    <t>PERCENT</t>
  </si>
  <si>
    <t>WEIGHTED</t>
  </si>
  <si>
    <t>AVERAGE</t>
  </si>
  <si>
    <t>1/</t>
  </si>
  <si>
    <t>2/</t>
  </si>
  <si>
    <t>VARIANCE</t>
  </si>
  <si>
    <t>COST</t>
  </si>
  <si>
    <t xml:space="preserve">INTEREST INCOME </t>
  </si>
  <si>
    <t>SEGMENT</t>
  </si>
  <si>
    <t>TOTAL REVENUES &amp; OPER RECEIPTS</t>
  </si>
  <si>
    <t>1</t>
  </si>
  <si>
    <t>2</t>
  </si>
  <si>
    <t>3</t>
  </si>
  <si>
    <t>4</t>
  </si>
  <si>
    <t>6 &amp; 7</t>
  </si>
  <si>
    <t>8</t>
  </si>
  <si>
    <t>9</t>
  </si>
  <si>
    <t>10</t>
  </si>
  <si>
    <t>11</t>
  </si>
  <si>
    <t>12</t>
  </si>
  <si>
    <t>13</t>
  </si>
  <si>
    <t>14</t>
  </si>
  <si>
    <t>15</t>
  </si>
  <si>
    <t>17</t>
  </si>
  <si>
    <t>19</t>
  </si>
  <si>
    <t>16</t>
  </si>
  <si>
    <t>18</t>
  </si>
  <si>
    <t>20</t>
  </si>
  <si>
    <t>TOTAL COST INCLUDING CONTINGENCY</t>
  </si>
  <si>
    <t>NOTE:</t>
  </si>
  <si>
    <t>COLUMN TOTALS MAY NOT ADD DUE TO ROUNDING.</t>
  </si>
  <si>
    <t>VARIANCE COMPARISON:  ACTUAL OVER OR UNDER ( ) ESTIMATE</t>
  </si>
  <si>
    <t>SOURCES:</t>
  </si>
  <si>
    <t>HISTORICAL WEIGHTED AVERAGE PERCENTAGE REVENUE AND EXPENSE VARIANCES FOR TEST YEARS</t>
  </si>
  <si>
    <t>($ Millions)</t>
  </si>
  <si>
    <t>R97-1    1/</t>
  </si>
  <si>
    <t>Four Year Totals</t>
  </si>
  <si>
    <t xml:space="preserve">After </t>
  </si>
  <si>
    <t xml:space="preserve">Before </t>
  </si>
  <si>
    <t>After</t>
  </si>
  <si>
    <t>Rates</t>
  </si>
  <si>
    <t>% Over</t>
  </si>
  <si>
    <t>Estimated</t>
  </si>
  <si>
    <t>Actual</t>
  </si>
  <si>
    <t>(Under)</t>
  </si>
  <si>
    <t>Total Revenues</t>
  </si>
  <si>
    <t>Cost</t>
  </si>
  <si>
    <t>Segment</t>
  </si>
  <si>
    <t>Subtotal</t>
  </si>
  <si>
    <t>N/M</t>
  </si>
  <si>
    <t>Total Accrued Costs</t>
  </si>
  <si>
    <t>Note: Test year estimates reflect after rates except Docket R97-1 which reflects before rates.</t>
  </si>
  <si>
    <t>APPLICATION OF HISTORICAL WEIGHTED AVERAGE</t>
  </si>
  <si>
    <t xml:space="preserve">        ($ THOUSANDS)</t>
  </si>
  <si>
    <t>WEIGHTED 1/</t>
  </si>
  <si>
    <t>ESTIMATE</t>
  </si>
  <si>
    <t>AVG. % VAR.</t>
  </si>
  <si>
    <t>5</t>
  </si>
  <si>
    <t>6</t>
  </si>
  <si>
    <t>7</t>
  </si>
  <si>
    <t>4/</t>
  </si>
  <si>
    <t>TOTAL COST</t>
  </si>
  <si>
    <t>3/</t>
  </si>
  <si>
    <t>TOTAL UNFAVORABLE VARIANCE</t>
  </si>
  <si>
    <t>TOTAL AS PERCENTAGE OF TOTAL</t>
  </si>
  <si>
    <t>PROJECTED TEST YEAR COSTS</t>
  </si>
  <si>
    <t>2/   ACTUAL EXPENSE GREATER THAN ESTIMATED.</t>
  </si>
  <si>
    <t>3/   ACTUAL REVENUE LOWER THAN ESTIMATED.</t>
  </si>
  <si>
    <t>4/  OVERALL COST VARIANCE APPLIED TO FINAL ADJUSTMENTS.</t>
  </si>
  <si>
    <t xml:space="preserve">         APPLICATION OF HISTORICAL WEIGHTED AVERAGE    </t>
  </si>
  <si>
    <t>HISTORICAL TEST YEAR</t>
  </si>
  <si>
    <t xml:space="preserve"> TEST YEAR</t>
  </si>
  <si>
    <t>21</t>
  </si>
  <si>
    <t>22</t>
  </si>
  <si>
    <t>WEIGHTED  1/</t>
  </si>
  <si>
    <t xml:space="preserve">  TEST YEAR</t>
  </si>
  <si>
    <t xml:space="preserve">  VARIANCE</t>
  </si>
  <si>
    <t>APPLICATION OF HISTORICAL % VARIANCES</t>
  </si>
  <si>
    <t xml:space="preserve"> % VAR.</t>
  </si>
  <si>
    <t>FY 2006</t>
  </si>
  <si>
    <t>FY 06</t>
  </si>
  <si>
    <t>FY 2007 BR</t>
  </si>
  <si>
    <t>R2005-1</t>
  </si>
  <si>
    <t>R2006-1</t>
  </si>
  <si>
    <t xml:space="preserve">DOCKET R2005-1 FY 05 &amp; TEST YR (FY 06) </t>
  </si>
  <si>
    <t xml:space="preserve">      % VARIANCES TO DOCKET R2006-1 TEST YEAR ESTIMATES </t>
  </si>
  <si>
    <t xml:space="preserve"> DOCKET R2005-1 TEST YR. AND INTERIM YR. AVERAGE</t>
  </si>
  <si>
    <t>IMPLIED R2006-1</t>
  </si>
  <si>
    <t xml:space="preserve"> DOCKETS R97-1 (BR), R2000-1 (AR), R2001-1 (AR), and R2005-1 (AR) TEST YEAR AVG.</t>
  </si>
  <si>
    <t xml:space="preserve">        IMPLIED R2006-1</t>
  </si>
  <si>
    <t xml:space="preserve">TO DOCKET R2006-1 TEST YEAR ESTIMATES </t>
  </si>
  <si>
    <t xml:space="preserve"> DOCKET R2005-1 TEST YR.  (FY 2006)</t>
  </si>
  <si>
    <t xml:space="preserve">              IMPLIED R2006-1</t>
  </si>
  <si>
    <t>FY 08 BR</t>
  </si>
  <si>
    <t>FY 08 AR</t>
  </si>
  <si>
    <t>1/  FY 2005 Revenue, Pieces, and Weights Report dated 11/09/05 (International includes International Money Orders).</t>
  </si>
  <si>
    <t>Interest &amp; Investment Income</t>
  </si>
  <si>
    <t>FY 2007</t>
  </si>
  <si>
    <t>1/  From Testimony of William P. Tayman, Docket No. R2005-1, Exhibit USPS 6A. (revised for errata).  Reflects 10/1/05 rate implementation.</t>
  </si>
  <si>
    <t xml:space="preserve">FY 2006 </t>
  </si>
  <si>
    <t>ESTIMATE 2/</t>
  </si>
  <si>
    <t>A/R ESTIMATE 1/</t>
  </si>
  <si>
    <t>R 2006-1</t>
  </si>
  <si>
    <t>R 2005-1</t>
  </si>
  <si>
    <t>FY 2006 AR</t>
  </si>
  <si>
    <t xml:space="preserve"> ESTIMATE</t>
  </si>
  <si>
    <t xml:space="preserve">DOCKETS R97-1, R2000-1, R2001-1, &amp; R2005-1 </t>
  </si>
  <si>
    <t>SUPPLIES &amp; SERVICES</t>
  </si>
  <si>
    <t>HQ &amp; AREA ADMIN. &amp; CORPORATEWIDE PERSONNEL COSTS</t>
  </si>
  <si>
    <t xml:space="preserve">DEPRECIATION, WRITE-OFFS, CLAIMS, &amp; INTEREST </t>
  </si>
  <si>
    <t xml:space="preserve">SUPPLIES &amp; SERVICES   </t>
  </si>
  <si>
    <t xml:space="preserve">HQ &amp; AREA ADMIN. &amp; CORPORATEWIDE PERSONNEL COSTS   </t>
  </si>
  <si>
    <t>FY1998</t>
  </si>
  <si>
    <t>FY2001</t>
  </si>
  <si>
    <t>FY2003</t>
  </si>
  <si>
    <t>1/  From Exhibit USPS-6J, Direct Testimony of William P. Tayman, Docket No. R2001-1, page 2 of 7.</t>
  </si>
  <si>
    <t>FY2006</t>
  </si>
  <si>
    <t xml:space="preserve">R2001-1    </t>
  </si>
  <si>
    <t xml:space="preserve">R2001-1  </t>
  </si>
  <si>
    <t>Note: Test year estimates reflect after rates .</t>
  </si>
  <si>
    <t>3/   ACTUAL REVENUES LOWER THAN ESTIMATED.</t>
  </si>
  <si>
    <t>4/  OVERALL COST VARIANCE APPLIED TO FINAL ADJUSTMENTS</t>
  </si>
  <si>
    <t xml:space="preserve">After  </t>
  </si>
  <si>
    <t>Estimated 1/</t>
  </si>
  <si>
    <t/>
  </si>
  <si>
    <t>Actual 2/</t>
  </si>
  <si>
    <t xml:space="preserve">1. Testimony of William P. Tayman, Docket No. R2005-1, Exhibit USPS-6A (revised for errata). </t>
  </si>
  <si>
    <t xml:space="preserve">R2000-1 </t>
  </si>
  <si>
    <t>Estimated 3/</t>
  </si>
  <si>
    <t>Actual 4/</t>
  </si>
  <si>
    <t xml:space="preserve">R2005-1  5/    </t>
  </si>
  <si>
    <t xml:space="preserve">3/  From Testimony of William P. Tayman, Docket No. R2001-1, Exhibit 6A. </t>
  </si>
  <si>
    <t xml:space="preserve">5/  FY 2005 Test Year After Rates Estimates taken from Testimony of William P. Tayman, Docket No. 2005-1, Exhibit 6A (revised for errata). </t>
  </si>
  <si>
    <t>R2000-1</t>
  </si>
  <si>
    <t>Estimated  3/</t>
  </si>
  <si>
    <t>Actual  4/</t>
  </si>
  <si>
    <t>Fiscal Year 2005 - Test Year</t>
  </si>
  <si>
    <t xml:space="preserve">Mail and Special Services Revenue </t>
  </si>
  <si>
    <t>(Dollars in Millions)</t>
  </si>
  <si>
    <t>Mail Volume FY 2005 - Test Year</t>
  </si>
  <si>
    <t>DOCKET R2005-1 TEST YEAR FROM OCTOBER 1, 2005, TO SEPTEMBER 30, 2006</t>
  </si>
  <si>
    <t xml:space="preserve">REVENUE AND EXPENSE VARIANCES </t>
  </si>
  <si>
    <t>COMPUTATION OF WEIGHTED AVERAGE PERCENTAGE</t>
  </si>
  <si>
    <t xml:space="preserve">1/   COMPUTATION OF WEIGHTED AVERAGE PERCENTAGE COST AND REVENUE </t>
  </si>
  <si>
    <t>1/   COMPUTATION OF WEIGHTED AVERAGE PERCENTAGE COST AND REVENUE</t>
  </si>
  <si>
    <t>DOCKETS R97-1 (AR), R2000-1 (AR), R2001-1 (AR), and R2005-1 (AR) TEST YEAR AVG.</t>
  </si>
  <si>
    <t xml:space="preserve">% VARIANCES TO DOCKET R2006-1 TEST YEAR ESTIMATES </t>
  </si>
  <si>
    <t xml:space="preserve">APPLICATION OF HISTORICAL WEIGHTED AVERAGE    </t>
  </si>
  <si>
    <t>($ THOUSANDS)</t>
  </si>
  <si>
    <t xml:space="preserve">1/   COMPUTATION OF TEST YEAR PERCENTAGE COST AND REVENUE  </t>
  </si>
  <si>
    <t>2/  From FY 2001 Cost Segments and Components Report and FY2001 Cost and Revenue Analysis.</t>
  </si>
  <si>
    <t>4/  From FY 2003 Cost Segments and Components Report and FY2003 Cost and Revenue Analysis.</t>
  </si>
  <si>
    <t>1/  From Exhibit USPS-6J, Direct Testimony of William P. Tayman, Docket No. R2001-1, page 3 of 7.</t>
  </si>
  <si>
    <t>NM</t>
  </si>
  <si>
    <t>2/   ACTUAL EXPENSE LOWER THAN ESTIMATED.</t>
  </si>
  <si>
    <t>Page 1 of 8</t>
  </si>
  <si>
    <t>Page 2 of 8</t>
  </si>
  <si>
    <t>Page 3 of 8</t>
  </si>
  <si>
    <t>Page 4 of 8</t>
  </si>
  <si>
    <t>Page 5 of 8</t>
  </si>
  <si>
    <t>Page 6 of 8</t>
  </si>
  <si>
    <t>Page 7 of 8</t>
  </si>
  <si>
    <t xml:space="preserve">Page 8 of 8 </t>
  </si>
  <si>
    <t xml:space="preserve">2/  Testimony of D. O'Hara (USPS-T-31, Exhibits USPS 31A, B, and C). </t>
  </si>
  <si>
    <t>2/  From Testimony of Richard G. Loutsch, Docket No. R2006-1, Exhibit USPS 6A.  Reflects 1/8/06 rate implementation.</t>
  </si>
  <si>
    <t>2.  Testimony of Richard G. Loutsch, Docket No R-2006-1, Exhibit USPS-6A</t>
  </si>
  <si>
    <t xml:space="preserve">BR ESTIMATE </t>
  </si>
  <si>
    <t xml:space="preserve">AR ESTIMATE </t>
  </si>
  <si>
    <t>BR ESTIMATE</t>
  </si>
  <si>
    <t>A/R ESTIMATE</t>
  </si>
  <si>
    <t>FY 2008</t>
  </si>
  <si>
    <t>Page 3 of 3</t>
  </si>
  <si>
    <t>FY 07 AR</t>
  </si>
  <si>
    <t>2007 BR</t>
  </si>
  <si>
    <t>2007 AR</t>
  </si>
  <si>
    <t>Page 1 of 3</t>
  </si>
  <si>
    <t>Page 2 of 3</t>
  </si>
  <si>
    <t xml:space="preserve">       VARIANCES IS SHOWN IN EXHIBIT USPS-6J PAGE  2 OF 8.  </t>
  </si>
  <si>
    <t xml:space="preserve">      VARIANCES IS SHOWN IN EXHIBIT USPS-6J PAGE 3 OF 8. </t>
  </si>
  <si>
    <t xml:space="preserve">       VARIANCES IS SHOWN IN EXHIBIT USPS-6J PAGE 4 OF 8. </t>
  </si>
  <si>
    <t xml:space="preserve">       VARIANCES IS SHOWN IN EXHIBIT USPS-6J PAGE 2 OF 8.  </t>
  </si>
  <si>
    <t xml:space="preserve">Revised for </t>
  </si>
  <si>
    <t>Errata</t>
  </si>
  <si>
    <t xml:space="preserve">2/  Testimony of D. O'Hara (USPS-T-31,  Exhibits USPS 31A, B, and C Revised). Chapter X of LR L-50 Revised. </t>
  </si>
  <si>
    <t>USPS 6C Revised</t>
  </si>
  <si>
    <t xml:space="preserve">Revised </t>
  </si>
  <si>
    <t>Revised</t>
  </si>
  <si>
    <t xml:space="preserve">             Revised</t>
  </si>
  <si>
    <t xml:space="preserve">     FY 2006 Estimated Actual taken from testimony of Richard G. Loutsch Docket No. R2006-1, Exhibit 6A (revised for errata).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</si>
</sst>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,##0.0_);\(#,##0.0\)"/>
    <numFmt numFmtId="166" formatCode="0.0000_)"/>
    <numFmt numFmtId="167" formatCode="0.00_)"/>
    <numFmt numFmtId="168" formatCode="#,##0.0000_);\(#,##0.0000\)"/>
    <numFmt numFmtId="169" formatCode="0.0_)"/>
    <numFmt numFmtId="170" formatCode="0.0%"/>
    <numFmt numFmtId="171" formatCode="\(0\)"/>
    <numFmt numFmtId="172" formatCode="\(\1\)"/>
    <numFmt numFmtId="173" formatCode="_(* #,##0.0_);_(* \(#,##0\);_(* &quot;-&quot;_);_(@_)"/>
    <numFmt numFmtId="174" formatCode="#,##0.000_);\(#,##0.000\)"/>
    <numFmt numFmtId="175" formatCode="_(* #,##0.0_);_(* \(#,##0.0\);_(* &quot;-&quot;_);_(@_)"/>
    <numFmt numFmtId="176" formatCode="_(* #,##0.000_);_(* \(#,##0.000\);_(* &quot;-&quot;??_);_(@_)"/>
    <numFmt numFmtId="177" formatCode="_(* #,##0.0000_);_(* \(#,##0.0000\);_(* &quot;-&quot;??_);_(@_)"/>
    <numFmt numFmtId="178" formatCode="_(* #,##0.0_);_(* \(#,##0.0\);_(* &quot;-&quot;??_);_(@_)"/>
    <numFmt numFmtId="179" formatCode="_(* #,##0_);_(* \(#,##0\);_(* &quot;-&quot;??_);_(@_)"/>
    <numFmt numFmtId="180" formatCode="#,##0.0"/>
    <numFmt numFmtId="181" formatCode="#,##0.000"/>
    <numFmt numFmtId="182" formatCode="#,##0.0000"/>
    <numFmt numFmtId="183" formatCode="0.0"/>
    <numFmt numFmtId="184" formatCode="_(* #,##0.0_);_(* \(#,##0.0\);_(* &quot;-&quot;?_);_(@_)"/>
    <numFmt numFmtId="185" formatCode="&quot;$&quot;#,##0.0"/>
    <numFmt numFmtId="186" formatCode="0.0_);\(0.0\)"/>
    <numFmt numFmtId="187" formatCode="_(* #,##0_);_(* \(#,##0\);_(* &quot;-&quot;?_);_(@_)"/>
    <numFmt numFmtId="188" formatCode="_(* #,##0.00_);_(* \(#,##0.00\);_(* &quot;-&quot;?_);_(@_)"/>
    <numFmt numFmtId="189" formatCode="_(* #,##0.000_);_(* \(#,##0.000\);_(* &quot;-&quot;?_);_(@_)"/>
    <numFmt numFmtId="190" formatCode="_(* #,##0.0000_);_(* \(#,##0.0000\);_(* &quot;-&quot;?_);_(@_)"/>
    <numFmt numFmtId="191" formatCode="_(* #,##0.000_);_(* \(#,##0.000\);_(* &quot;-&quot;???_);_(@_)"/>
    <numFmt numFmtId="192" formatCode="&quot;$&quot;#,##0"/>
    <numFmt numFmtId="193" formatCode="_(* #,##0.00_);_(* \(#,##0.00\);_(* &quot;-&quot;_);_(@_)"/>
    <numFmt numFmtId="194" formatCode="_(* #,##0.000_);_(* \(#,##0.000\);_(* &quot;-&quot;_);_(@_)"/>
    <numFmt numFmtId="195" formatCode="#,##0.00000_);\(#,##0.00000\)"/>
    <numFmt numFmtId="196" formatCode="#,##0.000000_);\(#,##0.000000\)"/>
    <numFmt numFmtId="197" formatCode="0.000%"/>
    <numFmt numFmtId="198" formatCode="0.0000%"/>
    <numFmt numFmtId="199" formatCode="_(* #,##0.00000_);_(* \(#,##0.00000\);_(* &quot;-&quot;?_);_(@_)"/>
    <numFmt numFmtId="200" formatCode="#,##0.00000"/>
    <numFmt numFmtId="201" formatCode="_(* #,##0.00000_);_(* \(#,##0.00000\);_(* &quot;-&quot;??_);_(@_)"/>
    <numFmt numFmtId="202" formatCode="#,##0.0000000_);\(#,##0.0000000\)"/>
    <numFmt numFmtId="203" formatCode="#,##0.00000000_);\(#,##0.00000000\)"/>
  </numFmts>
  <fonts count="18">
    <font>
      <sz val="8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Helv"/>
      <family val="0"/>
    </font>
    <font>
      <b/>
      <sz val="8"/>
      <name val="Helv"/>
      <family val="0"/>
    </font>
    <font>
      <i/>
      <sz val="8"/>
      <name val="Helv"/>
      <family val="0"/>
    </font>
    <font>
      <sz val="10"/>
      <name val="Helv"/>
      <family val="0"/>
    </font>
    <font>
      <b/>
      <sz val="12"/>
      <name val="Times New Roman"/>
      <family val="0"/>
    </font>
    <font>
      <b/>
      <sz val="10"/>
      <name val="Helv"/>
      <family val="0"/>
    </font>
    <font>
      <u val="single"/>
      <sz val="10"/>
      <name val="Helv"/>
      <family val="0"/>
    </font>
    <font>
      <i/>
      <sz val="10"/>
      <name val="Helv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1"/>
      <name val="Times New Roman"/>
      <family val="1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gray125">
        <fgColor indexed="8"/>
        <bgColor indexed="43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21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Border="1" applyAlignment="1" applyProtection="1">
      <alignment horizontal="center"/>
      <protection/>
    </xf>
    <xf numFmtId="164" fontId="0" fillId="0" borderId="0" xfId="0" applyFont="1" applyFill="1" applyBorder="1" applyAlignment="1" applyProtection="1">
      <alignment horizontal="left"/>
      <protection/>
    </xf>
    <xf numFmtId="164" fontId="0" fillId="0" borderId="0" xfId="0" applyAlignment="1">
      <alignment horizontal="center"/>
    </xf>
    <xf numFmtId="164" fontId="5" fillId="0" borderId="0" xfId="0" applyFont="1" applyAlignment="1">
      <alignment horizontal="centerContinuous"/>
    </xf>
    <xf numFmtId="164" fontId="0" fillId="0" borderId="0" xfId="0" applyAlignment="1">
      <alignment horizontal="centerContinuous"/>
    </xf>
    <xf numFmtId="164" fontId="5" fillId="0" borderId="0" xfId="0" applyFont="1" applyAlignment="1">
      <alignment horizontal="center"/>
    </xf>
    <xf numFmtId="164" fontId="5" fillId="0" borderId="0" xfId="0" applyFont="1" applyAlignment="1">
      <alignment/>
    </xf>
    <xf numFmtId="3" fontId="5" fillId="0" borderId="0" xfId="0" applyNumberFormat="1" applyFont="1" applyAlignment="1">
      <alignment/>
    </xf>
    <xf numFmtId="164" fontId="6" fillId="0" borderId="0" xfId="0" applyFont="1" applyFill="1" applyBorder="1" applyAlignment="1" applyProtection="1">
      <alignment horizontal="left"/>
      <protection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/>
    </xf>
    <xf numFmtId="164" fontId="0" fillId="2" borderId="0" xfId="0" applyFont="1" applyFill="1" applyBorder="1" applyAlignment="1" applyProtection="1">
      <alignment horizontal="left"/>
      <protection/>
    </xf>
    <xf numFmtId="165" fontId="6" fillId="0" borderId="0" xfId="0" applyNumberFormat="1" applyFont="1" applyFill="1" applyAlignment="1">
      <alignment/>
    </xf>
    <xf numFmtId="164" fontId="6" fillId="3" borderId="0" xfId="0" applyFont="1" applyFill="1" applyAlignment="1">
      <alignment/>
    </xf>
    <xf numFmtId="164" fontId="6" fillId="3" borderId="0" xfId="0" applyFont="1" applyFill="1" applyBorder="1" applyAlignment="1" applyProtection="1">
      <alignment horizontal="left"/>
      <protection/>
    </xf>
    <xf numFmtId="164" fontId="0" fillId="0" borderId="0" xfId="0" applyFont="1" applyAlignment="1">
      <alignment/>
    </xf>
    <xf numFmtId="179" fontId="0" fillId="0" borderId="0" xfId="15" applyNumberFormat="1" applyFont="1" applyAlignment="1">
      <alignment/>
    </xf>
    <xf numFmtId="179" fontId="0" fillId="0" borderId="0" xfId="15" applyNumberFormat="1" applyAlignment="1">
      <alignment/>
    </xf>
    <xf numFmtId="4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64" fontId="6" fillId="0" borderId="0" xfId="0" applyFont="1" applyFill="1" applyAlignment="1">
      <alignment horizontal="centerContinuous"/>
    </xf>
    <xf numFmtId="164" fontId="0" fillId="0" borderId="0" xfId="0" applyFont="1" applyFill="1" applyAlignment="1">
      <alignment horizontal="centerContinuous"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3" borderId="0" xfId="0" applyFont="1" applyFill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Border="1" applyAlignment="1" applyProtection="1">
      <alignment horizontal="left"/>
      <protection/>
    </xf>
    <xf numFmtId="164" fontId="0" fillId="0" borderId="0" xfId="0" applyFont="1" applyFill="1" applyAlignment="1">
      <alignment/>
    </xf>
    <xf numFmtId="164" fontId="0" fillId="2" borderId="0" xfId="0" applyFont="1" applyFill="1" applyAlignment="1">
      <alignment/>
    </xf>
    <xf numFmtId="164" fontId="0" fillId="4" borderId="0" xfId="0" applyFont="1" applyFill="1" applyAlignment="1">
      <alignment/>
    </xf>
    <xf numFmtId="164" fontId="0" fillId="0" borderId="0" xfId="0" applyFont="1" applyAlignment="1">
      <alignment horizontal="left"/>
    </xf>
    <xf numFmtId="164" fontId="0" fillId="0" borderId="0" xfId="0" applyFont="1" applyFill="1" applyAlignment="1">
      <alignment horizontal="left"/>
    </xf>
    <xf numFmtId="164" fontId="6" fillId="0" borderId="0" xfId="0" applyFont="1" applyFill="1" applyAlignment="1">
      <alignment/>
    </xf>
    <xf numFmtId="164" fontId="0" fillId="0" borderId="0" xfId="0" applyFill="1" applyAlignment="1">
      <alignment/>
    </xf>
    <xf numFmtId="184" fontId="0" fillId="0" borderId="0" xfId="0" applyNumberFormat="1" applyAlignment="1">
      <alignment/>
    </xf>
    <xf numFmtId="41" fontId="0" fillId="0" borderId="0" xfId="0" applyNumberFormat="1" applyAlignment="1">
      <alignment/>
    </xf>
    <xf numFmtId="164" fontId="0" fillId="0" borderId="0" xfId="0" applyAlignment="1">
      <alignment horizontal="left"/>
    </xf>
    <xf numFmtId="165" fontId="0" fillId="0" borderId="0" xfId="0" applyNumberFormat="1" applyAlignment="1">
      <alignment/>
    </xf>
    <xf numFmtId="41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175" fontId="0" fillId="0" borderId="0" xfId="0" applyNumberFormat="1" applyAlignment="1">
      <alignment/>
    </xf>
    <xf numFmtId="164" fontId="0" fillId="0" borderId="0" xfId="0" applyFill="1" applyAlignment="1">
      <alignment horizontal="left"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4" fontId="6" fillId="0" borderId="0" xfId="0" applyFont="1" applyFill="1" applyBorder="1" applyAlignment="1">
      <alignment/>
    </xf>
    <xf numFmtId="164" fontId="6" fillId="0" borderId="0" xfId="0" applyFont="1" applyBorder="1" applyAlignment="1">
      <alignment/>
    </xf>
    <xf numFmtId="164" fontId="6" fillId="0" borderId="0" xfId="0" applyFont="1" applyBorder="1" applyAlignment="1" applyProtection="1" quotePrefix="1">
      <alignment horizontal="left"/>
      <protection/>
    </xf>
    <xf numFmtId="164" fontId="6" fillId="0" borderId="0" xfId="0" applyFont="1" applyBorder="1" applyAlignment="1" applyProtection="1">
      <alignment horizontal="center"/>
      <protection/>
    </xf>
    <xf numFmtId="164" fontId="6" fillId="0" borderId="0" xfId="0" applyFont="1" applyBorder="1" applyAlignment="1">
      <alignment horizontal="center"/>
    </xf>
    <xf numFmtId="164" fontId="9" fillId="0" borderId="0" xfId="0" applyFont="1" applyBorder="1" applyAlignment="1">
      <alignment/>
    </xf>
    <xf numFmtId="164" fontId="6" fillId="0" borderId="0" xfId="0" applyFont="1" applyFill="1" applyBorder="1" applyAlignment="1" applyProtection="1">
      <alignment horizontal="center"/>
      <protection/>
    </xf>
    <xf numFmtId="164" fontId="0" fillId="0" borderId="0" xfId="0" applyBorder="1" applyAlignment="1" quotePrefix="1">
      <alignment horizontal="right"/>
    </xf>
    <xf numFmtId="164" fontId="6" fillId="0" borderId="0" xfId="0" applyFont="1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horizontal="center"/>
      <protection/>
    </xf>
    <xf numFmtId="164" fontId="6" fillId="0" borderId="0" xfId="0" applyFont="1" applyBorder="1" applyAlignment="1" applyProtection="1">
      <alignment horizontal="left"/>
      <protection/>
    </xf>
    <xf numFmtId="165" fontId="6" fillId="0" borderId="0" xfId="0" applyNumberFormat="1" applyFont="1" applyBorder="1" applyAlignment="1" applyProtection="1">
      <alignment/>
      <protection/>
    </xf>
    <xf numFmtId="166" fontId="6" fillId="0" borderId="0" xfId="0" applyNumberFormat="1" applyFont="1" applyFill="1" applyBorder="1" applyAlignment="1" applyProtection="1">
      <alignment/>
      <protection/>
    </xf>
    <xf numFmtId="165" fontId="0" fillId="0" borderId="0" xfId="0" applyNumberFormat="1" applyFill="1" applyBorder="1" applyAlignment="1" applyProtection="1">
      <alignment/>
      <protection/>
    </xf>
    <xf numFmtId="164" fontId="0" fillId="0" borderId="0" xfId="0" applyFill="1" applyBorder="1" applyAlignment="1" quotePrefix="1">
      <alignment horizontal="left"/>
    </xf>
    <xf numFmtId="164" fontId="8" fillId="0" borderId="0" xfId="0" applyFont="1" applyFill="1" applyBorder="1" applyAlignment="1">
      <alignment/>
    </xf>
    <xf numFmtId="164" fontId="8" fillId="0" borderId="0" xfId="0" applyFont="1" applyFill="1" applyBorder="1" applyAlignment="1" quotePrefix="1">
      <alignment horizontal="left"/>
    </xf>
    <xf numFmtId="164" fontId="8" fillId="0" borderId="0" xfId="0" applyFont="1" applyAlignment="1">
      <alignment/>
    </xf>
    <xf numFmtId="164" fontId="8" fillId="0" borderId="0" xfId="0" applyFont="1" applyAlignment="1">
      <alignment horizontal="centerContinuous"/>
    </xf>
    <xf numFmtId="164" fontId="10" fillId="3" borderId="0" xfId="0" applyFont="1" applyFill="1" applyAlignment="1">
      <alignment horizontal="centerContinuous"/>
    </xf>
    <xf numFmtId="164" fontId="10" fillId="0" borderId="0" xfId="0" applyFont="1" applyFill="1" applyAlignment="1">
      <alignment horizontal="centerContinuous"/>
    </xf>
    <xf numFmtId="164" fontId="8" fillId="0" borderId="0" xfId="0" applyFont="1" applyFill="1" applyAlignment="1">
      <alignment horizontal="centerContinuous"/>
    </xf>
    <xf numFmtId="164" fontId="8" fillId="0" borderId="0" xfId="0" applyFont="1" applyFill="1" applyAlignment="1">
      <alignment/>
    </xf>
    <xf numFmtId="164" fontId="8" fillId="0" borderId="0" xfId="0" applyFont="1" applyAlignment="1">
      <alignment horizontal="center"/>
    </xf>
    <xf numFmtId="164" fontId="11" fillId="0" borderId="0" xfId="0" applyFont="1" applyAlignment="1">
      <alignment horizontal="centerContinuous"/>
    </xf>
    <xf numFmtId="164" fontId="11" fillId="0" borderId="0" xfId="0" applyFont="1" applyAlignment="1">
      <alignment horizontal="center"/>
    </xf>
    <xf numFmtId="164" fontId="8" fillId="0" borderId="1" xfId="0" applyFont="1" applyBorder="1" applyAlignment="1">
      <alignment horizontal="center"/>
    </xf>
    <xf numFmtId="165" fontId="8" fillId="0" borderId="0" xfId="0" applyNumberFormat="1" applyFont="1" applyAlignment="1" applyProtection="1">
      <alignment/>
      <protection/>
    </xf>
    <xf numFmtId="165" fontId="8" fillId="0" borderId="0" xfId="0" applyNumberFormat="1" applyFont="1" applyAlignment="1">
      <alignment/>
    </xf>
    <xf numFmtId="180" fontId="8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4" fontId="8" fillId="0" borderId="0" xfId="0" applyNumberFormat="1" applyFont="1" applyAlignment="1">
      <alignment/>
    </xf>
    <xf numFmtId="165" fontId="8" fillId="0" borderId="0" xfId="0" applyNumberFormat="1" applyFont="1" applyBorder="1" applyAlignment="1" applyProtection="1">
      <alignment/>
      <protection/>
    </xf>
    <xf numFmtId="165" fontId="12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164" fontId="13" fillId="0" borderId="0" xfId="0" applyFont="1" applyAlignment="1">
      <alignment/>
    </xf>
    <xf numFmtId="164" fontId="13" fillId="0" borderId="0" xfId="0" applyFont="1" applyAlignment="1" applyProtection="1">
      <alignment horizontal="left"/>
      <protection/>
    </xf>
    <xf numFmtId="164" fontId="13" fillId="0" borderId="0" xfId="0" applyFont="1" applyAlignment="1">
      <alignment horizontal="right"/>
    </xf>
    <xf numFmtId="164" fontId="14" fillId="0" borderId="0" xfId="0" applyFont="1" applyAlignment="1">
      <alignment/>
    </xf>
    <xf numFmtId="164" fontId="14" fillId="0" borderId="0" xfId="0" applyFont="1" applyAlignment="1">
      <alignment horizontal="right"/>
    </xf>
    <xf numFmtId="164" fontId="13" fillId="0" borderId="0" xfId="0" applyFont="1" applyAlignment="1" applyProtection="1">
      <alignment horizontal="center"/>
      <protection/>
    </xf>
    <xf numFmtId="164" fontId="15" fillId="5" borderId="0" xfId="0" applyFont="1" applyFill="1" applyAlignment="1" applyProtection="1">
      <alignment horizontal="centerContinuous"/>
      <protection/>
    </xf>
    <xf numFmtId="164" fontId="15" fillId="0" borderId="0" xfId="0" applyFont="1" applyFill="1" applyAlignment="1" applyProtection="1">
      <alignment horizontal="centerContinuous"/>
      <protection/>
    </xf>
    <xf numFmtId="164" fontId="13" fillId="0" borderId="0" xfId="0" applyFont="1" applyAlignment="1">
      <alignment horizontal="center"/>
    </xf>
    <xf numFmtId="164" fontId="13" fillId="0" borderId="2" xfId="0" applyFont="1" applyBorder="1" applyAlignment="1" applyProtection="1">
      <alignment horizontal="center"/>
      <protection/>
    </xf>
    <xf numFmtId="3" fontId="13" fillId="0" borderId="0" xfId="15" applyNumberFormat="1" applyFont="1" applyAlignment="1" applyProtection="1">
      <alignment/>
      <protection/>
    </xf>
    <xf numFmtId="168" fontId="13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169" fontId="13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 horizontal="center"/>
      <protection/>
    </xf>
    <xf numFmtId="164" fontId="13" fillId="5" borderId="0" xfId="0" applyFont="1" applyFill="1" applyAlignment="1" applyProtection="1">
      <alignment horizontal="left"/>
      <protection/>
    </xf>
    <xf numFmtId="164" fontId="13" fillId="5" borderId="0" xfId="0" applyFont="1" applyFill="1" applyAlignment="1">
      <alignment/>
    </xf>
    <xf numFmtId="170" fontId="13" fillId="5" borderId="0" xfId="0" applyNumberFormat="1" applyFont="1" applyFill="1" applyAlignment="1" applyProtection="1">
      <alignment/>
      <protection/>
    </xf>
    <xf numFmtId="164" fontId="9" fillId="0" borderId="0" xfId="0" applyFont="1" applyAlignment="1">
      <alignment/>
    </xf>
    <xf numFmtId="164" fontId="9" fillId="0" borderId="0" xfId="0" applyFont="1" applyAlignment="1" applyProtection="1">
      <alignment horizontal="left"/>
      <protection/>
    </xf>
    <xf numFmtId="164" fontId="0" fillId="0" borderId="0" xfId="0" applyAlignment="1">
      <alignment horizontal="right"/>
    </xf>
    <xf numFmtId="164" fontId="9" fillId="0" borderId="0" xfId="0" applyFont="1" applyAlignment="1">
      <alignment horizontal="right"/>
    </xf>
    <xf numFmtId="164" fontId="9" fillId="0" borderId="0" xfId="0" applyFont="1" applyAlignment="1" applyProtection="1">
      <alignment horizontal="center"/>
      <protection/>
    </xf>
    <xf numFmtId="164" fontId="9" fillId="5" borderId="0" xfId="0" applyFont="1" applyFill="1" applyAlignment="1" applyProtection="1">
      <alignment horizontal="centerContinuous"/>
      <protection/>
    </xf>
    <xf numFmtId="164" fontId="9" fillId="0" borderId="0" xfId="0" applyFont="1" applyFill="1" applyAlignment="1">
      <alignment/>
    </xf>
    <xf numFmtId="164" fontId="9" fillId="0" borderId="0" xfId="0" applyFont="1" applyFill="1" applyAlignment="1" applyProtection="1">
      <alignment horizontal="centerContinuous"/>
      <protection/>
    </xf>
    <xf numFmtId="164" fontId="9" fillId="0" borderId="0" xfId="0" applyFont="1" applyAlignment="1">
      <alignment horizontal="left"/>
    </xf>
    <xf numFmtId="164" fontId="9" fillId="0" borderId="2" xfId="0" applyFont="1" applyBorder="1" applyAlignment="1" applyProtection="1">
      <alignment horizontal="center"/>
      <protection/>
    </xf>
    <xf numFmtId="37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center"/>
      <protection/>
    </xf>
    <xf numFmtId="164" fontId="9" fillId="0" borderId="0" xfId="0" applyFont="1" applyAlignment="1">
      <alignment horizontal="center"/>
    </xf>
    <xf numFmtId="164" fontId="9" fillId="5" borderId="0" xfId="0" applyFont="1" applyFill="1" applyAlignment="1" applyProtection="1">
      <alignment horizontal="left"/>
      <protection/>
    </xf>
    <xf numFmtId="164" fontId="9" fillId="5" borderId="0" xfId="0" applyFont="1" applyFill="1" applyAlignment="1">
      <alignment/>
    </xf>
    <xf numFmtId="164" fontId="13" fillId="0" borderId="0" xfId="0" applyFont="1" applyFill="1" applyAlignment="1">
      <alignment/>
    </xf>
    <xf numFmtId="164" fontId="8" fillId="0" borderId="0" xfId="0" applyFont="1" applyAlignment="1">
      <alignment horizontal="right"/>
    </xf>
    <xf numFmtId="164" fontId="13" fillId="5" borderId="0" xfId="0" applyFont="1" applyFill="1" applyAlignment="1" applyProtection="1">
      <alignment horizontal="centerContinuous"/>
      <protection/>
    </xf>
    <xf numFmtId="168" fontId="13" fillId="0" borderId="0" xfId="0" applyNumberFormat="1" applyFont="1" applyBorder="1" applyAlignment="1" applyProtection="1">
      <alignment/>
      <protection/>
    </xf>
    <xf numFmtId="168" fontId="13" fillId="0" borderId="0" xfId="0" applyNumberFormat="1" applyFont="1" applyAlignment="1">
      <alignment/>
    </xf>
    <xf numFmtId="179" fontId="8" fillId="0" borderId="0" xfId="15" applyNumberFormat="1" applyFont="1" applyAlignment="1">
      <alignment/>
    </xf>
    <xf numFmtId="164" fontId="13" fillId="0" borderId="0" xfId="0" applyFont="1" applyFill="1" applyBorder="1" applyAlignment="1">
      <alignment/>
    </xf>
    <xf numFmtId="164" fontId="0" fillId="0" borderId="0" xfId="0" applyFont="1" applyFill="1" applyAlignment="1" quotePrefix="1">
      <alignment horizontal="center"/>
    </xf>
    <xf numFmtId="164" fontId="0" fillId="0" borderId="0" xfId="0" applyFill="1" applyAlignment="1">
      <alignment horizontal="center"/>
    </xf>
    <xf numFmtId="175" fontId="0" fillId="0" borderId="0" xfId="0" applyNumberFormat="1" applyFill="1" applyAlignment="1">
      <alignment/>
    </xf>
    <xf numFmtId="164" fontId="0" fillId="0" borderId="0" xfId="0" applyFill="1" applyAlignment="1" quotePrefix="1">
      <alignment horizontal="center"/>
    </xf>
    <xf numFmtId="164" fontId="8" fillId="0" borderId="1" xfId="0" applyFont="1" applyFill="1" applyBorder="1" applyAlignment="1">
      <alignment horizontal="centerContinuous"/>
    </xf>
    <xf numFmtId="164" fontId="13" fillId="0" borderId="0" xfId="0" applyFont="1" applyAlignment="1" quotePrefix="1">
      <alignment horizontal="center"/>
    </xf>
    <xf numFmtId="164" fontId="13" fillId="0" borderId="0" xfId="0" applyFont="1" applyAlignment="1" applyProtection="1" quotePrefix="1">
      <alignment horizontal="center"/>
      <protection/>
    </xf>
    <xf numFmtId="164" fontId="9" fillId="0" borderId="0" xfId="0" applyFont="1" applyAlignment="1" quotePrefix="1">
      <alignment horizontal="left"/>
    </xf>
    <xf numFmtId="164" fontId="9" fillId="0" borderId="0" xfId="0" applyFont="1" applyAlignment="1" applyProtection="1" quotePrefix="1">
      <alignment horizontal="center"/>
      <protection/>
    </xf>
    <xf numFmtId="3" fontId="13" fillId="0" borderId="1" xfId="15" applyNumberFormat="1" applyFont="1" applyBorder="1" applyAlignment="1" applyProtection="1">
      <alignment/>
      <protection/>
    </xf>
    <xf numFmtId="164" fontId="5" fillId="0" borderId="0" xfId="0" applyFont="1" applyAlignment="1" quotePrefix="1">
      <alignment horizontal="left"/>
    </xf>
    <xf numFmtId="164" fontId="5" fillId="0" borderId="0" xfId="0" applyFont="1" applyFill="1" applyAlignment="1">
      <alignment horizontal="center"/>
    </xf>
    <xf numFmtId="164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164" fontId="0" fillId="0" borderId="0" xfId="0" applyFill="1" applyAlignment="1" quotePrefix="1">
      <alignment horizontal="left"/>
    </xf>
    <xf numFmtId="164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/>
    </xf>
    <xf numFmtId="164" fontId="6" fillId="0" borderId="0" xfId="0" applyFont="1" applyFill="1" applyBorder="1" applyAlignment="1">
      <alignment horizontal="center"/>
    </xf>
    <xf numFmtId="164" fontId="0" fillId="0" borderId="0" xfId="0" applyFont="1" applyBorder="1" applyAlignment="1" applyProtection="1" quotePrefix="1">
      <alignment horizontal="left"/>
      <protection/>
    </xf>
    <xf numFmtId="164" fontId="8" fillId="0" borderId="0" xfId="0" applyFont="1" applyAlignment="1" quotePrefix="1">
      <alignment horizontal="left"/>
    </xf>
    <xf numFmtId="164" fontId="8" fillId="0" borderId="0" xfId="0" applyFont="1" applyAlignment="1" quotePrefix="1">
      <alignment horizontal="center"/>
    </xf>
    <xf numFmtId="164" fontId="11" fillId="0" borderId="0" xfId="0" applyFont="1" applyFill="1" applyAlignment="1">
      <alignment horizontal="centerContinuous"/>
    </xf>
    <xf numFmtId="184" fontId="8" fillId="0" borderId="0" xfId="0" applyNumberFormat="1" applyFont="1" applyFill="1" applyAlignment="1">
      <alignment/>
    </xf>
    <xf numFmtId="164" fontId="13" fillId="0" borderId="0" xfId="0" applyFont="1" applyAlignment="1" applyProtection="1" quotePrefix="1">
      <alignment horizontal="left"/>
      <protection/>
    </xf>
    <xf numFmtId="164" fontId="9" fillId="0" borderId="0" xfId="0" applyFont="1" applyAlignment="1" applyProtection="1" quotePrefix="1">
      <alignment horizontal="left"/>
      <protection/>
    </xf>
    <xf numFmtId="164" fontId="0" fillId="0" borderId="0" xfId="0" applyFont="1" applyFill="1" applyBorder="1" applyAlignment="1" applyProtection="1">
      <alignment horizontal="left"/>
      <protection/>
    </xf>
    <xf numFmtId="164" fontId="0" fillId="0" borderId="0" xfId="0" applyFont="1" applyFill="1" applyAlignment="1">
      <alignment/>
    </xf>
    <xf numFmtId="164" fontId="11" fillId="0" borderId="0" xfId="0" applyFont="1" applyAlignment="1" quotePrefix="1">
      <alignment horizontal="center"/>
    </xf>
    <xf numFmtId="168" fontId="13" fillId="0" borderId="0" xfId="0" applyNumberFormat="1" applyFont="1" applyAlignment="1" applyProtection="1">
      <alignment horizontal="center"/>
      <protection/>
    </xf>
    <xf numFmtId="170" fontId="13" fillId="5" borderId="0" xfId="0" applyNumberFormat="1" applyFont="1" applyFill="1" applyAlignment="1" applyProtection="1">
      <alignment horizontal="center"/>
      <protection/>
    </xf>
    <xf numFmtId="164" fontId="13" fillId="5" borderId="0" xfId="0" applyFont="1" applyFill="1" applyAlignment="1">
      <alignment horizontal="center"/>
    </xf>
    <xf numFmtId="180" fontId="5" fillId="0" borderId="0" xfId="0" applyNumberFormat="1" applyFont="1" applyFill="1" applyAlignment="1">
      <alignment/>
    </xf>
    <xf numFmtId="164" fontId="8" fillId="0" borderId="0" xfId="0" applyFont="1" applyFill="1" applyAlignment="1">
      <alignment horizontal="center"/>
    </xf>
    <xf numFmtId="164" fontId="11" fillId="0" borderId="0" xfId="0" applyFont="1" applyFill="1" applyAlignment="1">
      <alignment horizontal="center"/>
    </xf>
    <xf numFmtId="165" fontId="8" fillId="0" borderId="0" xfId="0" applyNumberFormat="1" applyFont="1" applyFill="1" applyAlignment="1">
      <alignment/>
    </xf>
    <xf numFmtId="165" fontId="8" fillId="0" borderId="0" xfId="0" applyNumberFormat="1" applyFont="1" applyFill="1" applyAlignment="1" applyProtection="1">
      <alignment/>
      <protection/>
    </xf>
    <xf numFmtId="164" fontId="8" fillId="0" borderId="1" xfId="0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right"/>
    </xf>
    <xf numFmtId="164" fontId="8" fillId="0" borderId="0" xfId="0" applyFont="1" applyFill="1" applyAlignment="1" quotePrefix="1">
      <alignment horizontal="left"/>
    </xf>
    <xf numFmtId="164" fontId="13" fillId="0" borderId="0" xfId="0" applyFont="1" applyFill="1" applyAlignment="1" applyProtection="1">
      <alignment horizontal="left"/>
      <protection/>
    </xf>
    <xf numFmtId="164" fontId="13" fillId="0" borderId="0" xfId="0" applyFont="1" applyFill="1" applyAlignment="1" quotePrefix="1">
      <alignment horizontal="left"/>
    </xf>
    <xf numFmtId="164" fontId="13" fillId="0" borderId="0" xfId="0" applyFont="1" applyFill="1" applyAlignment="1">
      <alignment horizontal="left"/>
    </xf>
    <xf numFmtId="164" fontId="14" fillId="0" borderId="0" xfId="0" applyFont="1" applyFill="1" applyAlignment="1">
      <alignment/>
    </xf>
    <xf numFmtId="165" fontId="8" fillId="0" borderId="0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 quotePrefix="1">
      <alignment horizontal="center"/>
    </xf>
    <xf numFmtId="186" fontId="8" fillId="0" borderId="0" xfId="0" applyNumberFormat="1" applyFont="1" applyFill="1" applyAlignment="1">
      <alignment/>
    </xf>
    <xf numFmtId="164" fontId="5" fillId="0" borderId="0" xfId="0" applyFont="1" applyAlignment="1">
      <alignment horizontal="right"/>
    </xf>
    <xf numFmtId="164" fontId="5" fillId="0" borderId="0" xfId="0" applyFont="1" applyBorder="1" applyAlignment="1">
      <alignment horizontal="right"/>
    </xf>
    <xf numFmtId="164" fontId="8" fillId="0" borderId="0" xfId="0" applyFont="1" applyBorder="1" applyAlignment="1">
      <alignment horizontal="right"/>
    </xf>
    <xf numFmtId="165" fontId="0" fillId="0" borderId="0" xfId="0" applyNumberFormat="1" applyAlignment="1">
      <alignment horizontal="center"/>
    </xf>
    <xf numFmtId="165" fontId="6" fillId="0" borderId="0" xfId="0" applyNumberFormat="1" applyFont="1" applyFill="1" applyBorder="1" applyAlignment="1" applyProtection="1">
      <alignment horizontal="center"/>
      <protection/>
    </xf>
    <xf numFmtId="164" fontId="10" fillId="0" borderId="0" xfId="0" applyFont="1" applyAlignment="1">
      <alignment horizontal="right"/>
    </xf>
    <xf numFmtId="179" fontId="0" fillId="0" borderId="0" xfId="15" applyNumberFormat="1" applyFont="1" applyFill="1" applyAlignment="1">
      <alignment/>
    </xf>
    <xf numFmtId="179" fontId="0" fillId="0" borderId="0" xfId="15" applyNumberFormat="1" applyFill="1" applyAlignment="1">
      <alignment/>
    </xf>
    <xf numFmtId="181" fontId="5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164" fontId="13" fillId="0" borderId="0" xfId="0" applyFont="1" applyFill="1" applyAlignment="1">
      <alignment/>
    </xf>
    <xf numFmtId="164" fontId="13" fillId="0" borderId="0" xfId="0" applyFont="1" applyFill="1" applyAlignment="1" applyProtection="1" quotePrefix="1">
      <alignment horizontal="left"/>
      <protection/>
    </xf>
    <xf numFmtId="174" fontId="8" fillId="0" borderId="0" xfId="0" applyNumberFormat="1" applyFont="1" applyFill="1" applyAlignment="1">
      <alignment/>
    </xf>
    <xf numFmtId="37" fontId="13" fillId="0" borderId="0" xfId="0" applyNumberFormat="1" applyFont="1" applyFill="1" applyAlignment="1" applyProtection="1">
      <alignment horizontal="center"/>
      <protection/>
    </xf>
    <xf numFmtId="37" fontId="13" fillId="6" borderId="3" xfId="0" applyNumberFormat="1" applyFont="1" applyFill="1" applyBorder="1" applyAlignment="1" applyProtection="1">
      <alignment/>
      <protection/>
    </xf>
    <xf numFmtId="168" fontId="13" fillId="6" borderId="0" xfId="0" applyNumberFormat="1" applyFont="1" applyFill="1" applyBorder="1" applyAlignment="1" applyProtection="1">
      <alignment/>
      <protection/>
    </xf>
    <xf numFmtId="179" fontId="0" fillId="6" borderId="0" xfId="15" applyNumberFormat="1" applyFont="1" applyFill="1" applyAlignment="1">
      <alignment/>
    </xf>
    <xf numFmtId="179" fontId="0" fillId="6" borderId="0" xfId="15" applyNumberFormat="1" applyFill="1" applyAlignment="1">
      <alignment/>
    </xf>
    <xf numFmtId="165" fontId="0" fillId="6" borderId="0" xfId="0" applyNumberFormat="1" applyFill="1" applyAlignment="1">
      <alignment/>
    </xf>
    <xf numFmtId="165" fontId="0" fillId="6" borderId="0" xfId="0" applyNumberFormat="1" applyFill="1" applyAlignment="1">
      <alignment horizontal="center"/>
    </xf>
    <xf numFmtId="165" fontId="8" fillId="6" borderId="0" xfId="0" applyNumberFormat="1" applyFont="1" applyFill="1" applyAlignment="1">
      <alignment/>
    </xf>
    <xf numFmtId="3" fontId="13" fillId="6" borderId="0" xfId="15" applyNumberFormat="1" applyFont="1" applyFill="1" applyAlignment="1" applyProtection="1">
      <alignment/>
      <protection/>
    </xf>
    <xf numFmtId="37" fontId="13" fillId="6" borderId="4" xfId="0" applyNumberFormat="1" applyFont="1" applyFill="1" applyBorder="1" applyAlignment="1" applyProtection="1">
      <alignment/>
      <protection/>
    </xf>
    <xf numFmtId="37" fontId="13" fillId="6" borderId="0" xfId="0" applyNumberFormat="1" applyFont="1" applyFill="1" applyAlignment="1" applyProtection="1">
      <alignment/>
      <protection/>
    </xf>
    <xf numFmtId="37" fontId="13" fillId="6" borderId="0" xfId="0" applyNumberFormat="1" applyFont="1" applyFill="1" applyAlignment="1" applyProtection="1">
      <alignment horizontal="center"/>
      <protection/>
    </xf>
    <xf numFmtId="37" fontId="13" fillId="6" borderId="0" xfId="0" applyNumberFormat="1" applyFont="1" applyFill="1" applyBorder="1" applyAlignment="1" applyProtection="1">
      <alignment/>
      <protection/>
    </xf>
    <xf numFmtId="170" fontId="13" fillId="7" borderId="0" xfId="0" applyNumberFormat="1" applyFont="1" applyFill="1" applyAlignment="1" applyProtection="1">
      <alignment/>
      <protection/>
    </xf>
    <xf numFmtId="168" fontId="13" fillId="6" borderId="0" xfId="0" applyNumberFormat="1" applyFont="1" applyFill="1" applyAlignment="1" applyProtection="1">
      <alignment/>
      <protection/>
    </xf>
    <xf numFmtId="164" fontId="6" fillId="0" borderId="0" xfId="0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37" fontId="7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184" fontId="0" fillId="0" borderId="0" xfId="0" applyNumberFormat="1" applyFill="1" applyAlignment="1">
      <alignment/>
    </xf>
    <xf numFmtId="41" fontId="0" fillId="0" borderId="0" xfId="0" applyNumberFormat="1" applyFill="1" applyAlignment="1">
      <alignment/>
    </xf>
    <xf numFmtId="164" fontId="5" fillId="0" borderId="0" xfId="0" applyFont="1" applyAlignment="1">
      <alignment/>
    </xf>
    <xf numFmtId="164" fontId="6" fillId="0" borderId="0" xfId="0" applyFont="1" applyFill="1" applyAlignment="1">
      <alignment horizontal="center"/>
    </xf>
    <xf numFmtId="164" fontId="5" fillId="0" borderId="0" xfId="0" applyFont="1" applyFill="1" applyAlignment="1">
      <alignment horizontal="center"/>
    </xf>
    <xf numFmtId="164" fontId="5" fillId="0" borderId="0" xfId="0" applyFont="1" applyFill="1" applyAlignment="1" quotePrefix="1">
      <alignment horizontal="center"/>
    </xf>
    <xf numFmtId="164" fontId="5" fillId="0" borderId="0" xfId="0" applyFont="1" applyAlignment="1">
      <alignment horizontal="center"/>
    </xf>
    <xf numFmtId="164" fontId="6" fillId="0" borderId="0" xfId="0" applyFont="1" applyBorder="1" applyAlignment="1" applyProtection="1">
      <alignment horizontal="center"/>
      <protection/>
    </xf>
    <xf numFmtId="164" fontId="6" fillId="0" borderId="0" xfId="0" applyFont="1" applyFill="1" applyBorder="1" applyAlignment="1">
      <alignment horizontal="center"/>
    </xf>
    <xf numFmtId="164" fontId="5" fillId="0" borderId="0" xfId="0" applyFont="1" applyFill="1" applyBorder="1" applyAlignment="1" applyProtection="1">
      <alignment horizontal="center"/>
      <protection/>
    </xf>
    <xf numFmtId="164" fontId="5" fillId="0" borderId="0" xfId="0" applyFont="1" applyBorder="1" applyAlignment="1">
      <alignment horizontal="center"/>
    </xf>
    <xf numFmtId="164" fontId="10" fillId="3" borderId="0" xfId="0" applyFont="1" applyFill="1" applyAlignment="1">
      <alignment horizontal="center"/>
    </xf>
    <xf numFmtId="164" fontId="13" fillId="5" borderId="0" xfId="0" applyFont="1" applyFill="1" applyAlignment="1" applyProtection="1">
      <alignment horizontal="center"/>
      <protection/>
    </xf>
    <xf numFmtId="164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R56"/>
  <sheetViews>
    <sheetView showGridLines="0" zoomScale="75" zoomScaleNormal="75" workbookViewId="0" topLeftCell="I22">
      <selection activeCell="R51" sqref="R51"/>
    </sheetView>
  </sheetViews>
  <sheetFormatPr defaultColWidth="9.33203125" defaultRowHeight="10.5"/>
  <cols>
    <col min="1" max="9" width="9.33203125" style="18" customWidth="1"/>
    <col min="10" max="10" width="18" style="18" customWidth="1"/>
    <col min="11" max="11" width="7.83203125" style="18" customWidth="1"/>
    <col min="12" max="12" width="15.5" style="18" customWidth="1"/>
    <col min="13" max="13" width="8.16015625" style="18" customWidth="1"/>
    <col min="14" max="14" width="14.16015625" style="18" customWidth="1"/>
    <col min="15" max="15" width="8.33203125" style="18" customWidth="1"/>
    <col min="16" max="16" width="14.16015625" style="18" customWidth="1"/>
    <col min="17" max="17" width="7.5" style="18" customWidth="1"/>
    <col min="18" max="18" width="15" style="18" customWidth="1"/>
    <col min="19" max="19" width="7.83203125" style="18" customWidth="1"/>
    <col min="20" max="20" width="14.16015625" style="31" customWidth="1"/>
    <col min="21" max="21" width="17.66015625" style="31" customWidth="1"/>
    <col min="22" max="22" width="15" style="31" customWidth="1"/>
    <col min="23" max="16384" width="9.33203125" style="18" customWidth="1"/>
  </cols>
  <sheetData>
    <row r="1" spans="1:22" ht="10.5">
      <c r="A1" s="210" t="s">
        <v>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4"/>
      <c r="V1" s="24"/>
    </row>
    <row r="2" spans="2:21" ht="10.5">
      <c r="B2" s="36"/>
      <c r="C2" s="36"/>
      <c r="D2" s="36"/>
      <c r="E2" s="36"/>
      <c r="F2" s="36"/>
      <c r="G2" s="36"/>
      <c r="H2" s="36"/>
      <c r="I2" s="36"/>
      <c r="J2" s="210" t="s">
        <v>4</v>
      </c>
      <c r="K2" s="210"/>
      <c r="L2" s="210"/>
      <c r="M2" s="36"/>
      <c r="N2" s="36"/>
      <c r="O2" s="36"/>
      <c r="P2" s="36"/>
      <c r="Q2" s="36"/>
      <c r="R2" s="23"/>
      <c r="S2" s="24"/>
      <c r="T2" s="201" t="s">
        <v>78</v>
      </c>
      <c r="U2" s="36"/>
    </row>
    <row r="3" spans="11:22" ht="10.5">
      <c r="K3" s="201" t="s">
        <v>285</v>
      </c>
      <c r="U3" s="36"/>
      <c r="V3" s="36"/>
    </row>
    <row r="4" spans="12:22" ht="10.5">
      <c r="L4" s="12"/>
      <c r="M4" s="12"/>
      <c r="N4" s="124"/>
      <c r="O4" s="124"/>
      <c r="P4" s="124"/>
      <c r="R4" s="12" t="s">
        <v>270</v>
      </c>
      <c r="T4" s="124" t="s">
        <v>270</v>
      </c>
      <c r="V4" s="140"/>
    </row>
    <row r="5" spans="10:22" ht="10.5">
      <c r="J5" s="124" t="s">
        <v>73</v>
      </c>
      <c r="L5" s="124" t="s">
        <v>179</v>
      </c>
      <c r="M5" s="12"/>
      <c r="N5" s="124" t="s">
        <v>197</v>
      </c>
      <c r="O5" s="124"/>
      <c r="P5" s="124" t="s">
        <v>197</v>
      </c>
      <c r="R5" s="12" t="s">
        <v>0</v>
      </c>
      <c r="T5" s="140" t="s">
        <v>0</v>
      </c>
      <c r="V5" s="140"/>
    </row>
    <row r="6" spans="10:22" ht="10.5">
      <c r="J6" s="12" t="s">
        <v>5</v>
      </c>
      <c r="L6" s="12" t="s">
        <v>6</v>
      </c>
      <c r="M6" s="12"/>
      <c r="N6" s="12" t="s">
        <v>266</v>
      </c>
      <c r="O6" s="12"/>
      <c r="P6" s="12" t="s">
        <v>267</v>
      </c>
      <c r="R6" s="12" t="s">
        <v>268</v>
      </c>
      <c r="T6" s="140" t="s">
        <v>269</v>
      </c>
      <c r="V6" s="140"/>
    </row>
    <row r="7" spans="14:18" ht="10.5">
      <c r="N7" s="31"/>
      <c r="O7" s="31"/>
      <c r="P7" s="31"/>
      <c r="R7" s="31"/>
    </row>
    <row r="8" spans="1:22" ht="10.5">
      <c r="A8" s="12" t="s">
        <v>7</v>
      </c>
      <c r="J8" s="25"/>
      <c r="K8" s="26"/>
      <c r="L8" s="26"/>
      <c r="M8" s="26"/>
      <c r="N8" s="138"/>
      <c r="O8" s="138"/>
      <c r="P8" s="138"/>
      <c r="Q8" s="26"/>
      <c r="R8" s="138"/>
      <c r="S8" s="26"/>
      <c r="T8" s="138"/>
      <c r="U8" s="138"/>
      <c r="V8" s="138"/>
    </row>
    <row r="9" ht="10.5">
      <c r="A9" s="12" t="s">
        <v>8</v>
      </c>
    </row>
    <row r="10" spans="2:9" ht="10.5">
      <c r="B10" s="27"/>
      <c r="C10" s="27"/>
      <c r="D10" s="27"/>
      <c r="E10" s="16" t="s">
        <v>2</v>
      </c>
      <c r="F10" s="27"/>
      <c r="G10" s="27"/>
      <c r="H10" s="27"/>
      <c r="I10" s="27"/>
    </row>
    <row r="12" spans="1:22" ht="10.5">
      <c r="A12" s="12">
        <v>1</v>
      </c>
      <c r="B12" s="2" t="s">
        <v>9</v>
      </c>
      <c r="J12" s="202">
        <f>'6-D'!F25+'6-D'!F27+'6-D'!F28</f>
        <v>69753.52</v>
      </c>
      <c r="K12" s="202"/>
      <c r="L12" s="202">
        <f>'6-D'!H25+'6-D'!H27+'6-D'!H28</f>
        <v>71791.35499999998</v>
      </c>
      <c r="M12" s="202"/>
      <c r="N12" s="202">
        <f>'6-D'!J25+'6-D'!J27+'6-D'!J28</f>
        <v>72346.29400000001</v>
      </c>
      <c r="O12" s="202"/>
      <c r="P12" s="202">
        <f>'6-D'!L25+'6-D'!L27+'6-D'!L28</f>
        <v>74051.33200000001</v>
      </c>
      <c r="Q12" s="202"/>
      <c r="R12" s="202">
        <f>'6-D'!N25+'6-D'!N27+'6-D'!N28</f>
        <v>73024.608</v>
      </c>
      <c r="S12" s="202"/>
      <c r="T12" s="202">
        <f>'6-D'!P25+'6-D'!P27+'6-D'!P28</f>
        <v>77005.951</v>
      </c>
      <c r="U12" s="141"/>
      <c r="V12" s="141"/>
    </row>
    <row r="13" spans="1:22" ht="10.5">
      <c r="A13" s="12">
        <v>2</v>
      </c>
      <c r="B13" s="2" t="s">
        <v>10</v>
      </c>
      <c r="J13" s="202">
        <f>'6-D'!F29</f>
        <v>153.87</v>
      </c>
      <c r="K13" s="202"/>
      <c r="L13" s="202">
        <f>'6-D'!H29</f>
        <v>169.919</v>
      </c>
      <c r="M13" s="202"/>
      <c r="N13" s="202">
        <f>'6-D'!J29</f>
        <v>186.817</v>
      </c>
      <c r="O13" s="202"/>
      <c r="P13" s="202">
        <f>'6-D'!L29</f>
        <v>186.817</v>
      </c>
      <c r="Q13" s="202"/>
      <c r="R13" s="202">
        <f>'6-D'!N29</f>
        <v>221.77300000000002</v>
      </c>
      <c r="S13" s="202"/>
      <c r="T13" s="202">
        <f>'6-D'!P29</f>
        <v>221.77300000000002</v>
      </c>
      <c r="U13" s="141"/>
      <c r="V13" s="141"/>
    </row>
    <row r="14" spans="1:22" ht="10.5">
      <c r="A14" s="12">
        <v>3</v>
      </c>
      <c r="B14" s="2" t="s">
        <v>11</v>
      </c>
      <c r="J14" s="202">
        <f>'6-D'!F30</f>
        <v>85.451</v>
      </c>
      <c r="K14" s="202"/>
      <c r="L14" s="202">
        <f>'6-D'!H30</f>
        <v>186.11599999999999</v>
      </c>
      <c r="M14" s="202"/>
      <c r="N14" s="202">
        <f>'6-D'!J30</f>
        <v>214.943</v>
      </c>
      <c r="O14" s="202"/>
      <c r="P14" s="202">
        <f>'6-D'!L30</f>
        <v>238.98600000000002</v>
      </c>
      <c r="Q14" s="202"/>
      <c r="R14" s="202">
        <f>'6-D'!N30</f>
        <v>321.999</v>
      </c>
      <c r="S14" s="202"/>
      <c r="T14" s="202">
        <f>'6-D'!P30</f>
        <v>455.442</v>
      </c>
      <c r="U14" s="141"/>
      <c r="V14" s="141"/>
    </row>
    <row r="15" spans="1:22" ht="10.5">
      <c r="A15" s="12"/>
      <c r="B15" s="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141"/>
      <c r="V15" s="141"/>
    </row>
    <row r="16" spans="1:22" ht="10.5">
      <c r="A16" s="12">
        <v>4</v>
      </c>
      <c r="B16" s="11" t="s">
        <v>12</v>
      </c>
      <c r="C16" s="1"/>
      <c r="D16" s="1"/>
      <c r="E16" s="1"/>
      <c r="F16" s="1"/>
      <c r="G16" s="1"/>
      <c r="H16" s="1"/>
      <c r="I16" s="1"/>
      <c r="J16" s="203">
        <f>SUM(J12:J15)</f>
        <v>69992.841</v>
      </c>
      <c r="K16" s="203"/>
      <c r="L16" s="203">
        <f>SUM(L12:L15)</f>
        <v>72147.38999999997</v>
      </c>
      <c r="M16" s="203"/>
      <c r="N16" s="203">
        <f>SUM(N12:N15)</f>
        <v>72748.054</v>
      </c>
      <c r="O16" s="203"/>
      <c r="P16" s="203">
        <f>SUM(P12:P15)</f>
        <v>74477.13500000001</v>
      </c>
      <c r="Q16" s="203"/>
      <c r="R16" s="203">
        <f>SUM(R12:R15)</f>
        <v>73568.37999999999</v>
      </c>
      <c r="S16" s="203"/>
      <c r="T16" s="203">
        <f>SUM(T12:T15)</f>
        <v>77683.166</v>
      </c>
      <c r="U16" s="15"/>
      <c r="V16" s="15"/>
    </row>
    <row r="17" spans="1:22" ht="10.5">
      <c r="A17" s="12"/>
      <c r="B17" s="4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141"/>
      <c r="V17" s="141"/>
    </row>
    <row r="18" spans="1:22" ht="10.5">
      <c r="A18" s="12"/>
      <c r="B18" s="27"/>
      <c r="C18" s="27"/>
      <c r="D18" s="27"/>
      <c r="E18" s="17" t="s">
        <v>13</v>
      </c>
      <c r="F18" s="27"/>
      <c r="G18" s="27"/>
      <c r="H18" s="27"/>
      <c r="I18" s="27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141"/>
      <c r="V18" s="141"/>
    </row>
    <row r="19" spans="1:22" ht="10.5">
      <c r="A19" s="12"/>
      <c r="B19" s="3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141"/>
      <c r="V19" s="141"/>
    </row>
    <row r="20" spans="1:22" ht="10.5">
      <c r="A20" s="12">
        <v>5</v>
      </c>
      <c r="B20" s="2" t="s">
        <v>14</v>
      </c>
      <c r="J20" s="202">
        <v>2136.8529227599997</v>
      </c>
      <c r="K20" s="202"/>
      <c r="L20" s="202">
        <f>'6-N-1'!J8/1000</f>
        <v>2260.8228368676114</v>
      </c>
      <c r="M20" s="202"/>
      <c r="N20" s="202">
        <f>'6-N-1'!J35/1000</f>
        <v>2363.914414876486</v>
      </c>
      <c r="O20" s="202"/>
      <c r="P20" s="202">
        <f>'6-N-3'!J8/1000</f>
        <v>2359.737992856828</v>
      </c>
      <c r="Q20" s="202"/>
      <c r="R20" s="202">
        <f>'6-N-2'!J8/1000</f>
        <v>2482.694</v>
      </c>
      <c r="S20" s="202"/>
      <c r="T20" s="202">
        <f>'6-N-2'!J34/1000</f>
        <v>2468.0284721940156</v>
      </c>
      <c r="U20" s="141"/>
      <c r="V20" s="141"/>
    </row>
    <row r="21" spans="1:22" ht="10.5">
      <c r="A21" s="12">
        <v>6</v>
      </c>
      <c r="B21" s="2" t="s">
        <v>15</v>
      </c>
      <c r="J21" s="202">
        <v>4107.156094329999</v>
      </c>
      <c r="K21" s="202"/>
      <c r="L21" s="202">
        <f>'6-N-1'!J9/1000</f>
        <v>4268.959800054099</v>
      </c>
      <c r="M21" s="202"/>
      <c r="N21" s="202">
        <f>'6-N-1'!J36/1000</f>
        <v>4357.777480753444</v>
      </c>
      <c r="O21" s="202"/>
      <c r="P21" s="202">
        <f>'6-N-3'!J9/1000</f>
        <v>4333.8164848903125</v>
      </c>
      <c r="Q21" s="202"/>
      <c r="R21" s="202">
        <f>'6-N-2'!J9/1000</f>
        <v>4483.636</v>
      </c>
      <c r="S21" s="202"/>
      <c r="T21" s="202">
        <f>'6-N-2'!J35/1000</f>
        <v>4400.619172402221</v>
      </c>
      <c r="U21" s="141"/>
      <c r="V21" s="141"/>
    </row>
    <row r="22" spans="1:22" ht="10.5">
      <c r="A22" s="12">
        <v>7</v>
      </c>
      <c r="B22" s="2" t="s">
        <v>16</v>
      </c>
      <c r="J22" s="202">
        <v>18861.013882820003</v>
      </c>
      <c r="K22" s="202"/>
      <c r="L22" s="202">
        <f>'6-N-1'!J10/1000</f>
        <v>18843.323710025015</v>
      </c>
      <c r="M22" s="202"/>
      <c r="N22" s="202">
        <f>'6-N-1'!J37/1000</f>
        <v>18880.654781790803</v>
      </c>
      <c r="O22" s="202"/>
      <c r="P22" s="202">
        <f>'6-N-3'!J10/1000</f>
        <v>18800.648413258317</v>
      </c>
      <c r="Q22" s="202"/>
      <c r="R22" s="202">
        <f>'6-N-2'!J10/1000</f>
        <v>18968.419934022862</v>
      </c>
      <c r="S22" s="202"/>
      <c r="T22" s="202">
        <f>'6-N-2'!J36/1000</f>
        <v>18381.036089164263</v>
      </c>
      <c r="U22" s="141"/>
      <c r="V22" s="141"/>
    </row>
    <row r="23" spans="1:22" ht="10.5">
      <c r="A23" s="12">
        <v>8</v>
      </c>
      <c r="B23" s="2" t="s">
        <v>17</v>
      </c>
      <c r="J23" s="202">
        <v>5.973606009999999</v>
      </c>
      <c r="K23" s="202"/>
      <c r="L23" s="202">
        <f>'6-N-1'!J11/1000</f>
        <v>6.239508612317367</v>
      </c>
      <c r="M23" s="202"/>
      <c r="N23" s="202">
        <f>'6-N-1'!J38/1000</f>
        <v>6.536470019415535</v>
      </c>
      <c r="O23" s="202"/>
      <c r="P23" s="202">
        <f>'6-N-3'!J11/1000</f>
        <v>6.493578413721154</v>
      </c>
      <c r="Q23" s="202"/>
      <c r="R23" s="202">
        <f>'6-N-2'!J11/1000</f>
        <v>6.81</v>
      </c>
      <c r="S23" s="202"/>
      <c r="T23" s="202">
        <f>'6-N-2'!J37/1000</f>
        <v>6.672729518720016</v>
      </c>
      <c r="U23" s="141"/>
      <c r="V23" s="141"/>
    </row>
    <row r="24" spans="1:22" ht="10.5">
      <c r="A24" s="12">
        <v>9</v>
      </c>
      <c r="B24" s="2" t="s">
        <v>18</v>
      </c>
      <c r="I24" s="18" t="s">
        <v>19</v>
      </c>
      <c r="J24" s="202">
        <v>15673.636966409998</v>
      </c>
      <c r="K24" s="202"/>
      <c r="L24" s="202">
        <f>'6-N-1'!J12/1000</f>
        <v>16208.336709876356</v>
      </c>
      <c r="M24" s="202"/>
      <c r="N24" s="202">
        <f>'6-N-1'!J39/1000</f>
        <v>16680.241101977917</v>
      </c>
      <c r="O24" s="202"/>
      <c r="P24" s="202">
        <f>'6-N-3'!J12/1000</f>
        <v>16600.690738826845</v>
      </c>
      <c r="Q24" s="202"/>
      <c r="R24" s="202">
        <f>'6-N-2'!J12/1000</f>
        <v>17134.152</v>
      </c>
      <c r="S24" s="202"/>
      <c r="T24" s="202">
        <f>'6-N-2'!J38/1000</f>
        <v>16848.941374875434</v>
      </c>
      <c r="U24" s="141"/>
      <c r="V24" s="141"/>
    </row>
    <row r="25" spans="1:22" ht="10.5">
      <c r="A25" s="12">
        <v>10</v>
      </c>
      <c r="B25" s="2" t="s">
        <v>20</v>
      </c>
      <c r="J25" s="202">
        <v>607.2586812800001</v>
      </c>
      <c r="K25" s="202"/>
      <c r="L25" s="202">
        <f>'6-N-1'!J13/1000</f>
        <v>633.2440462350431</v>
      </c>
      <c r="M25" s="202"/>
      <c r="N25" s="202">
        <f>'6-N-1'!J40/1000</f>
        <v>660.0062108842843</v>
      </c>
      <c r="O25" s="202"/>
      <c r="P25" s="202">
        <f>'6-N-3'!J13/1000</f>
        <v>651.1414052364328</v>
      </c>
      <c r="Q25" s="202"/>
      <c r="R25" s="202">
        <f>'6-N-2'!J13/1000</f>
        <v>690.188</v>
      </c>
      <c r="S25" s="202"/>
      <c r="T25" s="202">
        <f>'6-N-2'!J39/1000</f>
        <v>661.8108882801994</v>
      </c>
      <c r="U25" s="141"/>
      <c r="V25" s="141"/>
    </row>
    <row r="26" spans="1:22" ht="10.5">
      <c r="A26" s="12">
        <v>11</v>
      </c>
      <c r="B26" s="2" t="s">
        <v>21</v>
      </c>
      <c r="J26" s="202"/>
      <c r="K26" s="202"/>
      <c r="L26" s="202">
        <f>'6-N-1'!J14/1000</f>
        <v>0</v>
      </c>
      <c r="M26" s="202"/>
      <c r="N26" s="202">
        <f>'6-N-1'!J41/1000</f>
        <v>0</v>
      </c>
      <c r="O26" s="202"/>
      <c r="P26" s="202">
        <f>'6-N-3'!J14/1000</f>
        <v>0</v>
      </c>
      <c r="Q26" s="202"/>
      <c r="R26" s="202">
        <f>'6-N-2'!J14/1000</f>
        <v>0</v>
      </c>
      <c r="S26" s="202"/>
      <c r="T26" s="202">
        <f>'6-N-2'!J40/1000</f>
        <v>0</v>
      </c>
      <c r="U26" s="141"/>
      <c r="V26" s="141"/>
    </row>
    <row r="27" spans="1:22" ht="10.5">
      <c r="A27" s="12">
        <v>12</v>
      </c>
      <c r="B27" s="2" t="s">
        <v>22</v>
      </c>
      <c r="J27" s="202">
        <v>5598.39189785</v>
      </c>
      <c r="K27" s="202"/>
      <c r="L27" s="202">
        <f>'6-N-1'!J15/1000</f>
        <v>5915.309309074978</v>
      </c>
      <c r="M27" s="202"/>
      <c r="N27" s="202">
        <f>'6-N-1'!J42/1000</f>
        <v>6235.257536988671</v>
      </c>
      <c r="O27" s="202"/>
      <c r="P27" s="202">
        <f>'6-N-3'!J15/1000</f>
        <v>6206.453163147987</v>
      </c>
      <c r="Q27" s="202"/>
      <c r="R27" s="202">
        <f>'6-N-2'!J15/1000</f>
        <v>6494.302</v>
      </c>
      <c r="S27" s="202"/>
      <c r="T27" s="202">
        <f>'6-N-2'!J41/1000</f>
        <v>6419.486711835215</v>
      </c>
      <c r="U27" s="141"/>
      <c r="V27" s="141"/>
    </row>
    <row r="28" spans="1:22" ht="10.5">
      <c r="A28" s="12">
        <v>13</v>
      </c>
      <c r="B28" s="2" t="s">
        <v>23</v>
      </c>
      <c r="J28" s="202">
        <v>3125.0270591500007</v>
      </c>
      <c r="K28" s="202"/>
      <c r="L28" s="202">
        <f>'6-N-1'!J16/1000</f>
        <v>3284.0853058301755</v>
      </c>
      <c r="M28" s="202"/>
      <c r="N28" s="202">
        <f>'6-N-1'!J43/1000</f>
        <v>3401.117286285941</v>
      </c>
      <c r="O28" s="202"/>
      <c r="P28" s="202">
        <f>'6-N-3'!J16/1000</f>
        <v>3391.5078029399683</v>
      </c>
      <c r="Q28" s="202"/>
      <c r="R28" s="202">
        <f>'6-N-2'!J16/1000</f>
        <v>3531.916</v>
      </c>
      <c r="S28" s="202"/>
      <c r="T28" s="202">
        <f>'6-N-2'!J42/1000</f>
        <v>3497.8810186345354</v>
      </c>
      <c r="U28" s="141"/>
      <c r="V28" s="141"/>
    </row>
    <row r="29" spans="1:22" ht="10.5">
      <c r="A29" s="12">
        <v>14</v>
      </c>
      <c r="B29" s="2" t="s">
        <v>24</v>
      </c>
      <c r="J29" s="202">
        <v>1016.82876299</v>
      </c>
      <c r="K29" s="202"/>
      <c r="L29" s="202">
        <f>'6-N-1'!J17/1000</f>
        <v>1065.8722663223816</v>
      </c>
      <c r="M29" s="202"/>
      <c r="N29" s="202">
        <f>'6-N-1'!J44/1000</f>
        <v>1109.5522605335534</v>
      </c>
      <c r="O29" s="202"/>
      <c r="P29" s="202">
        <f>'6-N-3'!J17/1000</f>
        <v>1105.55512977111</v>
      </c>
      <c r="Q29" s="202"/>
      <c r="R29" s="202">
        <f>'6-N-2'!J17/1000</f>
        <v>1157.658</v>
      </c>
      <c r="S29" s="202"/>
      <c r="T29" s="202">
        <f>'6-N-2'!J43/1000</f>
        <v>1144.1634472690728</v>
      </c>
      <c r="U29" s="141"/>
      <c r="V29" s="141"/>
    </row>
    <row r="30" spans="1:22" ht="10.5">
      <c r="A30" s="12">
        <v>15</v>
      </c>
      <c r="B30" s="4" t="s">
        <v>25</v>
      </c>
      <c r="C30" s="31"/>
      <c r="D30" s="31"/>
      <c r="E30" s="31"/>
      <c r="F30" s="31"/>
      <c r="G30" s="31"/>
      <c r="H30" s="31"/>
      <c r="J30" s="202">
        <v>320.13601585000004</v>
      </c>
      <c r="K30" s="202"/>
      <c r="L30" s="202">
        <f>'6-N-1'!J18/1000</f>
        <v>339.7511448527207</v>
      </c>
      <c r="M30" s="202"/>
      <c r="N30" s="202">
        <f>'6-N-1'!J45/1000</f>
        <v>353.897361728984</v>
      </c>
      <c r="O30" s="202"/>
      <c r="P30" s="202">
        <f>'6-N-3'!J18/1000</f>
        <v>353.8612681866959</v>
      </c>
      <c r="Q30" s="202"/>
      <c r="R30" s="202">
        <f>'6-N-2'!J18/1000</f>
        <v>369.695</v>
      </c>
      <c r="S30" s="202"/>
      <c r="T30" s="202">
        <f>'6-N-2'!J44/1000</f>
        <v>369.56397435364624</v>
      </c>
      <c r="U30" s="141"/>
      <c r="V30" s="141"/>
    </row>
    <row r="31" spans="1:22" ht="10.5">
      <c r="A31" s="12">
        <v>16</v>
      </c>
      <c r="B31" s="4" t="s">
        <v>26</v>
      </c>
      <c r="C31" s="31"/>
      <c r="D31" s="31"/>
      <c r="E31" s="31"/>
      <c r="F31" s="31"/>
      <c r="G31" s="31"/>
      <c r="H31" s="31"/>
      <c r="J31" s="202">
        <v>5436.764856089999</v>
      </c>
      <c r="K31" s="202"/>
      <c r="L31" s="202">
        <f>'6-N-1'!J19/1000</f>
        <v>5784.318914639855</v>
      </c>
      <c r="M31" s="202"/>
      <c r="N31" s="202">
        <f>'6-N-1'!J46/1000</f>
        <v>5726.810780893893</v>
      </c>
      <c r="O31" s="202"/>
      <c r="P31" s="202">
        <f>'6-N-3'!J19/1000</f>
        <v>5611.902716336253</v>
      </c>
      <c r="Q31" s="202"/>
      <c r="R31" s="202">
        <f>'6-N-2'!J19/1000</f>
        <v>5781.051227663555</v>
      </c>
      <c r="S31" s="202"/>
      <c r="T31" s="202">
        <f>'6-N-2'!J45/1000</f>
        <v>5398.3681805845745</v>
      </c>
      <c r="U31" s="141"/>
      <c r="V31" s="141"/>
    </row>
    <row r="32" spans="1:22" ht="10.5">
      <c r="A32" s="12">
        <v>17</v>
      </c>
      <c r="B32" s="4" t="s">
        <v>27</v>
      </c>
      <c r="C32" s="31"/>
      <c r="D32" s="31"/>
      <c r="E32" s="31"/>
      <c r="F32" s="31"/>
      <c r="G32" s="31"/>
      <c r="H32" s="31"/>
      <c r="J32" s="202">
        <v>1832.1323336300002</v>
      </c>
      <c r="K32" s="202"/>
      <c r="L32" s="202">
        <f>'6-N-1'!J20/1000</f>
        <v>1970.0353813831714</v>
      </c>
      <c r="M32" s="202"/>
      <c r="N32" s="202">
        <f>'6-N-1'!J47/1000</f>
        <v>1980.133571656374</v>
      </c>
      <c r="O32" s="202"/>
      <c r="P32" s="202">
        <f>'6-N-3'!J20/1000</f>
        <v>1980.133571656374</v>
      </c>
      <c r="Q32" s="202"/>
      <c r="R32" s="202">
        <f>'6-N-2'!J20/1000</f>
        <v>1995.593</v>
      </c>
      <c r="S32" s="202"/>
      <c r="T32" s="202">
        <f>'6-N-2'!J46/1000</f>
        <v>1995.5931762843036</v>
      </c>
      <c r="U32" s="141"/>
      <c r="V32" s="141"/>
    </row>
    <row r="33" spans="1:22" s="28" customFormat="1" ht="10.5">
      <c r="A33" s="12">
        <v>18</v>
      </c>
      <c r="B33" s="4" t="s">
        <v>30</v>
      </c>
      <c r="C33" s="31"/>
      <c r="D33" s="31"/>
      <c r="E33" s="31"/>
      <c r="F33" s="31"/>
      <c r="G33" s="31"/>
      <c r="H33" s="31"/>
      <c r="I33" s="18"/>
      <c r="J33" s="202">
        <v>2887.3972526600005</v>
      </c>
      <c r="K33" s="202"/>
      <c r="L33" s="202">
        <f>'6-N-1'!J21/1000</f>
        <v>2999.8713128339177</v>
      </c>
      <c r="M33" s="202"/>
      <c r="N33" s="202">
        <f>'6-N-1'!J48/1000</f>
        <v>2892.878691140038</v>
      </c>
      <c r="O33" s="202"/>
      <c r="P33" s="202">
        <f>'6-N-3'!J21/1000</f>
        <v>2883.5777894846865</v>
      </c>
      <c r="Q33" s="205"/>
      <c r="R33" s="206">
        <f>'6-N-2'!J21/1000</f>
        <v>2865.969</v>
      </c>
      <c r="S33" s="205"/>
      <c r="T33" s="202">
        <f>'6-N-2'!J47/1000</f>
        <v>2832.8767597464375</v>
      </c>
      <c r="U33" s="142"/>
      <c r="V33" s="143"/>
    </row>
    <row r="34" spans="1:22" ht="10.5">
      <c r="A34" s="12">
        <v>19</v>
      </c>
      <c r="B34" s="4" t="s">
        <v>28</v>
      </c>
      <c r="C34" s="31"/>
      <c r="D34" s="31"/>
      <c r="E34" s="31"/>
      <c r="F34" s="31"/>
      <c r="G34" s="31"/>
      <c r="H34" s="31"/>
      <c r="J34" s="202">
        <v>40.7272305</v>
      </c>
      <c r="K34" s="202"/>
      <c r="L34" s="202">
        <f>'6-N-1'!J22/1000</f>
        <v>35.41188125553828</v>
      </c>
      <c r="M34" s="202"/>
      <c r="N34" s="202">
        <f>'6-N-1'!J49/1000</f>
        <v>42.00088125553828</v>
      </c>
      <c r="O34" s="202"/>
      <c r="P34" s="202">
        <f>'6-N-3'!J22/1000</f>
        <v>42.00088125553828</v>
      </c>
      <c r="Q34" s="202"/>
      <c r="R34" s="202">
        <f>'6-N-2'!J22/1000</f>
        <v>42.001</v>
      </c>
      <c r="S34" s="202"/>
      <c r="T34" s="202">
        <f>'6-N-2'!J48/1000</f>
        <v>42.00088125553828</v>
      </c>
      <c r="U34" s="141"/>
      <c r="V34" s="141"/>
    </row>
    <row r="35" spans="1:22" s="28" customFormat="1" ht="10.5">
      <c r="A35" s="12">
        <v>20</v>
      </c>
      <c r="B35" s="152" t="s">
        <v>31</v>
      </c>
      <c r="C35" s="153"/>
      <c r="D35" s="153"/>
      <c r="E35" s="153"/>
      <c r="F35" s="153"/>
      <c r="G35" s="153"/>
      <c r="H35" s="153"/>
      <c r="J35" s="202">
        <v>4328.5565338999995</v>
      </c>
      <c r="K35" s="206"/>
      <c r="L35" s="206">
        <f>'6-N-1'!J23/1000</f>
        <v>7859.057148751165</v>
      </c>
      <c r="M35" s="206"/>
      <c r="N35" s="206">
        <f>'6-N-1'!J50/1000</f>
        <v>8437.58657961078</v>
      </c>
      <c r="O35" s="206"/>
      <c r="P35" s="202">
        <f>'6-N-3'!J23/1000</f>
        <v>8437.58657961078</v>
      </c>
      <c r="Q35" s="205"/>
      <c r="R35" s="206">
        <f>'6-N-2'!J23/1000</f>
        <v>9146.653</v>
      </c>
      <c r="S35" s="205"/>
      <c r="T35" s="202">
        <f>'6-N-2'!J49/1000</f>
        <v>9146.652908947544</v>
      </c>
      <c r="U35" s="142"/>
      <c r="V35" s="143"/>
    </row>
    <row r="36" spans="1:22" ht="10.5">
      <c r="A36" s="12">
        <v>21</v>
      </c>
      <c r="B36" s="4" t="s">
        <v>29</v>
      </c>
      <c r="C36" s="31"/>
      <c r="D36" s="31"/>
      <c r="E36" s="31"/>
      <c r="F36" s="31"/>
      <c r="G36" s="31"/>
      <c r="H36" s="31"/>
      <c r="J36" s="202">
        <v>59.799235620000005</v>
      </c>
      <c r="K36" s="202"/>
      <c r="L36" s="202">
        <f>'6-N-1'!J24/1000</f>
        <v>69.0037501115507</v>
      </c>
      <c r="M36" s="202"/>
      <c r="N36" s="202">
        <f>'6-N-1'!J51/1000</f>
        <v>67.11002206333248</v>
      </c>
      <c r="O36" s="202"/>
      <c r="P36" s="202">
        <f>'6-N-3'!J24/1000</f>
        <v>67.11002206333248</v>
      </c>
      <c r="Q36" s="202"/>
      <c r="R36" s="202">
        <f>'6-N-2'!J24/1000</f>
        <v>68.331</v>
      </c>
      <c r="S36" s="202"/>
      <c r="T36" s="202">
        <f>'6-N-2'!J50/1000</f>
        <v>68.33140353857833</v>
      </c>
      <c r="U36" s="141"/>
      <c r="V36" s="141"/>
    </row>
    <row r="37" spans="1:22" s="28" customFormat="1" ht="10.5">
      <c r="A37" s="29">
        <v>22</v>
      </c>
      <c r="B37" s="152" t="s">
        <v>32</v>
      </c>
      <c r="C37" s="153"/>
      <c r="D37" s="153"/>
      <c r="E37" s="153"/>
      <c r="F37" s="153"/>
      <c r="G37" s="153"/>
      <c r="H37" s="153"/>
      <c r="J37" s="206">
        <v>2510.00620763</v>
      </c>
      <c r="K37" s="206"/>
      <c r="L37" s="206">
        <f>'6-N-1'!J25/1000</f>
        <v>2690.9896615536095</v>
      </c>
      <c r="M37" s="206"/>
      <c r="N37" s="206">
        <f>'6-N-1'!J52/1000</f>
        <v>2829.468224597037</v>
      </c>
      <c r="O37" s="206"/>
      <c r="P37" s="202">
        <f>'6-N-3'!J25/1000</f>
        <v>2828.9881915427527</v>
      </c>
      <c r="Q37" s="205"/>
      <c r="R37" s="206">
        <f>'6-N-2'!J25/1000</f>
        <v>3149.395</v>
      </c>
      <c r="S37" s="205"/>
      <c r="T37" s="202">
        <f>'6-N-2'!J51/1000</f>
        <v>3064.7892268108676</v>
      </c>
      <c r="U37" s="142"/>
      <c r="V37" s="143"/>
    </row>
    <row r="38" spans="1:22" s="28" customFormat="1" ht="10.5">
      <c r="A38" s="29">
        <v>24</v>
      </c>
      <c r="B38" s="30" t="s">
        <v>80</v>
      </c>
      <c r="J38" s="206"/>
      <c r="K38" s="206"/>
      <c r="L38" s="206">
        <f>'6-N-1'!J27/1000</f>
        <v>7.288407619746818</v>
      </c>
      <c r="M38" s="206"/>
      <c r="N38" s="206">
        <f>'6-N-1'!J54/1000</f>
        <v>12.148</v>
      </c>
      <c r="O38" s="206"/>
      <c r="P38" s="202">
        <f>'6-N-3'!J27/1000</f>
        <v>4.335183711337478</v>
      </c>
      <c r="Q38" s="206"/>
      <c r="R38" s="206">
        <f>'6-N-2'!J27/1000</f>
        <v>18.802</v>
      </c>
      <c r="S38" s="206"/>
      <c r="T38" s="202">
        <f>'6-N-2'!J53/1000</f>
        <v>-3.640056783483957</v>
      </c>
      <c r="U38" s="143"/>
      <c r="V38" s="143"/>
    </row>
    <row r="39" spans="1:44" ht="10.5">
      <c r="A39" s="29">
        <v>25</v>
      </c>
      <c r="B39" s="17" t="s">
        <v>33</v>
      </c>
      <c r="C39" s="16"/>
      <c r="D39" s="16"/>
      <c r="E39" s="16"/>
      <c r="F39" s="16"/>
      <c r="G39" s="16"/>
      <c r="H39" s="16"/>
      <c r="I39" s="16"/>
      <c r="J39" s="203">
        <f>SUM(J20:J38)</f>
        <v>68547.65953947998</v>
      </c>
      <c r="K39" s="203"/>
      <c r="L39" s="203">
        <f>SUM(L20:L38)</f>
        <v>74241.92109589925</v>
      </c>
      <c r="M39" s="203"/>
      <c r="N39" s="203">
        <f>SUM(N20:N38)</f>
        <v>76037.09165705649</v>
      </c>
      <c r="O39" s="203"/>
      <c r="P39" s="203">
        <f>SUM(P20:P38)</f>
        <v>75665.54091318928</v>
      </c>
      <c r="Q39" s="203"/>
      <c r="R39" s="203">
        <f>SUM(R20:R38)</f>
        <v>78387.26616168644</v>
      </c>
      <c r="S39" s="203"/>
      <c r="T39" s="203">
        <f>SUM(T20:T38)</f>
        <v>76743.17635891169</v>
      </c>
      <c r="U39" s="15"/>
      <c r="V39" s="15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</row>
    <row r="40" spans="1:22" ht="10.5">
      <c r="A40" s="12"/>
      <c r="B40" s="14"/>
      <c r="C40" s="32"/>
      <c r="D40" s="32"/>
      <c r="E40" s="33"/>
      <c r="F40" s="32"/>
      <c r="G40" s="32"/>
      <c r="H40" s="32"/>
      <c r="I40" s="3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141"/>
      <c r="V40" s="141"/>
    </row>
    <row r="41" spans="1:22" ht="10.5">
      <c r="A41" s="12"/>
      <c r="B41" s="18" t="s">
        <v>34</v>
      </c>
      <c r="E41" s="4"/>
      <c r="J41" s="202">
        <f>J16-J39</f>
        <v>1445.1814605200198</v>
      </c>
      <c r="K41" s="202"/>
      <c r="L41" s="202">
        <f>L16-L39</f>
        <v>-2094.5310958992777</v>
      </c>
      <c r="M41" s="202"/>
      <c r="N41" s="202">
        <f>N16-N39</f>
        <v>-3289.037657056484</v>
      </c>
      <c r="O41" s="202"/>
      <c r="P41" s="202">
        <f>P16-P39</f>
        <v>-1188.4059131892718</v>
      </c>
      <c r="Q41" s="202"/>
      <c r="R41" s="202">
        <f>R16-R39</f>
        <v>-4818.886161686445</v>
      </c>
      <c r="S41" s="202"/>
      <c r="T41" s="202">
        <f>T16-T39</f>
        <v>939.9896410883084</v>
      </c>
      <c r="U41" s="204"/>
      <c r="V41" s="141"/>
    </row>
    <row r="42" spans="1:22" ht="10.5">
      <c r="A42" s="12"/>
      <c r="E42" s="4"/>
      <c r="J42" s="202"/>
      <c r="K42" s="202"/>
      <c r="L42" s="202"/>
      <c r="M42" s="202"/>
      <c r="N42" s="202"/>
      <c r="O42" s="202"/>
      <c r="P42" s="202"/>
      <c r="Q42" s="202"/>
      <c r="R42" s="202"/>
      <c r="S42" s="202"/>
      <c r="T42" s="202"/>
      <c r="U42" s="141"/>
      <c r="V42" s="141"/>
    </row>
    <row r="43" spans="1:22" ht="10.5">
      <c r="A43" s="12">
        <v>26</v>
      </c>
      <c r="B43" s="2" t="s">
        <v>35</v>
      </c>
      <c r="J43" s="202"/>
      <c r="K43" s="202"/>
      <c r="L43" s="202"/>
      <c r="M43" s="202"/>
      <c r="N43" s="202"/>
      <c r="O43" s="202"/>
      <c r="P43" s="202"/>
      <c r="Q43" s="202"/>
      <c r="R43" s="202">
        <f>0.01*R39</f>
        <v>783.8726616168643</v>
      </c>
      <c r="S43" s="202"/>
      <c r="T43" s="202">
        <f>0.01*T39</f>
        <v>767.4317635891169</v>
      </c>
      <c r="U43" s="204"/>
      <c r="V43" s="141"/>
    </row>
    <row r="44" spans="1:22" ht="10.5">
      <c r="A44" s="12"/>
      <c r="B44" s="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141"/>
      <c r="V44" s="141"/>
    </row>
    <row r="45" spans="1:22" ht="10.5">
      <c r="A45" s="12"/>
      <c r="B45" s="18" t="s">
        <v>36</v>
      </c>
      <c r="F45" s="2"/>
      <c r="J45" s="202"/>
      <c r="K45" s="202"/>
      <c r="L45" s="202"/>
      <c r="M45" s="202"/>
      <c r="N45" s="202"/>
      <c r="O45" s="202"/>
      <c r="P45" s="202"/>
      <c r="Q45" s="202"/>
      <c r="R45" s="202">
        <f>R41-R43</f>
        <v>-5602.758823303309</v>
      </c>
      <c r="S45" s="202"/>
      <c r="T45" s="202">
        <f>T41-T43</f>
        <v>172.55787749919148</v>
      </c>
      <c r="U45" s="141"/>
      <c r="V45" s="141"/>
    </row>
    <row r="46" spans="1:22" ht="10.5">
      <c r="A46" s="12"/>
      <c r="F46" s="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141"/>
      <c r="V46" s="141"/>
    </row>
    <row r="47" spans="1:22" ht="10.5">
      <c r="A47" s="12">
        <v>27</v>
      </c>
      <c r="B47" s="2" t="s">
        <v>37</v>
      </c>
      <c r="J47" s="202"/>
      <c r="K47" s="202"/>
      <c r="L47" s="202"/>
      <c r="M47" s="202"/>
      <c r="N47" s="202"/>
      <c r="O47" s="202"/>
      <c r="P47" s="202"/>
      <c r="Q47" s="202"/>
      <c r="R47" s="202">
        <v>226.792</v>
      </c>
      <c r="S47" s="202"/>
      <c r="T47" s="202"/>
      <c r="U47" s="141"/>
      <c r="V47" s="141"/>
    </row>
    <row r="48" spans="1:22" ht="10.5">
      <c r="A48" s="12"/>
      <c r="B48" s="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141"/>
      <c r="V48" s="141"/>
    </row>
    <row r="49" spans="1:33" ht="10.5">
      <c r="A49" s="12">
        <v>28</v>
      </c>
      <c r="B49" s="17" t="s">
        <v>38</v>
      </c>
      <c r="C49" s="16"/>
      <c r="D49" s="16"/>
      <c r="E49" s="16"/>
      <c r="F49" s="16"/>
      <c r="G49" s="16"/>
      <c r="H49" s="16"/>
      <c r="I49" s="16"/>
      <c r="J49" s="203"/>
      <c r="K49" s="203"/>
      <c r="L49" s="203"/>
      <c r="M49" s="203"/>
      <c r="N49" s="202"/>
      <c r="O49" s="202"/>
      <c r="P49" s="202"/>
      <c r="Q49" s="203"/>
      <c r="R49" s="202">
        <f>R39+R43+R47</f>
        <v>79397.93082330331</v>
      </c>
      <c r="S49" s="202"/>
      <c r="T49" s="202">
        <f>T39+T43+T47</f>
        <v>77510.60812250081</v>
      </c>
      <c r="U49" s="15"/>
      <c r="V49" s="14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</row>
    <row r="50" spans="1:22" ht="10.5">
      <c r="A50" s="1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141"/>
      <c r="V50" s="141"/>
    </row>
    <row r="51" spans="1:22" ht="10.5">
      <c r="A51" s="12">
        <v>30</v>
      </c>
      <c r="B51" s="18" t="s">
        <v>39</v>
      </c>
      <c r="J51" s="202"/>
      <c r="K51" s="202"/>
      <c r="L51" s="202"/>
      <c r="M51" s="202"/>
      <c r="N51" s="203"/>
      <c r="O51" s="203"/>
      <c r="P51" s="203"/>
      <c r="Q51" s="202"/>
      <c r="R51" s="203">
        <f>R16-R49</f>
        <v>-5829.550823303318</v>
      </c>
      <c r="S51" s="203"/>
      <c r="T51" s="203">
        <f>T16-T49</f>
        <v>172.55787749918818</v>
      </c>
      <c r="U51" s="141"/>
      <c r="V51" s="15"/>
    </row>
    <row r="52" spans="10:22" ht="10.5"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41"/>
      <c r="U52" s="141"/>
      <c r="V52" s="141"/>
    </row>
    <row r="53" spans="1:22" ht="10.5">
      <c r="A53" s="34" t="s">
        <v>40</v>
      </c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41"/>
      <c r="U53" s="141"/>
      <c r="V53" s="141"/>
    </row>
    <row r="54" spans="2:12" ht="10.5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ht="10.5">
      <c r="B55" s="35"/>
    </row>
    <row r="56" ht="10.5">
      <c r="B56" s="31"/>
    </row>
  </sheetData>
  <mergeCells count="2">
    <mergeCell ref="A1:T1"/>
    <mergeCell ref="J2:L2"/>
  </mergeCells>
  <printOptions/>
  <pageMargins left="0.54" right="0.24" top="1" bottom="0.71" header="0.5" footer="0.5"/>
  <pageSetup fitToHeight="1" fitToWidth="1" horizontalDpi="300" verticalDpi="300" orientation="landscape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27"/>
    <pageSetUpPr fitToPage="1"/>
  </sheetPr>
  <dimension ref="A1:M48"/>
  <sheetViews>
    <sheetView showGridLines="0" zoomScale="75" zoomScaleNormal="75" workbookViewId="0" topLeftCell="A1">
      <selection activeCell="B3" sqref="B3:J3"/>
    </sheetView>
  </sheetViews>
  <sheetFormatPr defaultColWidth="9.33203125" defaultRowHeight="10.5"/>
  <cols>
    <col min="1" max="1" width="9.5" style="0" bestFit="1" customWidth="1"/>
    <col min="4" max="4" width="16.5" style="0" bestFit="1" customWidth="1"/>
    <col min="6" max="6" width="12.83203125" style="0" customWidth="1"/>
    <col min="8" max="8" width="14.33203125" style="0" customWidth="1"/>
    <col min="10" max="10" width="4.5" style="0" customWidth="1"/>
    <col min="11" max="11" width="14.33203125" style="0" customWidth="1"/>
  </cols>
  <sheetData>
    <row r="1" spans="1:12" ht="12.75">
      <c r="A1" s="84"/>
      <c r="B1" s="84"/>
      <c r="C1" s="84"/>
      <c r="D1" s="85"/>
      <c r="E1" s="84"/>
      <c r="F1" s="84"/>
      <c r="G1" s="84"/>
      <c r="H1" s="118"/>
      <c r="I1" s="86" t="s">
        <v>99</v>
      </c>
      <c r="J1" s="66"/>
      <c r="K1" s="66"/>
      <c r="L1" s="66"/>
    </row>
    <row r="2" spans="1:12" ht="12.75">
      <c r="A2" s="84"/>
      <c r="B2" s="84"/>
      <c r="C2" s="84"/>
      <c r="D2" s="85"/>
      <c r="E2" s="84" t="s">
        <v>286</v>
      </c>
      <c r="F2" s="84"/>
      <c r="G2" s="84"/>
      <c r="H2" s="118"/>
      <c r="I2" s="88" t="s">
        <v>261</v>
      </c>
      <c r="J2" s="66"/>
      <c r="K2" s="66"/>
      <c r="L2" s="66"/>
    </row>
    <row r="3" spans="1:13" ht="12.75">
      <c r="A3" s="89" t="s">
        <v>110</v>
      </c>
      <c r="B3" s="219" t="s">
        <v>247</v>
      </c>
      <c r="C3" s="219"/>
      <c r="D3" s="219"/>
      <c r="E3" s="219"/>
      <c r="F3" s="219"/>
      <c r="G3" s="219"/>
      <c r="H3" s="219"/>
      <c r="I3" s="219"/>
      <c r="J3" s="219"/>
      <c r="K3" s="119"/>
      <c r="L3" s="71"/>
      <c r="M3" s="37"/>
    </row>
    <row r="4" spans="1:13" ht="12.75">
      <c r="A4" s="84"/>
      <c r="B4" s="219" t="s">
        <v>246</v>
      </c>
      <c r="C4" s="219"/>
      <c r="D4" s="219"/>
      <c r="E4" s="219"/>
      <c r="F4" s="219"/>
      <c r="G4" s="219"/>
      <c r="H4" s="219"/>
      <c r="I4" s="219"/>
      <c r="J4" s="219"/>
      <c r="K4" s="119"/>
      <c r="L4" s="71"/>
      <c r="M4" s="37"/>
    </row>
    <row r="5" spans="1:13" ht="12.75">
      <c r="A5" s="89" t="s">
        <v>111</v>
      </c>
      <c r="B5" s="219" t="s">
        <v>245</v>
      </c>
      <c r="C5" s="219"/>
      <c r="D5" s="219"/>
      <c r="E5" s="219"/>
      <c r="F5" s="219"/>
      <c r="G5" s="219"/>
      <c r="H5" s="219"/>
      <c r="I5" s="219"/>
      <c r="J5" s="219"/>
      <c r="K5" s="119"/>
      <c r="L5" s="71"/>
      <c r="M5" s="37"/>
    </row>
    <row r="6" spans="1:13" ht="12.75">
      <c r="A6" s="84"/>
      <c r="B6" s="219" t="s">
        <v>248</v>
      </c>
      <c r="C6" s="219"/>
      <c r="D6" s="219"/>
      <c r="E6" s="219"/>
      <c r="F6" s="219"/>
      <c r="G6" s="219"/>
      <c r="H6" s="219"/>
      <c r="I6" s="219"/>
      <c r="J6" s="219"/>
      <c r="K6" s="119"/>
      <c r="L6" s="71"/>
      <c r="M6" s="37"/>
    </row>
    <row r="7" spans="1:12" s="37" customFormat="1" ht="15.75">
      <c r="A7" s="117"/>
      <c r="B7" s="109"/>
      <c r="C7" s="109"/>
      <c r="D7" s="109"/>
      <c r="E7" s="109"/>
      <c r="F7" s="109"/>
      <c r="G7" s="109"/>
      <c r="H7" s="109"/>
      <c r="I7" s="109"/>
      <c r="J7" s="71"/>
      <c r="K7" s="71"/>
      <c r="L7" s="71"/>
    </row>
    <row r="8" spans="1:12" ht="12.75">
      <c r="A8" s="89" t="s">
        <v>112</v>
      </c>
      <c r="B8" s="84"/>
      <c r="C8" s="84"/>
      <c r="D8" s="129" t="s">
        <v>183</v>
      </c>
      <c r="E8" s="84"/>
      <c r="F8" s="92" t="s">
        <v>170</v>
      </c>
      <c r="G8" s="84"/>
      <c r="H8" s="130" t="s">
        <v>192</v>
      </c>
      <c r="I8" s="84"/>
      <c r="J8" s="66"/>
      <c r="K8" s="66"/>
      <c r="L8" s="66"/>
    </row>
    <row r="9" spans="1:12" ht="12.75">
      <c r="A9" s="84"/>
      <c r="B9" s="89" t="s">
        <v>106</v>
      </c>
      <c r="C9" s="84"/>
      <c r="D9" s="89" t="s">
        <v>0</v>
      </c>
      <c r="E9" s="84"/>
      <c r="F9" s="89" t="s">
        <v>174</v>
      </c>
      <c r="G9" s="85"/>
      <c r="H9" s="89" t="s">
        <v>175</v>
      </c>
      <c r="I9" s="84"/>
      <c r="J9" s="66"/>
      <c r="K9" s="66"/>
      <c r="L9" s="66"/>
    </row>
    <row r="10" spans="1:12" ht="12.75">
      <c r="A10" s="89" t="s">
        <v>113</v>
      </c>
      <c r="B10" s="89" t="s">
        <v>108</v>
      </c>
      <c r="C10" s="84"/>
      <c r="D10" s="93" t="s">
        <v>155</v>
      </c>
      <c r="E10" s="84"/>
      <c r="F10" s="93" t="s">
        <v>156</v>
      </c>
      <c r="G10" s="84"/>
      <c r="H10" s="93" t="s">
        <v>176</v>
      </c>
      <c r="I10" s="84"/>
      <c r="J10" s="66"/>
      <c r="K10" s="66"/>
      <c r="L10" s="66"/>
    </row>
    <row r="11" spans="1:12" ht="12.75">
      <c r="A11" s="84"/>
      <c r="B11" s="84"/>
      <c r="C11" s="84"/>
      <c r="D11" s="84"/>
      <c r="E11" s="84"/>
      <c r="F11" s="84"/>
      <c r="G11" s="84"/>
      <c r="H11" s="84"/>
      <c r="I11" s="84"/>
      <c r="J11" s="66"/>
      <c r="K11" s="66"/>
      <c r="L11" s="66"/>
    </row>
    <row r="12" spans="1:12" ht="12.75">
      <c r="A12" s="89" t="s">
        <v>157</v>
      </c>
      <c r="B12" s="89" t="s">
        <v>110</v>
      </c>
      <c r="C12" s="84"/>
      <c r="D12" s="94">
        <f>'6-A'!T20*1000</f>
        <v>2468028.4721940155</v>
      </c>
      <c r="E12" s="84"/>
      <c r="F12" s="120">
        <f>'6-J-4'!T19</f>
        <v>-2.51242641981366</v>
      </c>
      <c r="G12" s="84"/>
      <c r="H12" s="96">
        <f aca="true" t="shared" si="0" ref="H12:H29">D12*F12/100</f>
        <v>-62007.39938392587</v>
      </c>
      <c r="I12" s="84"/>
      <c r="J12" s="66"/>
      <c r="K12" s="66"/>
      <c r="L12" s="66"/>
    </row>
    <row r="13" spans="1:12" ht="12.75">
      <c r="A13" s="84"/>
      <c r="B13" s="89" t="s">
        <v>111</v>
      </c>
      <c r="C13" s="84"/>
      <c r="D13" s="94">
        <f>'6-A'!T21*1000</f>
        <v>4400619.172402221</v>
      </c>
      <c r="E13" s="84"/>
      <c r="F13" s="120">
        <f>'6-J-4'!T20</f>
        <v>-1.1544743533801765</v>
      </c>
      <c r="G13" s="84"/>
      <c r="H13" s="96">
        <f t="shared" si="0"/>
        <v>-50804.019735314614</v>
      </c>
      <c r="I13" s="84"/>
      <c r="J13" s="66"/>
      <c r="K13" s="66"/>
      <c r="L13" s="66"/>
    </row>
    <row r="14" spans="1:12" ht="12.75">
      <c r="A14" s="89" t="s">
        <v>158</v>
      </c>
      <c r="B14" s="89" t="s">
        <v>112</v>
      </c>
      <c r="C14" s="84"/>
      <c r="D14" s="194">
        <f>'6-A'!T22*1000</f>
        <v>18381036.089164265</v>
      </c>
      <c r="E14" s="84"/>
      <c r="F14" s="120">
        <f>'6-J-4'!T21</f>
        <v>-0.6319864458433637</v>
      </c>
      <c r="G14" s="84"/>
      <c r="H14" s="196">
        <f t="shared" si="0"/>
        <v>-116165.65668909525</v>
      </c>
      <c r="I14" s="84"/>
      <c r="J14" s="66"/>
      <c r="K14" s="66"/>
      <c r="L14" s="66"/>
    </row>
    <row r="15" spans="1:12" ht="12.75">
      <c r="A15" s="84"/>
      <c r="B15" s="89" t="s">
        <v>113</v>
      </c>
      <c r="C15" s="84"/>
      <c r="D15" s="94">
        <f>'6-A'!T23*1000</f>
        <v>6672.729518720016</v>
      </c>
      <c r="E15" s="84"/>
      <c r="F15" s="120">
        <f>'6-J-4'!T22</f>
        <v>-20.892069818369258</v>
      </c>
      <c r="G15" s="84"/>
      <c r="H15" s="96">
        <f t="shared" si="0"/>
        <v>-1394.0713098419208</v>
      </c>
      <c r="I15" s="84"/>
      <c r="J15" s="66"/>
      <c r="K15" s="66"/>
      <c r="L15" s="66"/>
    </row>
    <row r="16" spans="1:12" ht="12.75">
      <c r="A16" s="89" t="s">
        <v>159</v>
      </c>
      <c r="B16" s="89" t="s">
        <v>114</v>
      </c>
      <c r="C16" s="84"/>
      <c r="D16" s="94">
        <f>'6-A'!T24*1000</f>
        <v>16848941.374875434</v>
      </c>
      <c r="E16" s="84"/>
      <c r="F16" s="120">
        <f>'6-J-4'!T23</f>
        <v>0.4345170846389381</v>
      </c>
      <c r="G16" s="84"/>
      <c r="H16" s="96">
        <f t="shared" si="0"/>
        <v>73211.52885463256</v>
      </c>
      <c r="I16" s="84"/>
      <c r="J16" s="66"/>
      <c r="K16" s="66"/>
      <c r="L16" s="66"/>
    </row>
    <row r="17" spans="1:12" ht="12.75">
      <c r="A17" s="84"/>
      <c r="B17" s="89" t="s">
        <v>115</v>
      </c>
      <c r="C17" s="84"/>
      <c r="D17" s="94">
        <f>'6-A'!T25*1000</f>
        <v>661810.8882801994</v>
      </c>
      <c r="E17" s="84"/>
      <c r="F17" s="120">
        <f>'6-J-4'!T24</f>
        <v>2.6127076676474394</v>
      </c>
      <c r="G17" s="84"/>
      <c r="H17" s="96">
        <f t="shared" si="0"/>
        <v>17291.183823422398</v>
      </c>
      <c r="I17" s="84"/>
      <c r="J17" s="66"/>
      <c r="K17" s="66"/>
      <c r="L17" s="66"/>
    </row>
    <row r="18" spans="1:12" ht="12.75">
      <c r="A18" s="89" t="s">
        <v>115</v>
      </c>
      <c r="B18" s="89" t="s">
        <v>116</v>
      </c>
      <c r="C18" s="84"/>
      <c r="D18" s="94">
        <f>'6-A'!T26*1000</f>
        <v>0</v>
      </c>
      <c r="E18" s="84"/>
      <c r="F18" s="120">
        <f>'6-J-4'!T25</f>
        <v>-37.68624014022787</v>
      </c>
      <c r="G18" s="84"/>
      <c r="H18" s="96">
        <f t="shared" si="0"/>
        <v>0</v>
      </c>
      <c r="I18" s="84"/>
      <c r="J18" s="66"/>
      <c r="K18" s="66"/>
      <c r="L18" s="66"/>
    </row>
    <row r="19" spans="1:12" ht="12.75">
      <c r="A19" s="84"/>
      <c r="B19" s="89" t="s">
        <v>117</v>
      </c>
      <c r="C19" s="84"/>
      <c r="D19" s="94">
        <f>'6-A'!T27*1000</f>
        <v>6419486.711835215</v>
      </c>
      <c r="E19" s="84"/>
      <c r="F19" s="120">
        <f>'6-J-4'!T26</f>
        <v>0.7017849717322185</v>
      </c>
      <c r="G19" s="84"/>
      <c r="H19" s="96">
        <f t="shared" si="0"/>
        <v>45050.99300600628</v>
      </c>
      <c r="I19" s="84"/>
      <c r="J19" s="66"/>
      <c r="K19" s="66"/>
      <c r="L19" s="66"/>
    </row>
    <row r="20" spans="1:12" ht="12.75">
      <c r="A20" s="89" t="s">
        <v>116</v>
      </c>
      <c r="B20" s="89" t="s">
        <v>118</v>
      </c>
      <c r="C20" s="84"/>
      <c r="D20" s="94">
        <f>'6-A'!T28*1000</f>
        <v>3497881.0186345354</v>
      </c>
      <c r="E20" s="84"/>
      <c r="F20" s="120">
        <f>'6-J-4'!T27</f>
        <v>-1.8053158355828716</v>
      </c>
      <c r="G20" s="84"/>
      <c r="H20" s="96">
        <f t="shared" si="0"/>
        <v>-63147.79993925672</v>
      </c>
      <c r="I20" s="84"/>
      <c r="J20" s="66"/>
      <c r="K20" s="66"/>
      <c r="L20" s="66"/>
    </row>
    <row r="21" spans="1:12" ht="12.75">
      <c r="A21" s="84"/>
      <c r="B21" s="89" t="s">
        <v>119</v>
      </c>
      <c r="C21" s="84"/>
      <c r="D21" s="94">
        <f>'6-A'!T29*1000</f>
        <v>1144163.4472690728</v>
      </c>
      <c r="E21" s="84"/>
      <c r="F21" s="120">
        <f>'6-J-4'!T28</f>
        <v>7.788574542904907</v>
      </c>
      <c r="G21" s="97"/>
      <c r="H21" s="96">
        <f t="shared" si="0"/>
        <v>89114.02298322221</v>
      </c>
      <c r="I21" s="84"/>
      <c r="J21" s="66"/>
      <c r="K21" s="66"/>
      <c r="L21" s="66"/>
    </row>
    <row r="22" spans="1:12" ht="12.75">
      <c r="A22" s="89" t="s">
        <v>117</v>
      </c>
      <c r="B22" s="89" t="s">
        <v>120</v>
      </c>
      <c r="C22" s="84"/>
      <c r="D22" s="94">
        <f>'6-A'!T30*1000</f>
        <v>369563.9743536462</v>
      </c>
      <c r="E22" s="84"/>
      <c r="F22" s="120">
        <f>'6-J-4'!T29</f>
        <v>-2.338024476833803</v>
      </c>
      <c r="G22" s="97"/>
      <c r="H22" s="96">
        <f t="shared" si="0"/>
        <v>-8640.496177948047</v>
      </c>
      <c r="I22" s="84"/>
      <c r="J22" s="66"/>
      <c r="K22" s="66"/>
      <c r="L22" s="66"/>
    </row>
    <row r="23" spans="1:12" ht="12.75">
      <c r="A23" s="84"/>
      <c r="B23" s="89" t="s">
        <v>121</v>
      </c>
      <c r="C23" s="84"/>
      <c r="D23" s="194">
        <f>'6-A'!T31*1000</f>
        <v>5398368.180584574</v>
      </c>
      <c r="E23" s="84"/>
      <c r="F23" s="120">
        <f>'6-J-4'!T30</f>
        <v>4.446799669379215</v>
      </c>
      <c r="G23" s="97"/>
      <c r="H23" s="196">
        <f t="shared" si="0"/>
        <v>240054.61840610756</v>
      </c>
      <c r="I23" s="84"/>
      <c r="J23" s="66"/>
      <c r="K23" s="66"/>
      <c r="L23" s="66"/>
    </row>
    <row r="24" spans="1:12" ht="12.75">
      <c r="A24" s="89" t="s">
        <v>118</v>
      </c>
      <c r="B24" s="130" t="s">
        <v>122</v>
      </c>
      <c r="C24" s="84"/>
      <c r="D24" s="94">
        <f>'6-A'!T32*1000</f>
        <v>1995593.1762843037</v>
      </c>
      <c r="E24" s="84"/>
      <c r="F24" s="120">
        <f>'6-J-4'!T31</f>
        <v>-3.6766571458243376</v>
      </c>
      <c r="G24" s="97"/>
      <c r="H24" s="96">
        <f t="shared" si="0"/>
        <v>-73371.11911743972</v>
      </c>
      <c r="I24" s="84"/>
      <c r="J24" s="66"/>
      <c r="K24" s="66"/>
      <c r="L24" s="66"/>
    </row>
    <row r="25" spans="1:12" ht="12.75">
      <c r="A25" s="66"/>
      <c r="B25" s="130" t="s">
        <v>125</v>
      </c>
      <c r="C25" s="84"/>
      <c r="D25" s="94">
        <f>'6-A'!T33*1000</f>
        <v>2832876.7597464374</v>
      </c>
      <c r="E25" s="84"/>
      <c r="F25" s="120">
        <f>'6-J-4'!T32</f>
        <v>-10.135076049122203</v>
      </c>
      <c r="G25" s="97"/>
      <c r="H25" s="96">
        <f t="shared" si="0"/>
        <v>-287114.2139782103</v>
      </c>
      <c r="I25" s="84"/>
      <c r="J25" s="66"/>
      <c r="K25" s="66"/>
      <c r="L25" s="66"/>
    </row>
    <row r="26" spans="1:12" ht="12.75">
      <c r="A26" s="89" t="s">
        <v>119</v>
      </c>
      <c r="B26" s="89" t="s">
        <v>123</v>
      </c>
      <c r="C26" s="84"/>
      <c r="D26" s="94">
        <f>'6-A'!T34*1000</f>
        <v>42000.88125553828</v>
      </c>
      <c r="E26" s="84"/>
      <c r="F26" s="120">
        <f>'6-J-4'!T33</f>
        <v>5.970812437676227</v>
      </c>
      <c r="G26" s="97"/>
      <c r="H26" s="96">
        <f t="shared" si="0"/>
        <v>2507.793841939303</v>
      </c>
      <c r="I26" s="84"/>
      <c r="J26" s="66"/>
      <c r="K26" s="66"/>
      <c r="L26" s="66"/>
    </row>
    <row r="27" spans="1:12" ht="12.75">
      <c r="A27" s="84"/>
      <c r="B27" s="130" t="s">
        <v>126</v>
      </c>
      <c r="C27" s="84"/>
      <c r="D27" s="94">
        <f>'6-A'!T35*1000</f>
        <v>9146652.908947544</v>
      </c>
      <c r="E27" s="84"/>
      <c r="F27" s="120">
        <f>'6-J-4'!T34</f>
        <v>-8.14129470205716</v>
      </c>
      <c r="G27" s="97"/>
      <c r="H27" s="96">
        <f t="shared" si="0"/>
        <v>-744655.9686917035</v>
      </c>
      <c r="I27" s="84"/>
      <c r="J27" s="66"/>
      <c r="K27" s="66"/>
      <c r="L27" s="66"/>
    </row>
    <row r="28" spans="1:12" ht="12.75">
      <c r="A28" s="92">
        <v>13</v>
      </c>
      <c r="B28" s="130" t="s">
        <v>124</v>
      </c>
      <c r="C28" s="84"/>
      <c r="D28" s="94">
        <f>'6-A'!T36*1000</f>
        <v>68331.40353857834</v>
      </c>
      <c r="E28" s="84"/>
      <c r="F28" s="120">
        <f>'6-J-4'!T35</f>
        <v>22.606104560435377</v>
      </c>
      <c r="G28" s="97"/>
      <c r="H28" s="96">
        <f t="shared" si="0"/>
        <v>15447.068531544057</v>
      </c>
      <c r="I28" s="84"/>
      <c r="J28" s="66"/>
      <c r="K28" s="66"/>
      <c r="L28" s="66"/>
    </row>
    <row r="29" spans="1:12" ht="12.75">
      <c r="A29" s="84"/>
      <c r="B29" s="130" t="s">
        <v>127</v>
      </c>
      <c r="C29" s="84"/>
      <c r="D29" s="94">
        <f>'6-A'!T37*1000</f>
        <v>3064789.2268108674</v>
      </c>
      <c r="E29" s="84"/>
      <c r="F29" s="120">
        <f>'6-J-4'!T36</f>
        <v>-9.798732394565164</v>
      </c>
      <c r="G29" s="84"/>
      <c r="H29" s="96">
        <f t="shared" si="0"/>
        <v>-300310.4947926597</v>
      </c>
      <c r="I29" s="84"/>
      <c r="J29" s="66"/>
      <c r="K29" s="66"/>
      <c r="L29" s="66"/>
    </row>
    <row r="30" spans="1:12" ht="12.75">
      <c r="A30" s="84"/>
      <c r="B30" s="98" t="s">
        <v>1</v>
      </c>
      <c r="C30" s="84"/>
      <c r="D30" s="133">
        <f>'6-A'!T38*1000</f>
        <v>-3640.0567834839567</v>
      </c>
      <c r="E30" s="84"/>
      <c r="F30" s="120">
        <f>'6-J-4'!T39</f>
        <v>-2.02585667797449</v>
      </c>
      <c r="G30" s="84" t="s">
        <v>160</v>
      </c>
      <c r="H30" s="96">
        <f>D30*F30/100</f>
        <v>73.74233343027316</v>
      </c>
      <c r="I30" s="84"/>
      <c r="J30" s="66"/>
      <c r="K30" s="66"/>
      <c r="L30" s="66"/>
    </row>
    <row r="31" spans="1:12" ht="12.75">
      <c r="A31" s="89" t="s">
        <v>122</v>
      </c>
      <c r="B31" s="85" t="s">
        <v>161</v>
      </c>
      <c r="C31" s="84"/>
      <c r="D31" s="194">
        <f>'6-A'!T39*1000</f>
        <v>76743176.3589117</v>
      </c>
      <c r="E31" s="84"/>
      <c r="F31" s="121"/>
      <c r="G31" s="97"/>
      <c r="H31" s="187">
        <f>SUM(H12:H30)</f>
        <v>-1224860.288035091</v>
      </c>
      <c r="I31" s="150" t="s">
        <v>104</v>
      </c>
      <c r="J31" s="66"/>
      <c r="K31" s="66"/>
      <c r="L31" s="66"/>
    </row>
    <row r="32" spans="1:12" ht="15.75">
      <c r="A32" s="84"/>
      <c r="B32" s="96"/>
      <c r="C32" s="84"/>
      <c r="D32" s="112"/>
      <c r="E32" s="84"/>
      <c r="F32" s="97"/>
      <c r="G32" s="97"/>
      <c r="H32" s="97"/>
      <c r="I32" s="84"/>
      <c r="J32" s="66"/>
      <c r="K32" s="66"/>
      <c r="L32" s="66"/>
    </row>
    <row r="33" spans="1:12" ht="12.75">
      <c r="A33" s="89" t="s">
        <v>125</v>
      </c>
      <c r="B33" s="85" t="s">
        <v>2</v>
      </c>
      <c r="C33" s="84"/>
      <c r="D33" s="194">
        <f>'6-A'!T16*1000</f>
        <v>77683166</v>
      </c>
      <c r="E33" s="84"/>
      <c r="F33" s="188">
        <f>'6-J-4'!T14</f>
        <v>-4.003820248675743</v>
      </c>
      <c r="G33" s="97"/>
      <c r="H33" s="198">
        <f>D33*F33/100</f>
        <v>-3110294.3301203907</v>
      </c>
      <c r="I33" s="150" t="s">
        <v>162</v>
      </c>
      <c r="J33" s="66"/>
      <c r="K33" s="66"/>
      <c r="L33" s="66"/>
    </row>
    <row r="34" spans="1:12" ht="12.75">
      <c r="A34" s="84"/>
      <c r="B34" s="84"/>
      <c r="C34" s="84"/>
      <c r="D34" s="84"/>
      <c r="E34" s="84"/>
      <c r="F34" s="84"/>
      <c r="G34" s="84"/>
      <c r="H34" s="84"/>
      <c r="I34" s="84"/>
      <c r="J34" s="66"/>
      <c r="K34" s="66"/>
      <c r="L34" s="66"/>
    </row>
    <row r="35" spans="1:12" ht="12.75">
      <c r="A35" s="84"/>
      <c r="B35" s="85" t="s">
        <v>163</v>
      </c>
      <c r="C35" s="84"/>
      <c r="D35" s="84"/>
      <c r="E35" s="84"/>
      <c r="F35" s="84"/>
      <c r="G35" s="84"/>
      <c r="H35" s="187">
        <f>(H31-H33)</f>
        <v>1885434.0420852997</v>
      </c>
      <c r="I35" s="84"/>
      <c r="J35" s="66"/>
      <c r="K35" s="66"/>
      <c r="L35" s="66"/>
    </row>
    <row r="36" spans="1:12" ht="12.75">
      <c r="A36" s="89" t="s">
        <v>123</v>
      </c>
      <c r="B36" s="84"/>
      <c r="C36" s="84"/>
      <c r="D36" s="84"/>
      <c r="E36" s="84"/>
      <c r="F36" s="84"/>
      <c r="G36" s="84"/>
      <c r="H36" s="84"/>
      <c r="I36" s="84"/>
      <c r="J36" s="66"/>
      <c r="K36" s="66"/>
      <c r="L36" s="66"/>
    </row>
    <row r="37" spans="1:12" ht="12.75">
      <c r="A37" s="84"/>
      <c r="B37" s="99" t="s">
        <v>164</v>
      </c>
      <c r="C37" s="100"/>
      <c r="D37" s="100"/>
      <c r="E37" s="100"/>
      <c r="F37" s="100"/>
      <c r="G37" s="100"/>
      <c r="H37" s="100"/>
      <c r="I37" s="100"/>
      <c r="J37" s="66"/>
      <c r="K37" s="66"/>
      <c r="L37" s="66"/>
    </row>
    <row r="38" spans="1:12" ht="12.75">
      <c r="A38" s="89" t="s">
        <v>126</v>
      </c>
      <c r="B38" s="99" t="s">
        <v>165</v>
      </c>
      <c r="C38" s="100"/>
      <c r="D38" s="100"/>
      <c r="E38" s="100"/>
      <c r="F38" s="100"/>
      <c r="G38" s="100"/>
      <c r="H38" s="199">
        <f>(H35/D31)</f>
        <v>0.024568100143099646</v>
      </c>
      <c r="I38" s="100"/>
      <c r="J38" s="66"/>
      <c r="K38" s="66"/>
      <c r="L38" s="66"/>
    </row>
    <row r="39" spans="1:12" ht="12.75">
      <c r="A39" s="84"/>
      <c r="B39" s="84"/>
      <c r="C39" s="84"/>
      <c r="D39" s="84"/>
      <c r="E39" s="84"/>
      <c r="F39" s="84"/>
      <c r="G39" s="84"/>
      <c r="H39" s="84"/>
      <c r="I39" s="84"/>
      <c r="J39" s="66"/>
      <c r="K39" s="66"/>
      <c r="L39" s="66"/>
    </row>
    <row r="40" spans="1:12" ht="12.75">
      <c r="A40" s="89" t="s">
        <v>124</v>
      </c>
      <c r="B40" s="84"/>
      <c r="C40" s="84"/>
      <c r="D40" s="84"/>
      <c r="E40" s="84"/>
      <c r="F40" s="84"/>
      <c r="G40" s="84"/>
      <c r="H40" s="84"/>
      <c r="I40" s="84"/>
      <c r="J40" s="66"/>
      <c r="K40" s="66"/>
      <c r="L40" s="66"/>
    </row>
    <row r="41" spans="1:13" ht="12.75">
      <c r="A41" s="84"/>
      <c r="B41" s="166" t="s">
        <v>244</v>
      </c>
      <c r="C41" s="117"/>
      <c r="D41" s="117"/>
      <c r="E41" s="117"/>
      <c r="F41" s="117"/>
      <c r="G41" s="117"/>
      <c r="H41" s="117"/>
      <c r="I41" s="117"/>
      <c r="J41" s="71"/>
      <c r="K41" s="71"/>
      <c r="L41" s="71"/>
      <c r="M41" s="37"/>
    </row>
    <row r="42" spans="1:13" ht="12.75">
      <c r="A42" s="89" t="s">
        <v>127</v>
      </c>
      <c r="B42" s="166" t="s">
        <v>279</v>
      </c>
      <c r="C42" s="117"/>
      <c r="D42" s="117"/>
      <c r="E42" s="117"/>
      <c r="F42" s="117"/>
      <c r="G42" s="117"/>
      <c r="H42" s="117"/>
      <c r="I42" s="117"/>
      <c r="J42" s="71"/>
      <c r="K42" s="71"/>
      <c r="L42" s="71"/>
      <c r="M42" s="37"/>
    </row>
    <row r="43" spans="1:13" ht="12.75">
      <c r="A43" s="84"/>
      <c r="B43" s="117"/>
      <c r="C43" s="117"/>
      <c r="D43" s="117"/>
      <c r="E43" s="117"/>
      <c r="F43" s="117"/>
      <c r="G43" s="117"/>
      <c r="H43" s="117"/>
      <c r="I43" s="117"/>
      <c r="J43" s="71"/>
      <c r="K43" s="71"/>
      <c r="L43" s="71"/>
      <c r="M43" s="37"/>
    </row>
    <row r="44" spans="1:12" ht="12.75">
      <c r="A44" s="89" t="s">
        <v>172</v>
      </c>
      <c r="B44" s="184" t="s">
        <v>254</v>
      </c>
      <c r="C44" s="117"/>
      <c r="D44" s="117"/>
      <c r="E44" s="117"/>
      <c r="F44" s="117"/>
      <c r="G44" s="117"/>
      <c r="H44" s="117"/>
      <c r="I44" s="117"/>
      <c r="J44" s="71"/>
      <c r="K44" s="71"/>
      <c r="L44" s="71"/>
    </row>
    <row r="45" spans="1:12" ht="12.75">
      <c r="A45" s="84"/>
      <c r="B45" s="117"/>
      <c r="C45" s="117"/>
      <c r="D45" s="117"/>
      <c r="E45" s="117"/>
      <c r="F45" s="117"/>
      <c r="G45" s="117"/>
      <c r="H45" s="117"/>
      <c r="I45" s="117"/>
      <c r="J45" s="71"/>
      <c r="K45" s="71"/>
      <c r="L45" s="71"/>
    </row>
    <row r="46" spans="1:12" ht="12.75">
      <c r="A46" s="89" t="s">
        <v>173</v>
      </c>
      <c r="B46" s="184" t="s">
        <v>220</v>
      </c>
      <c r="C46" s="117"/>
      <c r="D46" s="117"/>
      <c r="E46" s="117"/>
      <c r="F46" s="117"/>
      <c r="G46" s="117"/>
      <c r="H46" s="117"/>
      <c r="I46" s="117"/>
      <c r="J46" s="71"/>
      <c r="K46" s="71"/>
      <c r="L46" s="71"/>
    </row>
    <row r="47" spans="1:12" ht="12.75">
      <c r="A47" s="66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pans="1:12" ht="12.75">
      <c r="A48" s="66"/>
      <c r="B48" s="167" t="s">
        <v>168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</row>
  </sheetData>
  <mergeCells count="4">
    <mergeCell ref="B5:J5"/>
    <mergeCell ref="B4:J4"/>
    <mergeCell ref="B3:J3"/>
    <mergeCell ref="B6:J6"/>
  </mergeCells>
  <printOptions/>
  <pageMargins left="0.75" right="0.36" top="0.84" bottom="0.9" header="0.5" footer="0.5"/>
  <pageSetup fitToHeight="1" fitToWidth="1"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27"/>
  </sheetPr>
  <dimension ref="A1:K56"/>
  <sheetViews>
    <sheetView showGridLines="0" zoomScale="75" zoomScaleNormal="75" workbookViewId="0" topLeftCell="A1">
      <selection activeCell="E3" sqref="E3"/>
    </sheetView>
  </sheetViews>
  <sheetFormatPr defaultColWidth="9.33203125" defaultRowHeight="10.5"/>
  <cols>
    <col min="4" max="4" width="16.83203125" style="0" customWidth="1"/>
    <col min="6" max="6" width="13.33203125" style="0" customWidth="1"/>
    <col min="8" max="8" width="13.33203125" style="0" customWidth="1"/>
    <col min="9" max="9" width="10.66015625" style="0" customWidth="1"/>
    <col min="11" max="11" width="14.83203125" style="0" customWidth="1"/>
  </cols>
  <sheetData>
    <row r="1" spans="1:11" ht="12.75">
      <c r="A1" s="84"/>
      <c r="B1" s="84"/>
      <c r="C1" s="84"/>
      <c r="D1" s="85"/>
      <c r="E1" s="84"/>
      <c r="F1" s="84"/>
      <c r="G1" s="84"/>
      <c r="H1" s="86"/>
      <c r="I1" s="86" t="s">
        <v>99</v>
      </c>
      <c r="J1" s="87"/>
      <c r="K1" s="66"/>
    </row>
    <row r="2" spans="1:11" ht="12.75">
      <c r="A2" s="84"/>
      <c r="B2" s="84"/>
      <c r="C2" s="84"/>
      <c r="D2" s="85"/>
      <c r="E2" s="84" t="s">
        <v>286</v>
      </c>
      <c r="F2" s="84"/>
      <c r="G2" s="84"/>
      <c r="H2" s="86"/>
      <c r="I2" s="88" t="s">
        <v>262</v>
      </c>
      <c r="J2" s="87"/>
      <c r="K2" s="66"/>
    </row>
    <row r="3" spans="1:11" ht="14.25">
      <c r="A3" s="89" t="s">
        <v>110</v>
      </c>
      <c r="B3" s="90" t="s">
        <v>177</v>
      </c>
      <c r="C3" s="90"/>
      <c r="D3" s="90"/>
      <c r="E3" s="90"/>
      <c r="F3" s="90"/>
      <c r="G3" s="90"/>
      <c r="H3" s="90"/>
      <c r="I3" s="90"/>
      <c r="J3" s="87"/>
      <c r="K3" s="71"/>
    </row>
    <row r="4" spans="1:11" ht="14.25">
      <c r="A4" s="84"/>
      <c r="B4" s="90" t="s">
        <v>190</v>
      </c>
      <c r="C4" s="90"/>
      <c r="D4" s="90"/>
      <c r="E4" s="90"/>
      <c r="F4" s="90"/>
      <c r="G4" s="90"/>
      <c r="H4" s="90"/>
      <c r="I4" s="90"/>
      <c r="J4" s="87"/>
      <c r="K4" s="71"/>
    </row>
    <row r="5" spans="1:11" ht="14.25">
      <c r="A5" s="89" t="s">
        <v>111</v>
      </c>
      <c r="B5" s="90" t="s">
        <v>191</v>
      </c>
      <c r="C5" s="90"/>
      <c r="D5" s="90"/>
      <c r="E5" s="90"/>
      <c r="F5" s="90"/>
      <c r="G5" s="90"/>
      <c r="H5" s="90"/>
      <c r="I5" s="90"/>
      <c r="J5" s="87"/>
      <c r="K5" s="71"/>
    </row>
    <row r="6" spans="1:11" ht="14.25">
      <c r="A6" s="84"/>
      <c r="B6" s="90" t="s">
        <v>153</v>
      </c>
      <c r="C6" s="90"/>
      <c r="D6" s="90"/>
      <c r="E6" s="90"/>
      <c r="F6" s="90"/>
      <c r="G6" s="90"/>
      <c r="H6" s="90"/>
      <c r="I6" s="90"/>
      <c r="J6" s="87"/>
      <c r="K6" s="71"/>
    </row>
    <row r="7" spans="1:11" ht="14.25">
      <c r="A7" s="84"/>
      <c r="B7" s="91"/>
      <c r="C7" s="91"/>
      <c r="D7" s="91"/>
      <c r="E7" s="91"/>
      <c r="F7" s="91"/>
      <c r="G7" s="91"/>
      <c r="H7" s="91"/>
      <c r="I7" s="91"/>
      <c r="J7" s="87"/>
      <c r="K7" s="71"/>
    </row>
    <row r="8" spans="1:11" ht="12.75">
      <c r="A8" s="89" t="s">
        <v>112</v>
      </c>
      <c r="B8" s="84"/>
      <c r="C8" s="84"/>
      <c r="D8" s="129" t="s">
        <v>183</v>
      </c>
      <c r="E8" s="84"/>
      <c r="F8" s="129" t="s">
        <v>182</v>
      </c>
      <c r="G8" s="84"/>
      <c r="H8" s="130" t="s">
        <v>187</v>
      </c>
      <c r="I8" s="84"/>
      <c r="J8" s="87"/>
      <c r="K8" s="66"/>
    </row>
    <row r="9" spans="1:11" ht="12.75">
      <c r="A9" s="84"/>
      <c r="B9" s="89" t="s">
        <v>106</v>
      </c>
      <c r="C9" s="84"/>
      <c r="D9" s="89" t="s">
        <v>0</v>
      </c>
      <c r="E9" s="84"/>
      <c r="F9" s="89" t="s">
        <v>0</v>
      </c>
      <c r="G9" s="85"/>
      <c r="H9" s="89" t="s">
        <v>0</v>
      </c>
      <c r="I9" s="84"/>
      <c r="J9" s="87"/>
      <c r="K9" s="66"/>
    </row>
    <row r="10" spans="1:11" ht="12.75">
      <c r="A10" s="89" t="s">
        <v>113</v>
      </c>
      <c r="B10" s="89" t="s">
        <v>108</v>
      </c>
      <c r="C10" s="84"/>
      <c r="D10" s="93" t="s">
        <v>155</v>
      </c>
      <c r="E10" s="84"/>
      <c r="F10" s="93" t="s">
        <v>178</v>
      </c>
      <c r="G10" s="84"/>
      <c r="H10" s="93" t="s">
        <v>105</v>
      </c>
      <c r="I10" s="84"/>
      <c r="J10" s="87"/>
      <c r="K10" s="66"/>
    </row>
    <row r="11" spans="1:11" ht="12.75">
      <c r="A11" s="84"/>
      <c r="B11" s="84"/>
      <c r="C11" s="84"/>
      <c r="D11" s="84"/>
      <c r="E11" s="84"/>
      <c r="F11" s="84"/>
      <c r="G11" s="84"/>
      <c r="H11" s="84"/>
      <c r="I11" s="84"/>
      <c r="J11" s="87"/>
      <c r="K11" s="66"/>
    </row>
    <row r="12" spans="1:11" ht="12.75">
      <c r="A12" s="89" t="s">
        <v>157</v>
      </c>
      <c r="B12" s="89" t="s">
        <v>110</v>
      </c>
      <c r="C12" s="84"/>
      <c r="D12" s="94">
        <f>'6-A'!T20*1000</f>
        <v>2468028.4721940155</v>
      </c>
      <c r="E12" s="84"/>
      <c r="F12" s="95">
        <f>'6-J-2'!K18</f>
        <v>-2.1457412589687466</v>
      </c>
      <c r="G12" s="84"/>
      <c r="H12" s="96">
        <f aca="true" t="shared" si="0" ref="H12:H29">D12*F12/100</f>
        <v>-52957.50521096299</v>
      </c>
      <c r="I12" s="84"/>
      <c r="J12" s="87"/>
      <c r="K12" s="66"/>
    </row>
    <row r="13" spans="1:11" ht="12.75">
      <c r="A13" s="84"/>
      <c r="B13" s="89" t="s">
        <v>111</v>
      </c>
      <c r="C13" s="84"/>
      <c r="D13" s="94">
        <f>'6-A'!T21*1000</f>
        <v>4400619.172402221</v>
      </c>
      <c r="E13" s="84"/>
      <c r="F13" s="95">
        <f>'6-J-2'!K19</f>
        <v>0.6191304967246998</v>
      </c>
      <c r="G13" s="84"/>
      <c r="H13" s="96">
        <f t="shared" si="0"/>
        <v>27245.57534105624</v>
      </c>
      <c r="I13" s="84"/>
      <c r="J13" s="87"/>
      <c r="K13" s="66"/>
    </row>
    <row r="14" spans="1:11" ht="12.75">
      <c r="A14" s="89" t="s">
        <v>158</v>
      </c>
      <c r="B14" s="89" t="s">
        <v>112</v>
      </c>
      <c r="C14" s="84"/>
      <c r="D14" s="194">
        <f>'6-A'!T22*1000</f>
        <v>18381036.089164265</v>
      </c>
      <c r="E14" s="84"/>
      <c r="F14" s="95">
        <f>'6-J-2'!K20</f>
        <v>4.666477830090153</v>
      </c>
      <c r="G14" s="84"/>
      <c r="H14" s="196">
        <f t="shared" si="0"/>
        <v>857746.9740417205</v>
      </c>
      <c r="I14" s="84"/>
      <c r="J14" s="87"/>
      <c r="K14" s="66"/>
    </row>
    <row r="15" spans="1:11" ht="12.75">
      <c r="A15" s="84"/>
      <c r="B15" s="89" t="s">
        <v>113</v>
      </c>
      <c r="C15" s="84"/>
      <c r="D15" s="94">
        <f>'6-A'!T23*1000</f>
        <v>6672.729518720016</v>
      </c>
      <c r="E15" s="84"/>
      <c r="F15" s="95">
        <f>'6-J-2'!K21</f>
        <v>-10.544679393299388</v>
      </c>
      <c r="G15" s="84"/>
      <c r="H15" s="96">
        <f t="shared" si="0"/>
        <v>-703.617934531075</v>
      </c>
      <c r="I15" s="84"/>
      <c r="J15" s="87"/>
      <c r="K15" s="66"/>
    </row>
    <row r="16" spans="1:11" ht="12.75">
      <c r="A16" s="89" t="s">
        <v>159</v>
      </c>
      <c r="B16" s="89" t="s">
        <v>114</v>
      </c>
      <c r="C16" s="84"/>
      <c r="D16" s="94">
        <f>'6-A'!T24*1000</f>
        <v>16848941.374875434</v>
      </c>
      <c r="E16" s="84"/>
      <c r="F16" s="95">
        <f>'6-J-2'!K22</f>
        <v>3.2339733979089873</v>
      </c>
      <c r="G16" s="84"/>
      <c r="H16" s="96">
        <f t="shared" si="0"/>
        <v>544890.2818927523</v>
      </c>
      <c r="I16" s="84"/>
      <c r="J16" s="87"/>
      <c r="K16" s="66"/>
    </row>
    <row r="17" spans="1:11" ht="12.75">
      <c r="A17" s="84"/>
      <c r="B17" s="89" t="s">
        <v>115</v>
      </c>
      <c r="C17" s="84"/>
      <c r="D17" s="94">
        <f>'6-A'!T25*1000</f>
        <v>661810.8882801994</v>
      </c>
      <c r="E17" s="84"/>
      <c r="F17" s="95">
        <f>'6-J-2'!K23</f>
        <v>1.5401612527508892</v>
      </c>
      <c r="G17" s="84"/>
      <c r="H17" s="96">
        <f t="shared" si="0"/>
        <v>10192.954867778106</v>
      </c>
      <c r="I17" s="84"/>
      <c r="J17" s="87"/>
      <c r="K17" s="66"/>
    </row>
    <row r="18" spans="1:11" ht="12.75">
      <c r="A18" s="89" t="s">
        <v>115</v>
      </c>
      <c r="B18" s="89" t="s">
        <v>116</v>
      </c>
      <c r="C18" s="84"/>
      <c r="D18" s="94">
        <f>'6-A'!T26*1000</f>
        <v>0</v>
      </c>
      <c r="E18" s="84"/>
      <c r="F18" s="95">
        <f>'6-J-2'!K24</f>
        <v>0</v>
      </c>
      <c r="G18" s="84"/>
      <c r="H18" s="96">
        <f t="shared" si="0"/>
        <v>0</v>
      </c>
      <c r="I18" s="84"/>
      <c r="J18" s="87"/>
      <c r="K18" s="66"/>
    </row>
    <row r="19" spans="1:11" ht="12.75">
      <c r="A19" s="84"/>
      <c r="B19" s="89" t="s">
        <v>117</v>
      </c>
      <c r="C19" s="84"/>
      <c r="D19" s="94">
        <f>'6-A'!T27*1000</f>
        <v>6419486.711835215</v>
      </c>
      <c r="E19" s="84"/>
      <c r="F19" s="95">
        <f>'6-J-2'!K25</f>
        <v>1.805070592487925</v>
      </c>
      <c r="G19" s="84"/>
      <c r="H19" s="96">
        <f t="shared" si="0"/>
        <v>115876.26682400751</v>
      </c>
      <c r="I19" s="84"/>
      <c r="J19" s="87"/>
      <c r="K19" s="66"/>
    </row>
    <row r="20" spans="1:11" ht="12.75">
      <c r="A20" s="89" t="s">
        <v>116</v>
      </c>
      <c r="B20" s="89" t="s">
        <v>118</v>
      </c>
      <c r="C20" s="84"/>
      <c r="D20" s="94">
        <f>'6-A'!T28*1000</f>
        <v>3497881.0186345354</v>
      </c>
      <c r="E20" s="84"/>
      <c r="F20" s="95">
        <f>'6-J-2'!K26</f>
        <v>3.2397484659102553</v>
      </c>
      <c r="G20" s="84"/>
      <c r="H20" s="96">
        <f t="shared" si="0"/>
        <v>113322.54664057838</v>
      </c>
      <c r="I20" s="84"/>
      <c r="J20" s="87"/>
      <c r="K20" s="66"/>
    </row>
    <row r="21" spans="1:11" ht="12.75">
      <c r="A21" s="84"/>
      <c r="B21" s="89" t="s">
        <v>119</v>
      </c>
      <c r="C21" s="84"/>
      <c r="D21" s="94">
        <f>'6-A'!T29*1000</f>
        <v>1144163.4472690728</v>
      </c>
      <c r="E21" s="84"/>
      <c r="F21" s="95">
        <f>'6-J-2'!K27</f>
        <v>6.525016022880806</v>
      </c>
      <c r="G21" s="97"/>
      <c r="H21" s="96">
        <f t="shared" si="0"/>
        <v>74656.84826225237</v>
      </c>
      <c r="I21" s="84"/>
      <c r="J21" s="87"/>
      <c r="K21" s="66"/>
    </row>
    <row r="22" spans="1:11" ht="12.75">
      <c r="A22" s="89" t="s">
        <v>117</v>
      </c>
      <c r="B22" s="89" t="s">
        <v>120</v>
      </c>
      <c r="C22" s="84"/>
      <c r="D22" s="94">
        <f>'6-A'!T30*1000</f>
        <v>369563.9743536462</v>
      </c>
      <c r="E22" s="84"/>
      <c r="F22" s="95">
        <f>'6-J-2'!K28</f>
        <v>8.620261919485623</v>
      </c>
      <c r="G22" s="97"/>
      <c r="H22" s="96">
        <f t="shared" si="0"/>
        <v>31857.38254934498</v>
      </c>
      <c r="I22" s="84"/>
      <c r="J22" s="87"/>
      <c r="K22" s="66"/>
    </row>
    <row r="23" spans="1:11" ht="12.75">
      <c r="A23" s="84"/>
      <c r="B23" s="89" t="s">
        <v>121</v>
      </c>
      <c r="C23" s="84"/>
      <c r="D23" s="194">
        <f>'6-A'!T31*1000</f>
        <v>5398368.180584574</v>
      </c>
      <c r="E23" s="84"/>
      <c r="F23" s="95">
        <f>'6-J-2'!K29</f>
        <v>10.851713816736709</v>
      </c>
      <c r="G23" s="97"/>
      <c r="H23" s="196">
        <f t="shared" si="0"/>
        <v>585815.4657308144</v>
      </c>
      <c r="I23" s="84"/>
      <c r="J23" s="87"/>
      <c r="K23" s="66"/>
    </row>
    <row r="24" spans="1:11" ht="12.75">
      <c r="A24" s="89" t="s">
        <v>118</v>
      </c>
      <c r="B24" s="89" t="s">
        <v>122</v>
      </c>
      <c r="C24" s="84"/>
      <c r="D24" s="94">
        <f>'6-A'!T32*1000</f>
        <v>1995593.1762843037</v>
      </c>
      <c r="E24" s="84"/>
      <c r="F24" s="95">
        <f>'6-J-2'!K30</f>
        <v>0.06503507969103767</v>
      </c>
      <c r="G24" s="97"/>
      <c r="H24" s="96">
        <f t="shared" si="0"/>
        <v>1297.8356125054065</v>
      </c>
      <c r="I24" s="84"/>
      <c r="J24" s="87"/>
      <c r="K24" s="66"/>
    </row>
    <row r="25" spans="1:11" ht="12.75">
      <c r="A25" s="66"/>
      <c r="B25" s="89">
        <v>16</v>
      </c>
      <c r="C25" s="84"/>
      <c r="D25" s="94">
        <f>'6-A'!T33*1000</f>
        <v>2832876.7597464374</v>
      </c>
      <c r="E25" s="84"/>
      <c r="F25" s="95">
        <f>'6-J-2'!K31</f>
        <v>-2.690044348192632</v>
      </c>
      <c r="G25" s="97"/>
      <c r="H25" s="96">
        <f>D25*F25/100</f>
        <v>-76205.6411668216</v>
      </c>
      <c r="I25" s="84"/>
      <c r="J25" s="87"/>
      <c r="K25" s="66"/>
    </row>
    <row r="26" spans="1:11" ht="12.75">
      <c r="A26" s="89" t="s">
        <v>119</v>
      </c>
      <c r="B26" s="89" t="s">
        <v>123</v>
      </c>
      <c r="C26" s="84"/>
      <c r="D26" s="94">
        <f>'6-A'!T34*1000</f>
        <v>42000.88125553828</v>
      </c>
      <c r="E26" s="84"/>
      <c r="F26" s="95">
        <f>'6-J-2'!K32</f>
        <v>-37.8640815996591</v>
      </c>
      <c r="G26" s="97"/>
      <c r="H26" s="96">
        <f t="shared" si="0"/>
        <v>-15903.24795117294</v>
      </c>
      <c r="I26" s="84"/>
      <c r="J26" s="87"/>
      <c r="K26" s="66"/>
    </row>
    <row r="27" spans="1:11" ht="12.75">
      <c r="A27" s="84"/>
      <c r="B27" s="89">
        <v>18</v>
      </c>
      <c r="C27" s="84"/>
      <c r="D27" s="94">
        <f>'6-A'!T35*1000</f>
        <v>9146652.908947544</v>
      </c>
      <c r="E27" s="84"/>
      <c r="F27" s="95">
        <f>'6-J-2'!K33</f>
        <v>-6.045938184066553</v>
      </c>
      <c r="G27" s="97"/>
      <c r="H27" s="96">
        <f>D27*F27/100</f>
        <v>-553000.9807860937</v>
      </c>
      <c r="I27" s="84"/>
      <c r="J27" s="87"/>
      <c r="K27" s="66"/>
    </row>
    <row r="28" spans="1:11" ht="12.75">
      <c r="A28" s="92">
        <v>13</v>
      </c>
      <c r="B28" s="89">
        <v>19</v>
      </c>
      <c r="C28" s="84"/>
      <c r="D28" s="94">
        <f>'6-A'!T36*1000</f>
        <v>68331.40353857834</v>
      </c>
      <c r="E28" s="84"/>
      <c r="F28" s="95">
        <f>'6-J-2'!K34</f>
        <v>8.083501889871556</v>
      </c>
      <c r="G28" s="97"/>
      <c r="H28" s="96">
        <f t="shared" si="0"/>
        <v>5523.570296416739</v>
      </c>
      <c r="I28" s="84"/>
      <c r="J28" s="87"/>
      <c r="K28" s="66"/>
    </row>
    <row r="29" spans="1:11" ht="12.75">
      <c r="A29" s="84"/>
      <c r="B29" s="98">
        <v>20</v>
      </c>
      <c r="C29" s="84"/>
      <c r="D29" s="94">
        <f>'6-A'!T37*1000</f>
        <v>3064789.2268108674</v>
      </c>
      <c r="E29" s="84"/>
      <c r="F29" s="95">
        <f>'6-J-2'!K35</f>
        <v>-0.8004318366732547</v>
      </c>
      <c r="G29" s="97"/>
      <c r="H29" s="96">
        <f t="shared" si="0"/>
        <v>-24531.548698326267</v>
      </c>
      <c r="I29" s="84"/>
      <c r="J29" s="87"/>
      <c r="K29" s="66"/>
    </row>
    <row r="30" spans="1:11" ht="12.75">
      <c r="A30" s="84"/>
      <c r="B30" s="98" t="s">
        <v>1</v>
      </c>
      <c r="C30" s="84"/>
      <c r="D30" s="133">
        <f>'6-A'!T38*1000</f>
        <v>-3640.0567834839567</v>
      </c>
      <c r="E30" s="84"/>
      <c r="F30" s="95">
        <f>'6-J-2'!K37</f>
        <v>2.2105672307017508</v>
      </c>
      <c r="G30" s="97" t="s">
        <v>160</v>
      </c>
      <c r="H30" s="96">
        <f>D30*F30/100</f>
        <v>-80.46590243463253</v>
      </c>
      <c r="I30" s="84"/>
      <c r="J30" s="87"/>
      <c r="K30" s="66"/>
    </row>
    <row r="31" spans="1:11" ht="12.75">
      <c r="A31" s="89" t="s">
        <v>122</v>
      </c>
      <c r="B31" s="85" t="s">
        <v>161</v>
      </c>
      <c r="C31" s="84"/>
      <c r="D31" s="194">
        <f>'6-A'!T39*1000</f>
        <v>76743176.3589117</v>
      </c>
      <c r="E31" s="84"/>
      <c r="F31" s="95"/>
      <c r="G31" s="97"/>
      <c r="H31" s="195">
        <f>SUM(H12:H30)</f>
        <v>1645042.6944088836</v>
      </c>
      <c r="I31" s="85" t="s">
        <v>104</v>
      </c>
      <c r="J31" s="87"/>
      <c r="K31" s="66"/>
    </row>
    <row r="32" spans="1:11" ht="12.75">
      <c r="A32" s="84"/>
      <c r="B32" s="96"/>
      <c r="C32" s="84"/>
      <c r="D32" s="94"/>
      <c r="E32" s="84"/>
      <c r="F32" s="97"/>
      <c r="G32" s="97"/>
      <c r="H32" s="97"/>
      <c r="I32" s="84"/>
      <c r="J32" s="87"/>
      <c r="K32" s="66"/>
    </row>
    <row r="33" spans="1:11" ht="12.75">
      <c r="A33" s="89" t="s">
        <v>125</v>
      </c>
      <c r="B33" s="85" t="s">
        <v>2</v>
      </c>
      <c r="C33" s="84"/>
      <c r="D33" s="194">
        <f>'6-A'!T16*1000</f>
        <v>77683166</v>
      </c>
      <c r="E33" s="84"/>
      <c r="F33" s="200">
        <f>'6-J-2'!K16</f>
        <v>-1.0564359535163361</v>
      </c>
      <c r="G33" s="97"/>
      <c r="H33" s="196">
        <f>D33*F33/100</f>
        <v>-820672.8954537782</v>
      </c>
      <c r="I33" s="85" t="s">
        <v>162</v>
      </c>
      <c r="J33" s="87"/>
      <c r="K33" s="122"/>
    </row>
    <row r="34" spans="1:11" ht="12.75">
      <c r="A34" s="84"/>
      <c r="B34" s="84"/>
      <c r="C34" s="84"/>
      <c r="D34" s="84"/>
      <c r="E34" s="84"/>
      <c r="F34" s="84"/>
      <c r="G34" s="84"/>
      <c r="H34" s="84"/>
      <c r="I34" s="84"/>
      <c r="J34" s="87"/>
      <c r="K34" s="66"/>
    </row>
    <row r="35" spans="1:11" ht="12.75">
      <c r="A35" s="84"/>
      <c r="B35" s="85" t="s">
        <v>163</v>
      </c>
      <c r="C35" s="84"/>
      <c r="D35" s="84"/>
      <c r="E35" s="84"/>
      <c r="F35" s="84"/>
      <c r="G35" s="84"/>
      <c r="H35" s="195">
        <f>H31-H33</f>
        <v>2465715.589862662</v>
      </c>
      <c r="I35" s="84"/>
      <c r="J35" s="87"/>
      <c r="K35" s="66"/>
    </row>
    <row r="36" spans="1:11" ht="12.75">
      <c r="A36" s="89" t="s">
        <v>123</v>
      </c>
      <c r="B36" s="84"/>
      <c r="C36" s="84"/>
      <c r="D36" s="84"/>
      <c r="E36" s="84"/>
      <c r="F36" s="84"/>
      <c r="G36" s="84"/>
      <c r="H36" s="84"/>
      <c r="I36" s="84"/>
      <c r="J36" s="87"/>
      <c r="K36" s="66"/>
    </row>
    <row r="37" spans="1:11" ht="12.75">
      <c r="A37" s="84"/>
      <c r="B37" s="99" t="s">
        <v>164</v>
      </c>
      <c r="C37" s="100"/>
      <c r="D37" s="100"/>
      <c r="E37" s="100"/>
      <c r="F37" s="100"/>
      <c r="G37" s="100"/>
      <c r="H37" s="100"/>
      <c r="I37" s="100"/>
      <c r="J37" s="87"/>
      <c r="K37" s="66"/>
    </row>
    <row r="38" spans="1:11" ht="12.75">
      <c r="A38" s="89" t="s">
        <v>126</v>
      </c>
      <c r="B38" s="99" t="s">
        <v>165</v>
      </c>
      <c r="C38" s="100"/>
      <c r="D38" s="100"/>
      <c r="E38" s="100"/>
      <c r="F38" s="100"/>
      <c r="G38" s="100"/>
      <c r="H38" s="199">
        <f>(H35/D31)</f>
        <v>0.032129444034620466</v>
      </c>
      <c r="I38" s="100"/>
      <c r="J38" s="87"/>
      <c r="K38" s="66"/>
    </row>
    <row r="39" spans="1:11" ht="12.75">
      <c r="A39" s="84"/>
      <c r="B39" s="84"/>
      <c r="C39" s="84"/>
      <c r="D39" s="84"/>
      <c r="E39" s="84"/>
      <c r="F39" s="84"/>
      <c r="G39" s="84"/>
      <c r="H39" s="84"/>
      <c r="I39" s="84"/>
      <c r="J39" s="87"/>
      <c r="K39" s="66"/>
    </row>
    <row r="40" spans="1:11" ht="12.75">
      <c r="A40" s="89" t="s">
        <v>124</v>
      </c>
      <c r="B40" s="84"/>
      <c r="C40" s="84"/>
      <c r="D40" s="84"/>
      <c r="E40" s="84"/>
      <c r="F40" s="84"/>
      <c r="G40" s="84"/>
      <c r="H40" s="84"/>
      <c r="I40" s="84"/>
      <c r="J40" s="87"/>
      <c r="K40" s="66"/>
    </row>
    <row r="41" spans="1:11" ht="12.75">
      <c r="A41" s="84"/>
      <c r="B41" s="85" t="s">
        <v>249</v>
      </c>
      <c r="C41" s="84"/>
      <c r="D41" s="84"/>
      <c r="E41" s="84"/>
      <c r="F41" s="84"/>
      <c r="G41" s="84"/>
      <c r="H41" s="84"/>
      <c r="I41" s="84"/>
      <c r="J41" s="87"/>
      <c r="K41" s="66"/>
    </row>
    <row r="42" spans="1:11" ht="12.75">
      <c r="A42" s="89" t="s">
        <v>127</v>
      </c>
      <c r="B42" s="85" t="s">
        <v>280</v>
      </c>
      <c r="C42" s="84"/>
      <c r="D42" s="84"/>
      <c r="E42" s="84"/>
      <c r="F42" s="84"/>
      <c r="G42" s="84"/>
      <c r="H42" s="84"/>
      <c r="I42" s="84"/>
      <c r="J42" s="87"/>
      <c r="K42" s="66"/>
    </row>
    <row r="43" spans="1:11" ht="12.75">
      <c r="A43" s="84"/>
      <c r="B43" s="84"/>
      <c r="C43" s="84"/>
      <c r="D43" s="84"/>
      <c r="E43" s="84"/>
      <c r="F43" s="84"/>
      <c r="G43" s="84"/>
      <c r="H43" s="84"/>
      <c r="I43" s="84"/>
      <c r="J43" s="87"/>
      <c r="K43" s="66"/>
    </row>
    <row r="44" spans="1:11" ht="12.75">
      <c r="A44" s="66"/>
      <c r="B44" s="183" t="s">
        <v>166</v>
      </c>
      <c r="C44" s="71"/>
      <c r="D44" s="71"/>
      <c r="E44" s="71"/>
      <c r="F44" s="71"/>
      <c r="G44" s="71"/>
      <c r="H44" s="66"/>
      <c r="I44" s="66"/>
      <c r="J44" s="66"/>
      <c r="K44" s="66"/>
    </row>
    <row r="45" spans="1:11" ht="12.75">
      <c r="A45" s="66"/>
      <c r="B45" s="71"/>
      <c r="C45" s="71"/>
      <c r="D45" s="71"/>
      <c r="E45" s="71"/>
      <c r="F45" s="71"/>
      <c r="G45" s="71"/>
      <c r="H45" s="66"/>
      <c r="I45" s="66"/>
      <c r="J45" s="66"/>
      <c r="K45" s="66"/>
    </row>
    <row r="46" spans="1:11" ht="12.75">
      <c r="A46" s="66"/>
      <c r="B46" s="183" t="s">
        <v>167</v>
      </c>
      <c r="C46" s="71"/>
      <c r="D46" s="71"/>
      <c r="E46" s="71"/>
      <c r="F46" s="71"/>
      <c r="G46" s="71"/>
      <c r="H46" s="66"/>
      <c r="I46" s="66"/>
      <c r="J46" s="66"/>
      <c r="K46" s="66"/>
    </row>
    <row r="47" spans="1:11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</row>
    <row r="48" spans="1:11" ht="12.75">
      <c r="A48" s="66"/>
      <c r="B48" s="84" t="s">
        <v>168</v>
      </c>
      <c r="C48" s="66"/>
      <c r="D48" s="66"/>
      <c r="E48" s="66"/>
      <c r="F48" s="66"/>
      <c r="G48" s="66"/>
      <c r="H48" s="66"/>
      <c r="I48" s="66"/>
      <c r="J48" s="66"/>
      <c r="K48" s="66"/>
    </row>
    <row r="49" ht="12.75">
      <c r="K49" s="66"/>
    </row>
    <row r="50" ht="12.75">
      <c r="K50" s="66"/>
    </row>
    <row r="51" ht="12.75">
      <c r="K51" s="66"/>
    </row>
    <row r="52" spans="1:11" ht="12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6"/>
    </row>
    <row r="53" spans="1:11" ht="12.75">
      <c r="A53" s="64"/>
      <c r="B53" s="123"/>
      <c r="C53" s="64"/>
      <c r="D53" s="64"/>
      <c r="E53" s="64"/>
      <c r="F53" s="64"/>
      <c r="G53" s="64"/>
      <c r="H53" s="64"/>
      <c r="I53" s="64"/>
      <c r="J53" s="64"/>
      <c r="K53" s="66"/>
    </row>
    <row r="54" spans="1:10" ht="10.5">
      <c r="A54" s="47"/>
      <c r="B54" s="47"/>
      <c r="C54" s="47"/>
      <c r="D54" s="47"/>
      <c r="E54" s="47"/>
      <c r="F54" s="47"/>
      <c r="G54" s="47"/>
      <c r="H54" s="47"/>
      <c r="I54" s="47"/>
      <c r="J54" s="47"/>
    </row>
    <row r="55" spans="1:10" ht="10.5">
      <c r="A55" s="47"/>
      <c r="B55" s="47"/>
      <c r="C55" s="47"/>
      <c r="D55" s="47"/>
      <c r="E55" s="47"/>
      <c r="F55" s="47"/>
      <c r="G55" s="47"/>
      <c r="H55" s="47"/>
      <c r="I55" s="47"/>
      <c r="J55" s="47"/>
    </row>
    <row r="56" spans="1:10" ht="10.5">
      <c r="A56" s="47"/>
      <c r="B56" s="47"/>
      <c r="C56" s="47"/>
      <c r="D56" s="47"/>
      <c r="E56" s="47"/>
      <c r="F56" s="47"/>
      <c r="G56" s="47"/>
      <c r="H56" s="47"/>
      <c r="I56" s="47"/>
      <c r="J56" s="47"/>
    </row>
  </sheetData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6"/>
  <sheetViews>
    <sheetView showGridLines="0" zoomScale="75" zoomScaleNormal="75" workbookViewId="0" topLeftCell="B22">
      <selection activeCell="B44" sqref="B44"/>
    </sheetView>
  </sheetViews>
  <sheetFormatPr defaultColWidth="9.33203125" defaultRowHeight="10.5"/>
  <cols>
    <col min="2" max="2" width="54.16015625" style="0" customWidth="1"/>
    <col min="3" max="3" width="20" style="0" customWidth="1"/>
    <col min="4" max="4" width="10.66015625" style="0" customWidth="1"/>
    <col min="5" max="5" width="13.16015625" style="0" customWidth="1"/>
    <col min="6" max="6" width="11.33203125" style="0" customWidth="1"/>
    <col min="7" max="7" width="10.16015625" style="0" customWidth="1"/>
    <col min="8" max="9" width="10.5" style="0" customWidth="1"/>
    <col min="10" max="10" width="15.33203125" style="0" customWidth="1"/>
  </cols>
  <sheetData>
    <row r="1" ht="10.5">
      <c r="J1" s="40" t="s">
        <v>76</v>
      </c>
    </row>
    <row r="2" ht="10.5">
      <c r="J2" s="40" t="s">
        <v>275</v>
      </c>
    </row>
    <row r="3" spans="1:10" ht="10.5">
      <c r="A3" s="18"/>
      <c r="B3" s="7" t="s">
        <v>83</v>
      </c>
      <c r="C3" s="7"/>
      <c r="D3" s="7"/>
      <c r="E3" s="7"/>
      <c r="F3" s="7"/>
      <c r="G3" s="7"/>
      <c r="H3" s="7"/>
      <c r="I3" s="7"/>
      <c r="J3" s="40" t="s">
        <v>281</v>
      </c>
    </row>
    <row r="4" spans="1:10" ht="10.5">
      <c r="A4" s="18"/>
      <c r="B4" s="7" t="s">
        <v>60</v>
      </c>
      <c r="C4" s="7"/>
      <c r="D4" s="7"/>
      <c r="E4" s="7"/>
      <c r="F4" s="7"/>
      <c r="G4" s="7"/>
      <c r="H4" s="7"/>
      <c r="I4" s="7"/>
      <c r="J4" s="40" t="s">
        <v>282</v>
      </c>
    </row>
    <row r="5" spans="1:9" ht="10.5">
      <c r="A5" s="18"/>
      <c r="B5" s="18"/>
      <c r="F5" s="220" t="s">
        <v>1</v>
      </c>
      <c r="G5" s="220"/>
      <c r="H5" s="220"/>
      <c r="I5" s="220"/>
    </row>
    <row r="6" spans="1:10" ht="10.5">
      <c r="A6" s="18"/>
      <c r="B6" s="18"/>
      <c r="C6" s="127" t="s">
        <v>180</v>
      </c>
      <c r="D6" s="5" t="s">
        <v>61</v>
      </c>
      <c r="E6" s="5" t="s">
        <v>62</v>
      </c>
      <c r="F6" s="5" t="s">
        <v>71</v>
      </c>
      <c r="G6" s="5"/>
      <c r="H6" s="7"/>
      <c r="I6" s="5"/>
      <c r="J6" s="5" t="s">
        <v>62</v>
      </c>
    </row>
    <row r="7" spans="1:10" ht="10.5">
      <c r="A7" s="18"/>
      <c r="B7" s="18"/>
      <c r="C7" s="5" t="s">
        <v>63</v>
      </c>
      <c r="D7" s="5" t="s">
        <v>64</v>
      </c>
      <c r="E7" s="5" t="s">
        <v>65</v>
      </c>
      <c r="F7" s="5" t="s">
        <v>64</v>
      </c>
      <c r="G7" s="5"/>
      <c r="H7" s="5"/>
      <c r="I7" s="5" t="s">
        <v>66</v>
      </c>
      <c r="J7" s="5" t="s">
        <v>65</v>
      </c>
    </row>
    <row r="8" spans="1:11" ht="10.5">
      <c r="A8" s="12">
        <v>1</v>
      </c>
      <c r="B8" s="2" t="s">
        <v>14</v>
      </c>
      <c r="C8" s="19">
        <v>2260822.8368676114</v>
      </c>
      <c r="D8" s="19"/>
      <c r="E8" s="19">
        <f>C8+D8</f>
        <v>2260822.8368676114</v>
      </c>
      <c r="F8" s="19"/>
      <c r="G8" s="19"/>
      <c r="H8" s="19"/>
      <c r="I8" s="19"/>
      <c r="J8" s="19">
        <f>SUM(E8:I8)</f>
        <v>2260822.8368676114</v>
      </c>
      <c r="K8" s="18"/>
    </row>
    <row r="9" spans="1:11" ht="10.5">
      <c r="A9" s="12">
        <f>A8+1</f>
        <v>2</v>
      </c>
      <c r="B9" s="2" t="s">
        <v>15</v>
      </c>
      <c r="C9" s="19">
        <v>4276893.503371696</v>
      </c>
      <c r="D9" s="19"/>
      <c r="E9" s="19">
        <f aca="true" t="shared" si="0" ref="E9:E25">C9+D9</f>
        <v>4276893.503371696</v>
      </c>
      <c r="F9" s="19">
        <v>-7933.703317596199</v>
      </c>
      <c r="G9" s="19"/>
      <c r="H9" s="19"/>
      <c r="I9" s="19"/>
      <c r="J9" s="19">
        <f aca="true" t="shared" si="1" ref="J9:J25">SUM(E9:I9)</f>
        <v>4268959.800054099</v>
      </c>
      <c r="K9" s="18"/>
    </row>
    <row r="10" spans="1:11" ht="10.5">
      <c r="A10" s="12">
        <f aca="true" t="shared" si="2" ref="A10:A20">A9+1</f>
        <v>3</v>
      </c>
      <c r="B10" s="2" t="s">
        <v>16</v>
      </c>
      <c r="C10" s="19">
        <v>18794664.642820183</v>
      </c>
      <c r="D10" s="19">
        <v>102576</v>
      </c>
      <c r="E10" s="19">
        <f t="shared" si="0"/>
        <v>18897240.642820183</v>
      </c>
      <c r="F10" s="19">
        <v>-53916.93279516731</v>
      </c>
      <c r="G10" s="19"/>
      <c r="H10" s="19"/>
      <c r="I10" s="19"/>
      <c r="J10" s="19">
        <f t="shared" si="1"/>
        <v>18843323.710025016</v>
      </c>
      <c r="K10" s="18"/>
    </row>
    <row r="11" spans="1:11" ht="10.5">
      <c r="A11" s="12">
        <f t="shared" si="2"/>
        <v>4</v>
      </c>
      <c r="B11" s="2" t="s">
        <v>17</v>
      </c>
      <c r="C11" s="19">
        <v>6239.508612317367</v>
      </c>
      <c r="D11" s="19"/>
      <c r="E11" s="19">
        <f t="shared" si="0"/>
        <v>6239.508612317367</v>
      </c>
      <c r="F11" s="19"/>
      <c r="G11" s="19"/>
      <c r="H11" s="19"/>
      <c r="I11" s="19"/>
      <c r="J11" s="19">
        <f t="shared" si="1"/>
        <v>6239.508612317367</v>
      </c>
      <c r="K11" s="18"/>
    </row>
    <row r="12" spans="1:11" ht="10.5">
      <c r="A12" s="12" t="s">
        <v>41</v>
      </c>
      <c r="B12" s="2" t="s">
        <v>18</v>
      </c>
      <c r="C12" s="19">
        <v>16226995.495489761</v>
      </c>
      <c r="D12" s="19">
        <v>728</v>
      </c>
      <c r="E12" s="19">
        <f t="shared" si="0"/>
        <v>16227723.495489761</v>
      </c>
      <c r="F12" s="19">
        <v>-19386.78561340691</v>
      </c>
      <c r="G12" s="19"/>
      <c r="H12" s="19"/>
      <c r="I12" s="19"/>
      <c r="J12" s="19">
        <f t="shared" si="1"/>
        <v>16208336.709876355</v>
      </c>
      <c r="K12" s="18"/>
    </row>
    <row r="13" spans="1:11" ht="10.5">
      <c r="A13" s="12">
        <v>8</v>
      </c>
      <c r="B13" s="2" t="s">
        <v>20</v>
      </c>
      <c r="C13" s="19">
        <v>634559.3480098273</v>
      </c>
      <c r="D13" s="19"/>
      <c r="E13" s="19">
        <f t="shared" si="0"/>
        <v>634559.3480098273</v>
      </c>
      <c r="F13" s="19">
        <v>-1315.3017747842518</v>
      </c>
      <c r="G13" s="19"/>
      <c r="H13" s="19"/>
      <c r="I13" s="19"/>
      <c r="J13" s="19">
        <f t="shared" si="1"/>
        <v>633244.0462350431</v>
      </c>
      <c r="K13" s="18"/>
    </row>
    <row r="14" spans="1:11" ht="10.5">
      <c r="A14" s="12">
        <f t="shared" si="2"/>
        <v>9</v>
      </c>
      <c r="B14" s="2" t="s">
        <v>21</v>
      </c>
      <c r="C14" s="19">
        <v>0</v>
      </c>
      <c r="D14" s="19"/>
      <c r="E14" s="19">
        <f t="shared" si="0"/>
        <v>0</v>
      </c>
      <c r="F14" s="19"/>
      <c r="G14" s="19"/>
      <c r="H14" s="19"/>
      <c r="I14" s="19"/>
      <c r="J14" s="19">
        <f t="shared" si="1"/>
        <v>0</v>
      </c>
      <c r="K14" s="18"/>
    </row>
    <row r="15" spans="1:11" ht="10.5">
      <c r="A15" s="12">
        <f t="shared" si="2"/>
        <v>10</v>
      </c>
      <c r="B15" s="2" t="s">
        <v>22</v>
      </c>
      <c r="C15" s="19">
        <v>5921205.3451862065</v>
      </c>
      <c r="D15" s="19"/>
      <c r="E15" s="19">
        <f t="shared" si="0"/>
        <v>5921205.3451862065</v>
      </c>
      <c r="F15" s="19">
        <v>-5896.036111228078</v>
      </c>
      <c r="G15" s="19"/>
      <c r="H15" s="19"/>
      <c r="I15" s="19"/>
      <c r="J15" s="19">
        <f t="shared" si="1"/>
        <v>5915309.309074978</v>
      </c>
      <c r="K15" s="18"/>
    </row>
    <row r="16" spans="1:11" ht="10.5">
      <c r="A16" s="12">
        <f t="shared" si="2"/>
        <v>11</v>
      </c>
      <c r="B16" s="2" t="s">
        <v>23</v>
      </c>
      <c r="C16" s="19">
        <v>3289524.1131242067</v>
      </c>
      <c r="D16" s="19"/>
      <c r="E16" s="19">
        <f t="shared" si="0"/>
        <v>3289524.1131242067</v>
      </c>
      <c r="F16" s="19">
        <v>-5438.8072940312195</v>
      </c>
      <c r="G16" s="19"/>
      <c r="H16" s="19"/>
      <c r="I16" s="19"/>
      <c r="J16" s="19">
        <f t="shared" si="1"/>
        <v>3284085.3058301755</v>
      </c>
      <c r="K16" s="18"/>
    </row>
    <row r="17" spans="1:11" ht="10.5">
      <c r="A17" s="12">
        <f t="shared" si="2"/>
        <v>12</v>
      </c>
      <c r="B17" s="2" t="s">
        <v>24</v>
      </c>
      <c r="C17" s="19">
        <v>1065872.2663223816</v>
      </c>
      <c r="D17" s="19"/>
      <c r="E17" s="19">
        <f t="shared" si="0"/>
        <v>1065872.2663223816</v>
      </c>
      <c r="F17" s="19"/>
      <c r="G17" s="19"/>
      <c r="H17" s="19"/>
      <c r="I17" s="19"/>
      <c r="J17" s="19">
        <f t="shared" si="1"/>
        <v>1065872.2663223816</v>
      </c>
      <c r="K17" s="18"/>
    </row>
    <row r="18" spans="1:11" ht="10.5">
      <c r="A18" s="12">
        <f t="shared" si="2"/>
        <v>13</v>
      </c>
      <c r="B18" s="2" t="s">
        <v>25</v>
      </c>
      <c r="C18" s="19">
        <v>339751.1448527207</v>
      </c>
      <c r="D18" s="19"/>
      <c r="E18" s="19">
        <f t="shared" si="0"/>
        <v>339751.1448527207</v>
      </c>
      <c r="F18" s="19"/>
      <c r="G18" s="19"/>
      <c r="H18" s="19"/>
      <c r="I18" s="19"/>
      <c r="J18" s="19">
        <f t="shared" si="1"/>
        <v>339751.1448527207</v>
      </c>
      <c r="K18" s="18"/>
    </row>
    <row r="19" spans="1:11" ht="10.5">
      <c r="A19" s="12">
        <f t="shared" si="2"/>
        <v>14</v>
      </c>
      <c r="B19" s="2" t="s">
        <v>26</v>
      </c>
      <c r="C19" s="19">
        <v>5783020.497231626</v>
      </c>
      <c r="D19" s="19"/>
      <c r="E19" s="19">
        <f t="shared" si="0"/>
        <v>5783020.497231626</v>
      </c>
      <c r="F19" s="19">
        <v>1298.4174082302195</v>
      </c>
      <c r="G19" s="19"/>
      <c r="H19" s="19"/>
      <c r="I19" s="19"/>
      <c r="J19" s="19">
        <f t="shared" si="1"/>
        <v>5784318.914639856</v>
      </c>
      <c r="K19" s="18"/>
    </row>
    <row r="20" spans="1:11" ht="10.5">
      <c r="A20" s="12">
        <f t="shared" si="2"/>
        <v>15</v>
      </c>
      <c r="B20" s="2" t="s">
        <v>27</v>
      </c>
      <c r="C20" s="19">
        <v>1970035.3813831713</v>
      </c>
      <c r="D20" s="19"/>
      <c r="E20" s="19">
        <f t="shared" si="0"/>
        <v>1970035.3813831713</v>
      </c>
      <c r="F20" s="19"/>
      <c r="G20" s="19"/>
      <c r="H20" s="19"/>
      <c r="I20" s="19"/>
      <c r="J20" s="19">
        <f t="shared" si="1"/>
        <v>1970035.3813831713</v>
      </c>
      <c r="K20" s="18"/>
    </row>
    <row r="21" spans="1:11" ht="10.5">
      <c r="A21" s="12">
        <v>16</v>
      </c>
      <c r="B21" s="2" t="s">
        <v>30</v>
      </c>
      <c r="C21" s="19">
        <v>2999714.936982474</v>
      </c>
      <c r="D21" s="19"/>
      <c r="E21" s="19">
        <f>C21+D21</f>
        <v>2999714.936982474</v>
      </c>
      <c r="F21" s="19">
        <v>156.37585144404625</v>
      </c>
      <c r="G21" s="19"/>
      <c r="H21" s="19"/>
      <c r="I21" s="19"/>
      <c r="J21" s="19">
        <f>SUM(E21:I21)</f>
        <v>2999871.312833918</v>
      </c>
      <c r="K21" s="18"/>
    </row>
    <row r="22" spans="1:11" ht="10.5">
      <c r="A22" s="12">
        <v>17</v>
      </c>
      <c r="B22" s="2" t="s">
        <v>28</v>
      </c>
      <c r="C22" s="19">
        <v>35411.88125553828</v>
      </c>
      <c r="D22" s="19"/>
      <c r="E22" s="19">
        <f t="shared" si="0"/>
        <v>35411.88125553828</v>
      </c>
      <c r="F22" s="19"/>
      <c r="G22" s="19"/>
      <c r="H22" s="19"/>
      <c r="I22" s="19"/>
      <c r="J22" s="19">
        <f t="shared" si="1"/>
        <v>35411.88125553828</v>
      </c>
      <c r="K22" s="18"/>
    </row>
    <row r="23" spans="1:11" ht="10.5">
      <c r="A23" s="12">
        <v>18</v>
      </c>
      <c r="B23" s="2" t="s">
        <v>79</v>
      </c>
      <c r="C23" s="19">
        <v>7859057.148751165</v>
      </c>
      <c r="D23" s="19"/>
      <c r="E23" s="19">
        <f>C23+D23</f>
        <v>7859057.148751165</v>
      </c>
      <c r="F23" s="19"/>
      <c r="G23" s="19"/>
      <c r="H23" s="19"/>
      <c r="I23" s="19"/>
      <c r="J23" s="19">
        <f>SUM(E23:I23)</f>
        <v>7859057.148751165</v>
      </c>
      <c r="K23" s="18"/>
    </row>
    <row r="24" spans="1:11" ht="10.5">
      <c r="A24" s="12">
        <v>19</v>
      </c>
      <c r="B24" s="2" t="s">
        <v>29</v>
      </c>
      <c r="C24" s="19">
        <v>69003.7501115507</v>
      </c>
      <c r="D24" s="19"/>
      <c r="E24" s="19">
        <f t="shared" si="0"/>
        <v>69003.7501115507</v>
      </c>
      <c r="F24" s="19"/>
      <c r="G24" s="19"/>
      <c r="H24" s="19"/>
      <c r="I24" s="19"/>
      <c r="J24" s="19">
        <f t="shared" si="1"/>
        <v>69003.7501115507</v>
      </c>
      <c r="K24" s="18"/>
    </row>
    <row r="25" spans="1:11" ht="10.5">
      <c r="A25" s="12">
        <v>20</v>
      </c>
      <c r="B25" s="2" t="s">
        <v>32</v>
      </c>
      <c r="C25" s="19">
        <v>2690989.6615536097</v>
      </c>
      <c r="D25" s="19"/>
      <c r="E25" s="19">
        <f t="shared" si="0"/>
        <v>2690989.6615536097</v>
      </c>
      <c r="F25" s="19"/>
      <c r="G25" s="19"/>
      <c r="H25" s="19"/>
      <c r="I25" s="19"/>
      <c r="J25" s="19">
        <f t="shared" si="1"/>
        <v>2690989.6615536097</v>
      </c>
      <c r="K25" s="18"/>
    </row>
    <row r="26" spans="1:11" ht="10.5">
      <c r="A26" s="12"/>
      <c r="B26" s="2" t="s">
        <v>67</v>
      </c>
      <c r="C26" s="19">
        <f aca="true" t="shared" si="3" ref="C26:J26">SUM(C8:C25)</f>
        <v>74223761.46192603</v>
      </c>
      <c r="D26" s="19">
        <f t="shared" si="3"/>
        <v>103304</v>
      </c>
      <c r="E26" s="19">
        <f t="shared" si="3"/>
        <v>74327065.46192603</v>
      </c>
      <c r="F26" s="19">
        <f t="shared" si="3"/>
        <v>-92432.7736465397</v>
      </c>
      <c r="G26" s="19">
        <f t="shared" si="3"/>
        <v>0</v>
      </c>
      <c r="H26" s="19">
        <f t="shared" si="3"/>
        <v>0</v>
      </c>
      <c r="I26" s="19">
        <f t="shared" si="3"/>
        <v>0</v>
      </c>
      <c r="J26" s="19">
        <f t="shared" si="3"/>
        <v>74234632.6882795</v>
      </c>
      <c r="K26" s="18"/>
    </row>
    <row r="27" spans="2:10" ht="10.5">
      <c r="B27" t="s">
        <v>68</v>
      </c>
      <c r="C27" s="20">
        <v>0</v>
      </c>
      <c r="D27" s="20">
        <v>0</v>
      </c>
      <c r="E27" s="20">
        <v>0</v>
      </c>
      <c r="F27" s="20">
        <v>7288.4076197468175</v>
      </c>
      <c r="G27" s="20">
        <v>0</v>
      </c>
      <c r="H27" s="20">
        <v>0</v>
      </c>
      <c r="I27" s="20">
        <v>0</v>
      </c>
      <c r="J27" s="19">
        <f>SUM(E27:H27)</f>
        <v>7288.4076197468175</v>
      </c>
    </row>
    <row r="28" spans="2:10" ht="10.5">
      <c r="B28" t="s">
        <v>69</v>
      </c>
      <c r="C28" s="20">
        <f>C26+C27</f>
        <v>74223761.46192603</v>
      </c>
      <c r="D28" s="20">
        <f aca="true" t="shared" si="4" ref="D28:I28">D26+D27</f>
        <v>103304</v>
      </c>
      <c r="E28" s="20">
        <f t="shared" si="4"/>
        <v>74327065.46192603</v>
      </c>
      <c r="F28" s="20">
        <f t="shared" si="4"/>
        <v>-85144.36602679288</v>
      </c>
      <c r="G28" s="20">
        <f t="shared" si="4"/>
        <v>0</v>
      </c>
      <c r="H28" s="20">
        <f t="shared" si="4"/>
        <v>0</v>
      </c>
      <c r="I28" s="20">
        <f t="shared" si="4"/>
        <v>0</v>
      </c>
      <c r="J28" s="19">
        <f>SUM(E28:H28)</f>
        <v>74241921.09589924</v>
      </c>
    </row>
    <row r="29" spans="3:10" ht="10.5">
      <c r="C29" s="20"/>
      <c r="D29" s="20"/>
      <c r="E29" s="20"/>
      <c r="F29" s="20"/>
      <c r="G29" s="20"/>
      <c r="H29" s="20"/>
      <c r="I29" s="20"/>
      <c r="J29" s="20">
        <f>J26+J27</f>
        <v>74241921.09589924</v>
      </c>
    </row>
    <row r="32" spans="6:9" ht="10.5">
      <c r="F32" s="220" t="s">
        <v>1</v>
      </c>
      <c r="G32" s="220"/>
      <c r="H32" s="220"/>
      <c r="I32" s="220"/>
    </row>
    <row r="33" spans="1:10" ht="10.5">
      <c r="A33" s="18"/>
      <c r="B33" s="18"/>
      <c r="C33" s="139" t="s">
        <v>181</v>
      </c>
      <c r="D33" t="s">
        <v>61</v>
      </c>
      <c r="E33" t="s">
        <v>62</v>
      </c>
      <c r="F33" s="5" t="s">
        <v>71</v>
      </c>
      <c r="G33" s="5"/>
      <c r="H33" s="7"/>
      <c r="I33" s="5"/>
      <c r="J33" s="5" t="s">
        <v>62</v>
      </c>
    </row>
    <row r="34" spans="1:10" ht="10.5">
      <c r="A34" s="18"/>
      <c r="B34" s="18"/>
      <c r="C34" t="s">
        <v>63</v>
      </c>
      <c r="D34" t="s">
        <v>64</v>
      </c>
      <c r="E34" t="s">
        <v>65</v>
      </c>
      <c r="F34" s="5" t="s">
        <v>64</v>
      </c>
      <c r="G34" s="5"/>
      <c r="H34" s="5"/>
      <c r="I34" s="5" t="s">
        <v>66</v>
      </c>
      <c r="J34" s="5" t="s">
        <v>65</v>
      </c>
    </row>
    <row r="35" spans="1:10" ht="10.5">
      <c r="A35" s="12">
        <v>1</v>
      </c>
      <c r="B35" s="2" t="s">
        <v>14</v>
      </c>
      <c r="C35" s="19">
        <v>2363914.4148764857</v>
      </c>
      <c r="D35" s="19"/>
      <c r="E35" s="19">
        <f>C35+D35</f>
        <v>2363914.4148764857</v>
      </c>
      <c r="F35" s="19"/>
      <c r="G35" s="19"/>
      <c r="H35" s="19"/>
      <c r="I35" s="19"/>
      <c r="J35" s="19">
        <f>SUM(E35:I35)</f>
        <v>2363914.4148764857</v>
      </c>
    </row>
    <row r="36" spans="1:10" ht="10.5">
      <c r="A36" s="12">
        <f>A35+1</f>
        <v>2</v>
      </c>
      <c r="B36" s="2" t="s">
        <v>15</v>
      </c>
      <c r="C36" s="19">
        <v>4370618.480753444</v>
      </c>
      <c r="D36" s="19"/>
      <c r="E36" s="19">
        <f aca="true" t="shared" si="5" ref="E36:E52">C36+D36</f>
        <v>4370618.480753444</v>
      </c>
      <c r="F36" s="19">
        <v>-12841</v>
      </c>
      <c r="G36" s="19"/>
      <c r="H36" s="19"/>
      <c r="I36" s="19"/>
      <c r="J36" s="19">
        <f aca="true" t="shared" si="6" ref="J36:J52">SUM(E36:I36)</f>
        <v>4357777.480753444</v>
      </c>
    </row>
    <row r="37" spans="1:10" ht="10.5">
      <c r="A37" s="12">
        <f>A36+1</f>
        <v>3</v>
      </c>
      <c r="B37" s="2" t="s">
        <v>16</v>
      </c>
      <c r="C37" s="189">
        <v>18770663.781790804</v>
      </c>
      <c r="D37" s="189">
        <v>196915</v>
      </c>
      <c r="E37" s="189">
        <f t="shared" si="5"/>
        <v>18967578.781790804</v>
      </c>
      <c r="F37" s="19">
        <v>-86924</v>
      </c>
      <c r="G37" s="19"/>
      <c r="H37" s="19"/>
      <c r="I37" s="19"/>
      <c r="J37" s="189">
        <f t="shared" si="6"/>
        <v>18880654.781790804</v>
      </c>
    </row>
    <row r="38" spans="1:10" ht="10.5">
      <c r="A38" s="12">
        <f>A37+1</f>
        <v>4</v>
      </c>
      <c r="B38" s="2" t="s">
        <v>17</v>
      </c>
      <c r="C38" s="19">
        <v>6536.470019415536</v>
      </c>
      <c r="D38" s="19"/>
      <c r="E38" s="19">
        <f t="shared" si="5"/>
        <v>6536.470019415536</v>
      </c>
      <c r="F38" s="19"/>
      <c r="G38" s="19"/>
      <c r="H38" s="19"/>
      <c r="I38" s="19"/>
      <c r="J38" s="19">
        <f t="shared" si="6"/>
        <v>6536.470019415536</v>
      </c>
    </row>
    <row r="39" spans="1:10" ht="10.5">
      <c r="A39" s="12" t="s">
        <v>41</v>
      </c>
      <c r="B39" s="2" t="s">
        <v>18</v>
      </c>
      <c r="C39" s="19">
        <v>16711372.101977918</v>
      </c>
      <c r="D39" s="19">
        <v>699</v>
      </c>
      <c r="E39" s="19">
        <f t="shared" si="5"/>
        <v>16712071.101977918</v>
      </c>
      <c r="F39" s="19">
        <v>-31830</v>
      </c>
      <c r="G39" s="19"/>
      <c r="H39" s="19"/>
      <c r="I39" s="19"/>
      <c r="J39" s="19">
        <f t="shared" si="6"/>
        <v>16680241.101977918</v>
      </c>
    </row>
    <row r="40" spans="1:10" ht="10.5">
      <c r="A40" s="12">
        <v>8</v>
      </c>
      <c r="B40" s="2" t="s">
        <v>20</v>
      </c>
      <c r="C40" s="19">
        <v>662017.2108842843</v>
      </c>
      <c r="D40" s="19"/>
      <c r="E40" s="19">
        <f t="shared" si="5"/>
        <v>662017.2108842843</v>
      </c>
      <c r="F40" s="19">
        <v>-2011</v>
      </c>
      <c r="G40" s="19"/>
      <c r="H40" s="19"/>
      <c r="I40" s="19"/>
      <c r="J40" s="19">
        <f t="shared" si="6"/>
        <v>660006.2108842843</v>
      </c>
    </row>
    <row r="41" spans="1:10" ht="10.5">
      <c r="A41" s="12">
        <f aca="true" t="shared" si="7" ref="A41:A47">A40+1</f>
        <v>9</v>
      </c>
      <c r="B41" s="2" t="s">
        <v>21</v>
      </c>
      <c r="C41" s="19"/>
      <c r="D41" s="19"/>
      <c r="E41" s="19">
        <f t="shared" si="5"/>
        <v>0</v>
      </c>
      <c r="F41" s="19"/>
      <c r="G41" s="19"/>
      <c r="H41" s="19"/>
      <c r="I41" s="19"/>
      <c r="J41" s="19">
        <f t="shared" si="6"/>
        <v>0</v>
      </c>
    </row>
    <row r="42" spans="1:10" ht="10.5">
      <c r="A42" s="12">
        <f t="shared" si="7"/>
        <v>10</v>
      </c>
      <c r="B42" s="2" t="s">
        <v>22</v>
      </c>
      <c r="C42" s="19">
        <v>6245265.536988671</v>
      </c>
      <c r="D42" s="19"/>
      <c r="E42" s="19">
        <f t="shared" si="5"/>
        <v>6245265.536988671</v>
      </c>
      <c r="F42" s="19">
        <v>-10008</v>
      </c>
      <c r="G42" s="19"/>
      <c r="H42" s="19"/>
      <c r="I42" s="19"/>
      <c r="J42" s="19">
        <f t="shared" si="6"/>
        <v>6235257.536988671</v>
      </c>
    </row>
    <row r="43" spans="1:10" ht="10.5">
      <c r="A43" s="12">
        <f t="shared" si="7"/>
        <v>11</v>
      </c>
      <c r="B43" s="2" t="s">
        <v>23</v>
      </c>
      <c r="C43" s="19">
        <v>3409968.286285941</v>
      </c>
      <c r="D43" s="19"/>
      <c r="E43" s="19">
        <f t="shared" si="5"/>
        <v>3409968.286285941</v>
      </c>
      <c r="F43" s="19">
        <v>-8851</v>
      </c>
      <c r="G43" s="19"/>
      <c r="H43" s="19"/>
      <c r="I43" s="19"/>
      <c r="J43" s="19">
        <f t="shared" si="6"/>
        <v>3401117.286285941</v>
      </c>
    </row>
    <row r="44" spans="1:10" ht="10.5">
      <c r="A44" s="12">
        <f t="shared" si="7"/>
        <v>12</v>
      </c>
      <c r="B44" s="2" t="s">
        <v>24</v>
      </c>
      <c r="C44" s="19">
        <v>1109552.2605335533</v>
      </c>
      <c r="D44" s="19"/>
      <c r="E44" s="19">
        <f t="shared" si="5"/>
        <v>1109552.2605335533</v>
      </c>
      <c r="F44" s="19"/>
      <c r="G44" s="19"/>
      <c r="H44" s="19"/>
      <c r="I44" s="19"/>
      <c r="J44" s="19">
        <f t="shared" si="6"/>
        <v>1109552.2605335533</v>
      </c>
    </row>
    <row r="45" spans="1:10" ht="10.5">
      <c r="A45" s="12">
        <f t="shared" si="7"/>
        <v>13</v>
      </c>
      <c r="B45" s="2" t="s">
        <v>25</v>
      </c>
      <c r="C45" s="19">
        <v>353897.361728984</v>
      </c>
      <c r="D45" s="19"/>
      <c r="E45" s="19">
        <f t="shared" si="5"/>
        <v>353897.361728984</v>
      </c>
      <c r="F45" s="19"/>
      <c r="G45" s="19"/>
      <c r="H45" s="19"/>
      <c r="I45" s="19"/>
      <c r="J45" s="19">
        <f t="shared" si="6"/>
        <v>353897.361728984</v>
      </c>
    </row>
    <row r="46" spans="1:10" ht="10.5">
      <c r="A46" s="12">
        <f t="shared" si="7"/>
        <v>14</v>
      </c>
      <c r="B46" s="2" t="s">
        <v>26</v>
      </c>
      <c r="C46" s="189">
        <v>5729853.780893893</v>
      </c>
      <c r="D46" s="19"/>
      <c r="E46" s="189">
        <f t="shared" si="5"/>
        <v>5729853.780893893</v>
      </c>
      <c r="F46" s="19">
        <v>-3043</v>
      </c>
      <c r="G46" s="19"/>
      <c r="H46" s="19"/>
      <c r="I46" s="19"/>
      <c r="J46" s="189">
        <f t="shared" si="6"/>
        <v>5726810.780893893</v>
      </c>
    </row>
    <row r="47" spans="1:10" ht="10.5">
      <c r="A47" s="12">
        <f t="shared" si="7"/>
        <v>15</v>
      </c>
      <c r="B47" s="2" t="s">
        <v>27</v>
      </c>
      <c r="C47" s="19">
        <v>1980133.571656374</v>
      </c>
      <c r="D47" s="19"/>
      <c r="E47" s="19">
        <f t="shared" si="5"/>
        <v>1980133.571656374</v>
      </c>
      <c r="F47" s="19"/>
      <c r="G47" s="19"/>
      <c r="H47" s="19"/>
      <c r="I47" s="19"/>
      <c r="J47" s="19">
        <f t="shared" si="6"/>
        <v>1980133.571656374</v>
      </c>
    </row>
    <row r="48" spans="1:10" ht="10.5">
      <c r="A48" s="12">
        <v>16</v>
      </c>
      <c r="B48" s="2" t="s">
        <v>30</v>
      </c>
      <c r="C48" s="19">
        <v>2892689.691140038</v>
      </c>
      <c r="D48" s="19"/>
      <c r="E48" s="19">
        <f>C48+D48</f>
        <v>2892689.691140038</v>
      </c>
      <c r="F48" s="19">
        <v>189</v>
      </c>
      <c r="G48" s="19"/>
      <c r="H48" s="19"/>
      <c r="I48" s="19"/>
      <c r="J48" s="19">
        <f>SUM(E48:I48)</f>
        <v>2892878.691140038</v>
      </c>
    </row>
    <row r="49" spans="1:10" ht="10.5">
      <c r="A49" s="12">
        <v>17</v>
      </c>
      <c r="B49" s="2" t="s">
        <v>28</v>
      </c>
      <c r="C49" s="19">
        <v>42000.88125553828</v>
      </c>
      <c r="D49" s="19"/>
      <c r="E49" s="19">
        <f t="shared" si="5"/>
        <v>42000.88125553828</v>
      </c>
      <c r="F49" s="19"/>
      <c r="G49" s="19"/>
      <c r="H49" s="19"/>
      <c r="I49" s="19"/>
      <c r="J49" s="19">
        <f t="shared" si="6"/>
        <v>42000.88125553828</v>
      </c>
    </row>
    <row r="50" spans="1:10" ht="10.5">
      <c r="A50" s="12">
        <v>18</v>
      </c>
      <c r="B50" s="2" t="s">
        <v>79</v>
      </c>
      <c r="C50" s="19">
        <v>8437586.57961078</v>
      </c>
      <c r="D50" s="19"/>
      <c r="E50" s="19">
        <f>C50+D50</f>
        <v>8437586.57961078</v>
      </c>
      <c r="F50" s="19"/>
      <c r="G50" s="19"/>
      <c r="H50" s="19"/>
      <c r="I50" s="19"/>
      <c r="J50" s="19">
        <f>SUM(E50:I50)</f>
        <v>8437586.57961078</v>
      </c>
    </row>
    <row r="51" spans="1:10" ht="10.5">
      <c r="A51" s="12">
        <v>19</v>
      </c>
      <c r="B51" s="2" t="s">
        <v>29</v>
      </c>
      <c r="C51" s="19">
        <v>67110.02206333248</v>
      </c>
      <c r="D51" s="19"/>
      <c r="E51" s="19">
        <f t="shared" si="5"/>
        <v>67110.02206333248</v>
      </c>
      <c r="F51" s="19"/>
      <c r="G51" s="19"/>
      <c r="H51" s="19"/>
      <c r="I51" s="19"/>
      <c r="J51" s="19">
        <f t="shared" si="6"/>
        <v>67110.02206333248</v>
      </c>
    </row>
    <row r="52" spans="1:10" ht="10.5">
      <c r="A52" s="12">
        <v>20</v>
      </c>
      <c r="B52" s="2" t="s">
        <v>32</v>
      </c>
      <c r="C52" s="19">
        <v>2829468.2245970373</v>
      </c>
      <c r="D52" s="19"/>
      <c r="E52" s="19">
        <f t="shared" si="5"/>
        <v>2829468.2245970373</v>
      </c>
      <c r="F52" s="19"/>
      <c r="G52" s="19"/>
      <c r="H52" s="19"/>
      <c r="I52" s="19"/>
      <c r="J52" s="19">
        <f t="shared" si="6"/>
        <v>2829468.2245970373</v>
      </c>
    </row>
    <row r="53" spans="1:10" ht="10.5">
      <c r="A53" s="12"/>
      <c r="B53" s="2" t="s">
        <v>67</v>
      </c>
      <c r="C53" s="189">
        <f aca="true" t="shared" si="8" ref="C53:J53">SUM(C35:C52)</f>
        <v>75982648.6570565</v>
      </c>
      <c r="D53" s="189">
        <f t="shared" si="8"/>
        <v>197614</v>
      </c>
      <c r="E53" s="189">
        <f t="shared" si="8"/>
        <v>76180262.6570565</v>
      </c>
      <c r="F53" s="19">
        <f t="shared" si="8"/>
        <v>-155319</v>
      </c>
      <c r="G53" s="19">
        <f t="shared" si="8"/>
        <v>0</v>
      </c>
      <c r="H53" s="19">
        <f t="shared" si="8"/>
        <v>0</v>
      </c>
      <c r="I53" s="19">
        <f t="shared" si="8"/>
        <v>0</v>
      </c>
      <c r="J53" s="189">
        <f t="shared" si="8"/>
        <v>76024943.6570565</v>
      </c>
    </row>
    <row r="54" spans="2:10" ht="10.5">
      <c r="B54" t="s">
        <v>68</v>
      </c>
      <c r="C54" s="20">
        <v>0</v>
      </c>
      <c r="D54" s="20">
        <v>0</v>
      </c>
      <c r="E54" s="20">
        <v>0</v>
      </c>
      <c r="F54" s="20">
        <v>12148</v>
      </c>
      <c r="G54" s="20"/>
      <c r="H54" s="20">
        <v>0</v>
      </c>
      <c r="I54" s="20">
        <v>0</v>
      </c>
      <c r="J54" s="19">
        <f>SUM(E54:H54)</f>
        <v>12148</v>
      </c>
    </row>
    <row r="55" spans="2:10" ht="10.5">
      <c r="B55" t="s">
        <v>69</v>
      </c>
      <c r="C55" s="190">
        <f aca="true" t="shared" si="9" ref="C55:I55">C53+C54</f>
        <v>75982648.6570565</v>
      </c>
      <c r="D55" s="190">
        <f t="shared" si="9"/>
        <v>197614</v>
      </c>
      <c r="E55" s="190">
        <f t="shared" si="9"/>
        <v>76180262.6570565</v>
      </c>
      <c r="F55" s="20">
        <f t="shared" si="9"/>
        <v>-143171</v>
      </c>
      <c r="G55" s="20">
        <f t="shared" si="9"/>
        <v>0</v>
      </c>
      <c r="H55" s="20">
        <f t="shared" si="9"/>
        <v>0</v>
      </c>
      <c r="I55" s="20">
        <f t="shared" si="9"/>
        <v>0</v>
      </c>
      <c r="J55" s="189">
        <f>SUM(E55:I55)</f>
        <v>76037091.6570565</v>
      </c>
    </row>
    <row r="56" spans="3:10" ht="10.5">
      <c r="C56" s="20"/>
      <c r="D56" s="20"/>
      <c r="E56" s="20"/>
      <c r="F56" s="20"/>
      <c r="G56" s="20"/>
      <c r="H56" s="20"/>
      <c r="I56" s="20"/>
      <c r="J56" s="20">
        <f>J53+J54</f>
        <v>76037091.6570565</v>
      </c>
    </row>
  </sheetData>
  <mergeCells count="2">
    <mergeCell ref="F5:I5"/>
    <mergeCell ref="F32:I32"/>
  </mergeCells>
  <printOptions/>
  <pageMargins left="0.75" right="0.75" top="1.18" bottom="1" header="0.5" footer="0.5"/>
  <pageSetup horizontalDpi="300" verticalDpi="300" orientation="landscape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1"/>
  </sheetPr>
  <dimension ref="A1:K55"/>
  <sheetViews>
    <sheetView showGridLines="0" zoomScale="75" zoomScaleNormal="75" workbookViewId="0" topLeftCell="A21">
      <selection activeCell="J3" sqref="J3"/>
    </sheetView>
  </sheetViews>
  <sheetFormatPr defaultColWidth="9.33203125" defaultRowHeight="10.5"/>
  <cols>
    <col min="1" max="1" width="9.5" style="0" bestFit="1" customWidth="1"/>
    <col min="2" max="2" width="57.33203125" style="0" bestFit="1" customWidth="1"/>
    <col min="3" max="3" width="12.33203125" style="0" bestFit="1" customWidth="1"/>
    <col min="5" max="5" width="12.16015625" style="0" bestFit="1" customWidth="1"/>
    <col min="6" max="6" width="10.66015625" style="0" bestFit="1" customWidth="1"/>
    <col min="7" max="7" width="8.83203125" style="0" customWidth="1"/>
    <col min="8" max="8" width="10.5" style="0" customWidth="1"/>
    <col min="9" max="9" width="8" style="0" customWidth="1"/>
    <col min="10" max="10" width="12.16015625" style="0" bestFit="1" customWidth="1"/>
  </cols>
  <sheetData>
    <row r="1" ht="10.5">
      <c r="J1" t="s">
        <v>76</v>
      </c>
    </row>
    <row r="2" ht="10.5">
      <c r="J2" t="s">
        <v>271</v>
      </c>
    </row>
    <row r="3" spans="2:10" ht="10.5">
      <c r="B3" s="7" t="s">
        <v>83</v>
      </c>
      <c r="C3" s="7"/>
      <c r="D3" s="7"/>
      <c r="E3" s="7"/>
      <c r="F3" s="7"/>
      <c r="G3" s="7"/>
      <c r="H3" s="7"/>
      <c r="I3" s="7"/>
      <c r="J3" s="7" t="s">
        <v>281</v>
      </c>
    </row>
    <row r="4" spans="2:10" ht="10.5">
      <c r="B4" s="7" t="s">
        <v>60</v>
      </c>
      <c r="C4" s="7"/>
      <c r="D4" s="7"/>
      <c r="E4" s="7"/>
      <c r="F4" s="7"/>
      <c r="G4" s="7"/>
      <c r="H4" s="7"/>
      <c r="I4" s="7"/>
      <c r="J4" s="7" t="s">
        <v>282</v>
      </c>
    </row>
    <row r="5" spans="2:9" ht="10.5">
      <c r="B5" s="18"/>
      <c r="F5" s="220" t="s">
        <v>1</v>
      </c>
      <c r="G5" s="220"/>
      <c r="H5" s="220"/>
      <c r="I5" s="220"/>
    </row>
    <row r="6" spans="2:10" ht="10.5">
      <c r="B6" s="18"/>
      <c r="C6" s="127" t="s">
        <v>193</v>
      </c>
      <c r="D6" s="5" t="s">
        <v>61</v>
      </c>
      <c r="E6" s="5" t="s">
        <v>62</v>
      </c>
      <c r="F6" s="5" t="s">
        <v>71</v>
      </c>
      <c r="G6" s="5"/>
      <c r="H6" s="7"/>
      <c r="I6" s="5"/>
      <c r="J6" s="5" t="s">
        <v>62</v>
      </c>
    </row>
    <row r="7" spans="2:10" ht="10.5">
      <c r="B7" s="18"/>
      <c r="C7" s="5" t="s">
        <v>63</v>
      </c>
      <c r="D7" s="5" t="s">
        <v>64</v>
      </c>
      <c r="E7" s="5" t="s">
        <v>65</v>
      </c>
      <c r="F7" s="5" t="s">
        <v>64</v>
      </c>
      <c r="G7" s="5"/>
      <c r="H7" s="5"/>
      <c r="I7" s="5" t="s">
        <v>66</v>
      </c>
      <c r="J7" s="5" t="s">
        <v>65</v>
      </c>
    </row>
    <row r="8" spans="1:10" ht="10.5">
      <c r="A8" s="12">
        <v>1</v>
      </c>
      <c r="B8" s="2" t="s">
        <v>14</v>
      </c>
      <c r="C8" s="19">
        <v>2482694</v>
      </c>
      <c r="D8" s="19"/>
      <c r="E8" s="19">
        <f>C8+D8</f>
        <v>2482694</v>
      </c>
      <c r="F8" s="19"/>
      <c r="G8" s="19"/>
      <c r="H8" s="19"/>
      <c r="I8" s="19"/>
      <c r="J8" s="19">
        <f>SUM(E8:I8)</f>
        <v>2482694</v>
      </c>
    </row>
    <row r="9" spans="1:10" ht="10.5">
      <c r="A9" s="12">
        <f>A8+1</f>
        <v>2</v>
      </c>
      <c r="B9" s="2" t="s">
        <v>15</v>
      </c>
      <c r="C9" s="19">
        <v>4499650</v>
      </c>
      <c r="D9" s="19"/>
      <c r="E9" s="19">
        <f aca="true" t="shared" si="0" ref="E9:E25">C9+D9</f>
        <v>4499650</v>
      </c>
      <c r="F9" s="19">
        <v>-16014</v>
      </c>
      <c r="G9" s="19"/>
      <c r="H9" s="19"/>
      <c r="I9" s="19"/>
      <c r="J9" s="19">
        <f aca="true" t="shared" si="1" ref="J9:J25">SUM(E9:I9)</f>
        <v>4483636</v>
      </c>
    </row>
    <row r="10" spans="1:10" ht="10.5">
      <c r="A10" s="12">
        <f>A9+1</f>
        <v>3</v>
      </c>
      <c r="B10" s="2" t="s">
        <v>16</v>
      </c>
      <c r="C10" s="189">
        <v>18996239.934022862</v>
      </c>
      <c r="D10" s="189">
        <v>76982</v>
      </c>
      <c r="E10" s="189">
        <f t="shared" si="0"/>
        <v>19073221.934022862</v>
      </c>
      <c r="F10" s="19">
        <v>-104802</v>
      </c>
      <c r="G10" s="19"/>
      <c r="H10" s="19"/>
      <c r="I10" s="19"/>
      <c r="J10" s="189">
        <f t="shared" si="1"/>
        <v>18968419.934022862</v>
      </c>
    </row>
    <row r="11" spans="1:10" ht="10.5">
      <c r="A11" s="12">
        <f>A10+1</f>
        <v>4</v>
      </c>
      <c r="B11" s="2" t="s">
        <v>17</v>
      </c>
      <c r="C11" s="19">
        <v>6810</v>
      </c>
      <c r="D11" s="19"/>
      <c r="E11" s="19">
        <f t="shared" si="0"/>
        <v>6810</v>
      </c>
      <c r="F11" s="19"/>
      <c r="G11" s="19"/>
      <c r="H11" s="19"/>
      <c r="I11" s="19"/>
      <c r="J11" s="19">
        <f t="shared" si="1"/>
        <v>6810</v>
      </c>
    </row>
    <row r="12" spans="1:10" ht="10.5">
      <c r="A12" s="12" t="s">
        <v>41</v>
      </c>
      <c r="B12" s="2" t="s">
        <v>18</v>
      </c>
      <c r="C12" s="19">
        <f>5455135+11715345</f>
        <v>17170480</v>
      </c>
      <c r="D12" s="19">
        <v>790</v>
      </c>
      <c r="E12" s="19">
        <f t="shared" si="0"/>
        <v>17171270</v>
      </c>
      <c r="F12" s="19">
        <v>-37118</v>
      </c>
      <c r="G12" s="19"/>
      <c r="H12" s="19"/>
      <c r="I12" s="19"/>
      <c r="J12" s="19">
        <f t="shared" si="1"/>
        <v>17134152</v>
      </c>
    </row>
    <row r="13" spans="1:10" ht="10.5">
      <c r="A13" s="12">
        <v>8</v>
      </c>
      <c r="B13" s="2" t="s">
        <v>20</v>
      </c>
      <c r="C13" s="19">
        <v>693317</v>
      </c>
      <c r="D13" s="19"/>
      <c r="E13" s="19">
        <f t="shared" si="0"/>
        <v>693317</v>
      </c>
      <c r="F13" s="19">
        <v>-3129</v>
      </c>
      <c r="G13" s="19"/>
      <c r="H13" s="19"/>
      <c r="I13" s="19"/>
      <c r="J13" s="19">
        <f t="shared" si="1"/>
        <v>690188</v>
      </c>
    </row>
    <row r="14" spans="1:10" ht="10.5">
      <c r="A14" s="12">
        <f aca="true" t="shared" si="2" ref="A14:A20">A13+1</f>
        <v>9</v>
      </c>
      <c r="B14" s="2" t="s">
        <v>21</v>
      </c>
      <c r="C14" s="19"/>
      <c r="D14" s="19"/>
      <c r="E14" s="19">
        <f t="shared" si="0"/>
        <v>0</v>
      </c>
      <c r="F14" s="19"/>
      <c r="G14" s="19"/>
      <c r="H14" s="19"/>
      <c r="I14" s="19"/>
      <c r="J14" s="19">
        <f t="shared" si="1"/>
        <v>0</v>
      </c>
    </row>
    <row r="15" spans="1:10" ht="10.5">
      <c r="A15" s="12">
        <f t="shared" si="2"/>
        <v>10</v>
      </c>
      <c r="B15" s="2" t="s">
        <v>22</v>
      </c>
      <c r="C15" s="19">
        <v>6533673</v>
      </c>
      <c r="D15" s="19"/>
      <c r="E15" s="19">
        <f t="shared" si="0"/>
        <v>6533673</v>
      </c>
      <c r="F15" s="19">
        <v>-39371</v>
      </c>
      <c r="G15" s="19"/>
      <c r="H15" s="19"/>
      <c r="I15" s="19"/>
      <c r="J15" s="19">
        <f t="shared" si="1"/>
        <v>6494302</v>
      </c>
    </row>
    <row r="16" spans="1:10" ht="10.5">
      <c r="A16" s="12">
        <f t="shared" si="2"/>
        <v>11</v>
      </c>
      <c r="B16" s="2" t="s">
        <v>23</v>
      </c>
      <c r="C16" s="19">
        <v>3542509</v>
      </c>
      <c r="D16" s="19"/>
      <c r="E16" s="19">
        <f t="shared" si="0"/>
        <v>3542509</v>
      </c>
      <c r="F16" s="19">
        <v>-10593</v>
      </c>
      <c r="G16" s="19"/>
      <c r="H16" s="19"/>
      <c r="I16" s="19"/>
      <c r="J16" s="19">
        <f t="shared" si="1"/>
        <v>3531916</v>
      </c>
    </row>
    <row r="17" spans="1:10" ht="10.5">
      <c r="A17" s="12">
        <f t="shared" si="2"/>
        <v>12</v>
      </c>
      <c r="B17" s="2" t="s">
        <v>24</v>
      </c>
      <c r="C17" s="19">
        <v>1157658</v>
      </c>
      <c r="D17" s="19"/>
      <c r="E17" s="19">
        <f t="shared" si="0"/>
        <v>1157658</v>
      </c>
      <c r="F17" s="19"/>
      <c r="G17" s="19"/>
      <c r="H17" s="19"/>
      <c r="I17" s="19"/>
      <c r="J17" s="19">
        <f t="shared" si="1"/>
        <v>1157658</v>
      </c>
    </row>
    <row r="18" spans="1:10" ht="10.5">
      <c r="A18" s="12">
        <f t="shared" si="2"/>
        <v>13</v>
      </c>
      <c r="B18" s="2" t="s">
        <v>25</v>
      </c>
      <c r="C18" s="19">
        <v>369695</v>
      </c>
      <c r="D18" s="19"/>
      <c r="E18" s="19">
        <f t="shared" si="0"/>
        <v>369695</v>
      </c>
      <c r="F18" s="19"/>
      <c r="G18" s="19"/>
      <c r="H18" s="19"/>
      <c r="I18" s="19"/>
      <c r="J18" s="19">
        <f t="shared" si="1"/>
        <v>369695</v>
      </c>
    </row>
    <row r="19" spans="1:10" ht="10.5">
      <c r="A19" s="12">
        <f t="shared" si="2"/>
        <v>14</v>
      </c>
      <c r="B19" s="2" t="s">
        <v>26</v>
      </c>
      <c r="C19" s="189">
        <v>5789746.227663555</v>
      </c>
      <c r="D19" s="19"/>
      <c r="E19" s="189">
        <f t="shared" si="0"/>
        <v>5789746.227663555</v>
      </c>
      <c r="F19" s="19">
        <v>-8695</v>
      </c>
      <c r="G19" s="19"/>
      <c r="H19" s="19"/>
      <c r="I19" s="19"/>
      <c r="J19" s="189">
        <f t="shared" si="1"/>
        <v>5781051.227663555</v>
      </c>
    </row>
    <row r="20" spans="1:10" ht="10.5">
      <c r="A20" s="12">
        <f t="shared" si="2"/>
        <v>15</v>
      </c>
      <c r="B20" s="2" t="s">
        <v>27</v>
      </c>
      <c r="C20" s="19">
        <v>1995593</v>
      </c>
      <c r="D20" s="19"/>
      <c r="E20" s="19">
        <f t="shared" si="0"/>
        <v>1995593</v>
      </c>
      <c r="F20" s="19"/>
      <c r="G20" s="19"/>
      <c r="H20" s="19"/>
      <c r="I20" s="19"/>
      <c r="J20" s="19">
        <f t="shared" si="1"/>
        <v>1995593</v>
      </c>
    </row>
    <row r="21" spans="1:10" ht="10.5">
      <c r="A21" s="12">
        <v>16</v>
      </c>
      <c r="B21" s="2" t="s">
        <v>30</v>
      </c>
      <c r="C21" s="19">
        <v>2865765</v>
      </c>
      <c r="D21" s="19"/>
      <c r="E21" s="19">
        <f>C21+D21</f>
        <v>2865765</v>
      </c>
      <c r="F21" s="19">
        <v>204</v>
      </c>
      <c r="G21" s="19"/>
      <c r="H21" s="19"/>
      <c r="I21" s="19"/>
      <c r="J21" s="19">
        <f>SUM(E21:I21)</f>
        <v>2865969</v>
      </c>
    </row>
    <row r="22" spans="1:10" ht="10.5">
      <c r="A22" s="12">
        <v>17</v>
      </c>
      <c r="B22" s="2" t="s">
        <v>28</v>
      </c>
      <c r="C22" s="19">
        <v>42001</v>
      </c>
      <c r="D22" s="19"/>
      <c r="E22" s="19">
        <f t="shared" si="0"/>
        <v>42001</v>
      </c>
      <c r="F22" s="19"/>
      <c r="G22" s="19"/>
      <c r="H22" s="19"/>
      <c r="I22" s="19"/>
      <c r="J22" s="19">
        <f t="shared" si="1"/>
        <v>42001</v>
      </c>
    </row>
    <row r="23" spans="1:10" ht="10.5">
      <c r="A23" s="12">
        <v>18</v>
      </c>
      <c r="B23" s="2" t="s">
        <v>79</v>
      </c>
      <c r="C23" s="19">
        <v>9146653</v>
      </c>
      <c r="D23" s="19"/>
      <c r="E23" s="19">
        <f>C23+D23</f>
        <v>9146653</v>
      </c>
      <c r="F23" s="19"/>
      <c r="G23" s="19"/>
      <c r="H23" s="19"/>
      <c r="I23" s="19"/>
      <c r="J23" s="19">
        <f>SUM(E23:I23)</f>
        <v>9146653</v>
      </c>
    </row>
    <row r="24" spans="1:10" ht="10.5">
      <c r="A24" s="12">
        <v>19</v>
      </c>
      <c r="B24" s="2" t="s">
        <v>29</v>
      </c>
      <c r="C24" s="19">
        <v>68331</v>
      </c>
      <c r="D24" s="19"/>
      <c r="E24" s="19">
        <f t="shared" si="0"/>
        <v>68331</v>
      </c>
      <c r="F24" s="19"/>
      <c r="G24" s="19"/>
      <c r="H24" s="19"/>
      <c r="I24" s="19"/>
      <c r="J24" s="19">
        <f t="shared" si="1"/>
        <v>68331</v>
      </c>
    </row>
    <row r="25" spans="1:10" ht="10.5">
      <c r="A25" s="12">
        <v>20</v>
      </c>
      <c r="B25" s="2" t="s">
        <v>32</v>
      </c>
      <c r="C25" s="19">
        <v>3149395</v>
      </c>
      <c r="D25" s="19"/>
      <c r="E25" s="19">
        <f t="shared" si="0"/>
        <v>3149395</v>
      </c>
      <c r="F25" s="19"/>
      <c r="G25" s="19"/>
      <c r="H25" s="19"/>
      <c r="I25" s="19"/>
      <c r="J25" s="19">
        <f t="shared" si="1"/>
        <v>3149395</v>
      </c>
    </row>
    <row r="26" spans="2:10" ht="10.5">
      <c r="B26" s="2" t="s">
        <v>67</v>
      </c>
      <c r="C26" s="189">
        <f aca="true" t="shared" si="3" ref="C26:J26">SUM(C8:C25)</f>
        <v>78510210.16168642</v>
      </c>
      <c r="D26" s="189">
        <f t="shared" si="3"/>
        <v>77772</v>
      </c>
      <c r="E26" s="189">
        <f t="shared" si="3"/>
        <v>78587982.16168642</v>
      </c>
      <c r="F26" s="19">
        <f t="shared" si="3"/>
        <v>-219518</v>
      </c>
      <c r="G26" s="19">
        <f t="shared" si="3"/>
        <v>0</v>
      </c>
      <c r="H26" s="19">
        <f t="shared" si="3"/>
        <v>0</v>
      </c>
      <c r="I26" s="19">
        <f t="shared" si="3"/>
        <v>0</v>
      </c>
      <c r="J26" s="189">
        <f t="shared" si="3"/>
        <v>78368464.16168642</v>
      </c>
    </row>
    <row r="27" spans="2:10" ht="10.5">
      <c r="B27" t="s">
        <v>68</v>
      </c>
      <c r="C27" s="20">
        <v>0</v>
      </c>
      <c r="D27" s="20">
        <v>0</v>
      </c>
      <c r="E27" s="20">
        <v>0</v>
      </c>
      <c r="F27" s="20">
        <v>18802</v>
      </c>
      <c r="G27" s="20">
        <v>0</v>
      </c>
      <c r="H27" s="20">
        <v>0</v>
      </c>
      <c r="I27" s="20">
        <v>0</v>
      </c>
      <c r="J27" s="19">
        <f>SUM(E27:H27)</f>
        <v>18802</v>
      </c>
    </row>
    <row r="28" spans="2:10" ht="10.5">
      <c r="B28" t="s">
        <v>69</v>
      </c>
      <c r="C28" s="190">
        <f>C26+C27</f>
        <v>78510210.16168642</v>
      </c>
      <c r="D28" s="190">
        <f aca="true" t="shared" si="4" ref="D28:I28">D26+D27</f>
        <v>77772</v>
      </c>
      <c r="E28" s="190">
        <f t="shared" si="4"/>
        <v>78587982.16168642</v>
      </c>
      <c r="F28" s="20">
        <f t="shared" si="4"/>
        <v>-200716</v>
      </c>
      <c r="G28" s="20">
        <f t="shared" si="4"/>
        <v>0</v>
      </c>
      <c r="H28" s="20">
        <f t="shared" si="4"/>
        <v>0</v>
      </c>
      <c r="I28" s="20">
        <f t="shared" si="4"/>
        <v>0</v>
      </c>
      <c r="J28" s="189">
        <f>SUM(E28:H28)</f>
        <v>78387266.16168642</v>
      </c>
    </row>
    <row r="29" spans="3:10" ht="10.5">
      <c r="C29" s="20"/>
      <c r="D29" s="20"/>
      <c r="E29" s="20"/>
      <c r="F29" s="20"/>
      <c r="G29" s="20"/>
      <c r="H29" s="20"/>
      <c r="I29" s="20"/>
      <c r="J29" s="20">
        <f>J26+J27</f>
        <v>78387266.16168642</v>
      </c>
    </row>
    <row r="32" spans="2:10" ht="10.5">
      <c r="B32" s="18"/>
      <c r="C32" s="127" t="s">
        <v>194</v>
      </c>
      <c r="D32" s="5" t="s">
        <v>61</v>
      </c>
      <c r="E32" s="5" t="s">
        <v>62</v>
      </c>
      <c r="F32" s="5" t="s">
        <v>71</v>
      </c>
      <c r="G32" s="5"/>
      <c r="H32" s="7"/>
      <c r="I32" s="5"/>
      <c r="J32" s="5" t="s">
        <v>62</v>
      </c>
    </row>
    <row r="33" spans="2:10" ht="10.5">
      <c r="B33" s="18"/>
      <c r="C33" s="5" t="s">
        <v>63</v>
      </c>
      <c r="D33" s="5" t="s">
        <v>64</v>
      </c>
      <c r="E33" s="5" t="s">
        <v>65</v>
      </c>
      <c r="F33" s="5" t="s">
        <v>64</v>
      </c>
      <c r="G33" s="5"/>
      <c r="H33" s="5"/>
      <c r="I33" s="5" t="s">
        <v>66</v>
      </c>
      <c r="J33" s="5" t="s">
        <v>65</v>
      </c>
    </row>
    <row r="34" spans="1:10" ht="10.5">
      <c r="A34" s="12">
        <v>1</v>
      </c>
      <c r="B34" s="2" t="s">
        <v>14</v>
      </c>
      <c r="C34" s="179">
        <v>2468028.4721940155</v>
      </c>
      <c r="D34" s="179"/>
      <c r="E34" s="179">
        <f>C34+D34</f>
        <v>2468028.4721940155</v>
      </c>
      <c r="F34" s="179"/>
      <c r="G34" s="179"/>
      <c r="H34" s="179"/>
      <c r="I34" s="179"/>
      <c r="J34" s="179">
        <f>SUM(E34:I34)</f>
        <v>2468028.4721940155</v>
      </c>
    </row>
    <row r="35" spans="1:10" ht="10.5">
      <c r="A35" s="12">
        <f>A34+1</f>
        <v>2</v>
      </c>
      <c r="B35" s="2" t="s">
        <v>15</v>
      </c>
      <c r="C35" s="179">
        <v>4418969.4921053685</v>
      </c>
      <c r="D35" s="179"/>
      <c r="E35" s="179">
        <f aca="true" t="shared" si="5" ref="E35:E51">C35+D35</f>
        <v>4418969.4921053685</v>
      </c>
      <c r="F35" s="179">
        <v>-18350.319703147434</v>
      </c>
      <c r="G35" s="179"/>
      <c r="H35" s="179"/>
      <c r="I35" s="179"/>
      <c r="J35" s="179">
        <f aca="true" t="shared" si="6" ref="J35:J51">SUM(E35:I35)</f>
        <v>4400619.172402221</v>
      </c>
    </row>
    <row r="36" spans="1:10" ht="10.5">
      <c r="A36" s="12">
        <f>A35+1</f>
        <v>3</v>
      </c>
      <c r="B36" s="2" t="s">
        <v>16</v>
      </c>
      <c r="C36" s="189">
        <v>18450185.288095202</v>
      </c>
      <c r="D36" s="189">
        <v>42751</v>
      </c>
      <c r="E36" s="189">
        <f t="shared" si="5"/>
        <v>18492936.288095202</v>
      </c>
      <c r="F36" s="179">
        <v>-111900.19893093707</v>
      </c>
      <c r="G36" s="179"/>
      <c r="H36" s="179"/>
      <c r="I36" s="179"/>
      <c r="J36" s="189">
        <f t="shared" si="6"/>
        <v>18381036.089164265</v>
      </c>
    </row>
    <row r="37" spans="1:10" ht="10.5">
      <c r="A37" s="12">
        <f>A36+1</f>
        <v>4</v>
      </c>
      <c r="B37" s="2" t="s">
        <v>17</v>
      </c>
      <c r="C37" s="179">
        <v>6672.729518720016</v>
      </c>
      <c r="D37" s="179"/>
      <c r="E37" s="179">
        <f t="shared" si="5"/>
        <v>6672.729518720016</v>
      </c>
      <c r="F37" s="179"/>
      <c r="G37" s="179"/>
      <c r="H37" s="179"/>
      <c r="I37" s="179"/>
      <c r="J37" s="179">
        <f t="shared" si="6"/>
        <v>6672.729518720016</v>
      </c>
    </row>
    <row r="38" spans="1:11" ht="10.5">
      <c r="A38" s="12" t="s">
        <v>41</v>
      </c>
      <c r="B38" s="2" t="s">
        <v>18</v>
      </c>
      <c r="C38" s="179">
        <v>16905887.744319685</v>
      </c>
      <c r="D38" s="179">
        <v>763.4495372765309</v>
      </c>
      <c r="E38" s="179">
        <f t="shared" si="5"/>
        <v>16906651.193856962</v>
      </c>
      <c r="F38" s="179">
        <v>-57709.818981530065</v>
      </c>
      <c r="G38" s="179"/>
      <c r="H38" s="179"/>
      <c r="I38" s="179"/>
      <c r="J38" s="179">
        <f t="shared" si="6"/>
        <v>16848941.374875434</v>
      </c>
      <c r="K38" s="179"/>
    </row>
    <row r="39" spans="1:10" ht="10.5">
      <c r="A39" s="12">
        <v>8</v>
      </c>
      <c r="B39" s="2" t="s">
        <v>20</v>
      </c>
      <c r="C39" s="179">
        <v>665226.5767458475</v>
      </c>
      <c r="D39" s="179"/>
      <c r="E39" s="179">
        <f t="shared" si="5"/>
        <v>665226.5767458475</v>
      </c>
      <c r="F39" s="179">
        <v>-3415.6884656480784</v>
      </c>
      <c r="G39" s="179"/>
      <c r="H39" s="179"/>
      <c r="I39" s="179"/>
      <c r="J39" s="179">
        <f t="shared" si="6"/>
        <v>661810.8882801994</v>
      </c>
    </row>
    <row r="40" spans="1:10" ht="10.5">
      <c r="A40" s="12">
        <f aca="true" t="shared" si="7" ref="A40:A46">A39+1</f>
        <v>9</v>
      </c>
      <c r="B40" s="2" t="s">
        <v>21</v>
      </c>
      <c r="D40" s="179"/>
      <c r="E40" s="179">
        <f t="shared" si="5"/>
        <v>0</v>
      </c>
      <c r="F40" s="179"/>
      <c r="G40" s="179"/>
      <c r="H40" s="179"/>
      <c r="I40" s="179"/>
      <c r="J40" s="179">
        <f t="shared" si="6"/>
        <v>0</v>
      </c>
    </row>
    <row r="41" spans="1:10" ht="10.5">
      <c r="A41" s="12">
        <f t="shared" si="7"/>
        <v>10</v>
      </c>
      <c r="B41" s="2" t="s">
        <v>22</v>
      </c>
      <c r="C41" s="179">
        <v>6445664.540580758</v>
      </c>
      <c r="D41" s="179"/>
      <c r="E41" s="179">
        <f t="shared" si="5"/>
        <v>6445664.540580758</v>
      </c>
      <c r="F41" s="179">
        <v>-26177.828745542894</v>
      </c>
      <c r="G41" s="179"/>
      <c r="H41" s="179"/>
      <c r="I41" s="179"/>
      <c r="J41" s="179">
        <f t="shared" si="6"/>
        <v>6419486.711835215</v>
      </c>
    </row>
    <row r="42" spans="1:10" ht="10.5">
      <c r="A42" s="12">
        <f t="shared" si="7"/>
        <v>11</v>
      </c>
      <c r="B42" s="2" t="s">
        <v>23</v>
      </c>
      <c r="C42" s="179">
        <v>3509787.7070189505</v>
      </c>
      <c r="D42" s="179"/>
      <c r="E42" s="179">
        <f t="shared" si="5"/>
        <v>3509787.7070189505</v>
      </c>
      <c r="F42" s="179">
        <v>-11906.688384415087</v>
      </c>
      <c r="G42" s="179"/>
      <c r="H42" s="179"/>
      <c r="I42" s="179"/>
      <c r="J42" s="179">
        <f t="shared" si="6"/>
        <v>3497881.0186345354</v>
      </c>
    </row>
    <row r="43" spans="1:10" ht="10.5">
      <c r="A43" s="12">
        <f t="shared" si="7"/>
        <v>12</v>
      </c>
      <c r="B43" s="2" t="s">
        <v>24</v>
      </c>
      <c r="C43" s="179">
        <v>1144163.4472690728</v>
      </c>
      <c r="D43" s="179"/>
      <c r="E43" s="179">
        <f t="shared" si="5"/>
        <v>1144163.4472690728</v>
      </c>
      <c r="F43" s="179"/>
      <c r="G43" s="179"/>
      <c r="H43" s="179"/>
      <c r="I43" s="179"/>
      <c r="J43" s="179">
        <f t="shared" si="6"/>
        <v>1144163.4472690728</v>
      </c>
    </row>
    <row r="44" spans="1:10" ht="10.5">
      <c r="A44" s="12">
        <f t="shared" si="7"/>
        <v>13</v>
      </c>
      <c r="B44" s="2" t="s">
        <v>25</v>
      </c>
      <c r="C44" s="179">
        <v>369563.9743536462</v>
      </c>
      <c r="D44" s="179"/>
      <c r="E44" s="179">
        <f t="shared" si="5"/>
        <v>369563.9743536462</v>
      </c>
      <c r="F44" s="179"/>
      <c r="G44" s="179"/>
      <c r="H44" s="179"/>
      <c r="I44" s="179"/>
      <c r="J44" s="179">
        <f t="shared" si="6"/>
        <v>369563.9743536462</v>
      </c>
    </row>
    <row r="45" spans="1:10" ht="10.5">
      <c r="A45" s="12">
        <f t="shared" si="7"/>
        <v>14</v>
      </c>
      <c r="B45" s="2" t="s">
        <v>26</v>
      </c>
      <c r="C45" s="189">
        <v>5426885.94572183</v>
      </c>
      <c r="D45" s="179"/>
      <c r="E45" s="179">
        <f t="shared" si="5"/>
        <v>5426885.94572183</v>
      </c>
      <c r="F45" s="179">
        <v>-28517.765137256563</v>
      </c>
      <c r="G45" s="179"/>
      <c r="H45" s="179"/>
      <c r="I45" s="179"/>
      <c r="J45" s="189">
        <f t="shared" si="6"/>
        <v>5398368.180584574</v>
      </c>
    </row>
    <row r="46" spans="1:10" ht="10.5">
      <c r="A46" s="12">
        <f t="shared" si="7"/>
        <v>15</v>
      </c>
      <c r="B46" s="2" t="s">
        <v>27</v>
      </c>
      <c r="C46" s="179">
        <v>1995593.1762843037</v>
      </c>
      <c r="D46" s="179"/>
      <c r="E46" s="179">
        <f t="shared" si="5"/>
        <v>1995593.1762843037</v>
      </c>
      <c r="F46" s="179"/>
      <c r="G46" s="179"/>
      <c r="H46" s="179"/>
      <c r="I46" s="179"/>
      <c r="J46" s="179">
        <f t="shared" si="6"/>
        <v>1995593.1762843037</v>
      </c>
    </row>
    <row r="47" spans="1:10" ht="10.5">
      <c r="A47" s="12">
        <v>16</v>
      </c>
      <c r="B47" s="2" t="s">
        <v>30</v>
      </c>
      <c r="C47" s="179">
        <v>2832701.7629608023</v>
      </c>
      <c r="D47" s="179"/>
      <c r="E47" s="179">
        <f>C47+D47</f>
        <v>2832701.7629608023</v>
      </c>
      <c r="F47" s="179">
        <v>174.99678563527277</v>
      </c>
      <c r="G47" s="179"/>
      <c r="H47" s="179"/>
      <c r="I47" s="179"/>
      <c r="J47" s="179">
        <f>SUM(E47:I47)</f>
        <v>2832876.7597464374</v>
      </c>
    </row>
    <row r="48" spans="1:10" ht="10.5">
      <c r="A48" s="12">
        <v>17</v>
      </c>
      <c r="B48" s="2" t="s">
        <v>28</v>
      </c>
      <c r="C48" s="179">
        <v>42000.88125553828</v>
      </c>
      <c r="D48" s="179"/>
      <c r="E48" s="179">
        <f t="shared" si="5"/>
        <v>42000.88125553828</v>
      </c>
      <c r="F48" s="179"/>
      <c r="G48" s="179"/>
      <c r="H48" s="179"/>
      <c r="I48" s="179"/>
      <c r="J48" s="179">
        <f t="shared" si="6"/>
        <v>42000.88125553828</v>
      </c>
    </row>
    <row r="49" spans="1:10" ht="10.5">
      <c r="A49" s="12">
        <v>18</v>
      </c>
      <c r="B49" s="2" t="s">
        <v>79</v>
      </c>
      <c r="C49" s="179">
        <v>9146652.908947544</v>
      </c>
      <c r="D49" s="179"/>
      <c r="E49" s="179">
        <f>C49+D49</f>
        <v>9146652.908947544</v>
      </c>
      <c r="F49" s="179"/>
      <c r="G49" s="179"/>
      <c r="H49" s="179"/>
      <c r="I49" s="179"/>
      <c r="J49" s="179">
        <f>SUM(E49:I49)</f>
        <v>9146652.908947544</v>
      </c>
    </row>
    <row r="50" spans="1:10" ht="10.5">
      <c r="A50" s="12">
        <v>19</v>
      </c>
      <c r="B50" s="2" t="s">
        <v>29</v>
      </c>
      <c r="C50" s="179">
        <v>68331.40353857834</v>
      </c>
      <c r="D50" s="179"/>
      <c r="E50" s="179">
        <f t="shared" si="5"/>
        <v>68331.40353857834</v>
      </c>
      <c r="F50" s="179"/>
      <c r="G50" s="179"/>
      <c r="H50" s="179"/>
      <c r="I50" s="179"/>
      <c r="J50" s="179">
        <f t="shared" si="6"/>
        <v>68331.40353857834</v>
      </c>
    </row>
    <row r="51" spans="1:10" ht="10.5">
      <c r="A51" s="12">
        <v>20</v>
      </c>
      <c r="B51" s="2" t="s">
        <v>32</v>
      </c>
      <c r="C51" s="179">
        <v>3064789.2268108674</v>
      </c>
      <c r="D51" s="179"/>
      <c r="E51" s="179">
        <f t="shared" si="5"/>
        <v>3064789.2268108674</v>
      </c>
      <c r="F51" s="179"/>
      <c r="G51" s="179"/>
      <c r="H51" s="179"/>
      <c r="I51" s="179"/>
      <c r="J51" s="179">
        <f t="shared" si="6"/>
        <v>3064789.2268108674</v>
      </c>
    </row>
    <row r="52" spans="2:10" ht="10.5">
      <c r="B52" s="2" t="s">
        <v>67</v>
      </c>
      <c r="C52" s="189">
        <f>SUM(C34:C51)</f>
        <v>76961105.27772073</v>
      </c>
      <c r="D52" s="189">
        <f aca="true" t="shared" si="8" ref="D52:J52">SUM(D34:D51)</f>
        <v>43514.44953727653</v>
      </c>
      <c r="E52" s="189">
        <f t="shared" si="8"/>
        <v>77004619.72725801</v>
      </c>
      <c r="F52" s="179">
        <f t="shared" si="8"/>
        <v>-257803.3115628419</v>
      </c>
      <c r="G52" s="179">
        <f t="shared" si="8"/>
        <v>0</v>
      </c>
      <c r="H52" s="179">
        <f t="shared" si="8"/>
        <v>0</v>
      </c>
      <c r="I52" s="179">
        <f t="shared" si="8"/>
        <v>0</v>
      </c>
      <c r="J52" s="189">
        <f t="shared" si="8"/>
        <v>76746816.41569518</v>
      </c>
    </row>
    <row r="53" spans="2:10" ht="10.5">
      <c r="B53" t="s">
        <v>68</v>
      </c>
      <c r="C53" s="180">
        <v>0</v>
      </c>
      <c r="D53" s="180">
        <v>0</v>
      </c>
      <c r="E53" s="180">
        <v>0</v>
      </c>
      <c r="F53" s="180">
        <v>-3640.0567834839567</v>
      </c>
      <c r="G53" s="180">
        <v>0</v>
      </c>
      <c r="H53" s="180">
        <v>0</v>
      </c>
      <c r="I53" s="180">
        <v>0</v>
      </c>
      <c r="J53" s="179">
        <f>SUM(E53:H53)</f>
        <v>-3640.0567834839567</v>
      </c>
    </row>
    <row r="54" spans="2:10" ht="10.5">
      <c r="B54" t="s">
        <v>69</v>
      </c>
      <c r="C54" s="190">
        <f aca="true" t="shared" si="9" ref="C54:I54">C52+C53</f>
        <v>76961105.27772073</v>
      </c>
      <c r="D54" s="190">
        <f t="shared" si="9"/>
        <v>43514.44953727653</v>
      </c>
      <c r="E54" s="190">
        <f t="shared" si="9"/>
        <v>77004619.72725801</v>
      </c>
      <c r="F54" s="180">
        <f t="shared" si="9"/>
        <v>-261443.36834632585</v>
      </c>
      <c r="G54" s="180">
        <f t="shared" si="9"/>
        <v>0</v>
      </c>
      <c r="H54" s="180">
        <f t="shared" si="9"/>
        <v>0</v>
      </c>
      <c r="I54" s="180">
        <f t="shared" si="9"/>
        <v>0</v>
      </c>
      <c r="J54" s="189">
        <f>SUM(E54:H54)</f>
        <v>76743176.3589117</v>
      </c>
    </row>
    <row r="55" spans="3:10" ht="10.5">
      <c r="C55" s="180"/>
      <c r="D55" s="180"/>
      <c r="E55" s="180"/>
      <c r="F55" s="180"/>
      <c r="G55" s="180"/>
      <c r="H55" s="180"/>
      <c r="I55" s="180"/>
      <c r="J55" s="180">
        <f>J52+J53</f>
        <v>76743176.3589117</v>
      </c>
    </row>
  </sheetData>
  <mergeCells count="1">
    <mergeCell ref="F5:I5"/>
  </mergeCells>
  <printOptions/>
  <pageMargins left="0.75" right="0.75" top="1" bottom="1" header="0.5" footer="0.5"/>
  <pageSetup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="75" zoomScaleNormal="75" workbookViewId="0" topLeftCell="B1">
      <selection activeCell="J5" sqref="J5"/>
    </sheetView>
  </sheetViews>
  <sheetFormatPr defaultColWidth="9.33203125" defaultRowHeight="10.5"/>
  <cols>
    <col min="1" max="1" width="9.5" style="0" bestFit="1" customWidth="1"/>
    <col min="2" max="2" width="57.33203125" style="0" bestFit="1" customWidth="1"/>
    <col min="3" max="3" width="12.33203125" style="0" bestFit="1" customWidth="1"/>
    <col min="4" max="4" width="10" style="0" bestFit="1" customWidth="1"/>
    <col min="5" max="5" width="12.16015625" style="0" bestFit="1" customWidth="1"/>
    <col min="6" max="6" width="10.66015625" style="0" bestFit="1" customWidth="1"/>
    <col min="7" max="7" width="8.83203125" style="0" customWidth="1"/>
    <col min="8" max="8" width="10.5" style="0" customWidth="1"/>
    <col min="9" max="9" width="8" style="0" customWidth="1"/>
    <col min="10" max="10" width="12.16015625" style="0" bestFit="1" customWidth="1"/>
  </cols>
  <sheetData>
    <row r="1" ht="10.5">
      <c r="J1" t="s">
        <v>76</v>
      </c>
    </row>
    <row r="2" ht="10.5">
      <c r="J2" t="s">
        <v>276</v>
      </c>
    </row>
    <row r="3" spans="2:10" ht="10.5">
      <c r="B3" s="7" t="s">
        <v>83</v>
      </c>
      <c r="C3" s="7"/>
      <c r="D3" s="7"/>
      <c r="E3" s="7"/>
      <c r="F3" s="7"/>
      <c r="G3" s="7"/>
      <c r="H3" s="7"/>
      <c r="I3" s="7"/>
      <c r="J3" s="7" t="s">
        <v>281</v>
      </c>
    </row>
    <row r="4" spans="2:10" ht="10.5">
      <c r="B4" s="7" t="s">
        <v>60</v>
      </c>
      <c r="C4" s="7"/>
      <c r="D4" s="7"/>
      <c r="E4" s="7"/>
      <c r="F4" s="7"/>
      <c r="G4" s="7"/>
      <c r="H4" s="7"/>
      <c r="I4" s="7"/>
      <c r="J4" s="7" t="s">
        <v>282</v>
      </c>
    </row>
    <row r="5" spans="2:9" ht="10.5">
      <c r="B5" s="18"/>
      <c r="F5" s="220" t="s">
        <v>1</v>
      </c>
      <c r="G5" s="220"/>
      <c r="H5" s="220"/>
      <c r="I5" s="220"/>
    </row>
    <row r="6" spans="2:10" ht="10.5">
      <c r="B6" s="18"/>
      <c r="C6" s="127" t="s">
        <v>272</v>
      </c>
      <c r="D6" s="5" t="s">
        <v>61</v>
      </c>
      <c r="E6" s="5" t="s">
        <v>62</v>
      </c>
      <c r="F6" s="5" t="s">
        <v>71</v>
      </c>
      <c r="G6" s="5"/>
      <c r="H6" s="7"/>
      <c r="I6" s="5"/>
      <c r="J6" s="5" t="s">
        <v>62</v>
      </c>
    </row>
    <row r="7" spans="2:10" ht="10.5">
      <c r="B7" s="18"/>
      <c r="C7" s="5" t="s">
        <v>63</v>
      </c>
      <c r="D7" s="5" t="s">
        <v>64</v>
      </c>
      <c r="E7" s="5" t="s">
        <v>65</v>
      </c>
      <c r="F7" s="5" t="s">
        <v>64</v>
      </c>
      <c r="G7" s="5"/>
      <c r="H7" s="5"/>
      <c r="I7" s="5" t="s">
        <v>66</v>
      </c>
      <c r="J7" s="5" t="s">
        <v>65</v>
      </c>
    </row>
    <row r="8" spans="1:10" ht="10.5">
      <c r="A8" s="12">
        <v>1</v>
      </c>
      <c r="B8" s="2" t="s">
        <v>14</v>
      </c>
      <c r="C8" s="19">
        <v>2359737.992856828</v>
      </c>
      <c r="D8" s="19"/>
      <c r="E8" s="19">
        <f>C8+D8</f>
        <v>2359737.992856828</v>
      </c>
      <c r="F8" s="19"/>
      <c r="G8" s="19"/>
      <c r="H8" s="19"/>
      <c r="I8" s="19"/>
      <c r="J8" s="19">
        <f>SUM(E8:I8)</f>
        <v>2359737.992856828</v>
      </c>
    </row>
    <row r="9" spans="1:10" ht="10.5">
      <c r="A9" s="12">
        <v>2</v>
      </c>
      <c r="B9" s="2" t="s">
        <v>15</v>
      </c>
      <c r="C9" s="19">
        <v>4347239.806163902</v>
      </c>
      <c r="D9" s="19"/>
      <c r="E9" s="19">
        <f aca="true" t="shared" si="0" ref="E9:E25">C9+D9</f>
        <v>4347239.806163902</v>
      </c>
      <c r="F9" s="19">
        <v>-13423.32127358938</v>
      </c>
      <c r="G9" s="19"/>
      <c r="H9" s="19"/>
      <c r="I9" s="19"/>
      <c r="J9" s="19">
        <f aca="true" t="shared" si="1" ref="J9:J27">SUM(E9:I9)</f>
        <v>4333816.484890313</v>
      </c>
    </row>
    <row r="10" spans="1:10" ht="10.5">
      <c r="A10" s="12">
        <v>3</v>
      </c>
      <c r="B10" s="2" t="s">
        <v>16</v>
      </c>
      <c r="C10" s="189">
        <v>18604680.044606872</v>
      </c>
      <c r="D10" s="189">
        <v>281755</v>
      </c>
      <c r="E10" s="189">
        <f t="shared" si="0"/>
        <v>18886435.044606872</v>
      </c>
      <c r="F10" s="19">
        <v>-85786.6313485551</v>
      </c>
      <c r="G10" s="19"/>
      <c r="H10" s="19"/>
      <c r="I10" s="19"/>
      <c r="J10" s="189">
        <f t="shared" si="1"/>
        <v>18800648.413258318</v>
      </c>
    </row>
    <row r="11" spans="1:10" ht="10.5">
      <c r="A11" s="12">
        <v>4</v>
      </c>
      <c r="B11" s="2" t="s">
        <v>17</v>
      </c>
      <c r="C11" s="19">
        <v>6493.578413721154</v>
      </c>
      <c r="D11" s="19"/>
      <c r="E11" s="19">
        <f t="shared" si="0"/>
        <v>6493.578413721154</v>
      </c>
      <c r="F11" s="19"/>
      <c r="G11" s="19"/>
      <c r="H11" s="19"/>
      <c r="I11" s="19"/>
      <c r="J11" s="19">
        <f t="shared" si="1"/>
        <v>6493.578413721154</v>
      </c>
    </row>
    <row r="12" spans="1:10" ht="10.5">
      <c r="A12" s="12" t="s">
        <v>41</v>
      </c>
      <c r="B12" s="2" t="s">
        <v>18</v>
      </c>
      <c r="C12" s="19">
        <v>16638592.517181661</v>
      </c>
      <c r="D12" s="19">
        <v>724</v>
      </c>
      <c r="E12" s="19">
        <f t="shared" si="0"/>
        <v>16639316.517181661</v>
      </c>
      <c r="F12" s="19">
        <v>-38625.77835481889</v>
      </c>
      <c r="G12" s="19"/>
      <c r="H12" s="19"/>
      <c r="I12" s="19"/>
      <c r="J12" s="19">
        <f t="shared" si="1"/>
        <v>16600690.738826843</v>
      </c>
    </row>
    <row r="13" spans="1:10" ht="10.5">
      <c r="A13" s="12">
        <v>8</v>
      </c>
      <c r="B13" s="2" t="s">
        <v>20</v>
      </c>
      <c r="C13" s="19">
        <v>653136.1370644915</v>
      </c>
      <c r="D13" s="19"/>
      <c r="E13" s="19">
        <f t="shared" si="0"/>
        <v>653136.1370644915</v>
      </c>
      <c r="F13" s="19">
        <v>-1994.731828058731</v>
      </c>
      <c r="G13" s="19"/>
      <c r="H13" s="19"/>
      <c r="I13" s="19"/>
      <c r="J13" s="19">
        <f t="shared" si="1"/>
        <v>651141.4052364328</v>
      </c>
    </row>
    <row r="14" spans="1:10" ht="10.5">
      <c r="A14" s="12">
        <v>9</v>
      </c>
      <c r="B14" s="2" t="s">
        <v>21</v>
      </c>
      <c r="C14" s="19"/>
      <c r="D14" s="19"/>
      <c r="E14" s="19">
        <f t="shared" si="0"/>
        <v>0</v>
      </c>
      <c r="F14" s="19"/>
      <c r="G14" s="19"/>
      <c r="H14" s="19"/>
      <c r="I14" s="19"/>
      <c r="J14" s="19">
        <f t="shared" si="1"/>
        <v>0</v>
      </c>
    </row>
    <row r="15" spans="1:10" ht="10.5">
      <c r="A15" s="12">
        <v>10</v>
      </c>
      <c r="B15" s="2" t="s">
        <v>22</v>
      </c>
      <c r="C15" s="19">
        <v>6221758.483231426</v>
      </c>
      <c r="D15" s="19"/>
      <c r="E15" s="19">
        <f t="shared" si="0"/>
        <v>6221758.483231426</v>
      </c>
      <c r="F15" s="19">
        <v>-15305.32008343935</v>
      </c>
      <c r="G15" s="19"/>
      <c r="H15" s="19"/>
      <c r="I15" s="19"/>
      <c r="J15" s="19">
        <f t="shared" si="1"/>
        <v>6206453.163147987</v>
      </c>
    </row>
    <row r="16" spans="1:10" ht="10.5">
      <c r="A16" s="12">
        <v>11</v>
      </c>
      <c r="B16" s="2" t="s">
        <v>23</v>
      </c>
      <c r="C16" s="19">
        <v>3400538.0900484794</v>
      </c>
      <c r="D16" s="19"/>
      <c r="E16" s="19">
        <f t="shared" si="0"/>
        <v>3400538.0900484794</v>
      </c>
      <c r="F16" s="19">
        <v>-9030.287108511257</v>
      </c>
      <c r="G16" s="19"/>
      <c r="H16" s="19"/>
      <c r="I16" s="19"/>
      <c r="J16" s="19">
        <f t="shared" si="1"/>
        <v>3391507.802939968</v>
      </c>
    </row>
    <row r="17" spans="1:10" ht="10.5">
      <c r="A17" s="12">
        <v>12</v>
      </c>
      <c r="B17" s="2" t="s">
        <v>24</v>
      </c>
      <c r="C17" s="19">
        <v>1105555.12977111</v>
      </c>
      <c r="D17" s="19"/>
      <c r="E17" s="19">
        <f t="shared" si="0"/>
        <v>1105555.12977111</v>
      </c>
      <c r="F17" s="19"/>
      <c r="G17" s="19"/>
      <c r="H17" s="19"/>
      <c r="I17" s="19"/>
      <c r="J17" s="19">
        <f t="shared" si="1"/>
        <v>1105555.12977111</v>
      </c>
    </row>
    <row r="18" spans="1:10" ht="10.5">
      <c r="A18" s="12">
        <v>13</v>
      </c>
      <c r="B18" s="2" t="s">
        <v>25</v>
      </c>
      <c r="C18" s="19">
        <v>353861.2681866959</v>
      </c>
      <c r="D18" s="19"/>
      <c r="E18" s="19">
        <f t="shared" si="0"/>
        <v>353861.2681866959</v>
      </c>
      <c r="F18" s="19"/>
      <c r="G18" s="19"/>
      <c r="H18" s="19"/>
      <c r="I18" s="19"/>
      <c r="J18" s="19">
        <f t="shared" si="1"/>
        <v>353861.2681866959</v>
      </c>
    </row>
    <row r="19" spans="1:10" ht="10.5">
      <c r="A19" s="12">
        <v>14</v>
      </c>
      <c r="B19" s="2" t="s">
        <v>26</v>
      </c>
      <c r="C19" s="189">
        <v>5608849.632986894</v>
      </c>
      <c r="D19" s="19"/>
      <c r="E19" s="189">
        <f t="shared" si="0"/>
        <v>5608849.632986894</v>
      </c>
      <c r="F19" s="19">
        <v>3053.0833493593314</v>
      </c>
      <c r="G19" s="19"/>
      <c r="H19" s="19"/>
      <c r="I19" s="19"/>
      <c r="J19" s="189">
        <f t="shared" si="1"/>
        <v>5611902.716336253</v>
      </c>
    </row>
    <row r="20" spans="1:10" ht="10.5">
      <c r="A20" s="12">
        <v>15</v>
      </c>
      <c r="B20" s="2" t="s">
        <v>27</v>
      </c>
      <c r="C20" s="19">
        <v>1980133.571656374</v>
      </c>
      <c r="D20" s="19"/>
      <c r="E20" s="19">
        <f t="shared" si="0"/>
        <v>1980133.571656374</v>
      </c>
      <c r="F20" s="19"/>
      <c r="G20" s="19"/>
      <c r="H20" s="19"/>
      <c r="I20" s="19"/>
      <c r="J20" s="19">
        <f t="shared" si="1"/>
        <v>1980133.571656374</v>
      </c>
    </row>
    <row r="21" spans="1:10" ht="10.5">
      <c r="A21" s="12">
        <v>16</v>
      </c>
      <c r="B21" s="2" t="s">
        <v>30</v>
      </c>
      <c r="C21" s="19">
        <v>2883404.473930134</v>
      </c>
      <c r="D21" s="19"/>
      <c r="E21" s="19">
        <f t="shared" si="0"/>
        <v>2883404.473930134</v>
      </c>
      <c r="F21" s="19">
        <v>173.3155545528566</v>
      </c>
      <c r="G21" s="19"/>
      <c r="H21" s="19"/>
      <c r="I21" s="19"/>
      <c r="J21" s="19">
        <f t="shared" si="1"/>
        <v>2883577.7894846867</v>
      </c>
    </row>
    <row r="22" spans="1:10" ht="10.5">
      <c r="A22" s="12">
        <v>17</v>
      </c>
      <c r="B22" s="2" t="s">
        <v>28</v>
      </c>
      <c r="C22" s="19">
        <v>42000.88125553828</v>
      </c>
      <c r="D22" s="19"/>
      <c r="E22" s="19">
        <f t="shared" si="0"/>
        <v>42000.88125553828</v>
      </c>
      <c r="F22" s="19"/>
      <c r="G22" s="19"/>
      <c r="H22" s="19"/>
      <c r="I22" s="19"/>
      <c r="J22" s="19">
        <f t="shared" si="1"/>
        <v>42000.88125553828</v>
      </c>
    </row>
    <row r="23" spans="1:10" ht="10.5">
      <c r="A23" s="12">
        <v>18</v>
      </c>
      <c r="B23" s="2" t="s">
        <v>79</v>
      </c>
      <c r="C23" s="19">
        <v>8437586.57961078</v>
      </c>
      <c r="D23" s="19"/>
      <c r="E23" s="19">
        <f t="shared" si="0"/>
        <v>8437586.57961078</v>
      </c>
      <c r="F23" s="19"/>
      <c r="G23" s="19"/>
      <c r="H23" s="19"/>
      <c r="I23" s="19"/>
      <c r="J23" s="19">
        <f t="shared" si="1"/>
        <v>8437586.57961078</v>
      </c>
    </row>
    <row r="24" spans="1:10" ht="10.5">
      <c r="A24" s="12">
        <v>19</v>
      </c>
      <c r="B24" s="2" t="s">
        <v>29</v>
      </c>
      <c r="C24" s="19">
        <v>67110.02206333248</v>
      </c>
      <c r="D24" s="19"/>
      <c r="E24" s="19">
        <f t="shared" si="0"/>
        <v>67110.02206333248</v>
      </c>
      <c r="F24" s="19"/>
      <c r="G24" s="19"/>
      <c r="H24" s="19"/>
      <c r="I24" s="19"/>
      <c r="J24" s="19">
        <f t="shared" si="1"/>
        <v>67110.02206333248</v>
      </c>
    </row>
    <row r="25" spans="1:10" ht="10.5">
      <c r="A25" s="12">
        <v>20</v>
      </c>
      <c r="B25" s="2" t="s">
        <v>32</v>
      </c>
      <c r="C25" s="19">
        <v>2828988.1915427526</v>
      </c>
      <c r="D25" s="19"/>
      <c r="E25" s="19">
        <f t="shared" si="0"/>
        <v>2828988.1915427526</v>
      </c>
      <c r="F25" s="19"/>
      <c r="G25" s="19"/>
      <c r="H25" s="19"/>
      <c r="I25" s="19"/>
      <c r="J25" s="19">
        <f t="shared" si="1"/>
        <v>2828988.1915427526</v>
      </c>
    </row>
    <row r="26" spans="2:10" ht="10.5">
      <c r="B26" s="2" t="s">
        <v>67</v>
      </c>
      <c r="C26" s="189">
        <f>SUM(C8:C25)</f>
        <v>75539666.400571</v>
      </c>
      <c r="D26" s="189">
        <f>SUM(D8:D25)</f>
        <v>282479</v>
      </c>
      <c r="E26" s="189">
        <f>SUM(E8:E25)</f>
        <v>75822145.400571</v>
      </c>
      <c r="F26" s="19">
        <f>SUM(F8:F25)</f>
        <v>-160939.6710930605</v>
      </c>
      <c r="G26" s="19">
        <v>0</v>
      </c>
      <c r="H26" s="19">
        <v>0</v>
      </c>
      <c r="I26" s="19">
        <v>0</v>
      </c>
      <c r="J26" s="189">
        <f>SUM(J8:J25)</f>
        <v>75661205.72947794</v>
      </c>
    </row>
    <row r="27" spans="2:10" ht="10.5">
      <c r="B27" t="s">
        <v>68</v>
      </c>
      <c r="C27" s="20"/>
      <c r="D27" s="20">
        <v>0</v>
      </c>
      <c r="E27" s="20">
        <v>0</v>
      </c>
      <c r="F27" s="20">
        <v>4335.183711337478</v>
      </c>
      <c r="G27" s="20">
        <v>0</v>
      </c>
      <c r="H27" s="20">
        <v>0</v>
      </c>
      <c r="I27" s="20">
        <v>0</v>
      </c>
      <c r="J27" s="19">
        <f t="shared" si="1"/>
        <v>4335.183711337478</v>
      </c>
    </row>
    <row r="28" spans="2:10" ht="10.5">
      <c r="B28" t="s">
        <v>69</v>
      </c>
      <c r="C28" s="190">
        <f>C26+C27</f>
        <v>75539666.400571</v>
      </c>
      <c r="D28" s="190">
        <f>D26+D27</f>
        <v>282479</v>
      </c>
      <c r="E28" s="190">
        <f>E26+E27</f>
        <v>75822145.400571</v>
      </c>
      <c r="F28" s="20">
        <f>F26+F27</f>
        <v>-156604.487381723</v>
      </c>
      <c r="G28" s="20">
        <v>0</v>
      </c>
      <c r="H28" s="20">
        <v>0</v>
      </c>
      <c r="I28" s="20">
        <v>0</v>
      </c>
      <c r="J28" s="190">
        <f>J26+J27</f>
        <v>75665540.91318928</v>
      </c>
    </row>
    <row r="29" spans="3:10" ht="10.5">
      <c r="C29" s="20"/>
      <c r="D29" s="20"/>
      <c r="E29" s="20"/>
      <c r="F29" s="20"/>
      <c r="G29" s="20"/>
      <c r="H29" s="20"/>
      <c r="I29" s="20"/>
      <c r="J29" s="20">
        <f>SUM(E28:I28)</f>
        <v>75665540.91318928</v>
      </c>
    </row>
  </sheetData>
  <mergeCells count="1">
    <mergeCell ref="F5:I5"/>
  </mergeCells>
  <printOptions/>
  <pageMargins left="0.75" right="0.75" top="1" bottom="1" header="0.5" footer="0.5"/>
  <pageSetup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C32"/>
  <sheetViews>
    <sheetView showGridLines="0" zoomScale="75" zoomScaleNormal="75" workbookViewId="0" topLeftCell="D1">
      <selection activeCell="L28" sqref="L28"/>
    </sheetView>
  </sheetViews>
  <sheetFormatPr defaultColWidth="9.33203125" defaultRowHeight="10.5"/>
  <cols>
    <col min="5" max="5" width="5.5" style="0" customWidth="1"/>
    <col min="6" max="6" width="19.5" style="0" customWidth="1"/>
    <col min="7" max="7" width="5.16015625" style="0" customWidth="1"/>
    <col min="8" max="8" width="19.5" style="0" customWidth="1"/>
    <col min="9" max="9" width="6.83203125" style="0" customWidth="1"/>
    <col min="10" max="10" width="19.5" style="0" customWidth="1"/>
    <col min="11" max="11" width="6.83203125" style="0" customWidth="1"/>
    <col min="12" max="12" width="17.83203125" style="0" customWidth="1"/>
    <col min="13" max="13" width="6.83203125" style="0" customWidth="1"/>
    <col min="14" max="14" width="19" style="0" bestFit="1" customWidth="1"/>
    <col min="15" max="15" width="6.83203125" style="0" customWidth="1"/>
    <col min="16" max="16" width="19.5" style="0" customWidth="1"/>
    <col min="17" max="17" width="6.5" style="0" customWidth="1"/>
  </cols>
  <sheetData>
    <row r="1" ht="15.75">
      <c r="P1" s="173" t="s">
        <v>284</v>
      </c>
    </row>
    <row r="2" spans="1:17" ht="15.75">
      <c r="A2" s="211" t="s">
        <v>239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</row>
    <row r="3" spans="1:17" ht="15.75">
      <c r="A3" s="213" t="s">
        <v>42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</row>
    <row r="11" spans="8:17" ht="15.75">
      <c r="H11" s="37"/>
      <c r="I11" s="37"/>
      <c r="J11" s="135"/>
      <c r="K11" s="135"/>
      <c r="L11" s="135"/>
      <c r="M11" s="135"/>
      <c r="N11" s="135">
        <v>2008</v>
      </c>
      <c r="O11" s="135"/>
      <c r="P11" s="135">
        <v>2008</v>
      </c>
      <c r="Q11" s="37"/>
    </row>
    <row r="12" spans="1:17" ht="15.75">
      <c r="A12" s="8" t="s">
        <v>43</v>
      </c>
      <c r="B12" s="6"/>
      <c r="C12" s="6"/>
      <c r="D12" s="6"/>
      <c r="E12" s="6"/>
      <c r="F12" s="8">
        <v>2005</v>
      </c>
      <c r="G12" s="8"/>
      <c r="H12" s="135">
        <v>2006</v>
      </c>
      <c r="I12" s="135"/>
      <c r="J12" s="135" t="s">
        <v>273</v>
      </c>
      <c r="K12" s="135"/>
      <c r="L12" s="135" t="s">
        <v>274</v>
      </c>
      <c r="M12" s="135"/>
      <c r="N12" s="135" t="s">
        <v>81</v>
      </c>
      <c r="O12" s="135"/>
      <c r="P12" s="135" t="s">
        <v>82</v>
      </c>
      <c r="Q12" s="37"/>
    </row>
    <row r="13" spans="1:17" ht="15.75">
      <c r="A13" s="8" t="s">
        <v>44</v>
      </c>
      <c r="B13" s="6" t="s">
        <v>45</v>
      </c>
      <c r="C13" s="6"/>
      <c r="D13" s="6"/>
      <c r="E13" s="6"/>
      <c r="F13" s="8" t="s">
        <v>46</v>
      </c>
      <c r="G13" s="8"/>
      <c r="H13" s="135" t="s">
        <v>47</v>
      </c>
      <c r="I13" s="135"/>
      <c r="J13" s="135" t="s">
        <v>47</v>
      </c>
      <c r="K13" s="135"/>
      <c r="L13" s="135" t="s">
        <v>47</v>
      </c>
      <c r="M13" s="135"/>
      <c r="N13" s="135" t="s">
        <v>47</v>
      </c>
      <c r="O13" s="135"/>
      <c r="P13" s="135" t="s">
        <v>47</v>
      </c>
      <c r="Q13" s="37"/>
    </row>
    <row r="14" spans="1:17" ht="15.75">
      <c r="A14" s="8"/>
      <c r="B14" s="6"/>
      <c r="C14" s="6"/>
      <c r="D14" s="6"/>
      <c r="E14" s="6"/>
      <c r="F14" s="8"/>
      <c r="G14" s="8"/>
      <c r="H14" s="135"/>
      <c r="I14" s="135"/>
      <c r="J14" s="135"/>
      <c r="K14" s="135"/>
      <c r="L14" s="135"/>
      <c r="M14" s="135"/>
      <c r="N14" s="135"/>
      <c r="O14" s="135"/>
      <c r="P14" s="135"/>
      <c r="Q14" s="37"/>
    </row>
    <row r="15" spans="1:17" ht="15.75">
      <c r="A15" s="8"/>
      <c r="B15" s="6"/>
      <c r="C15" s="6"/>
      <c r="D15" s="6"/>
      <c r="E15" s="6"/>
      <c r="F15" s="8"/>
      <c r="G15" s="8"/>
      <c r="H15" s="135"/>
      <c r="I15" s="135"/>
      <c r="J15" s="135"/>
      <c r="K15" s="135"/>
      <c r="L15" s="135"/>
      <c r="M15" s="135"/>
      <c r="N15" s="135"/>
      <c r="O15" s="135"/>
      <c r="P15" s="135"/>
      <c r="Q15" s="37"/>
    </row>
    <row r="16" spans="1:17" ht="15.75">
      <c r="A16" s="8"/>
      <c r="B16" s="6"/>
      <c r="C16" s="6"/>
      <c r="D16" s="6"/>
      <c r="E16" s="6"/>
      <c r="F16" s="8"/>
      <c r="G16" s="8"/>
      <c r="H16" s="135"/>
      <c r="I16" s="135"/>
      <c r="J16" s="135"/>
      <c r="K16" s="135"/>
      <c r="L16" s="135"/>
      <c r="M16" s="135"/>
      <c r="N16" s="135"/>
      <c r="O16" s="135"/>
      <c r="P16" s="135"/>
      <c r="Q16" s="37"/>
    </row>
    <row r="17" spans="1:29" ht="15.75">
      <c r="A17" s="8"/>
      <c r="B17" s="9"/>
      <c r="C17" s="9"/>
      <c r="D17" s="9"/>
      <c r="E17" s="9"/>
      <c r="F17" s="9"/>
      <c r="G17" s="9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1:29" ht="15.75">
      <c r="A18" s="8">
        <v>1</v>
      </c>
      <c r="B18" s="9" t="s">
        <v>48</v>
      </c>
      <c r="C18" s="9"/>
      <c r="D18" s="9"/>
      <c r="E18" s="9"/>
      <c r="F18" s="10">
        <f>98070.956</f>
        <v>98070.956</v>
      </c>
      <c r="G18" s="9"/>
      <c r="H18" s="137">
        <v>95866.06</v>
      </c>
      <c r="I18" s="181"/>
      <c r="J18" s="137">
        <v>93561.461</v>
      </c>
      <c r="K18" s="181"/>
      <c r="L18" s="137">
        <v>93218.536</v>
      </c>
      <c r="M18" s="181"/>
      <c r="N18" s="137">
        <v>92551.243</v>
      </c>
      <c r="O18" s="181"/>
      <c r="P18" s="137">
        <v>91406.649</v>
      </c>
      <c r="Q18" s="136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1:29" ht="15.75">
      <c r="A19" s="8">
        <v>2</v>
      </c>
      <c r="B19" s="9" t="s">
        <v>49</v>
      </c>
      <c r="C19" s="9"/>
      <c r="D19" s="9"/>
      <c r="E19" s="9"/>
      <c r="F19" s="10">
        <v>887</v>
      </c>
      <c r="G19" s="9"/>
      <c r="H19" s="137">
        <v>902.04</v>
      </c>
      <c r="I19" s="181"/>
      <c r="J19" s="137">
        <v>913.473</v>
      </c>
      <c r="K19" s="181"/>
      <c r="L19" s="137">
        <v>868.673</v>
      </c>
      <c r="M19" s="181"/>
      <c r="N19" s="137">
        <v>949.617</v>
      </c>
      <c r="O19" s="181"/>
      <c r="P19" s="137">
        <v>828.33</v>
      </c>
      <c r="Q19" s="136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1:29" ht="15.75">
      <c r="A20" s="8">
        <v>3</v>
      </c>
      <c r="B20" s="9" t="s">
        <v>50</v>
      </c>
      <c r="C20" s="9"/>
      <c r="D20" s="9"/>
      <c r="E20" s="9"/>
      <c r="F20" s="10">
        <v>55.475</v>
      </c>
      <c r="G20" s="9"/>
      <c r="H20" s="137">
        <v>54.417</v>
      </c>
      <c r="I20" s="181"/>
      <c r="J20" s="137">
        <v>50.631</v>
      </c>
      <c r="K20" s="181"/>
      <c r="L20" s="137">
        <v>49.011</v>
      </c>
      <c r="M20" s="181"/>
      <c r="N20" s="137">
        <v>50.024</v>
      </c>
      <c r="O20" s="181"/>
      <c r="P20" s="137">
        <v>42.683</v>
      </c>
      <c r="Q20" s="136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ht="15.75">
      <c r="A21" s="8">
        <v>4</v>
      </c>
      <c r="B21" s="9" t="s">
        <v>51</v>
      </c>
      <c r="C21" s="9"/>
      <c r="D21" s="9"/>
      <c r="E21" s="9"/>
      <c r="F21" s="10">
        <v>1.896</v>
      </c>
      <c r="G21" s="9"/>
      <c r="H21" s="137">
        <v>1.686</v>
      </c>
      <c r="I21" s="181"/>
      <c r="J21" s="137">
        <v>0.403</v>
      </c>
      <c r="K21" s="181"/>
      <c r="L21" s="137">
        <v>0.403</v>
      </c>
      <c r="M21" s="181"/>
      <c r="N21" s="137">
        <v>0</v>
      </c>
      <c r="O21" s="181"/>
      <c r="P21" s="137">
        <v>0</v>
      </c>
      <c r="Q21" s="136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ht="15.75">
      <c r="A22" s="8">
        <v>5</v>
      </c>
      <c r="B22" s="9" t="s">
        <v>52</v>
      </c>
      <c r="C22" s="9"/>
      <c r="D22" s="9"/>
      <c r="E22" s="9"/>
      <c r="F22" s="10">
        <f>9070.003</f>
        <v>9070.003</v>
      </c>
      <c r="G22" s="9"/>
      <c r="H22" s="137">
        <v>9068.798</v>
      </c>
      <c r="I22" s="181"/>
      <c r="J22" s="137">
        <v>8928.027</v>
      </c>
      <c r="K22" s="181"/>
      <c r="L22" s="137">
        <v>8849.912</v>
      </c>
      <c r="M22" s="181"/>
      <c r="N22" s="137">
        <v>9054.63</v>
      </c>
      <c r="O22" s="181"/>
      <c r="P22" s="137">
        <v>8750.094</v>
      </c>
      <c r="Q22" s="136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</row>
    <row r="23" spans="1:29" ht="15.75">
      <c r="A23" s="8">
        <v>6</v>
      </c>
      <c r="B23" s="9" t="s">
        <v>72</v>
      </c>
      <c r="C23" s="9"/>
      <c r="D23" s="9"/>
      <c r="E23" s="9"/>
      <c r="F23" s="10">
        <f>100942.091</f>
        <v>100942.091</v>
      </c>
      <c r="G23" s="9"/>
      <c r="H23" s="137">
        <v>103677.071</v>
      </c>
      <c r="I23" s="181"/>
      <c r="J23" s="137">
        <v>106755.466</v>
      </c>
      <c r="K23" s="181"/>
      <c r="L23" s="137">
        <v>105719.779</v>
      </c>
      <c r="M23" s="181"/>
      <c r="N23" s="137">
        <v>110839.066</v>
      </c>
      <c r="O23" s="181"/>
      <c r="P23" s="137">
        <v>107052.904</v>
      </c>
      <c r="Q23" s="136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</row>
    <row r="24" spans="1:29" ht="15.75">
      <c r="A24" s="8">
        <v>7</v>
      </c>
      <c r="B24" s="9" t="s">
        <v>70</v>
      </c>
      <c r="C24" s="9"/>
      <c r="D24" s="9"/>
      <c r="E24" s="9"/>
      <c r="F24" s="10">
        <v>1165.534</v>
      </c>
      <c r="G24" s="9"/>
      <c r="H24" s="137">
        <v>1195.239</v>
      </c>
      <c r="I24" s="181"/>
      <c r="J24" s="137">
        <v>1204.237</v>
      </c>
      <c r="K24" s="181"/>
      <c r="L24" s="137">
        <v>1186.859</v>
      </c>
      <c r="M24" s="181"/>
      <c r="N24" s="137">
        <v>1247.466</v>
      </c>
      <c r="O24" s="181"/>
      <c r="P24" s="137">
        <v>1190.577</v>
      </c>
      <c r="Q24" s="136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</row>
    <row r="25" spans="1:29" ht="15.75">
      <c r="A25" s="8">
        <v>8</v>
      </c>
      <c r="B25" s="9" t="s">
        <v>53</v>
      </c>
      <c r="C25" s="9"/>
      <c r="D25" s="9"/>
      <c r="E25" s="9"/>
      <c r="F25" s="10">
        <f>621.283</f>
        <v>621.283</v>
      </c>
      <c r="G25" s="9"/>
      <c r="H25" s="137">
        <v>628.527</v>
      </c>
      <c r="I25" s="181"/>
      <c r="J25" s="137">
        <v>634.058</v>
      </c>
      <c r="K25" s="181"/>
      <c r="L25" s="137">
        <v>634.058</v>
      </c>
      <c r="M25" s="181"/>
      <c r="N25" s="137">
        <v>646.024</v>
      </c>
      <c r="O25" s="181"/>
      <c r="P25" s="137">
        <v>646.024</v>
      </c>
      <c r="Q25" s="136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</row>
    <row r="26" spans="1:29" ht="15.75">
      <c r="A26" s="8">
        <v>9</v>
      </c>
      <c r="B26" s="9" t="s">
        <v>54</v>
      </c>
      <c r="C26" s="9"/>
      <c r="D26" s="9"/>
      <c r="E26" s="9"/>
      <c r="F26" s="10">
        <f>76.365</f>
        <v>76.365</v>
      </c>
      <c r="G26" s="9"/>
      <c r="H26" s="137">
        <v>79.806</v>
      </c>
      <c r="I26" s="181"/>
      <c r="J26" s="137">
        <v>82.555</v>
      </c>
      <c r="K26" s="181"/>
      <c r="L26" s="137">
        <v>82.555</v>
      </c>
      <c r="M26" s="181"/>
      <c r="N26" s="137">
        <v>87.514</v>
      </c>
      <c r="O26" s="181"/>
      <c r="P26" s="137">
        <v>87.514</v>
      </c>
      <c r="Q26" s="136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</row>
    <row r="27" spans="1:29" ht="15.75">
      <c r="A27" s="8">
        <v>10</v>
      </c>
      <c r="B27" s="9" t="s">
        <v>55</v>
      </c>
      <c r="C27" s="9"/>
      <c r="D27" s="9"/>
      <c r="E27" s="9"/>
      <c r="F27" s="10">
        <f>851.631+0.636</f>
        <v>852.2669999999999</v>
      </c>
      <c r="G27" s="9"/>
      <c r="H27" s="137">
        <v>822.269</v>
      </c>
      <c r="I27" s="181"/>
      <c r="J27" s="137">
        <v>805.521</v>
      </c>
      <c r="K27" s="181"/>
      <c r="L27" s="137">
        <v>791.359</v>
      </c>
      <c r="M27" s="181"/>
      <c r="N27" s="137">
        <v>816.333</v>
      </c>
      <c r="O27" s="181"/>
      <c r="P27" s="137">
        <v>771.496</v>
      </c>
      <c r="Q27" s="136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</row>
    <row r="28" spans="1:29" ht="15.75">
      <c r="A28" s="8">
        <v>11</v>
      </c>
      <c r="B28" s="9" t="s">
        <v>56</v>
      </c>
      <c r="C28" s="9"/>
      <c r="D28" s="9"/>
      <c r="E28" s="9"/>
      <c r="F28" s="10">
        <f>SUM(F18:F27)</f>
        <v>211742.87</v>
      </c>
      <c r="G28" s="9"/>
      <c r="H28" s="137">
        <f>SUM(H18:H27)</f>
        <v>212295.913</v>
      </c>
      <c r="I28" s="137"/>
      <c r="J28" s="137">
        <f>SUM(J18:J27)</f>
        <v>212935.832</v>
      </c>
      <c r="K28" s="137"/>
      <c r="L28" s="137">
        <f>SUM(L18:L27)</f>
        <v>211401.14499999996</v>
      </c>
      <c r="M28" s="137"/>
      <c r="N28" s="137">
        <f>SUM(N18:N27)</f>
        <v>216241.91700000002</v>
      </c>
      <c r="O28" s="181"/>
      <c r="P28" s="137">
        <f>SUM(P18:P27)</f>
        <v>210776.271</v>
      </c>
      <c r="Q28" s="136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15.75">
      <c r="A29" s="8"/>
      <c r="B29" s="9"/>
      <c r="C29" s="9"/>
      <c r="D29" s="9"/>
      <c r="E29" s="9"/>
      <c r="F29" s="10"/>
      <c r="G29" s="9"/>
      <c r="H29" s="21"/>
      <c r="I29" s="10"/>
      <c r="J29" s="22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</row>
    <row r="31" ht="15.75">
      <c r="B31" s="134" t="s">
        <v>195</v>
      </c>
    </row>
    <row r="32" spans="2:8" ht="15.75">
      <c r="B32" s="136" t="s">
        <v>263</v>
      </c>
      <c r="C32" s="37"/>
      <c r="D32" s="37"/>
      <c r="E32" s="37"/>
      <c r="F32" s="37"/>
      <c r="G32" s="37"/>
      <c r="H32" s="37"/>
    </row>
  </sheetData>
  <mergeCells count="2">
    <mergeCell ref="A2:Q2"/>
    <mergeCell ref="A3:Q3"/>
  </mergeCells>
  <printOptions horizontalCentered="1"/>
  <pageMargins left="0.5" right="0.5" top="1" bottom="1" header="0.5" footer="0.5"/>
  <pageSetup fitToHeight="1" fitToWidth="1" horizontalDpi="300" verticalDpi="3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E36"/>
  <sheetViews>
    <sheetView showGridLines="0" zoomScale="75" zoomScaleNormal="75" workbookViewId="0" topLeftCell="G1">
      <selection activeCell="L6" sqref="L6"/>
    </sheetView>
  </sheetViews>
  <sheetFormatPr defaultColWidth="9.33203125" defaultRowHeight="10.5"/>
  <cols>
    <col min="1" max="1" width="8.83203125" style="0" customWidth="1"/>
    <col min="3" max="3" width="11.33203125" style="0" customWidth="1"/>
    <col min="4" max="4" width="12" style="0" customWidth="1"/>
    <col min="5" max="5" width="10.5" style="0" customWidth="1"/>
    <col min="6" max="6" width="19.5" style="0" customWidth="1"/>
    <col min="7" max="7" width="6.16015625" style="0" customWidth="1"/>
    <col min="8" max="8" width="19.5" style="0" customWidth="1"/>
    <col min="9" max="9" width="6.83203125" style="0" customWidth="1"/>
    <col min="10" max="10" width="19.5" style="0" customWidth="1"/>
    <col min="11" max="11" width="5.5" style="0" customWidth="1"/>
    <col min="12" max="12" width="15.66015625" style="0" customWidth="1"/>
    <col min="13" max="13" width="6.16015625" style="0" customWidth="1"/>
    <col min="14" max="14" width="19.5" style="0" customWidth="1"/>
    <col min="15" max="15" width="7.16015625" style="0" customWidth="1"/>
    <col min="16" max="16" width="17.33203125" style="0" bestFit="1" customWidth="1"/>
    <col min="17" max="17" width="15.5" style="0" bestFit="1" customWidth="1"/>
    <col min="18" max="18" width="17.33203125" style="0" bestFit="1" customWidth="1"/>
  </cols>
  <sheetData>
    <row r="1" spans="1:23" ht="15.75">
      <c r="A1" s="5"/>
      <c r="H1" s="209" t="s">
        <v>287</v>
      </c>
      <c r="I1" s="209"/>
      <c r="J1" s="209"/>
      <c r="K1" s="209"/>
      <c r="L1" s="209"/>
      <c r="M1" s="209"/>
      <c r="N1" s="209"/>
      <c r="O1" s="209"/>
      <c r="P1" s="209" t="s">
        <v>77</v>
      </c>
      <c r="Q1" s="209"/>
      <c r="R1" s="209"/>
      <c r="S1" s="209"/>
      <c r="T1" s="209"/>
      <c r="U1" s="209"/>
      <c r="V1" s="209"/>
      <c r="W1" s="209"/>
    </row>
    <row r="2" spans="1:19" ht="15.75">
      <c r="A2" s="213" t="s">
        <v>237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R2" s="6"/>
      <c r="S2" s="6"/>
    </row>
    <row r="3" spans="1:19" ht="15.75">
      <c r="A3" s="211" t="s">
        <v>236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6"/>
      <c r="R3" s="6"/>
      <c r="S3" s="6"/>
    </row>
    <row r="4" spans="1:16" ht="15.75">
      <c r="A4" s="213" t="s">
        <v>238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</row>
    <row r="8" spans="8:18" ht="15.75">
      <c r="H8" s="37"/>
      <c r="I8" s="37"/>
      <c r="J8" s="37"/>
      <c r="K8" s="135"/>
      <c r="L8" s="135"/>
      <c r="M8" s="135"/>
      <c r="N8" s="135">
        <v>2008</v>
      </c>
      <c r="O8" s="135"/>
      <c r="P8" s="135">
        <v>2008</v>
      </c>
      <c r="Q8" s="135"/>
      <c r="R8" s="135"/>
    </row>
    <row r="9" spans="1:18" ht="15.75">
      <c r="A9" s="8" t="s">
        <v>43</v>
      </c>
      <c r="B9" s="6"/>
      <c r="C9" s="6"/>
      <c r="D9" s="6"/>
      <c r="E9" s="6"/>
      <c r="F9" s="135">
        <v>2005</v>
      </c>
      <c r="G9" s="135"/>
      <c r="H9" s="135">
        <v>2006</v>
      </c>
      <c r="I9" s="135"/>
      <c r="J9" s="135" t="s">
        <v>273</v>
      </c>
      <c r="K9" s="135"/>
      <c r="L9" s="135" t="s">
        <v>274</v>
      </c>
      <c r="M9" s="135"/>
      <c r="N9" s="135" t="s">
        <v>81</v>
      </c>
      <c r="O9" s="37"/>
      <c r="P9" s="135" t="s">
        <v>82</v>
      </c>
      <c r="Q9" s="135"/>
      <c r="R9" s="135"/>
    </row>
    <row r="10" spans="1:18" ht="15.75">
      <c r="A10" s="8" t="s">
        <v>44</v>
      </c>
      <c r="B10" s="6" t="s">
        <v>45</v>
      </c>
      <c r="C10" s="6"/>
      <c r="D10" s="6"/>
      <c r="E10" s="6"/>
      <c r="F10" s="8" t="s">
        <v>46</v>
      </c>
      <c r="G10" s="8"/>
      <c r="H10" s="135" t="s">
        <v>47</v>
      </c>
      <c r="I10" s="135"/>
      <c r="J10" s="135" t="s">
        <v>47</v>
      </c>
      <c r="K10" s="135"/>
      <c r="L10" s="135" t="s">
        <v>47</v>
      </c>
      <c r="M10" s="135"/>
      <c r="N10" s="135" t="s">
        <v>47</v>
      </c>
      <c r="O10" s="37"/>
      <c r="P10" s="135" t="s">
        <v>47</v>
      </c>
      <c r="Q10" s="135"/>
      <c r="R10" s="135"/>
    </row>
    <row r="11" spans="1:18" ht="15.75">
      <c r="A11" s="8"/>
      <c r="B11" s="6"/>
      <c r="C11" s="6"/>
      <c r="D11" s="6"/>
      <c r="E11" s="6"/>
      <c r="F11" s="8"/>
      <c r="G11" s="8"/>
      <c r="H11" s="135"/>
      <c r="I11" s="135"/>
      <c r="J11" s="135"/>
      <c r="K11" s="135"/>
      <c r="L11" s="135"/>
      <c r="M11" s="135"/>
      <c r="N11" s="135"/>
      <c r="O11" s="37"/>
      <c r="P11" s="135"/>
      <c r="Q11" s="135"/>
      <c r="R11" s="135"/>
    </row>
    <row r="12" spans="1:18" ht="15.75">
      <c r="A12" s="8"/>
      <c r="B12" s="6"/>
      <c r="C12" s="6"/>
      <c r="D12" s="6"/>
      <c r="E12" s="6"/>
      <c r="F12" s="8"/>
      <c r="G12" s="8"/>
      <c r="H12" s="135"/>
      <c r="I12" s="135"/>
      <c r="J12" s="135"/>
      <c r="K12" s="135"/>
      <c r="L12" s="135"/>
      <c r="M12" s="135"/>
      <c r="N12" s="135"/>
      <c r="O12" s="37"/>
      <c r="P12" s="135"/>
      <c r="Q12" s="135"/>
      <c r="R12" s="135"/>
    </row>
    <row r="13" spans="1:18" ht="15.75">
      <c r="A13" s="8"/>
      <c r="B13" s="6"/>
      <c r="C13" s="6"/>
      <c r="D13" s="6"/>
      <c r="E13" s="6"/>
      <c r="F13" s="8"/>
      <c r="G13" s="8"/>
      <c r="H13" s="135"/>
      <c r="I13" s="135"/>
      <c r="J13" s="135"/>
      <c r="K13" s="135"/>
      <c r="L13" s="135"/>
      <c r="M13" s="135"/>
      <c r="N13" s="135"/>
      <c r="O13" s="37"/>
      <c r="P13" s="135"/>
      <c r="Q13" s="135"/>
      <c r="R13" s="135"/>
    </row>
    <row r="14" spans="1:31" ht="15.75">
      <c r="A14" s="8"/>
      <c r="B14" s="9"/>
      <c r="C14" s="9"/>
      <c r="D14" s="9"/>
      <c r="E14" s="9"/>
      <c r="F14" s="9"/>
      <c r="G14" s="9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</row>
    <row r="15" spans="1:31" ht="15.75">
      <c r="A15" s="8">
        <v>1</v>
      </c>
      <c r="B15" s="9" t="s">
        <v>48</v>
      </c>
      <c r="C15" s="9"/>
      <c r="D15" s="9"/>
      <c r="E15" s="9"/>
      <c r="F15" s="10">
        <v>36061.78</v>
      </c>
      <c r="G15" s="9"/>
      <c r="H15" s="137">
        <v>36362.649</v>
      </c>
      <c r="I15" s="137"/>
      <c r="J15" s="137">
        <v>35800.561</v>
      </c>
      <c r="K15" s="137"/>
      <c r="L15" s="137">
        <v>36603.698</v>
      </c>
      <c r="M15" s="137"/>
      <c r="N15" s="137">
        <v>35243.602</v>
      </c>
      <c r="O15" s="136"/>
      <c r="P15" s="137">
        <v>37242.837</v>
      </c>
      <c r="Q15" s="137"/>
      <c r="R15" s="137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</row>
    <row r="16" spans="1:31" ht="15.75">
      <c r="A16" s="8">
        <v>2</v>
      </c>
      <c r="B16" s="9" t="s">
        <v>49</v>
      </c>
      <c r="C16" s="9"/>
      <c r="D16" s="9"/>
      <c r="E16" s="9"/>
      <c r="F16" s="10">
        <v>4633.607</v>
      </c>
      <c r="G16" s="9"/>
      <c r="H16" s="137">
        <v>4894.333</v>
      </c>
      <c r="I16" s="137"/>
      <c r="J16" s="137">
        <v>5035.672</v>
      </c>
      <c r="K16" s="137"/>
      <c r="L16" s="137">
        <v>5020.063</v>
      </c>
      <c r="M16" s="137"/>
      <c r="N16" s="137">
        <v>5235.264</v>
      </c>
      <c r="O16" s="136"/>
      <c r="P16" s="137">
        <v>5189.424</v>
      </c>
      <c r="Q16" s="137"/>
      <c r="R16" s="137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</row>
    <row r="17" spans="1:31" ht="15.75">
      <c r="A17" s="8">
        <v>3</v>
      </c>
      <c r="B17" s="9" t="s">
        <v>50</v>
      </c>
      <c r="C17" s="9"/>
      <c r="D17" s="9"/>
      <c r="E17" s="9"/>
      <c r="F17" s="10">
        <v>872.282</v>
      </c>
      <c r="G17" s="9"/>
      <c r="H17" s="137">
        <v>889.454</v>
      </c>
      <c r="I17" s="158"/>
      <c r="J17" s="137">
        <v>839.619</v>
      </c>
      <c r="K17" s="137"/>
      <c r="L17" s="137">
        <v>851.182</v>
      </c>
      <c r="M17" s="137"/>
      <c r="N17" s="137">
        <v>829.552</v>
      </c>
      <c r="O17" s="136"/>
      <c r="P17" s="137">
        <v>796.283</v>
      </c>
      <c r="Q17" s="137"/>
      <c r="R17" s="137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</row>
    <row r="18" spans="1:31" ht="15.75">
      <c r="A18" s="8">
        <v>4</v>
      </c>
      <c r="B18" s="9" t="s">
        <v>51</v>
      </c>
      <c r="C18" s="9"/>
      <c r="D18" s="9"/>
      <c r="E18" s="9"/>
      <c r="F18" s="10">
        <v>0.791</v>
      </c>
      <c r="G18" s="9"/>
      <c r="H18" s="137">
        <v>0.731</v>
      </c>
      <c r="I18" s="158"/>
      <c r="J18" s="137">
        <v>0.175</v>
      </c>
      <c r="K18" s="137"/>
      <c r="L18" s="137">
        <v>0.175</v>
      </c>
      <c r="M18" s="137"/>
      <c r="N18" s="137">
        <v>0</v>
      </c>
      <c r="O18" s="136"/>
      <c r="P18" s="137">
        <v>0</v>
      </c>
      <c r="Q18" s="137"/>
      <c r="R18" s="137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 ht="15.75">
      <c r="A19" s="8">
        <v>5</v>
      </c>
      <c r="B19" s="9" t="s">
        <v>52</v>
      </c>
      <c r="C19" s="9"/>
      <c r="D19" s="9"/>
      <c r="E19" s="9"/>
      <c r="F19" s="10">
        <v>2160.763</v>
      </c>
      <c r="G19" s="9"/>
      <c r="H19" s="137">
        <v>2245.996</v>
      </c>
      <c r="I19" s="137"/>
      <c r="J19" s="137">
        <v>2249.61</v>
      </c>
      <c r="K19" s="137"/>
      <c r="L19" s="137">
        <v>2333.373</v>
      </c>
      <c r="M19" s="137"/>
      <c r="N19" s="137">
        <v>2286.624</v>
      </c>
      <c r="O19" s="136"/>
      <c r="P19" s="137">
        <v>2476.68</v>
      </c>
      <c r="Q19" s="137"/>
      <c r="R19" s="137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15.75">
      <c r="A20" s="8">
        <v>6</v>
      </c>
      <c r="B20" s="9" t="s">
        <v>72</v>
      </c>
      <c r="C20" s="9"/>
      <c r="D20" s="9"/>
      <c r="E20" s="9"/>
      <c r="F20" s="10">
        <v>18953.471</v>
      </c>
      <c r="G20" s="9"/>
      <c r="H20" s="137">
        <v>20200.525</v>
      </c>
      <c r="I20" s="137"/>
      <c r="J20" s="137">
        <v>21094.004</v>
      </c>
      <c r="K20" s="137"/>
      <c r="L20" s="137">
        <v>21707.379</v>
      </c>
      <c r="M20" s="137"/>
      <c r="N20" s="137">
        <v>21948.283</v>
      </c>
      <c r="O20" s="136"/>
      <c r="P20" s="137">
        <v>23320.768</v>
      </c>
      <c r="Q20" s="137"/>
      <c r="R20" s="137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</row>
    <row r="21" spans="1:31" ht="15.75">
      <c r="A21" s="8">
        <v>7</v>
      </c>
      <c r="B21" s="9" t="s">
        <v>70</v>
      </c>
      <c r="C21" s="9"/>
      <c r="D21" s="9"/>
      <c r="E21" s="9"/>
      <c r="F21" s="10">
        <v>2201.085</v>
      </c>
      <c r="G21" s="9"/>
      <c r="H21" s="137">
        <v>2350.863</v>
      </c>
      <c r="I21" s="137"/>
      <c r="J21" s="137">
        <v>2405.282</v>
      </c>
      <c r="K21" s="137"/>
      <c r="L21" s="137">
        <v>2492.74</v>
      </c>
      <c r="M21" s="137"/>
      <c r="N21" s="137">
        <v>2483.632</v>
      </c>
      <c r="O21" s="136"/>
      <c r="P21" s="137">
        <v>2658.769</v>
      </c>
      <c r="Q21" s="137"/>
      <c r="R21" s="137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5.75">
      <c r="A22" s="8">
        <v>8</v>
      </c>
      <c r="B22" s="9" t="s">
        <v>53</v>
      </c>
      <c r="C22" s="9"/>
      <c r="D22" s="9"/>
      <c r="E22" s="9"/>
      <c r="F22" s="10">
        <v>0</v>
      </c>
      <c r="G22" s="9"/>
      <c r="H22" s="137">
        <v>0</v>
      </c>
      <c r="I22" s="137"/>
      <c r="J22" s="137">
        <v>0</v>
      </c>
      <c r="K22" s="137"/>
      <c r="L22" s="137">
        <v>0</v>
      </c>
      <c r="M22" s="137"/>
      <c r="N22" s="137">
        <v>0</v>
      </c>
      <c r="O22" s="136"/>
      <c r="P22" s="137">
        <v>0</v>
      </c>
      <c r="Q22" s="137"/>
      <c r="R22" s="137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</row>
    <row r="23" spans="1:31" ht="15.75">
      <c r="A23" s="8">
        <v>9</v>
      </c>
      <c r="B23" s="9" t="s">
        <v>54</v>
      </c>
      <c r="C23" s="9"/>
      <c r="D23" s="9"/>
      <c r="E23" s="9"/>
      <c r="F23" s="10">
        <v>0</v>
      </c>
      <c r="G23" s="9"/>
      <c r="H23" s="137">
        <v>0</v>
      </c>
      <c r="I23" s="137"/>
      <c r="J23" s="137">
        <v>0</v>
      </c>
      <c r="K23" s="137"/>
      <c r="L23" s="137">
        <v>0</v>
      </c>
      <c r="M23" s="137"/>
      <c r="N23" s="137">
        <v>0</v>
      </c>
      <c r="O23" s="136"/>
      <c r="P23" s="137">
        <v>0</v>
      </c>
      <c r="Q23" s="137"/>
      <c r="R23" s="137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</row>
    <row r="24" spans="1:31" ht="15.75">
      <c r="A24" s="8">
        <v>10</v>
      </c>
      <c r="B24" s="9" t="s">
        <v>55</v>
      </c>
      <c r="C24" s="9"/>
      <c r="D24" s="9"/>
      <c r="E24" s="9"/>
      <c r="F24" s="137">
        <f>1764.913+2.384</f>
        <v>1767.297</v>
      </c>
      <c r="G24" s="9"/>
      <c r="H24" s="137">
        <f>1790.014</f>
        <v>1790.014</v>
      </c>
      <c r="I24" s="137"/>
      <c r="J24" s="137">
        <v>1794.559</v>
      </c>
      <c r="K24" s="137"/>
      <c r="L24" s="137">
        <v>1847.073</v>
      </c>
      <c r="M24" s="137"/>
      <c r="N24" s="137">
        <v>1828.601</v>
      </c>
      <c r="O24" s="136"/>
      <c r="P24" s="137">
        <f>1880.63</f>
        <v>1880.63</v>
      </c>
      <c r="Q24" s="137"/>
      <c r="R24" s="137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</row>
    <row r="25" spans="1:31" ht="15.75">
      <c r="A25" s="8">
        <v>11</v>
      </c>
      <c r="B25" s="9" t="s">
        <v>57</v>
      </c>
      <c r="C25" s="9"/>
      <c r="D25" s="9"/>
      <c r="E25" s="9"/>
      <c r="F25" s="137">
        <f>SUM(F15:F24)</f>
        <v>66651.076</v>
      </c>
      <c r="G25" s="9"/>
      <c r="H25" s="137">
        <f>SUM(H15:H24)</f>
        <v>68734.56499999999</v>
      </c>
      <c r="I25" s="137"/>
      <c r="J25" s="137">
        <f>SUM(J15:J24)</f>
        <v>69219.482</v>
      </c>
      <c r="K25" s="137"/>
      <c r="L25" s="137">
        <f>SUM(L15:L24)</f>
        <v>70855.683</v>
      </c>
      <c r="M25" s="137"/>
      <c r="N25" s="137">
        <f>SUM(N15:N24)</f>
        <v>69855.55799999999</v>
      </c>
      <c r="O25" s="136"/>
      <c r="P25" s="137">
        <f>SUM(P15:P24)</f>
        <v>73565.391</v>
      </c>
      <c r="Q25" s="137"/>
      <c r="R25" s="137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</row>
    <row r="26" spans="1:18" ht="15.75">
      <c r="A26" s="8"/>
      <c r="B26" s="9"/>
      <c r="C26" s="9"/>
      <c r="D26" s="9"/>
      <c r="E26" s="9"/>
      <c r="F26" s="10"/>
      <c r="G26" s="9"/>
      <c r="H26" s="137"/>
      <c r="I26" s="137"/>
      <c r="J26" s="137"/>
      <c r="K26" s="137"/>
      <c r="L26" s="137"/>
      <c r="M26" s="137"/>
      <c r="N26" s="137"/>
      <c r="O26" s="37"/>
      <c r="P26" s="137"/>
      <c r="Q26" s="137"/>
      <c r="R26" s="137"/>
    </row>
    <row r="27" spans="1:18" ht="15.75">
      <c r="A27" s="8">
        <v>12</v>
      </c>
      <c r="B27" s="9" t="s">
        <v>58</v>
      </c>
      <c r="C27" s="9"/>
      <c r="D27" s="9"/>
      <c r="E27" s="9"/>
      <c r="F27" s="10">
        <f>2379.95+26.896</f>
        <v>2406.846</v>
      </c>
      <c r="G27" s="9"/>
      <c r="H27" s="137">
        <f>2504.651-8.629-35.598</f>
        <v>2460.424</v>
      </c>
      <c r="I27" s="137"/>
      <c r="J27" s="137">
        <f>2540.034-8.359-35.75</f>
        <v>2495.925</v>
      </c>
      <c r="K27" s="137"/>
      <c r="L27" s="137">
        <f>2607.616-7.447-35.407</f>
        <v>2564.7619999999997</v>
      </c>
      <c r="M27" s="137"/>
      <c r="N27" s="137">
        <f>2568.39-34.653-8.388</f>
        <v>2525.349</v>
      </c>
      <c r="O27" s="37"/>
      <c r="P27" s="137">
        <f>2838.313-32.704-8.75</f>
        <v>2796.859</v>
      </c>
      <c r="Q27" s="137"/>
      <c r="R27" s="137"/>
    </row>
    <row r="28" spans="1:18" ht="15.75">
      <c r="A28" s="8">
        <v>13</v>
      </c>
      <c r="B28" s="9" t="s">
        <v>59</v>
      </c>
      <c r="C28" s="9"/>
      <c r="D28" s="9"/>
      <c r="E28" s="9"/>
      <c r="F28" s="10">
        <f>934.919-F29-F30</f>
        <v>695.598</v>
      </c>
      <c r="G28" s="9"/>
      <c r="H28" s="137">
        <f>596.366</f>
        <v>596.366</v>
      </c>
      <c r="I28" s="137"/>
      <c r="J28" s="137">
        <v>630.887</v>
      </c>
      <c r="K28" s="137"/>
      <c r="L28" s="137">
        <f>J28</f>
        <v>630.887</v>
      </c>
      <c r="M28" s="137"/>
      <c r="N28" s="137">
        <v>643.701</v>
      </c>
      <c r="O28" s="37"/>
      <c r="P28" s="137">
        <f>N28</f>
        <v>643.701</v>
      </c>
      <c r="Q28" s="137"/>
      <c r="R28" s="137"/>
    </row>
    <row r="29" spans="1:18" ht="15.75">
      <c r="A29" s="8">
        <v>14</v>
      </c>
      <c r="B29" s="9" t="s">
        <v>75</v>
      </c>
      <c r="C29" s="9"/>
      <c r="D29" s="9"/>
      <c r="E29" s="9"/>
      <c r="F29" s="10">
        <f>44.68+109.19</f>
        <v>153.87</v>
      </c>
      <c r="G29" s="9"/>
      <c r="H29" s="137">
        <f>82.424+87.495</f>
        <v>169.919</v>
      </c>
      <c r="I29" s="137"/>
      <c r="J29" s="137">
        <f>78.137+108.68</f>
        <v>186.817</v>
      </c>
      <c r="K29" s="137"/>
      <c r="L29" s="137">
        <f>78.137+108.68</f>
        <v>186.817</v>
      </c>
      <c r="M29" s="137"/>
      <c r="N29" s="137">
        <f>101.593+120.18</f>
        <v>221.77300000000002</v>
      </c>
      <c r="O29" s="37"/>
      <c r="P29" s="137">
        <f>101.593+120.18</f>
        <v>221.77300000000002</v>
      </c>
      <c r="Q29" s="137"/>
      <c r="R29" s="137"/>
    </row>
    <row r="30" spans="1:18" ht="15.75">
      <c r="A30" s="8">
        <v>15</v>
      </c>
      <c r="B30" s="9" t="s">
        <v>196</v>
      </c>
      <c r="C30" s="9"/>
      <c r="D30" s="9"/>
      <c r="E30" s="9"/>
      <c r="F30" s="10">
        <f>85.451</f>
        <v>85.451</v>
      </c>
      <c r="G30" s="9"/>
      <c r="H30" s="137">
        <f>160.916+25.2</f>
        <v>186.11599999999999</v>
      </c>
      <c r="I30" s="137"/>
      <c r="J30" s="137">
        <f>47.857+24.9+142.186</f>
        <v>214.943</v>
      </c>
      <c r="K30" s="137"/>
      <c r="L30" s="137">
        <f>71.9+24.9+142.186</f>
        <v>238.98600000000002</v>
      </c>
      <c r="M30" s="137"/>
      <c r="N30" s="137">
        <f>0.257+24.6+297.142</f>
        <v>321.999</v>
      </c>
      <c r="O30" s="37"/>
      <c r="P30" s="137">
        <f>133.7+24.6+297.142</f>
        <v>455.442</v>
      </c>
      <c r="Q30" s="137"/>
      <c r="R30" s="137"/>
    </row>
    <row r="31" spans="1:18" ht="15.75">
      <c r="A31" s="8"/>
      <c r="B31" s="9"/>
      <c r="C31" s="9"/>
      <c r="D31" s="9"/>
      <c r="E31" s="9"/>
      <c r="F31" s="10"/>
      <c r="G31" s="9"/>
      <c r="H31" s="137"/>
      <c r="I31" s="137"/>
      <c r="J31" s="137"/>
      <c r="K31" s="137"/>
      <c r="L31" s="137"/>
      <c r="M31" s="137"/>
      <c r="N31" s="137"/>
      <c r="O31" s="37"/>
      <c r="P31" s="137"/>
      <c r="Q31" s="137"/>
      <c r="R31" s="137"/>
    </row>
    <row r="32" spans="1:18" ht="15.75">
      <c r="A32" s="8">
        <v>16</v>
      </c>
      <c r="B32" s="9" t="s">
        <v>74</v>
      </c>
      <c r="C32" s="9"/>
      <c r="D32" s="9"/>
      <c r="E32" s="9"/>
      <c r="F32" s="10">
        <f>SUM(F25:F30)</f>
        <v>69992.841</v>
      </c>
      <c r="G32" s="10"/>
      <c r="H32" s="137">
        <f>SUM(H25:H30)</f>
        <v>72147.38999999997</v>
      </c>
      <c r="I32" s="137"/>
      <c r="J32" s="137">
        <f>SUM(J25:J30)</f>
        <v>72748.054</v>
      </c>
      <c r="K32" s="137"/>
      <c r="L32" s="137">
        <f>SUM(L25:L30)</f>
        <v>74477.13500000001</v>
      </c>
      <c r="M32" s="137"/>
      <c r="N32" s="137">
        <f>SUM(N25:N30)</f>
        <v>73568.37999999999</v>
      </c>
      <c r="O32" s="37"/>
      <c r="P32" s="137">
        <f>SUM(P25:P30)</f>
        <v>77683.166</v>
      </c>
      <c r="Q32" s="137"/>
      <c r="R32" s="137"/>
    </row>
    <row r="33" ht="10.5">
      <c r="P33" s="182"/>
    </row>
    <row r="34" ht="10.5">
      <c r="P34" s="182"/>
    </row>
    <row r="35" ht="15.75">
      <c r="B35" s="134" t="s">
        <v>195</v>
      </c>
    </row>
    <row r="36" spans="2:13" ht="15.75">
      <c r="B36" s="136" t="s">
        <v>283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</sheetData>
  <mergeCells count="3">
    <mergeCell ref="A2:P2"/>
    <mergeCell ref="A3:P3"/>
    <mergeCell ref="A4:P4"/>
  </mergeCells>
  <printOptions horizontalCentered="1"/>
  <pageMargins left="0.5" right="0.5" top="1" bottom="1" header="0.5" footer="0.5"/>
  <pageSetup fitToHeight="1" fitToWidth="1" horizontalDpi="300" verticalDpi="3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58"/>
  <sheetViews>
    <sheetView showGridLines="0" tabSelected="1" zoomScale="75" zoomScaleNormal="75" workbookViewId="0" topLeftCell="A1">
      <selection activeCell="N2" sqref="N2"/>
    </sheetView>
  </sheetViews>
  <sheetFormatPr defaultColWidth="9.33203125" defaultRowHeight="10.5"/>
  <cols>
    <col min="8" max="8" width="10.33203125" style="0" customWidth="1"/>
    <col min="9" max="9" width="11.16015625" style="0" customWidth="1"/>
    <col min="10" max="10" width="3" style="0" customWidth="1"/>
    <col min="11" max="11" width="11.33203125" style="0" customWidth="1"/>
    <col min="12" max="12" width="3" style="0" customWidth="1"/>
    <col min="13" max="13" width="11.33203125" style="0" customWidth="1"/>
    <col min="14" max="14" width="10.5" style="0" customWidth="1"/>
  </cols>
  <sheetData>
    <row r="1" ht="15.75">
      <c r="N1" s="173" t="s">
        <v>99</v>
      </c>
    </row>
    <row r="2" spans="12:14" ht="15.75">
      <c r="L2" s="6"/>
      <c r="M2" s="173"/>
      <c r="N2" s="38" t="s">
        <v>255</v>
      </c>
    </row>
    <row r="3" ht="10.5">
      <c r="N3" t="s">
        <v>286</v>
      </c>
    </row>
    <row r="6" spans="1:14" ht="15.75">
      <c r="A6" s="213" t="s">
        <v>179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</row>
    <row r="7" spans="1:14" ht="15.75">
      <c r="A7" s="213" t="s">
        <v>84</v>
      </c>
      <c r="B7" s="213"/>
      <c r="C7" s="213"/>
      <c r="D7" s="213"/>
      <c r="E7" s="213"/>
      <c r="F7" s="213"/>
      <c r="G7" s="213"/>
      <c r="H7" s="213"/>
      <c r="I7" s="213"/>
      <c r="J7" s="213"/>
      <c r="K7" s="213"/>
      <c r="L7" s="213"/>
      <c r="M7" s="213"/>
      <c r="N7" s="213"/>
    </row>
    <row r="8" spans="1:14" ht="15.75">
      <c r="A8" s="211" t="s">
        <v>240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</row>
    <row r="9" spans="1:14" ht="15.75">
      <c r="A9" s="213" t="s">
        <v>85</v>
      </c>
      <c r="B9" s="213"/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</row>
    <row r="10" ht="15.75">
      <c r="F10" s="6"/>
    </row>
    <row r="11" spans="9:13" ht="10.5">
      <c r="I11" s="127" t="s">
        <v>182</v>
      </c>
      <c r="J11" s="125"/>
      <c r="K11" s="127" t="s">
        <v>183</v>
      </c>
      <c r="L11" s="5"/>
      <c r="M11" s="5" t="s">
        <v>5</v>
      </c>
    </row>
    <row r="12" spans="9:13" ht="10.5">
      <c r="I12" s="5" t="s">
        <v>199</v>
      </c>
      <c r="J12" s="5"/>
      <c r="K12" s="5" t="s">
        <v>199</v>
      </c>
      <c r="L12" s="5"/>
      <c r="M12" s="5" t="s">
        <v>86</v>
      </c>
    </row>
    <row r="13" spans="1:13" ht="10.5">
      <c r="A13" t="s">
        <v>87</v>
      </c>
      <c r="B13" s="37" t="s">
        <v>88</v>
      </c>
      <c r="C13" s="37"/>
      <c r="D13" s="37"/>
      <c r="E13" s="37"/>
      <c r="G13" s="37"/>
      <c r="H13" s="37"/>
      <c r="I13" s="5" t="s">
        <v>201</v>
      </c>
      <c r="J13" s="5"/>
      <c r="K13" s="5" t="s">
        <v>200</v>
      </c>
      <c r="L13" s="5"/>
      <c r="M13" s="5" t="s">
        <v>89</v>
      </c>
    </row>
    <row r="15" spans="2:13" ht="10.5">
      <c r="B15" s="5">
        <v>1</v>
      </c>
      <c r="C15" s="2" t="s">
        <v>9</v>
      </c>
      <c r="I15" s="13">
        <v>72455.76099999998</v>
      </c>
      <c r="J15" s="39"/>
      <c r="K15" s="207">
        <f>'6-A'!L12</f>
        <v>71791.35499999998</v>
      </c>
      <c r="L15" s="39"/>
      <c r="M15" s="207">
        <f>K15-I15</f>
        <v>-664.4060000000027</v>
      </c>
    </row>
    <row r="16" spans="2:13" ht="10.5">
      <c r="B16" s="5">
        <v>2</v>
      </c>
      <c r="C16" s="2" t="s">
        <v>10</v>
      </c>
      <c r="I16" s="13">
        <v>222.837</v>
      </c>
      <c r="J16" s="39"/>
      <c r="K16" s="38">
        <f>'6-A'!L13</f>
        <v>169.919</v>
      </c>
      <c r="L16" s="39"/>
      <c r="M16" s="38">
        <f>K16-I16</f>
        <v>-52.91799999999998</v>
      </c>
    </row>
    <row r="17" spans="2:13" ht="10.5">
      <c r="B17" s="5">
        <v>3</v>
      </c>
      <c r="C17" s="2" t="s">
        <v>90</v>
      </c>
      <c r="I17" s="13">
        <v>239.121</v>
      </c>
      <c r="J17" s="39"/>
      <c r="K17" s="38">
        <f>'6-A'!L14</f>
        <v>186.11599999999999</v>
      </c>
      <c r="L17" s="39"/>
      <c r="M17" s="38">
        <f>K17-I17</f>
        <v>-53.005000000000024</v>
      </c>
    </row>
    <row r="18" spans="2:13" ht="10.5">
      <c r="B18" s="5"/>
      <c r="C18" s="2"/>
      <c r="I18" s="38"/>
      <c r="J18" s="39"/>
      <c r="K18" s="39"/>
      <c r="L18" s="39"/>
      <c r="M18" s="38"/>
    </row>
    <row r="19" spans="2:13" ht="10.5">
      <c r="B19" s="5"/>
      <c r="D19" s="4" t="s">
        <v>91</v>
      </c>
      <c r="I19" s="38">
        <f>SUM(I15:I17)</f>
        <v>72917.71899999998</v>
      </c>
      <c r="J19" s="39"/>
      <c r="K19" s="38">
        <f>SUM(K15:K17)</f>
        <v>72147.38999999997</v>
      </c>
      <c r="L19" s="39"/>
      <c r="M19" s="38">
        <f>K19-I19</f>
        <v>-770.3290000000125</v>
      </c>
    </row>
    <row r="20" spans="2:13" ht="10.5">
      <c r="B20" s="5"/>
      <c r="C20" s="4"/>
      <c r="I20" s="39"/>
      <c r="J20" s="39"/>
      <c r="K20" s="39"/>
      <c r="L20" s="39"/>
      <c r="M20" s="38"/>
    </row>
    <row r="21" spans="1:13" ht="10.5">
      <c r="A21" t="s">
        <v>92</v>
      </c>
      <c r="B21" s="40" t="s">
        <v>93</v>
      </c>
      <c r="C21" s="37"/>
      <c r="D21" s="37"/>
      <c r="E21" s="37"/>
      <c r="G21" s="37"/>
      <c r="H21" s="37"/>
      <c r="I21" s="39"/>
      <c r="J21" s="39"/>
      <c r="K21" s="39"/>
      <c r="L21" s="39"/>
      <c r="M21" s="38"/>
    </row>
    <row r="22" spans="2:13" ht="10.5">
      <c r="B22" s="5"/>
      <c r="C22" s="3"/>
      <c r="F22" s="4"/>
      <c r="I22" s="39"/>
      <c r="J22" s="39"/>
      <c r="K22" s="39"/>
      <c r="L22" s="39"/>
      <c r="M22" s="38"/>
    </row>
    <row r="23" spans="2:13" ht="10.5">
      <c r="B23" s="5">
        <v>1</v>
      </c>
      <c r="C23" s="2" t="s">
        <v>14</v>
      </c>
      <c r="I23" s="38">
        <v>2310.398</v>
      </c>
      <c r="J23" s="39"/>
      <c r="K23" s="38">
        <f>'6-A'!L20</f>
        <v>2260.8228368676114</v>
      </c>
      <c r="L23" s="39"/>
      <c r="M23" s="38">
        <f aca="true" t="shared" si="0" ref="M23:M44">K23-I23</f>
        <v>-49.57516313238875</v>
      </c>
    </row>
    <row r="24" spans="2:13" ht="10.5">
      <c r="B24" s="5">
        <v>2</v>
      </c>
      <c r="C24" s="2" t="s">
        <v>15</v>
      </c>
      <c r="I24" s="38">
        <v>4242.692</v>
      </c>
      <c r="J24" s="39"/>
      <c r="K24" s="38">
        <f>'6-A'!L21</f>
        <v>4268.959800054099</v>
      </c>
      <c r="L24" s="39"/>
      <c r="M24" s="38">
        <f t="shared" si="0"/>
        <v>26.267800054099098</v>
      </c>
    </row>
    <row r="25" spans="2:13" ht="10.5">
      <c r="B25" s="5">
        <v>3</v>
      </c>
      <c r="C25" s="2" t="s">
        <v>16</v>
      </c>
      <c r="I25" s="38">
        <v>18003.208</v>
      </c>
      <c r="J25" s="39"/>
      <c r="K25" s="38">
        <f>'6-A'!L22</f>
        <v>18843.323710025015</v>
      </c>
      <c r="L25" s="39"/>
      <c r="M25" s="38">
        <f t="shared" si="0"/>
        <v>840.1157100250166</v>
      </c>
    </row>
    <row r="26" spans="2:13" ht="10.5">
      <c r="B26" s="5">
        <v>4</v>
      </c>
      <c r="C26" s="2" t="s">
        <v>17</v>
      </c>
      <c r="I26" s="38">
        <v>6.975</v>
      </c>
      <c r="J26" s="39"/>
      <c r="K26" s="38">
        <f>'6-A'!L23</f>
        <v>6.239508612317367</v>
      </c>
      <c r="L26" s="39"/>
      <c r="M26" s="38">
        <f t="shared" si="0"/>
        <v>-0.7354913876826323</v>
      </c>
    </row>
    <row r="27" spans="2:13" ht="10.5">
      <c r="B27" s="5" t="s">
        <v>41</v>
      </c>
      <c r="C27" s="2" t="s">
        <v>18</v>
      </c>
      <c r="I27" s="38">
        <v>15700.584</v>
      </c>
      <c r="J27" s="39"/>
      <c r="K27" s="38">
        <f>'6-A'!L24</f>
        <v>16208.336709876356</v>
      </c>
      <c r="L27" s="39"/>
      <c r="M27" s="38">
        <f t="shared" si="0"/>
        <v>507.75270987635486</v>
      </c>
    </row>
    <row r="28" spans="2:13" ht="10.5">
      <c r="B28" s="5">
        <v>8</v>
      </c>
      <c r="C28" s="2" t="s">
        <v>20</v>
      </c>
      <c r="I28" s="38">
        <v>623.639</v>
      </c>
      <c r="J28" s="39"/>
      <c r="K28" s="38">
        <f>'6-A'!L25</f>
        <v>633.2440462350431</v>
      </c>
      <c r="L28" s="39"/>
      <c r="M28" s="38">
        <f t="shared" si="0"/>
        <v>9.605046235043119</v>
      </c>
    </row>
    <row r="29" spans="2:13" ht="10.5">
      <c r="B29" s="5">
        <v>9</v>
      </c>
      <c r="C29" s="2" t="s">
        <v>21</v>
      </c>
      <c r="I29" s="41">
        <v>0</v>
      </c>
      <c r="J29" s="39"/>
      <c r="K29" s="38">
        <f>'6-A'!L26</f>
        <v>0</v>
      </c>
      <c r="L29" s="39"/>
      <c r="M29" s="38">
        <f t="shared" si="0"/>
        <v>0</v>
      </c>
    </row>
    <row r="30" spans="2:13" ht="10.5">
      <c r="B30" s="5">
        <v>10</v>
      </c>
      <c r="C30" s="2" t="s">
        <v>22</v>
      </c>
      <c r="I30" s="38">
        <v>5810.427</v>
      </c>
      <c r="J30" s="39"/>
      <c r="K30" s="38">
        <f>'6-A'!L27</f>
        <v>5915.309309074978</v>
      </c>
      <c r="L30" s="39"/>
      <c r="M30" s="38">
        <f t="shared" si="0"/>
        <v>104.88230907497837</v>
      </c>
    </row>
    <row r="31" spans="2:13" ht="10.5">
      <c r="B31" s="5">
        <v>11</v>
      </c>
      <c r="C31" s="2" t="s">
        <v>23</v>
      </c>
      <c r="I31" s="38">
        <v>3181.028</v>
      </c>
      <c r="J31" s="39"/>
      <c r="K31" s="38">
        <f>'6-A'!L28</f>
        <v>3284.0853058301755</v>
      </c>
      <c r="L31" s="39"/>
      <c r="M31" s="38">
        <f t="shared" si="0"/>
        <v>103.05730583017566</v>
      </c>
    </row>
    <row r="32" spans="2:13" ht="10.5">
      <c r="B32" s="5">
        <v>12</v>
      </c>
      <c r="C32" s="2" t="s">
        <v>24</v>
      </c>
      <c r="I32" s="38">
        <v>1000.584</v>
      </c>
      <c r="J32" s="39"/>
      <c r="K32" s="38">
        <f>'6-A'!L29</f>
        <v>1065.8722663223816</v>
      </c>
      <c r="L32" s="39"/>
      <c r="M32" s="38">
        <f t="shared" si="0"/>
        <v>65.28826632238167</v>
      </c>
    </row>
    <row r="33" spans="2:13" ht="10.5">
      <c r="B33" s="5">
        <v>13</v>
      </c>
      <c r="C33" s="2" t="s">
        <v>25</v>
      </c>
      <c r="I33" s="38">
        <v>312.788</v>
      </c>
      <c r="J33" s="39"/>
      <c r="K33" s="38">
        <f>'6-A'!L30</f>
        <v>339.7511448527207</v>
      </c>
      <c r="L33" s="39"/>
      <c r="M33" s="38">
        <f t="shared" si="0"/>
        <v>26.96314485272069</v>
      </c>
    </row>
    <row r="34" spans="2:13" ht="10.5">
      <c r="B34" s="5">
        <v>14</v>
      </c>
      <c r="C34" s="2" t="s">
        <v>26</v>
      </c>
      <c r="I34" s="38">
        <v>5218.069</v>
      </c>
      <c r="J34" s="39"/>
      <c r="K34" s="38">
        <f>'6-A'!L31</f>
        <v>5784.318914639855</v>
      </c>
      <c r="L34" s="39"/>
      <c r="M34" s="38">
        <f t="shared" si="0"/>
        <v>566.249914639855</v>
      </c>
    </row>
    <row r="35" spans="2:13" ht="10.5">
      <c r="B35" s="5">
        <v>15</v>
      </c>
      <c r="C35" s="2" t="s">
        <v>27</v>
      </c>
      <c r="I35" s="38">
        <v>1968.755</v>
      </c>
      <c r="J35" s="39"/>
      <c r="K35" s="38">
        <f>'6-A'!L32</f>
        <v>1970.0353813831714</v>
      </c>
      <c r="L35" s="39"/>
      <c r="M35" s="38">
        <f t="shared" si="0"/>
        <v>1.2803813831712887</v>
      </c>
    </row>
    <row r="36" spans="2:13" ht="10.5">
      <c r="B36" s="5">
        <v>16</v>
      </c>
      <c r="C36" s="145" t="s">
        <v>207</v>
      </c>
      <c r="I36" s="38">
        <v>3082.8</v>
      </c>
      <c r="J36" s="42"/>
      <c r="K36" s="38">
        <f>'6-A'!L33</f>
        <v>2999.8713128339177</v>
      </c>
      <c r="L36" s="42"/>
      <c r="M36" s="38">
        <f>K36-I36</f>
        <v>-82.92868716608245</v>
      </c>
    </row>
    <row r="37" spans="2:13" ht="10.5">
      <c r="B37" s="5">
        <v>17</v>
      </c>
      <c r="C37" s="2" t="s">
        <v>28</v>
      </c>
      <c r="I37" s="38">
        <v>56.991</v>
      </c>
      <c r="J37" s="39"/>
      <c r="K37" s="38">
        <f>'6-A'!L34</f>
        <v>35.41188125553828</v>
      </c>
      <c r="L37" s="39"/>
      <c r="M37" s="38">
        <f t="shared" si="0"/>
        <v>-21.579118744461717</v>
      </c>
    </row>
    <row r="38" spans="2:13" ht="10.5">
      <c r="B38" s="5">
        <v>18</v>
      </c>
      <c r="C38" s="145" t="s">
        <v>208</v>
      </c>
      <c r="I38" s="38">
        <v>8364.787</v>
      </c>
      <c r="J38" s="42"/>
      <c r="K38" s="38">
        <f>'6-A'!L35</f>
        <v>7859.057148751165</v>
      </c>
      <c r="L38" s="42"/>
      <c r="M38" s="38">
        <f>K38-I38</f>
        <v>-505.7298512488351</v>
      </c>
    </row>
    <row r="39" spans="2:13" ht="10.5">
      <c r="B39" s="5">
        <v>19</v>
      </c>
      <c r="C39" s="2" t="s">
        <v>29</v>
      </c>
      <c r="I39" s="38">
        <v>63.843</v>
      </c>
      <c r="J39" s="39"/>
      <c r="K39" s="38">
        <f>'6-A'!L36</f>
        <v>69.0037501115507</v>
      </c>
      <c r="L39" s="39"/>
      <c r="M39" s="38">
        <f t="shared" si="0"/>
        <v>5.160750111550698</v>
      </c>
    </row>
    <row r="40" spans="2:13" ht="10.5">
      <c r="B40" s="5">
        <v>20</v>
      </c>
      <c r="C40" s="145" t="s">
        <v>209</v>
      </c>
      <c r="I40" s="38">
        <v>2712.703</v>
      </c>
      <c r="J40" s="42"/>
      <c r="K40" s="38">
        <f>'6-A'!L37</f>
        <v>2690.9896615536095</v>
      </c>
      <c r="L40" s="42"/>
      <c r="M40" s="38">
        <f t="shared" si="0"/>
        <v>-21.71333844639048</v>
      </c>
    </row>
    <row r="41" spans="2:13" ht="10.5">
      <c r="B41" s="5">
        <v>22</v>
      </c>
      <c r="C41" s="2" t="s">
        <v>94</v>
      </c>
      <c r="I41" s="38">
        <v>-24.023</v>
      </c>
      <c r="J41" s="42"/>
      <c r="K41" s="38">
        <f>'6-A'!L38</f>
        <v>7.288407619746818</v>
      </c>
      <c r="L41" s="42"/>
      <c r="M41" s="38">
        <f t="shared" si="0"/>
        <v>31.311407619746817</v>
      </c>
    </row>
    <row r="42" spans="2:13" ht="10.5">
      <c r="B42" s="5"/>
      <c r="C42" s="37"/>
      <c r="D42" s="4" t="s">
        <v>33</v>
      </c>
      <c r="E42" s="37"/>
      <c r="G42" s="37"/>
      <c r="H42" s="37"/>
      <c r="I42" s="38">
        <f>SUM(I23:I41)</f>
        <v>72636.24799999999</v>
      </c>
      <c r="J42" s="38"/>
      <c r="K42" s="38">
        <f>SUM(K23:K41)</f>
        <v>74241.92109589925</v>
      </c>
      <c r="L42" s="38"/>
      <c r="M42" s="38">
        <f>SUM(M23:M41)</f>
        <v>1605.6730958992534</v>
      </c>
    </row>
    <row r="43" spans="2:13" ht="10.5">
      <c r="B43" s="5">
        <v>23</v>
      </c>
      <c r="C43" s="2" t="s">
        <v>35</v>
      </c>
      <c r="I43" s="44">
        <v>0</v>
      </c>
      <c r="J43" s="39"/>
      <c r="K43" s="38">
        <v>0</v>
      </c>
      <c r="L43" s="39"/>
      <c r="M43" s="43">
        <f>K43-I43</f>
        <v>0</v>
      </c>
    </row>
    <row r="44" spans="2:13" ht="10.5">
      <c r="B44" s="5"/>
      <c r="D44" t="s">
        <v>95</v>
      </c>
      <c r="F44" s="4"/>
      <c r="H44" s="38">
        <f>+I44</f>
        <v>72636.24799999999</v>
      </c>
      <c r="I44" s="38">
        <f>I42+I43</f>
        <v>72636.24799999999</v>
      </c>
      <c r="J44" s="38"/>
      <c r="K44" s="38">
        <f>K42+K43</f>
        <v>74241.92109589925</v>
      </c>
      <c r="L44" s="39"/>
      <c r="M44" s="43">
        <f t="shared" si="0"/>
        <v>1605.6730958992557</v>
      </c>
    </row>
    <row r="45" spans="2:13" ht="10.5">
      <c r="B45" s="5">
        <v>24</v>
      </c>
      <c r="C45" s="2" t="s">
        <v>37</v>
      </c>
      <c r="G45" s="2"/>
      <c r="H45" s="126">
        <v>0</v>
      </c>
      <c r="J45" s="39"/>
      <c r="K45" s="38"/>
      <c r="L45" s="39"/>
      <c r="M45" s="43"/>
    </row>
    <row r="46" spans="2:13" ht="10.5">
      <c r="B46" s="5"/>
      <c r="H46" s="39"/>
      <c r="J46" s="39"/>
      <c r="K46" s="39"/>
      <c r="L46" s="39"/>
      <c r="M46" s="38"/>
    </row>
    <row r="47" spans="1:13" ht="10.5">
      <c r="A47" t="s">
        <v>96</v>
      </c>
      <c r="B47" s="4" t="s">
        <v>38</v>
      </c>
      <c r="H47" s="38">
        <f>SUM(H44:H46)</f>
        <v>72636.24799999999</v>
      </c>
      <c r="J47" s="39"/>
      <c r="K47" s="38"/>
      <c r="L47" s="39"/>
      <c r="M47" s="38"/>
    </row>
    <row r="48" spans="2:13" ht="10.5">
      <c r="B48" s="5"/>
      <c r="D48" s="37"/>
      <c r="E48" s="37"/>
      <c r="G48" s="37"/>
      <c r="H48" s="37"/>
      <c r="I48" s="39"/>
      <c r="J48" s="39"/>
      <c r="K48" s="38"/>
      <c r="L48" s="39"/>
      <c r="M48" s="38"/>
    </row>
    <row r="49" spans="2:13" ht="10.5">
      <c r="B49" s="5"/>
      <c r="D49" t="s">
        <v>97</v>
      </c>
      <c r="F49" s="37"/>
      <c r="I49" s="38">
        <f>+I19-H47</f>
        <v>281.47099999999045</v>
      </c>
      <c r="J49" s="38"/>
      <c r="K49" s="38"/>
      <c r="L49" s="39"/>
      <c r="M49" s="38"/>
    </row>
    <row r="50" spans="2:13" ht="10.5">
      <c r="B50" s="5"/>
      <c r="D50" t="s">
        <v>36</v>
      </c>
      <c r="I50" s="38">
        <f>+I19-I44</f>
        <v>281.47099999999045</v>
      </c>
      <c r="J50" s="39"/>
      <c r="K50" s="207">
        <f>K19-K44</f>
        <v>-2094.5310958992777</v>
      </c>
      <c r="L50" s="208"/>
      <c r="M50" s="207">
        <f>K50-I50</f>
        <v>-2376.002095899268</v>
      </c>
    </row>
    <row r="51" spans="4:13" ht="10.5">
      <c r="D51" t="s">
        <v>98</v>
      </c>
      <c r="I51" s="38">
        <f>+I19-I42</f>
        <v>281.47099999999045</v>
      </c>
      <c r="J51" s="38"/>
      <c r="K51" s="207">
        <f>+K50</f>
        <v>-2094.5310958992777</v>
      </c>
      <c r="L51" s="208"/>
      <c r="M51" s="207">
        <f>K51-I51</f>
        <v>-2376.002095899268</v>
      </c>
    </row>
    <row r="52" spans="9:13" ht="10.5">
      <c r="I52" s="39"/>
      <c r="J52" s="39"/>
      <c r="K52" s="39"/>
      <c r="L52" s="39"/>
      <c r="M52" s="39"/>
    </row>
    <row r="53" spans="2:8" ht="10.5">
      <c r="B53" s="37" t="s">
        <v>198</v>
      </c>
      <c r="C53" s="37"/>
      <c r="D53" s="37"/>
      <c r="E53" s="37"/>
      <c r="F53" s="37"/>
      <c r="G53" s="37"/>
      <c r="H53" s="37"/>
    </row>
    <row r="54" spans="2:8" ht="10.5">
      <c r="B54" s="37"/>
      <c r="C54" s="37"/>
      <c r="D54" s="37"/>
      <c r="E54" s="37"/>
      <c r="F54" s="37"/>
      <c r="G54" s="37"/>
      <c r="H54" s="37"/>
    </row>
    <row r="55" spans="2:8" ht="10.5">
      <c r="B55" s="37" t="s">
        <v>264</v>
      </c>
      <c r="C55" s="37"/>
      <c r="D55" s="37"/>
      <c r="E55" s="37"/>
      <c r="F55" s="37"/>
      <c r="G55" s="37"/>
      <c r="H55" s="37"/>
    </row>
    <row r="57" ht="10.5">
      <c r="B57" s="45"/>
    </row>
    <row r="58" ht="10.5">
      <c r="B58" s="37"/>
    </row>
  </sheetData>
  <mergeCells count="4">
    <mergeCell ref="A6:N6"/>
    <mergeCell ref="A7:N7"/>
    <mergeCell ref="A8:N8"/>
    <mergeCell ref="A9:N9"/>
  </mergeCells>
  <printOptions/>
  <pageMargins left="0.75" right="0.54" top="1" bottom="1" header="0.5" footer="0.5"/>
  <pageSetup fitToHeight="1" fitToWidth="1" horizontalDpi="300" verticalDpi="3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51"/>
  <sheetViews>
    <sheetView showGridLines="0" zoomScale="75" zoomScaleNormal="75" workbookViewId="0" topLeftCell="B1">
      <selection activeCell="A4" sqref="A4:M4"/>
    </sheetView>
  </sheetViews>
  <sheetFormatPr defaultColWidth="9.33203125" defaultRowHeight="10.5"/>
  <cols>
    <col min="1" max="1" width="13.16015625" style="0" customWidth="1"/>
    <col min="5" max="5" width="29.16015625" style="0" customWidth="1"/>
    <col min="6" max="7" width="13.33203125" style="0" customWidth="1"/>
    <col min="8" max="8" width="12" style="0" customWidth="1"/>
    <col min="9" max="9" width="14" style="0" customWidth="1"/>
    <col min="10" max="10" width="13" style="0" customWidth="1"/>
    <col min="11" max="11" width="13.33203125" style="0" customWidth="1"/>
    <col min="12" max="12" width="12" style="0" customWidth="1"/>
    <col min="14" max="14" width="13" style="0" customWidth="1"/>
  </cols>
  <sheetData>
    <row r="1" spans="1:12" ht="15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174" t="s">
        <v>99</v>
      </c>
    </row>
    <row r="2" spans="1:12" ht="12.7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175" t="s">
        <v>256</v>
      </c>
    </row>
    <row r="3" spans="1:12" ht="10.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 t="s">
        <v>286</v>
      </c>
    </row>
    <row r="4" spans="1:13" ht="15.75">
      <c r="A4" s="216" t="s">
        <v>184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</row>
    <row r="5" spans="1:13" ht="15.75">
      <c r="A5" s="216" t="s">
        <v>242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</row>
    <row r="6" spans="1:13" ht="15.75">
      <c r="A6" s="216" t="s">
        <v>241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</row>
    <row r="7" spans="1:13" ht="16.5" customHeight="1">
      <c r="A7" s="217" t="s">
        <v>4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</row>
    <row r="8" spans="1:12" ht="15" customHeight="1">
      <c r="A8" s="49"/>
      <c r="B8" s="49"/>
      <c r="C8" s="46"/>
      <c r="D8" s="50"/>
      <c r="E8" s="49"/>
      <c r="F8" s="215" t="s">
        <v>73</v>
      </c>
      <c r="G8" s="215"/>
      <c r="H8" s="48"/>
      <c r="I8" s="214" t="s">
        <v>204</v>
      </c>
      <c r="J8" s="214"/>
      <c r="K8" s="49"/>
      <c r="L8" s="46"/>
    </row>
    <row r="9" spans="1:12" ht="10.5">
      <c r="A9" s="49"/>
      <c r="B9" s="49"/>
      <c r="C9" s="49"/>
      <c r="D9" s="49"/>
      <c r="E9" s="51"/>
      <c r="F9" s="48"/>
      <c r="G9" s="48"/>
      <c r="H9" s="56" t="s">
        <v>100</v>
      </c>
      <c r="I9" s="52"/>
      <c r="J9" s="144"/>
      <c r="K9" s="51" t="s">
        <v>100</v>
      </c>
      <c r="L9" s="51" t="s">
        <v>101</v>
      </c>
    </row>
    <row r="10" spans="1:12" ht="15.75">
      <c r="A10" s="46"/>
      <c r="B10" s="53"/>
      <c r="C10" s="49"/>
      <c r="D10" s="49"/>
      <c r="E10" s="51"/>
      <c r="F10" s="48" t="s">
        <v>203</v>
      </c>
      <c r="G10" s="48"/>
      <c r="H10" s="56" t="s">
        <v>86</v>
      </c>
      <c r="I10" s="52" t="s">
        <v>203</v>
      </c>
      <c r="J10" s="144" t="s">
        <v>202</v>
      </c>
      <c r="K10" s="51" t="s">
        <v>86</v>
      </c>
      <c r="L10" s="51" t="s">
        <v>102</v>
      </c>
    </row>
    <row r="11" spans="1:12" ht="10.5">
      <c r="A11" s="46"/>
      <c r="B11" s="49"/>
      <c r="C11" s="49"/>
      <c r="D11" s="49"/>
      <c r="E11" s="51"/>
      <c r="F11" s="54" t="s">
        <v>155</v>
      </c>
      <c r="G11" s="54" t="s">
        <v>5</v>
      </c>
      <c r="H11" s="56" t="s">
        <v>89</v>
      </c>
      <c r="I11" s="54" t="s">
        <v>205</v>
      </c>
      <c r="J11" s="54" t="s">
        <v>155</v>
      </c>
      <c r="K11" s="54" t="s">
        <v>89</v>
      </c>
      <c r="L11" s="54" t="s">
        <v>105</v>
      </c>
    </row>
    <row r="12" spans="1:10" ht="10.5">
      <c r="A12" s="46"/>
      <c r="B12" s="11" t="s">
        <v>2</v>
      </c>
      <c r="C12" s="54"/>
      <c r="D12" s="54"/>
      <c r="E12" s="54"/>
      <c r="F12" s="55" t="s">
        <v>103</v>
      </c>
      <c r="G12" s="55" t="s">
        <v>104</v>
      </c>
      <c r="I12" s="55" t="s">
        <v>103</v>
      </c>
      <c r="J12" s="55" t="s">
        <v>104</v>
      </c>
    </row>
    <row r="13" spans="1:14" ht="10.5">
      <c r="A13" s="49"/>
      <c r="B13" s="11" t="s">
        <v>9</v>
      </c>
      <c r="C13" s="57"/>
      <c r="D13" s="57"/>
      <c r="E13" s="57"/>
      <c r="F13" s="41">
        <v>69930.364</v>
      </c>
      <c r="G13" s="41">
        <f>'6-A'!J12</f>
        <v>69753.52</v>
      </c>
      <c r="H13" s="176">
        <f>(G13-F13)/F13*100</f>
        <v>-0.25288585656439216</v>
      </c>
      <c r="I13" s="41">
        <f>'6-J-1'!I15</f>
        <v>72455.76099999998</v>
      </c>
      <c r="J13" s="191">
        <f>'6-A'!L12</f>
        <v>71791.35499999998</v>
      </c>
      <c r="K13" s="192">
        <f>(J13-I13)/I13*100</f>
        <v>-0.9169816048167693</v>
      </c>
      <c r="L13" s="176">
        <f>(G13/(G13+J13)*H13)+(J13/(G13+J13)*K13)</f>
        <v>-0.5897142554504488</v>
      </c>
      <c r="M13" s="41"/>
      <c r="N13" s="41"/>
    </row>
    <row r="14" spans="1:12" ht="10.5">
      <c r="A14" s="49"/>
      <c r="B14" s="11" t="s">
        <v>10</v>
      </c>
      <c r="C14" s="57"/>
      <c r="D14" s="57"/>
      <c r="E14" s="57"/>
      <c r="F14" s="41">
        <v>119.6</v>
      </c>
      <c r="G14" s="41">
        <f>'6-A'!J13</f>
        <v>153.87</v>
      </c>
      <c r="H14" s="176">
        <f>(G14-F14)/F14*100</f>
        <v>28.653846153846164</v>
      </c>
      <c r="I14" s="41">
        <f>'6-J-1'!I16</f>
        <v>222.837</v>
      </c>
      <c r="J14" s="41">
        <f>'6-A'!L13</f>
        <v>169.919</v>
      </c>
      <c r="K14" s="176">
        <f>(J14-I14)/I14*100</f>
        <v>-23.747402810125777</v>
      </c>
      <c r="L14" s="176">
        <f>(G14/(G14+J14)*H14)+(J14/(G14+J14)*K14)</f>
        <v>1.1545554963218247</v>
      </c>
    </row>
    <row r="15" spans="1:12" ht="10.5">
      <c r="A15" s="51" t="s">
        <v>106</v>
      </c>
      <c r="B15" s="11" t="s">
        <v>107</v>
      </c>
      <c r="C15" s="57"/>
      <c r="D15" s="57"/>
      <c r="E15" s="57"/>
      <c r="F15" s="41">
        <v>97.613</v>
      </c>
      <c r="G15" s="41">
        <f>'6-A'!J14</f>
        <v>85.451</v>
      </c>
      <c r="H15" s="176">
        <f>(G15-F15)/F15*100</f>
        <v>-12.459406021738914</v>
      </c>
      <c r="I15" s="41">
        <f>'6-J-1'!I17</f>
        <v>239.121</v>
      </c>
      <c r="J15" s="41">
        <f>'6-A'!L14</f>
        <v>186.11599999999999</v>
      </c>
      <c r="K15" s="176">
        <f>(J15-I15)/I15*100</f>
        <v>-22.166601845927385</v>
      </c>
      <c r="L15" s="176">
        <f>(G15/(G15+J15)*H15)+(J15/(G15+J15)*K15)</f>
        <v>-19.112145338425627</v>
      </c>
    </row>
    <row r="16" spans="1:12" ht="10.5">
      <c r="A16" s="51" t="s">
        <v>108</v>
      </c>
      <c r="B16" s="11" t="s">
        <v>109</v>
      </c>
      <c r="C16" s="57"/>
      <c r="D16" s="57"/>
      <c r="E16" s="57"/>
      <c r="F16" s="41">
        <f>SUM(F13:F15)</f>
        <v>70147.577</v>
      </c>
      <c r="G16" s="41">
        <f>SUM(G13:G15)</f>
        <v>69992.841</v>
      </c>
      <c r="H16" s="176">
        <f>(G16-F16)/F16*100</f>
        <v>-0.22058637891370705</v>
      </c>
      <c r="I16" s="41">
        <f>SUM(I13:I15)</f>
        <v>72917.71899999998</v>
      </c>
      <c r="J16" s="191">
        <f>SUM(J13:J15)</f>
        <v>72147.38999999997</v>
      </c>
      <c r="K16" s="176">
        <f>(J16-I16)/I16*100</f>
        <v>-1.0564359535163361</v>
      </c>
      <c r="L16" s="192">
        <f>(G16/(G16+J16)*H16)+(J16/(G16+J16)*K16)</f>
        <v>-0.6448460330308441</v>
      </c>
    </row>
    <row r="17" spans="1:12" ht="10.5">
      <c r="A17" s="49"/>
      <c r="B17" s="11" t="s">
        <v>13</v>
      </c>
      <c r="C17" s="57"/>
      <c r="D17" s="57"/>
      <c r="E17" s="57"/>
      <c r="F17" s="57"/>
      <c r="G17" s="57"/>
      <c r="H17" s="177"/>
      <c r="I17" s="57"/>
      <c r="J17" s="57"/>
      <c r="K17" s="177"/>
      <c r="L17" s="177"/>
    </row>
    <row r="18" spans="1:12" ht="10.5">
      <c r="A18" s="58" t="s">
        <v>110</v>
      </c>
      <c r="B18" s="59" t="s">
        <v>14</v>
      </c>
      <c r="C18" s="60"/>
      <c r="D18" s="60"/>
      <c r="E18" s="60"/>
      <c r="F18" s="41">
        <v>2175.801</v>
      </c>
      <c r="G18" s="41">
        <f>'6-A'!J20</f>
        <v>2136.8529227599997</v>
      </c>
      <c r="H18" s="176">
        <f aca="true" t="shared" si="0" ref="H18:H36">(G18-F18)/F18*100</f>
        <v>-1.790056960172378</v>
      </c>
      <c r="I18" s="41">
        <f>'6-J-1'!I23</f>
        <v>2310.398</v>
      </c>
      <c r="J18" s="41">
        <f>'6-A'!L20</f>
        <v>2260.8228368676114</v>
      </c>
      <c r="K18" s="176">
        <f aca="true" t="shared" si="1" ref="K18:K23">(J18-I18)/I18*100</f>
        <v>-2.1457412589687466</v>
      </c>
      <c r="L18" s="176">
        <f aca="true" t="shared" si="2" ref="L18:L23">(G18/(G18+J18)*H18)+(J18/(G18+J18)*K18)</f>
        <v>-1.9729124568909824</v>
      </c>
    </row>
    <row r="19" spans="1:12" ht="10.5">
      <c r="A19" s="58" t="s">
        <v>111</v>
      </c>
      <c r="B19" s="59" t="s">
        <v>15</v>
      </c>
      <c r="C19" s="60"/>
      <c r="D19" s="60"/>
      <c r="E19" s="60"/>
      <c r="F19" s="41">
        <v>4080.711</v>
      </c>
      <c r="G19" s="41">
        <f>'6-A'!J21</f>
        <v>4107.156094329999</v>
      </c>
      <c r="H19" s="176">
        <f t="shared" si="0"/>
        <v>0.6480511442736179</v>
      </c>
      <c r="I19" s="41">
        <f>'6-J-1'!I24</f>
        <v>4242.692</v>
      </c>
      <c r="J19" s="41">
        <f>'6-A'!L21</f>
        <v>4268.959800054099</v>
      </c>
      <c r="K19" s="176">
        <f t="shared" si="1"/>
        <v>0.6191304967246998</v>
      </c>
      <c r="L19" s="176">
        <f t="shared" si="2"/>
        <v>0.633311486497316</v>
      </c>
    </row>
    <row r="20" spans="1:12" ht="10.5">
      <c r="A20" s="58" t="s">
        <v>112</v>
      </c>
      <c r="B20" s="59" t="s">
        <v>16</v>
      </c>
      <c r="C20" s="60"/>
      <c r="D20" s="60"/>
      <c r="E20" s="60"/>
      <c r="F20" s="41">
        <v>18500.863</v>
      </c>
      <c r="G20" s="41">
        <f>'6-A'!J22</f>
        <v>18861.013882820003</v>
      </c>
      <c r="H20" s="176">
        <f t="shared" si="0"/>
        <v>1.9466707191983537</v>
      </c>
      <c r="I20" s="41">
        <f>'6-J-1'!I25</f>
        <v>18003.208</v>
      </c>
      <c r="J20" s="41">
        <f>'6-A'!L22</f>
        <v>18843.323710025015</v>
      </c>
      <c r="K20" s="176">
        <f t="shared" si="1"/>
        <v>4.666477830090153</v>
      </c>
      <c r="L20" s="176">
        <f t="shared" si="2"/>
        <v>3.305936233230023</v>
      </c>
    </row>
    <row r="21" spans="1:12" ht="10.5">
      <c r="A21" s="58" t="s">
        <v>113</v>
      </c>
      <c r="B21" s="59" t="s">
        <v>17</v>
      </c>
      <c r="C21" s="60"/>
      <c r="D21" s="60"/>
      <c r="E21" s="60"/>
      <c r="F21" s="41">
        <v>6.768</v>
      </c>
      <c r="G21" s="41">
        <f>'6-A'!J23</f>
        <v>5.973606009999999</v>
      </c>
      <c r="H21" s="176">
        <f t="shared" si="0"/>
        <v>-11.737499852245872</v>
      </c>
      <c r="I21" s="41">
        <f>'6-J-1'!I26</f>
        <v>6.975</v>
      </c>
      <c r="J21" s="41">
        <f>'6-A'!L23</f>
        <v>6.239508612317367</v>
      </c>
      <c r="K21" s="176">
        <f t="shared" si="1"/>
        <v>-10.544679393299388</v>
      </c>
      <c r="L21" s="176">
        <f t="shared" si="2"/>
        <v>-11.128104644168086</v>
      </c>
    </row>
    <row r="22" spans="1:12" ht="10.5">
      <c r="A22" s="58" t="s">
        <v>114</v>
      </c>
      <c r="B22" s="59" t="s">
        <v>18</v>
      </c>
      <c r="C22" s="60"/>
      <c r="D22" s="60"/>
      <c r="E22" s="60"/>
      <c r="F22" s="41">
        <v>15535.493</v>
      </c>
      <c r="G22" s="41">
        <f>'6-A'!J24</f>
        <v>15673.636966409998</v>
      </c>
      <c r="H22" s="176">
        <f t="shared" si="0"/>
        <v>0.8892152081044227</v>
      </c>
      <c r="I22" s="41">
        <f>'6-J-1'!I27</f>
        <v>15700.584</v>
      </c>
      <c r="J22" s="41">
        <f>'6-A'!L24</f>
        <v>16208.336709876356</v>
      </c>
      <c r="K22" s="176">
        <f t="shared" si="1"/>
        <v>3.2339733979089873</v>
      </c>
      <c r="L22" s="176">
        <f t="shared" si="2"/>
        <v>2.081256536206397</v>
      </c>
    </row>
    <row r="23" spans="1:12" ht="10.5">
      <c r="A23" s="58" t="s">
        <v>115</v>
      </c>
      <c r="B23" s="59" t="s">
        <v>20</v>
      </c>
      <c r="C23" s="60"/>
      <c r="D23" s="60"/>
      <c r="E23" s="60"/>
      <c r="F23" s="41">
        <v>608.943</v>
      </c>
      <c r="G23" s="41">
        <f>'6-A'!J25</f>
        <v>607.2586812800001</v>
      </c>
      <c r="H23" s="176">
        <f t="shared" si="0"/>
        <v>-0.2765971067899378</v>
      </c>
      <c r="I23" s="41">
        <f>'6-J-1'!I28</f>
        <v>623.639</v>
      </c>
      <c r="J23" s="41">
        <f>'6-A'!L25</f>
        <v>633.2440462350431</v>
      </c>
      <c r="K23" s="176">
        <f t="shared" si="1"/>
        <v>1.5401612527508892</v>
      </c>
      <c r="L23" s="176">
        <f t="shared" si="2"/>
        <v>0.6508102975706636</v>
      </c>
    </row>
    <row r="24" spans="1:12" ht="10.5">
      <c r="A24" s="58" t="s">
        <v>116</v>
      </c>
      <c r="B24" s="59" t="s">
        <v>21</v>
      </c>
      <c r="C24" s="60"/>
      <c r="D24" s="60"/>
      <c r="E24" s="60"/>
      <c r="F24" s="41">
        <v>0</v>
      </c>
      <c r="G24" s="41">
        <f>'6-A'!J26</f>
        <v>0</v>
      </c>
      <c r="H24" s="176"/>
      <c r="I24" s="41">
        <f>'6-J-1'!I29</f>
        <v>0</v>
      </c>
      <c r="J24" s="41">
        <f>'6-A'!L26</f>
        <v>0</v>
      </c>
      <c r="K24" s="176"/>
      <c r="L24" s="176"/>
    </row>
    <row r="25" spans="1:12" ht="10.5">
      <c r="A25" s="58" t="s">
        <v>117</v>
      </c>
      <c r="B25" s="59" t="s">
        <v>22</v>
      </c>
      <c r="C25" s="60"/>
      <c r="D25" s="60"/>
      <c r="E25" s="60"/>
      <c r="F25" s="41">
        <v>5569.964</v>
      </c>
      <c r="G25" s="41">
        <f>'6-A'!J27</f>
        <v>5598.39189785</v>
      </c>
      <c r="H25" s="176">
        <f t="shared" si="0"/>
        <v>0.5103784844928922</v>
      </c>
      <c r="I25" s="41">
        <f>'6-J-1'!I30</f>
        <v>5810.427</v>
      </c>
      <c r="J25" s="41">
        <f>'6-A'!L27</f>
        <v>5915.309309074978</v>
      </c>
      <c r="K25" s="176">
        <f aca="true" t="shared" si="3" ref="K25:K36">(J25-I25)/I25*100</f>
        <v>1.805070592487925</v>
      </c>
      <c r="L25" s="176">
        <f aca="true" t="shared" si="4" ref="L25:L36">(G25/(G25+J25)*H25)+(J25/(G25+J25)*K25)</f>
        <v>1.1755428952388194</v>
      </c>
    </row>
    <row r="26" spans="1:12" ht="10.5">
      <c r="A26" s="58" t="s">
        <v>118</v>
      </c>
      <c r="B26" s="59" t="s">
        <v>23</v>
      </c>
      <c r="C26" s="60"/>
      <c r="D26" s="60"/>
      <c r="E26" s="60"/>
      <c r="F26" s="41">
        <v>3087.11</v>
      </c>
      <c r="G26" s="41">
        <f>'6-A'!J28</f>
        <v>3125.0270591500007</v>
      </c>
      <c r="H26" s="176">
        <f t="shared" si="0"/>
        <v>1.22823803330625</v>
      </c>
      <c r="I26" s="41">
        <f>'6-J-1'!I31</f>
        <v>3181.028</v>
      </c>
      <c r="J26" s="41">
        <f>'6-A'!L28</f>
        <v>3284.0853058301755</v>
      </c>
      <c r="K26" s="176">
        <f t="shared" si="3"/>
        <v>3.2397484659102553</v>
      </c>
      <c r="L26" s="176">
        <f t="shared" si="4"/>
        <v>2.258953595469646</v>
      </c>
    </row>
    <row r="27" spans="1:12" ht="10.5">
      <c r="A27" s="58" t="s">
        <v>119</v>
      </c>
      <c r="B27" s="59" t="s">
        <v>24</v>
      </c>
      <c r="C27" s="60"/>
      <c r="D27" s="60"/>
      <c r="E27" s="60"/>
      <c r="F27" s="41">
        <v>991.925</v>
      </c>
      <c r="G27" s="41">
        <f>'6-A'!J29</f>
        <v>1016.82876299</v>
      </c>
      <c r="H27" s="176">
        <f t="shared" si="0"/>
        <v>2.510649796103538</v>
      </c>
      <c r="I27" s="41">
        <f>'6-J-1'!I32</f>
        <v>1000.584</v>
      </c>
      <c r="J27" s="41">
        <f>'6-A'!L29</f>
        <v>1065.8722663223816</v>
      </c>
      <c r="K27" s="176">
        <f t="shared" si="3"/>
        <v>6.525016022880806</v>
      </c>
      <c r="L27" s="176">
        <f t="shared" si="4"/>
        <v>4.565098114783147</v>
      </c>
    </row>
    <row r="28" spans="1:12" ht="10.5">
      <c r="A28" s="58" t="s">
        <v>120</v>
      </c>
      <c r="B28" s="59" t="s">
        <v>25</v>
      </c>
      <c r="C28" s="60"/>
      <c r="D28" s="60"/>
      <c r="E28" s="60"/>
      <c r="F28" s="41">
        <v>300.669</v>
      </c>
      <c r="G28" s="41">
        <f>'6-A'!J30</f>
        <v>320.13601585000004</v>
      </c>
      <c r="H28" s="176">
        <f t="shared" si="0"/>
        <v>6.474566998925748</v>
      </c>
      <c r="I28" s="41">
        <f>'6-J-1'!I33</f>
        <v>312.788</v>
      </c>
      <c r="J28" s="41">
        <f>'6-A'!L30</f>
        <v>339.7511448527207</v>
      </c>
      <c r="K28" s="176">
        <f t="shared" si="3"/>
        <v>8.620261919485623</v>
      </c>
      <c r="L28" s="176">
        <f t="shared" si="4"/>
        <v>7.579304822569055</v>
      </c>
    </row>
    <row r="29" spans="1:12" ht="10.5">
      <c r="A29" s="58" t="s">
        <v>121</v>
      </c>
      <c r="B29" s="59" t="s">
        <v>26</v>
      </c>
      <c r="C29" s="60"/>
      <c r="D29" s="60"/>
      <c r="E29" s="60"/>
      <c r="F29" s="41">
        <v>5249.15</v>
      </c>
      <c r="G29" s="41">
        <f>'6-A'!J31</f>
        <v>5436.764856089999</v>
      </c>
      <c r="H29" s="176">
        <f t="shared" si="0"/>
        <v>3.574194985664331</v>
      </c>
      <c r="I29" s="41">
        <f>'6-J-1'!I34</f>
        <v>5218.069</v>
      </c>
      <c r="J29" s="41">
        <f>'6-A'!L31</f>
        <v>5784.318914639855</v>
      </c>
      <c r="K29" s="176">
        <f t="shared" si="3"/>
        <v>10.851713816736709</v>
      </c>
      <c r="L29" s="176">
        <f t="shared" si="4"/>
        <v>7.3256588091521815</v>
      </c>
    </row>
    <row r="30" spans="1:12" ht="10.5">
      <c r="A30" s="58" t="s">
        <v>122</v>
      </c>
      <c r="B30" s="59" t="s">
        <v>27</v>
      </c>
      <c r="C30" s="60"/>
      <c r="D30" s="60"/>
      <c r="E30" s="60"/>
      <c r="F30" s="41">
        <v>1924.246</v>
      </c>
      <c r="G30" s="41">
        <f>'6-A'!J32</f>
        <v>1832.1323336300002</v>
      </c>
      <c r="H30" s="176">
        <f t="shared" si="0"/>
        <v>-4.787000537873012</v>
      </c>
      <c r="I30" s="41">
        <f>'6-J-1'!I35</f>
        <v>1968.755</v>
      </c>
      <c r="J30" s="41">
        <f>'6-A'!L32</f>
        <v>1970.0353813831714</v>
      </c>
      <c r="K30" s="176">
        <f t="shared" si="3"/>
        <v>0.06503507969103767</v>
      </c>
      <c r="L30" s="176">
        <f t="shared" si="4"/>
        <v>-2.272992068286233</v>
      </c>
    </row>
    <row r="31" spans="1:12" ht="10.5">
      <c r="A31" s="58" t="s">
        <v>125</v>
      </c>
      <c r="B31" s="50" t="s">
        <v>210</v>
      </c>
      <c r="C31" s="60"/>
      <c r="D31" s="60"/>
      <c r="E31" s="60"/>
      <c r="F31" s="41">
        <v>3008.489</v>
      </c>
      <c r="G31" s="41">
        <f>'6-A'!J33</f>
        <v>2887.3972526600005</v>
      </c>
      <c r="H31" s="176">
        <f>(G31-F31)/F31*100</f>
        <v>-4.025002163544541</v>
      </c>
      <c r="I31" s="41">
        <f>'6-J-1'!I36</f>
        <v>3082.8</v>
      </c>
      <c r="J31" s="41">
        <f>'6-A'!L33</f>
        <v>2999.8713128339177</v>
      </c>
      <c r="K31" s="176">
        <f>(J31-I31)/I31*100</f>
        <v>-2.690044348192632</v>
      </c>
      <c r="L31" s="176">
        <f>(G31/(G31+J31)*H31)+(J31/(G31+J31)*K31)</f>
        <v>-3.3447713214202786</v>
      </c>
    </row>
    <row r="32" spans="1:12" ht="10.5">
      <c r="A32" s="58" t="s">
        <v>123</v>
      </c>
      <c r="B32" s="59" t="s">
        <v>28</v>
      </c>
      <c r="C32" s="60"/>
      <c r="D32" s="60"/>
      <c r="E32" s="60"/>
      <c r="F32" s="41">
        <v>56.991</v>
      </c>
      <c r="G32" s="41">
        <f>'6-A'!J34</f>
        <v>40.7272305</v>
      </c>
      <c r="H32" s="176">
        <f t="shared" si="0"/>
        <v>-28.537434858135498</v>
      </c>
      <c r="I32" s="41">
        <f>'6-J-1'!I37</f>
        <v>56.991</v>
      </c>
      <c r="J32" s="41">
        <f>'6-A'!L34</f>
        <v>35.41188125553828</v>
      </c>
      <c r="K32" s="176">
        <f t="shared" si="3"/>
        <v>-37.8640815996591</v>
      </c>
      <c r="L32" s="176">
        <f t="shared" si="4"/>
        <v>-32.87520685610161</v>
      </c>
    </row>
    <row r="33" spans="1:12" ht="10.5">
      <c r="A33" s="58" t="s">
        <v>126</v>
      </c>
      <c r="B33" s="50" t="s">
        <v>211</v>
      </c>
      <c r="C33" s="60"/>
      <c r="D33" s="60"/>
      <c r="E33" s="60"/>
      <c r="F33" s="41">
        <v>4724.146</v>
      </c>
      <c r="G33" s="41">
        <f>'6-A'!J35</f>
        <v>4328.5565338999995</v>
      </c>
      <c r="H33" s="176">
        <f>(G33-F33)/F33*100</f>
        <v>-8.373777315519042</v>
      </c>
      <c r="I33" s="41">
        <f>'6-J-1'!I38</f>
        <v>8364.787</v>
      </c>
      <c r="J33" s="41">
        <f>'6-A'!L35</f>
        <v>7859.057148751165</v>
      </c>
      <c r="K33" s="176">
        <f>(J33-I33)/I33*100</f>
        <v>-6.045938184066553</v>
      </c>
      <c r="L33" s="176">
        <f>(G33/(G33+J33)*H33)+(J33/(G33+J33)*K33)</f>
        <v>-6.872694228743292</v>
      </c>
    </row>
    <row r="34" spans="1:12" ht="10.5">
      <c r="A34" s="58" t="s">
        <v>124</v>
      </c>
      <c r="B34" s="59" t="s">
        <v>29</v>
      </c>
      <c r="C34" s="60"/>
      <c r="D34" s="60"/>
      <c r="E34" s="60"/>
      <c r="F34" s="41">
        <v>62.728</v>
      </c>
      <c r="G34" s="41">
        <f>'6-A'!J36</f>
        <v>59.799235620000005</v>
      </c>
      <c r="H34" s="176">
        <f t="shared" si="0"/>
        <v>-4.668990530544568</v>
      </c>
      <c r="I34" s="41">
        <f>'6-J-1'!I39</f>
        <v>63.843</v>
      </c>
      <c r="J34" s="41">
        <f>'6-A'!L36</f>
        <v>69.0037501115507</v>
      </c>
      <c r="K34" s="176">
        <f t="shared" si="3"/>
        <v>8.083501889871556</v>
      </c>
      <c r="L34" s="176">
        <f t="shared" si="4"/>
        <v>2.1629147648175966</v>
      </c>
    </row>
    <row r="35" spans="1:12" ht="10.5">
      <c r="A35" s="58" t="s">
        <v>127</v>
      </c>
      <c r="B35" s="50" t="s">
        <v>32</v>
      </c>
      <c r="C35" s="60"/>
      <c r="D35" s="60"/>
      <c r="E35" s="60"/>
      <c r="F35" s="41">
        <v>2596.416</v>
      </c>
      <c r="G35" s="41">
        <f>'6-A'!J37</f>
        <v>2510.00620763</v>
      </c>
      <c r="H35" s="176">
        <f t="shared" si="0"/>
        <v>-3.3280411293875907</v>
      </c>
      <c r="I35" s="41">
        <f>'6-J-1'!I40</f>
        <v>2712.703</v>
      </c>
      <c r="J35" s="41">
        <f>'6-A'!L37</f>
        <v>2690.9896615536095</v>
      </c>
      <c r="K35" s="176">
        <f t="shared" si="3"/>
        <v>-0.8004318366732547</v>
      </c>
      <c r="L35" s="176">
        <f t="shared" si="4"/>
        <v>-2.0202588034214735</v>
      </c>
    </row>
    <row r="36" spans="1:12" ht="10.5">
      <c r="A36" s="48"/>
      <c r="B36" s="11" t="s">
        <v>94</v>
      </c>
      <c r="C36" s="57"/>
      <c r="D36" s="57"/>
      <c r="E36" s="57"/>
      <c r="F36" s="41">
        <v>-12.734</v>
      </c>
      <c r="G36" s="41">
        <f>'6-A'!J38</f>
        <v>0</v>
      </c>
      <c r="H36" s="176">
        <f t="shared" si="0"/>
        <v>-100</v>
      </c>
      <c r="I36" s="41">
        <f>'6-J-1'!I41</f>
        <v>-24.023</v>
      </c>
      <c r="J36" s="41">
        <f>'6-A'!L38</f>
        <v>7.288407619746818</v>
      </c>
      <c r="K36" s="176">
        <f t="shared" si="3"/>
        <v>-130.33928992942936</v>
      </c>
      <c r="L36" s="176">
        <f t="shared" si="4"/>
        <v>-130.33928992942936</v>
      </c>
    </row>
    <row r="37" spans="1:12" ht="10.5">
      <c r="A37" s="48"/>
      <c r="B37" s="11" t="s">
        <v>33</v>
      </c>
      <c r="C37" s="57"/>
      <c r="D37" s="57"/>
      <c r="E37" s="57"/>
      <c r="F37" s="41">
        <f>SUM(F18:F36)</f>
        <v>68467.679</v>
      </c>
      <c r="G37" s="41">
        <f>SUM(G18:G36)</f>
        <v>68547.65953947998</v>
      </c>
      <c r="H37" s="176">
        <f>(G37-F37)/F37*100</f>
        <v>0.11681502958494747</v>
      </c>
      <c r="I37" s="41">
        <f>SUM(I18:I36)</f>
        <v>72636.24799999999</v>
      </c>
      <c r="J37" s="41">
        <f>SUM(J18:J36)</f>
        <v>74241.92109589925</v>
      </c>
      <c r="K37" s="176">
        <f>(J37-I37)/I37*100</f>
        <v>2.2105672307017508</v>
      </c>
      <c r="L37" s="176">
        <f>(G37/(G37+J37)*H37)+(J37/(G37+J37)*K37)</f>
        <v>1.2054391786159193</v>
      </c>
    </row>
    <row r="38" spans="1:12" ht="10.5">
      <c r="A38" s="48"/>
      <c r="B38" s="11" t="s">
        <v>35</v>
      </c>
      <c r="C38" s="57"/>
      <c r="D38" s="57"/>
      <c r="E38" s="57"/>
      <c r="F38" s="41"/>
      <c r="G38" s="41"/>
      <c r="H38" s="176"/>
      <c r="I38" s="41">
        <f>'6-J-1'!I43</f>
        <v>0</v>
      </c>
      <c r="J38" s="41">
        <f>'6-A'!L40</f>
        <v>0</v>
      </c>
      <c r="K38" s="176"/>
      <c r="L38" s="176"/>
    </row>
    <row r="39" spans="1:12" ht="10.5">
      <c r="A39" s="48"/>
      <c r="B39" s="11" t="s">
        <v>128</v>
      </c>
      <c r="C39" s="57"/>
      <c r="D39" s="57"/>
      <c r="E39" s="57"/>
      <c r="F39" s="41">
        <f>F37+F38</f>
        <v>68467.679</v>
      </c>
      <c r="G39" s="41">
        <f>G37+G38</f>
        <v>68547.65953947998</v>
      </c>
      <c r="H39" s="176">
        <f>(G39-F39)/F39*100</f>
        <v>0.11681502958494747</v>
      </c>
      <c r="I39" s="41">
        <f>I37+I38</f>
        <v>72636.24799999999</v>
      </c>
      <c r="J39" s="41">
        <f>J37+J38</f>
        <v>74241.92109589925</v>
      </c>
      <c r="K39" s="176">
        <f>(J39-I39)/I39*100</f>
        <v>2.2105672307017508</v>
      </c>
      <c r="L39" s="176">
        <f>(G39/(G39+J39)*H39)+(J39/(G39+J39)*K39)</f>
        <v>1.2054391786159193</v>
      </c>
    </row>
    <row r="40" spans="1:12" ht="10.5">
      <c r="A40" s="48"/>
      <c r="B40" s="11" t="s">
        <v>37</v>
      </c>
      <c r="C40" s="57"/>
      <c r="D40" s="57"/>
      <c r="E40" s="57"/>
      <c r="F40" s="41"/>
      <c r="G40" s="41"/>
      <c r="H40" s="41"/>
      <c r="I40" s="41">
        <f>'6-J-1'!H45</f>
        <v>0</v>
      </c>
      <c r="J40" s="41">
        <f>'6-A'!L42</f>
        <v>0</v>
      </c>
      <c r="K40" s="41"/>
      <c r="L40" s="41"/>
    </row>
    <row r="41" spans="1:12" ht="10.5">
      <c r="A41" s="48"/>
      <c r="B41" s="11" t="s">
        <v>38</v>
      </c>
      <c r="C41" s="57"/>
      <c r="D41" s="57"/>
      <c r="E41" s="57"/>
      <c r="F41" s="57"/>
      <c r="G41" s="57"/>
      <c r="H41" s="41"/>
      <c r="I41" s="41">
        <f>I39+I40</f>
        <v>72636.24799999999</v>
      </c>
      <c r="J41" s="41">
        <f>J39+J40</f>
        <v>74241.92109589925</v>
      </c>
      <c r="K41" s="41"/>
      <c r="L41" s="41"/>
    </row>
    <row r="42" spans="1:12" ht="10.5">
      <c r="A42" s="48"/>
      <c r="B42" s="11"/>
      <c r="C42" s="57"/>
      <c r="D42" s="57"/>
      <c r="E42" s="57"/>
      <c r="F42" s="57"/>
      <c r="G42" s="57"/>
      <c r="H42" s="57"/>
      <c r="I42" s="57"/>
      <c r="J42" s="57"/>
      <c r="K42" s="57"/>
      <c r="L42" s="57"/>
    </row>
    <row r="43" spans="1:12" ht="10.5">
      <c r="A43" s="11" t="s">
        <v>129</v>
      </c>
      <c r="B43" s="11" t="s">
        <v>130</v>
      </c>
      <c r="C43" s="57"/>
      <c r="D43" s="57"/>
      <c r="E43" s="57"/>
      <c r="F43" s="57"/>
      <c r="G43" s="57"/>
      <c r="H43" s="57"/>
      <c r="I43" s="57"/>
      <c r="J43" s="57"/>
      <c r="K43" s="57"/>
      <c r="L43" s="61"/>
    </row>
    <row r="44" spans="1:12" ht="10.5">
      <c r="A44" s="47"/>
      <c r="B44" s="11" t="s">
        <v>131</v>
      </c>
      <c r="C44" s="47"/>
      <c r="D44" s="47"/>
      <c r="E44" s="47"/>
      <c r="F44" s="47"/>
      <c r="G44" s="47"/>
      <c r="H44" s="47"/>
      <c r="I44" s="47"/>
      <c r="J44" s="47"/>
      <c r="K44" s="47"/>
      <c r="L44" s="62"/>
    </row>
    <row r="45" spans="1:12" ht="10.5">
      <c r="A45" s="47"/>
      <c r="B45" s="11"/>
      <c r="C45" s="47"/>
      <c r="D45" s="47"/>
      <c r="E45" s="47"/>
      <c r="F45" s="47"/>
      <c r="G45" s="47"/>
      <c r="H45" s="47"/>
      <c r="I45" s="47"/>
      <c r="J45" s="47"/>
      <c r="K45" s="47"/>
      <c r="L45" s="62"/>
    </row>
    <row r="46" spans="1:12" ht="12.75">
      <c r="A46" s="47"/>
      <c r="B46" s="63" t="s">
        <v>132</v>
      </c>
      <c r="C46" s="64"/>
      <c r="D46" s="64"/>
      <c r="E46" s="64"/>
      <c r="F46" s="64"/>
      <c r="G46" s="64"/>
      <c r="H46" s="64"/>
      <c r="I46" s="47"/>
      <c r="J46" s="47"/>
      <c r="K46" s="47"/>
      <c r="L46" s="47"/>
    </row>
    <row r="47" spans="1:12" ht="12.75">
      <c r="A47" s="47"/>
      <c r="B47" s="63" t="s">
        <v>226</v>
      </c>
      <c r="C47" s="64"/>
      <c r="D47" s="64"/>
      <c r="E47" s="64"/>
      <c r="F47" s="64"/>
      <c r="G47" s="64"/>
      <c r="H47" s="64"/>
      <c r="I47" s="47"/>
      <c r="J47" s="47"/>
      <c r="K47" s="47"/>
      <c r="L47" s="47"/>
    </row>
    <row r="48" spans="1:12" ht="12.75">
      <c r="A48" s="47"/>
      <c r="B48" t="s">
        <v>265</v>
      </c>
      <c r="C48" s="64"/>
      <c r="D48" s="64"/>
      <c r="E48" s="64"/>
      <c r="F48" s="64"/>
      <c r="G48" s="64"/>
      <c r="H48" s="64"/>
      <c r="I48" s="47"/>
      <c r="J48" s="47"/>
      <c r="K48" s="47"/>
      <c r="L48" s="47"/>
    </row>
    <row r="49" spans="1:12" ht="12.75">
      <c r="A49" s="47"/>
      <c r="B49" s="63"/>
      <c r="C49" s="64"/>
      <c r="D49" s="64"/>
      <c r="E49" s="64"/>
      <c r="F49" s="64"/>
      <c r="G49" s="64"/>
      <c r="H49" s="64"/>
      <c r="I49" s="47"/>
      <c r="J49" s="47"/>
      <c r="K49" s="47"/>
      <c r="L49" s="47"/>
    </row>
    <row r="50" spans="1:12" ht="12.75">
      <c r="A50" s="47"/>
      <c r="B50" s="63"/>
      <c r="C50" s="64"/>
      <c r="D50" s="64"/>
      <c r="E50" s="64"/>
      <c r="F50" s="64"/>
      <c r="G50" s="64"/>
      <c r="H50" s="64"/>
      <c r="I50" s="64"/>
      <c r="J50" s="64"/>
      <c r="K50" s="47"/>
      <c r="L50" s="47"/>
    </row>
    <row r="51" spans="1:12" ht="12.75">
      <c r="A51" s="47"/>
      <c r="B51" s="65"/>
      <c r="C51" s="64"/>
      <c r="D51" s="64"/>
      <c r="E51" s="64"/>
      <c r="F51" s="64"/>
      <c r="G51" s="64"/>
      <c r="H51" s="64"/>
      <c r="I51" s="47"/>
      <c r="J51" s="47"/>
      <c r="K51" s="47"/>
      <c r="L51" s="47"/>
    </row>
  </sheetData>
  <mergeCells count="6">
    <mergeCell ref="I8:J8"/>
    <mergeCell ref="F8:G8"/>
    <mergeCell ref="A4:M4"/>
    <mergeCell ref="A5:M5"/>
    <mergeCell ref="A6:M6"/>
    <mergeCell ref="A7:M7"/>
  </mergeCells>
  <printOptions/>
  <pageMargins left="0.75" right="0.75" top="1" bottom="0.69" header="0.5" footer="0.5"/>
  <pageSetup horizontalDpi="300" verticalDpi="3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27"/>
    <pageSetUpPr fitToPage="1"/>
  </sheetPr>
  <dimension ref="A1:V51"/>
  <sheetViews>
    <sheetView showGridLines="0" zoomScale="75" zoomScaleNormal="75" workbookViewId="0" topLeftCell="H1">
      <selection activeCell="P14" sqref="P14"/>
    </sheetView>
  </sheetViews>
  <sheetFormatPr defaultColWidth="9.33203125" defaultRowHeight="10.5"/>
  <cols>
    <col min="2" max="2" width="10.66015625" style="0" customWidth="1"/>
    <col min="3" max="3" width="12" style="0" customWidth="1"/>
    <col min="4" max="4" width="12.16015625" style="0" customWidth="1"/>
    <col min="6" max="6" width="2.33203125" style="0" customWidth="1"/>
    <col min="7" max="7" width="13.66015625" style="0" bestFit="1" customWidth="1"/>
    <col min="8" max="8" width="13.66015625" style="0" customWidth="1"/>
    <col min="10" max="10" width="2.33203125" style="0" customWidth="1"/>
    <col min="11" max="11" width="14.16015625" style="0" customWidth="1"/>
    <col min="12" max="12" width="14.83203125" style="0" customWidth="1"/>
    <col min="13" max="13" width="10.5" style="0" customWidth="1"/>
    <col min="14" max="14" width="2.33203125" style="0" customWidth="1"/>
    <col min="15" max="15" width="13.66015625" style="0" customWidth="1"/>
    <col min="16" max="16" width="12.5" style="0" customWidth="1"/>
    <col min="17" max="17" width="9.66015625" style="0" customWidth="1"/>
    <col min="18" max="18" width="13.16015625" style="0" customWidth="1"/>
    <col min="19" max="19" width="13" style="0" customWidth="1"/>
    <col min="20" max="20" width="10.16015625" style="0" bestFit="1" customWidth="1"/>
    <col min="21" max="21" width="2.33203125" style="0" customWidth="1"/>
    <col min="22" max="22" width="10.83203125" style="0" customWidth="1"/>
  </cols>
  <sheetData>
    <row r="1" spans="1:22" ht="12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T1" s="178" t="s">
        <v>99</v>
      </c>
      <c r="U1" s="66"/>
      <c r="V1" s="66"/>
    </row>
    <row r="2" spans="1:22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T2" s="118" t="s">
        <v>257</v>
      </c>
      <c r="U2" s="66"/>
      <c r="V2" s="66"/>
    </row>
    <row r="3" spans="1:22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 t="s">
        <v>286</v>
      </c>
      <c r="U3" s="66"/>
      <c r="V3" s="66"/>
    </row>
    <row r="4" spans="1:22" ht="12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9"/>
      <c r="V4" s="69"/>
    </row>
    <row r="5" spans="1:22" ht="12.75">
      <c r="A5" s="218" t="s">
        <v>133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70"/>
      <c r="V5" s="70"/>
    </row>
    <row r="6" spans="1:22" ht="12.75">
      <c r="A6" s="218" t="s">
        <v>206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71"/>
      <c r="V6" s="71"/>
    </row>
    <row r="7" spans="1:22" ht="12.75">
      <c r="A7" s="218" t="s">
        <v>134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70"/>
      <c r="V7" s="70"/>
    </row>
    <row r="8" spans="1:22" ht="12.7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72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12.75">
      <c r="A9" s="66"/>
      <c r="B9" s="66"/>
      <c r="C9" s="73" t="s">
        <v>135</v>
      </c>
      <c r="D9" s="73"/>
      <c r="E9" s="73"/>
      <c r="F9" s="66"/>
      <c r="G9" s="73" t="s">
        <v>227</v>
      </c>
      <c r="H9" s="67"/>
      <c r="I9" s="67"/>
      <c r="J9" s="66"/>
      <c r="K9" s="67" t="s">
        <v>217</v>
      </c>
      <c r="L9" s="128"/>
      <c r="M9" s="73"/>
      <c r="N9" s="66"/>
      <c r="O9" s="73" t="s">
        <v>230</v>
      </c>
      <c r="P9" s="148"/>
      <c r="Q9" s="73"/>
      <c r="R9" s="73" t="s">
        <v>136</v>
      </c>
      <c r="S9" s="73"/>
      <c r="T9" s="73"/>
      <c r="U9" s="66"/>
      <c r="V9" s="73"/>
    </row>
    <row r="10" spans="1:22" ht="12.75">
      <c r="A10" s="66"/>
      <c r="B10" s="66"/>
      <c r="C10" s="72" t="s">
        <v>138</v>
      </c>
      <c r="D10" s="66"/>
      <c r="E10" s="66"/>
      <c r="F10" s="66"/>
      <c r="G10" s="72" t="s">
        <v>139</v>
      </c>
      <c r="H10" s="66"/>
      <c r="I10" s="66"/>
      <c r="J10" s="66"/>
      <c r="K10" s="147" t="s">
        <v>222</v>
      </c>
      <c r="L10" s="147" t="s">
        <v>224</v>
      </c>
      <c r="M10" s="66"/>
      <c r="N10" s="66"/>
      <c r="O10" s="72" t="s">
        <v>139</v>
      </c>
      <c r="P10" s="72" t="s">
        <v>216</v>
      </c>
      <c r="Q10" s="66"/>
      <c r="R10" s="72"/>
      <c r="S10" s="66"/>
      <c r="T10" s="66"/>
      <c r="U10" s="66"/>
      <c r="V10" s="66"/>
    </row>
    <row r="11" spans="1:22" ht="12.75">
      <c r="A11" s="66"/>
      <c r="B11" s="66"/>
      <c r="C11" s="72" t="s">
        <v>140</v>
      </c>
      <c r="D11" s="67" t="s">
        <v>212</v>
      </c>
      <c r="E11" s="72" t="s">
        <v>141</v>
      </c>
      <c r="F11" s="72"/>
      <c r="G11" s="72" t="s">
        <v>140</v>
      </c>
      <c r="H11" s="67" t="s">
        <v>213</v>
      </c>
      <c r="I11" s="72" t="s">
        <v>141</v>
      </c>
      <c r="J11" s="72"/>
      <c r="K11" s="72" t="s">
        <v>140</v>
      </c>
      <c r="L11" s="70" t="s">
        <v>214</v>
      </c>
      <c r="M11" s="159" t="s">
        <v>141</v>
      </c>
      <c r="N11" s="71"/>
      <c r="O11" s="159" t="s">
        <v>140</v>
      </c>
      <c r="P11" s="159" t="s">
        <v>142</v>
      </c>
      <c r="Q11" s="159" t="s">
        <v>141</v>
      </c>
      <c r="R11" s="159"/>
      <c r="S11" s="70"/>
      <c r="T11" s="159" t="s">
        <v>141</v>
      </c>
      <c r="U11" s="72"/>
      <c r="V11" s="72"/>
    </row>
    <row r="12" spans="1:22" ht="12.75">
      <c r="A12" s="66"/>
      <c r="B12" s="66"/>
      <c r="C12" s="74" t="s">
        <v>142</v>
      </c>
      <c r="D12" s="74" t="s">
        <v>143</v>
      </c>
      <c r="E12" s="74" t="s">
        <v>144</v>
      </c>
      <c r="F12" s="72"/>
      <c r="G12" s="154" t="s">
        <v>223</v>
      </c>
      <c r="H12" s="154" t="s">
        <v>225</v>
      </c>
      <c r="I12" s="74" t="s">
        <v>144</v>
      </c>
      <c r="J12" s="72"/>
      <c r="K12" s="154" t="s">
        <v>228</v>
      </c>
      <c r="L12" s="171" t="s">
        <v>229</v>
      </c>
      <c r="M12" s="160" t="s">
        <v>144</v>
      </c>
      <c r="N12" s="71"/>
      <c r="O12" s="160" t="s">
        <v>142</v>
      </c>
      <c r="P12" s="163" t="s">
        <v>143</v>
      </c>
      <c r="Q12" s="160" t="s">
        <v>144</v>
      </c>
      <c r="R12" s="160" t="s">
        <v>142</v>
      </c>
      <c r="S12" s="160" t="s">
        <v>143</v>
      </c>
      <c r="T12" s="160" t="s">
        <v>144</v>
      </c>
      <c r="U12" s="72"/>
      <c r="V12" s="74"/>
    </row>
    <row r="13" spans="1:22" ht="12.7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71"/>
      <c r="M13" s="71"/>
      <c r="N13" s="71"/>
      <c r="O13" s="71"/>
      <c r="P13" s="71"/>
      <c r="Q13" s="71"/>
      <c r="R13" s="71"/>
      <c r="S13" s="71"/>
      <c r="T13" s="71"/>
      <c r="U13" s="66"/>
      <c r="V13" s="66"/>
    </row>
    <row r="14" spans="1:22" ht="12.75">
      <c r="A14" s="67" t="s">
        <v>145</v>
      </c>
      <c r="B14" s="67"/>
      <c r="C14" s="76">
        <v>59427.6</v>
      </c>
      <c r="D14" s="76">
        <v>60116.759</v>
      </c>
      <c r="E14" s="161">
        <f>(D14-C14)/C14*100</f>
        <v>1.1596615040822777</v>
      </c>
      <c r="F14" s="77"/>
      <c r="G14" s="161">
        <v>69116.82</v>
      </c>
      <c r="H14" s="161">
        <v>65868.924</v>
      </c>
      <c r="I14" s="161">
        <f>(H14-G14)/G14*100</f>
        <v>-4.699139804175029</v>
      </c>
      <c r="J14" s="77"/>
      <c r="K14" s="78">
        <v>74839.814</v>
      </c>
      <c r="L14" s="161">
        <v>68763.818832</v>
      </c>
      <c r="M14" s="172">
        <f>(L14-K14)/K14*100</f>
        <v>-8.118666847568587</v>
      </c>
      <c r="N14" s="71"/>
      <c r="O14" s="161">
        <f>'6-J-2'!I16</f>
        <v>72917.71899999998</v>
      </c>
      <c r="P14" s="193">
        <f>'6-J-2'!J16</f>
        <v>72147.38999999997</v>
      </c>
      <c r="Q14" s="161">
        <f>(P14-O14)/O14*100</f>
        <v>-1.0564359535163361</v>
      </c>
      <c r="R14" s="161">
        <f>C14+G14+K14+O14</f>
        <v>276301.953</v>
      </c>
      <c r="S14" s="193">
        <f>D14+H14+L14+P14</f>
        <v>266896.89183199994</v>
      </c>
      <c r="T14" s="161">
        <f>(D14/S14*E14)+(H14/S14*I14)+(L14/S14*M14)+(P14/S14*Q14)</f>
        <v>-3.275803695107694</v>
      </c>
      <c r="U14" s="77"/>
      <c r="V14" s="77"/>
    </row>
    <row r="15" spans="1:22" ht="12.75">
      <c r="A15" s="66"/>
      <c r="B15" s="66"/>
      <c r="C15" s="77"/>
      <c r="D15" s="77"/>
      <c r="E15" s="77"/>
      <c r="F15" s="77"/>
      <c r="G15" s="161"/>
      <c r="H15" s="161"/>
      <c r="I15" s="77"/>
      <c r="J15" s="77"/>
      <c r="K15" s="66"/>
      <c r="L15" s="71"/>
      <c r="M15" s="172"/>
      <c r="N15" s="71"/>
      <c r="O15" s="161"/>
      <c r="P15" s="161"/>
      <c r="Q15" s="161"/>
      <c r="R15" s="161"/>
      <c r="S15" s="161"/>
      <c r="T15" s="161"/>
      <c r="U15" s="77"/>
      <c r="V15" s="77"/>
    </row>
    <row r="16" spans="1:22" ht="12.75">
      <c r="A16" s="72" t="s">
        <v>146</v>
      </c>
      <c r="B16" s="66"/>
      <c r="C16" s="77"/>
      <c r="D16" s="77"/>
      <c r="E16" s="77"/>
      <c r="F16" s="77"/>
      <c r="G16" s="161"/>
      <c r="H16" s="161"/>
      <c r="I16" s="77"/>
      <c r="J16" s="77"/>
      <c r="K16" s="66"/>
      <c r="L16" s="71"/>
      <c r="M16" s="172"/>
      <c r="N16" s="71"/>
      <c r="O16" s="161"/>
      <c r="P16" s="161"/>
      <c r="Q16" s="161"/>
      <c r="R16" s="161"/>
      <c r="S16" s="161"/>
      <c r="T16" s="161"/>
      <c r="U16" s="77"/>
      <c r="V16" s="77"/>
    </row>
    <row r="17" spans="1:22" ht="12.75">
      <c r="A17" s="74" t="s">
        <v>147</v>
      </c>
      <c r="B17" s="66"/>
      <c r="C17" s="77"/>
      <c r="D17" s="77"/>
      <c r="E17" s="77"/>
      <c r="F17" s="77"/>
      <c r="G17" s="161"/>
      <c r="H17" s="161"/>
      <c r="I17" s="77"/>
      <c r="J17" s="77"/>
      <c r="K17" s="66"/>
      <c r="L17" s="71"/>
      <c r="M17" s="172"/>
      <c r="N17" s="71"/>
      <c r="O17" s="161"/>
      <c r="P17" s="161"/>
      <c r="Q17" s="161"/>
      <c r="R17" s="161"/>
      <c r="S17" s="161"/>
      <c r="T17" s="161"/>
      <c r="U17" s="77"/>
      <c r="V17" s="77"/>
    </row>
    <row r="18" spans="1:22" ht="12.75">
      <c r="A18" s="66"/>
      <c r="B18" s="66"/>
      <c r="C18" s="77"/>
      <c r="D18" s="77"/>
      <c r="E18" s="77"/>
      <c r="F18" s="77"/>
      <c r="G18" s="161"/>
      <c r="H18" s="161"/>
      <c r="I18" s="77"/>
      <c r="J18" s="77"/>
      <c r="K18" s="66"/>
      <c r="L18" s="71"/>
      <c r="M18" s="172"/>
      <c r="N18" s="71"/>
      <c r="O18" s="161"/>
      <c r="P18" s="161"/>
      <c r="Q18" s="161"/>
      <c r="R18" s="161"/>
      <c r="S18" s="161"/>
      <c r="T18" s="161"/>
      <c r="U18" s="77"/>
      <c r="V18" s="77"/>
    </row>
    <row r="19" spans="1:22" ht="12.75">
      <c r="A19" s="72">
        <v>1</v>
      </c>
      <c r="B19" s="66"/>
      <c r="C19" s="76">
        <v>1714.6</v>
      </c>
      <c r="D19" s="76">
        <v>1710.4</v>
      </c>
      <c r="E19" s="161">
        <f aca="true" t="shared" si="0" ref="E19:E25">(D19-C19)/C19*100</f>
        <v>-0.24495509156653553</v>
      </c>
      <c r="F19" s="77"/>
      <c r="G19" s="161">
        <v>1869.428</v>
      </c>
      <c r="H19" s="161">
        <v>1772.945</v>
      </c>
      <c r="I19" s="161">
        <f aca="true" t="shared" si="1" ref="I19:I24">(H19-G19)/G19*100</f>
        <v>-5.161097405195609</v>
      </c>
      <c r="J19" s="77"/>
      <c r="K19" s="80">
        <v>1963.492</v>
      </c>
      <c r="L19" s="149">
        <v>1911.998</v>
      </c>
      <c r="M19" s="172">
        <f aca="true" t="shared" si="2" ref="M19:M24">(L19-K19)/K19*100</f>
        <v>-2.622572437269921</v>
      </c>
      <c r="N19" s="71"/>
      <c r="O19" s="161">
        <f>'6-J-2'!I18</f>
        <v>2310.398</v>
      </c>
      <c r="P19" s="161">
        <f>'6-J-2'!J18</f>
        <v>2260.8228368676114</v>
      </c>
      <c r="Q19" s="161">
        <f aca="true" t="shared" si="3" ref="Q19:Q24">(P19-O19)/O19*100</f>
        <v>-2.1457412589687466</v>
      </c>
      <c r="R19" s="161">
        <f aca="true" t="shared" si="4" ref="R19:R39">C19+G19+K19+O19</f>
        <v>7857.918000000001</v>
      </c>
      <c r="S19" s="161">
        <f aca="true" t="shared" si="5" ref="S19:S39">D19+H19+L19+P19</f>
        <v>7656.165836867613</v>
      </c>
      <c r="T19" s="161">
        <f>(D19/S19*E19)+(H19/S19*I19)+(L19/S19*M19)+(P19/S19*Q19)</f>
        <v>-2.5384516920054283</v>
      </c>
      <c r="U19" s="77"/>
      <c r="V19" s="77"/>
    </row>
    <row r="20" spans="1:22" ht="12.75">
      <c r="A20" s="72">
        <v>2</v>
      </c>
      <c r="B20" s="66"/>
      <c r="C20" s="76">
        <v>3514.7</v>
      </c>
      <c r="D20" s="76">
        <v>3512.4</v>
      </c>
      <c r="E20" s="161">
        <f t="shared" si="0"/>
        <v>-0.06543944006600072</v>
      </c>
      <c r="F20" s="77"/>
      <c r="G20" s="161">
        <v>3782.609</v>
      </c>
      <c r="H20" s="161">
        <v>3617.023</v>
      </c>
      <c r="I20" s="161">
        <f t="shared" si="1"/>
        <v>-4.377560567322707</v>
      </c>
      <c r="J20" s="77"/>
      <c r="K20" s="80">
        <v>3806.894</v>
      </c>
      <c r="L20" s="149">
        <v>3768.81</v>
      </c>
      <c r="M20" s="172">
        <f t="shared" si="2"/>
        <v>-1.000395598091248</v>
      </c>
      <c r="N20" s="71"/>
      <c r="O20" s="161">
        <f>'6-J-2'!I19</f>
        <v>4242.692</v>
      </c>
      <c r="P20" s="161">
        <f>'6-J-2'!J19</f>
        <v>4268.959800054099</v>
      </c>
      <c r="Q20" s="161">
        <f t="shared" si="3"/>
        <v>0.6191304967246998</v>
      </c>
      <c r="R20" s="161">
        <f t="shared" si="4"/>
        <v>15346.895</v>
      </c>
      <c r="S20" s="161">
        <f t="shared" si="5"/>
        <v>15167.1928000541</v>
      </c>
      <c r="T20" s="161">
        <f aca="true" t="shared" si="6" ref="T20:T36">(D20/S20*E20)+(H20/S20*I20)+(L20/S20*M20)+(P20/S20*Q20)</f>
        <v>-1.1334229546856418</v>
      </c>
      <c r="U20" s="77"/>
      <c r="V20" s="77"/>
    </row>
    <row r="21" spans="1:22" ht="12.75">
      <c r="A21" s="72">
        <v>3</v>
      </c>
      <c r="B21" s="66"/>
      <c r="C21" s="76">
        <v>17707.5</v>
      </c>
      <c r="D21" s="76">
        <v>17646.1</v>
      </c>
      <c r="E21" s="161">
        <f t="shared" si="0"/>
        <v>-0.3467457292107946</v>
      </c>
      <c r="F21" s="77"/>
      <c r="G21" s="161">
        <v>19118.127</v>
      </c>
      <c r="H21" s="161">
        <v>19049.963</v>
      </c>
      <c r="I21" s="161">
        <f t="shared" si="1"/>
        <v>-0.3565412030163868</v>
      </c>
      <c r="J21" s="77"/>
      <c r="K21" s="80">
        <v>19318.672</v>
      </c>
      <c r="L21" s="149">
        <v>18074.717</v>
      </c>
      <c r="M21" s="172">
        <f t="shared" si="2"/>
        <v>-6.4391330832678255</v>
      </c>
      <c r="N21" s="71"/>
      <c r="O21" s="161">
        <f>'6-J-2'!I20</f>
        <v>18003.208</v>
      </c>
      <c r="P21" s="161">
        <f>'6-J-2'!J20</f>
        <v>18843.323710025015</v>
      </c>
      <c r="Q21" s="161">
        <f t="shared" si="3"/>
        <v>4.666477830090153</v>
      </c>
      <c r="R21" s="161">
        <f t="shared" si="4"/>
        <v>74147.507</v>
      </c>
      <c r="S21" s="161">
        <f t="shared" si="5"/>
        <v>73614.10371002501</v>
      </c>
      <c r="T21" s="161">
        <f t="shared" si="6"/>
        <v>-0.5619081170635873</v>
      </c>
      <c r="U21" s="77"/>
      <c r="V21" s="77"/>
    </row>
    <row r="22" spans="1:22" ht="12.75">
      <c r="A22" s="72">
        <v>4</v>
      </c>
      <c r="B22" s="66"/>
      <c r="C22" s="76">
        <v>10.1</v>
      </c>
      <c r="D22" s="76">
        <v>8.4</v>
      </c>
      <c r="E22" s="161">
        <f t="shared" si="0"/>
        <v>-16.831683168316825</v>
      </c>
      <c r="F22" s="77"/>
      <c r="G22" s="161">
        <v>9.643</v>
      </c>
      <c r="H22" s="161">
        <v>6.865</v>
      </c>
      <c r="I22" s="161">
        <f t="shared" si="1"/>
        <v>-28.808462096857827</v>
      </c>
      <c r="J22" s="77"/>
      <c r="K22" s="80">
        <v>8.167</v>
      </c>
      <c r="L22" s="149">
        <v>5.841</v>
      </c>
      <c r="M22" s="172">
        <f t="shared" si="2"/>
        <v>-28.48047018489041</v>
      </c>
      <c r="N22" s="71"/>
      <c r="O22" s="161">
        <f>'6-J-2'!I21</f>
        <v>6.975</v>
      </c>
      <c r="P22" s="161">
        <f>'6-J-2'!J21</f>
        <v>6.239508612317367</v>
      </c>
      <c r="Q22" s="161">
        <f t="shared" si="3"/>
        <v>-10.544679393299388</v>
      </c>
      <c r="R22" s="161">
        <f t="shared" si="4"/>
        <v>34.885000000000005</v>
      </c>
      <c r="S22" s="161">
        <f t="shared" si="5"/>
        <v>27.345508612317367</v>
      </c>
      <c r="T22" s="161">
        <f t="shared" si="6"/>
        <v>-20.892069818369258</v>
      </c>
      <c r="U22" s="77"/>
      <c r="V22" s="77"/>
    </row>
    <row r="23" spans="1:22" ht="12.75">
      <c r="A23" s="72" t="s">
        <v>114</v>
      </c>
      <c r="B23" s="66"/>
      <c r="C23" s="76">
        <v>11987.7</v>
      </c>
      <c r="D23" s="76">
        <v>12076.2</v>
      </c>
      <c r="E23" s="161">
        <f t="shared" si="0"/>
        <v>0.7382567131309592</v>
      </c>
      <c r="F23" s="77"/>
      <c r="G23" s="161">
        <v>13638.05</v>
      </c>
      <c r="H23" s="161">
        <v>13907.999</v>
      </c>
      <c r="I23" s="161">
        <f t="shared" si="1"/>
        <v>1.979381216522894</v>
      </c>
      <c r="J23" s="77"/>
      <c r="K23" s="80">
        <v>15193.921</v>
      </c>
      <c r="L23" s="149">
        <v>14491.461</v>
      </c>
      <c r="M23" s="172">
        <f t="shared" si="2"/>
        <v>-4.623296382809947</v>
      </c>
      <c r="N23" s="71"/>
      <c r="O23" s="161">
        <f>'6-J-2'!I22</f>
        <v>15700.584</v>
      </c>
      <c r="P23" s="161">
        <f>'6-J-2'!J22</f>
        <v>16208.336709876356</v>
      </c>
      <c r="Q23" s="161">
        <f t="shared" si="3"/>
        <v>3.2339733979089873</v>
      </c>
      <c r="R23" s="161">
        <f t="shared" si="4"/>
        <v>56520.255000000005</v>
      </c>
      <c r="S23" s="161">
        <f t="shared" si="5"/>
        <v>56683.99670987636</v>
      </c>
      <c r="T23" s="161">
        <f t="shared" si="6"/>
        <v>0.3857098914918655</v>
      </c>
      <c r="U23" s="77"/>
      <c r="V23" s="77"/>
    </row>
    <row r="24" spans="1:22" ht="12.75">
      <c r="A24" s="72">
        <v>8</v>
      </c>
      <c r="B24" s="66"/>
      <c r="C24" s="76">
        <v>452.8</v>
      </c>
      <c r="D24" s="76">
        <v>457.3</v>
      </c>
      <c r="E24" s="161">
        <f t="shared" si="0"/>
        <v>0.9938162544169611</v>
      </c>
      <c r="F24" s="77"/>
      <c r="G24" s="161">
        <v>511.885</v>
      </c>
      <c r="H24" s="161">
        <v>537.684</v>
      </c>
      <c r="I24" s="161">
        <f t="shared" si="1"/>
        <v>5.03999921857448</v>
      </c>
      <c r="J24" s="77"/>
      <c r="K24" s="80">
        <v>555.986</v>
      </c>
      <c r="L24" s="149">
        <v>567.805</v>
      </c>
      <c r="M24" s="172">
        <f t="shared" si="2"/>
        <v>2.125772951117467</v>
      </c>
      <c r="N24" s="71"/>
      <c r="O24" s="161">
        <f>'6-J-2'!I23</f>
        <v>623.639</v>
      </c>
      <c r="P24" s="161">
        <f>'6-J-2'!J23</f>
        <v>633.2440462350431</v>
      </c>
      <c r="Q24" s="161">
        <f t="shared" si="3"/>
        <v>1.5401612527508892</v>
      </c>
      <c r="R24" s="161">
        <f t="shared" si="4"/>
        <v>2144.31</v>
      </c>
      <c r="S24" s="161">
        <f t="shared" si="5"/>
        <v>2196.033046235043</v>
      </c>
      <c r="T24" s="161">
        <f t="shared" si="6"/>
        <v>2.4347181733932217</v>
      </c>
      <c r="U24" s="77"/>
      <c r="V24" s="77"/>
    </row>
    <row r="25" spans="1:22" ht="12.75">
      <c r="A25" s="72">
        <v>9</v>
      </c>
      <c r="B25" s="66"/>
      <c r="C25" s="76">
        <v>116.1</v>
      </c>
      <c r="D25" s="76">
        <v>71.1</v>
      </c>
      <c r="E25" s="161">
        <f t="shared" si="0"/>
        <v>-38.759689922480625</v>
      </c>
      <c r="F25" s="77"/>
      <c r="G25" s="161">
        <v>0</v>
      </c>
      <c r="H25" s="161">
        <v>0</v>
      </c>
      <c r="I25" s="161">
        <v>0</v>
      </c>
      <c r="J25" s="77"/>
      <c r="K25" s="80">
        <v>0</v>
      </c>
      <c r="L25" s="149">
        <v>0</v>
      </c>
      <c r="M25" s="172">
        <v>0</v>
      </c>
      <c r="N25" s="71"/>
      <c r="O25" s="161">
        <f>'6-J-2'!I24</f>
        <v>0</v>
      </c>
      <c r="P25" s="161">
        <f>'6-J-2'!J24</f>
        <v>0</v>
      </c>
      <c r="Q25" s="161">
        <v>0</v>
      </c>
      <c r="R25" s="161">
        <f t="shared" si="4"/>
        <v>116.1</v>
      </c>
      <c r="S25" s="161">
        <f t="shared" si="5"/>
        <v>71.1</v>
      </c>
      <c r="T25" s="161">
        <f t="shared" si="6"/>
        <v>-38.759689922480625</v>
      </c>
      <c r="U25" s="77"/>
      <c r="V25" s="77"/>
    </row>
    <row r="26" spans="1:22" ht="12.75">
      <c r="A26" s="72">
        <v>10</v>
      </c>
      <c r="B26" s="66"/>
      <c r="C26" s="76">
        <v>3730.6</v>
      </c>
      <c r="D26" s="76">
        <v>3678.2</v>
      </c>
      <c r="E26" s="161">
        <f aca="true" t="shared" si="7" ref="E26:E36">(D26-C26)/C26*100</f>
        <v>-1.4045997962794214</v>
      </c>
      <c r="F26" s="77"/>
      <c r="G26" s="161">
        <v>4355.648</v>
      </c>
      <c r="H26" s="161">
        <v>4566.622</v>
      </c>
      <c r="I26" s="161">
        <f aca="true" t="shared" si="8" ref="I26:I36">(H26-G26)/G26*100</f>
        <v>4.843688011519759</v>
      </c>
      <c r="J26" s="77"/>
      <c r="K26" s="80">
        <v>5000.87</v>
      </c>
      <c r="L26" s="149">
        <v>4844.261</v>
      </c>
      <c r="M26" s="172">
        <f aca="true" t="shared" si="9" ref="M26:M37">(L26-K26)/K26*100</f>
        <v>-3.1316350954933734</v>
      </c>
      <c r="N26" s="71"/>
      <c r="O26" s="161">
        <f>'6-J-2'!I25</f>
        <v>5810.427</v>
      </c>
      <c r="P26" s="161">
        <f>'6-J-2'!J25</f>
        <v>5915.309309074978</v>
      </c>
      <c r="Q26" s="161">
        <f aca="true" t="shared" si="10" ref="Q26:Q37">(P26-O26)/O26*100</f>
        <v>1.805070592487925</v>
      </c>
      <c r="R26" s="161">
        <f t="shared" si="4"/>
        <v>18897.545</v>
      </c>
      <c r="S26" s="161">
        <f t="shared" si="5"/>
        <v>19004.392309074978</v>
      </c>
      <c r="T26" s="161">
        <f t="shared" si="6"/>
        <v>0.6556371906650763</v>
      </c>
      <c r="U26" s="77"/>
      <c r="V26" s="77"/>
    </row>
    <row r="27" spans="1:22" ht="12.75">
      <c r="A27" s="72">
        <v>11</v>
      </c>
      <c r="B27" s="66"/>
      <c r="C27" s="76">
        <v>2310.6</v>
      </c>
      <c r="D27" s="76">
        <v>2304.3</v>
      </c>
      <c r="E27" s="161">
        <f t="shared" si="7"/>
        <v>-0.27265645286937273</v>
      </c>
      <c r="F27" s="77"/>
      <c r="G27" s="161">
        <v>2780.002</v>
      </c>
      <c r="H27" s="161">
        <v>2648.068</v>
      </c>
      <c r="I27" s="161">
        <f t="shared" si="8"/>
        <v>-4.745823923867672</v>
      </c>
      <c r="J27" s="77"/>
      <c r="K27" s="80">
        <v>3050.324</v>
      </c>
      <c r="L27" s="149">
        <v>2869.753</v>
      </c>
      <c r="M27" s="172">
        <f t="shared" si="9"/>
        <v>-5.919731805539343</v>
      </c>
      <c r="N27" s="71"/>
      <c r="O27" s="161">
        <f>'6-J-2'!I26</f>
        <v>3181.028</v>
      </c>
      <c r="P27" s="161">
        <f>'6-J-2'!J26</f>
        <v>3284.0853058301755</v>
      </c>
      <c r="Q27" s="161">
        <f t="shared" si="10"/>
        <v>3.2397484659102553</v>
      </c>
      <c r="R27" s="161">
        <f t="shared" si="4"/>
        <v>11321.954</v>
      </c>
      <c r="S27" s="161">
        <f t="shared" si="5"/>
        <v>11106.206305830176</v>
      </c>
      <c r="T27" s="161">
        <f t="shared" si="6"/>
        <v>-1.7597462147966678</v>
      </c>
      <c r="U27" s="77"/>
      <c r="V27" s="77"/>
    </row>
    <row r="28" spans="1:22" ht="12.75">
      <c r="A28" s="72">
        <v>12</v>
      </c>
      <c r="B28" s="66"/>
      <c r="C28" s="76">
        <v>648.6</v>
      </c>
      <c r="D28" s="76">
        <v>673.1</v>
      </c>
      <c r="E28" s="161">
        <f t="shared" si="7"/>
        <v>3.7773666358310205</v>
      </c>
      <c r="F28" s="77"/>
      <c r="G28" s="161">
        <v>722.705</v>
      </c>
      <c r="H28" s="161">
        <v>822.255</v>
      </c>
      <c r="I28" s="161">
        <f t="shared" si="8"/>
        <v>13.774638337911036</v>
      </c>
      <c r="J28" s="77"/>
      <c r="K28" s="80">
        <v>812.248</v>
      </c>
      <c r="L28" s="149">
        <v>866.701</v>
      </c>
      <c r="M28" s="172">
        <f t="shared" si="9"/>
        <v>6.703986959647788</v>
      </c>
      <c r="N28" s="71"/>
      <c r="O28" s="161">
        <f>'6-J-2'!I27</f>
        <v>1000.584</v>
      </c>
      <c r="P28" s="161">
        <f>'6-J-2'!J27</f>
        <v>1065.8722663223816</v>
      </c>
      <c r="Q28" s="161">
        <f t="shared" si="10"/>
        <v>6.525016022880806</v>
      </c>
      <c r="R28" s="161">
        <f t="shared" si="4"/>
        <v>3184.1369999999997</v>
      </c>
      <c r="S28" s="161">
        <f t="shared" si="5"/>
        <v>3427.9282663223817</v>
      </c>
      <c r="T28" s="161">
        <f t="shared" si="6"/>
        <v>7.769706504302795</v>
      </c>
      <c r="U28" s="77"/>
      <c r="V28" s="77"/>
    </row>
    <row r="29" spans="1:22" ht="12.75">
      <c r="A29" s="72">
        <v>13</v>
      </c>
      <c r="B29" s="66"/>
      <c r="C29" s="76">
        <v>291.7</v>
      </c>
      <c r="D29" s="76">
        <v>303.7</v>
      </c>
      <c r="E29" s="161">
        <f t="shared" si="7"/>
        <v>4.1138155639355505</v>
      </c>
      <c r="F29" s="77"/>
      <c r="G29" s="161">
        <v>327.831</v>
      </c>
      <c r="H29" s="161">
        <v>361.657</v>
      </c>
      <c r="I29" s="161">
        <f t="shared" si="8"/>
        <v>10.318121227095657</v>
      </c>
      <c r="J29" s="77"/>
      <c r="K29" s="80">
        <v>457.643</v>
      </c>
      <c r="L29" s="149">
        <v>277.667</v>
      </c>
      <c r="M29" s="172">
        <f t="shared" si="9"/>
        <v>-39.326724105907886</v>
      </c>
      <c r="N29" s="71"/>
      <c r="O29" s="161">
        <f>'6-J-2'!I28</f>
        <v>312.788</v>
      </c>
      <c r="P29" s="161">
        <f>'6-J-2'!J28</f>
        <v>339.7511448527207</v>
      </c>
      <c r="Q29" s="161">
        <f t="shared" si="10"/>
        <v>8.620261919485623</v>
      </c>
      <c r="R29" s="161">
        <f t="shared" si="4"/>
        <v>1389.962</v>
      </c>
      <c r="S29" s="161">
        <f t="shared" si="5"/>
        <v>1282.7751448527206</v>
      </c>
      <c r="T29" s="161">
        <f t="shared" si="6"/>
        <v>-2.3464775591595965</v>
      </c>
      <c r="U29" s="77"/>
      <c r="V29" s="77"/>
    </row>
    <row r="30" spans="1:22" ht="12.75">
      <c r="A30" s="72">
        <v>14</v>
      </c>
      <c r="B30" s="66"/>
      <c r="C30" s="76">
        <v>4364.7</v>
      </c>
      <c r="D30" s="76">
        <v>4242.2</v>
      </c>
      <c r="E30" s="161">
        <f t="shared" si="7"/>
        <v>-2.8066075560748733</v>
      </c>
      <c r="F30" s="77"/>
      <c r="G30" s="161">
        <v>4619.553</v>
      </c>
      <c r="H30" s="161">
        <v>5063.148</v>
      </c>
      <c r="I30" s="161">
        <f t="shared" si="8"/>
        <v>9.602552454750498</v>
      </c>
      <c r="J30" s="77"/>
      <c r="K30" s="80">
        <v>5132.336</v>
      </c>
      <c r="L30" s="149">
        <v>4990.066</v>
      </c>
      <c r="M30" s="172">
        <f t="shared" si="9"/>
        <v>-2.7720320727247874</v>
      </c>
      <c r="N30" s="71"/>
      <c r="O30" s="161">
        <f>'6-J-2'!I29</f>
        <v>5218.069</v>
      </c>
      <c r="P30" s="161">
        <f>'6-J-2'!J29</f>
        <v>5784.318914639855</v>
      </c>
      <c r="Q30" s="161">
        <f t="shared" si="10"/>
        <v>10.851713816736709</v>
      </c>
      <c r="R30" s="161">
        <f t="shared" si="4"/>
        <v>19334.658</v>
      </c>
      <c r="S30" s="161">
        <f t="shared" si="5"/>
        <v>20079.732914639855</v>
      </c>
      <c r="T30" s="161">
        <f t="shared" si="6"/>
        <v>4.2655001705094024</v>
      </c>
      <c r="U30" s="77"/>
      <c r="V30" s="77"/>
    </row>
    <row r="31" spans="1:22" ht="12.75">
      <c r="A31" s="72">
        <v>15</v>
      </c>
      <c r="B31" s="66"/>
      <c r="C31" s="76">
        <v>1540.7</v>
      </c>
      <c r="D31" s="76">
        <v>1439.4</v>
      </c>
      <c r="E31" s="161">
        <f t="shared" si="7"/>
        <v>-6.574933471798531</v>
      </c>
      <c r="F31" s="77"/>
      <c r="G31" s="161">
        <v>1633.711</v>
      </c>
      <c r="H31" s="161">
        <v>1585.322</v>
      </c>
      <c r="I31" s="161">
        <f t="shared" si="8"/>
        <v>-2.961906971306438</v>
      </c>
      <c r="J31" s="77"/>
      <c r="K31" s="80">
        <v>1766.688</v>
      </c>
      <c r="L31" s="149">
        <v>1655.497</v>
      </c>
      <c r="M31" s="172">
        <f t="shared" si="9"/>
        <v>-6.293754188628667</v>
      </c>
      <c r="N31" s="71"/>
      <c r="O31" s="161">
        <f>'6-J-2'!I30</f>
        <v>1968.755</v>
      </c>
      <c r="P31" s="161">
        <f>'6-J-2'!J30</f>
        <v>1970.0353813831714</v>
      </c>
      <c r="Q31" s="161">
        <f t="shared" si="10"/>
        <v>0.06503507969103767</v>
      </c>
      <c r="R31" s="161">
        <f t="shared" si="4"/>
        <v>6909.854</v>
      </c>
      <c r="S31" s="161">
        <f t="shared" si="5"/>
        <v>6650.254381383172</v>
      </c>
      <c r="T31" s="161">
        <f t="shared" si="6"/>
        <v>-3.6766571458243376</v>
      </c>
      <c r="U31" s="77"/>
      <c r="V31" s="77"/>
    </row>
    <row r="32" spans="1:22" ht="12.75">
      <c r="A32" s="72">
        <v>16</v>
      </c>
      <c r="B32" s="66"/>
      <c r="C32" s="76">
        <v>3529.6</v>
      </c>
      <c r="D32" s="76">
        <v>3221.6</v>
      </c>
      <c r="E32" s="161">
        <f>(D32-C32)/C32*100</f>
        <v>-8.726201269265639</v>
      </c>
      <c r="F32" s="77"/>
      <c r="G32" s="161">
        <v>3807.497</v>
      </c>
      <c r="H32" s="161">
        <v>3271.014</v>
      </c>
      <c r="I32" s="161">
        <f>(H32-G32)/G32*100</f>
        <v>-14.090175251615426</v>
      </c>
      <c r="J32" s="82"/>
      <c r="K32" s="80">
        <v>3331.917</v>
      </c>
      <c r="L32" s="149">
        <v>2832.032</v>
      </c>
      <c r="M32" s="172">
        <f>(L32-K32)/K32*100</f>
        <v>-15.002924742723176</v>
      </c>
      <c r="N32" s="71"/>
      <c r="O32" s="161">
        <f>'6-J-2'!I31</f>
        <v>3082.8</v>
      </c>
      <c r="P32" s="161">
        <f>'6-J-2'!J31</f>
        <v>2999.8713128339177</v>
      </c>
      <c r="Q32" s="161">
        <f>(P32-O32)/O32*100</f>
        <v>-2.690044348192632</v>
      </c>
      <c r="R32" s="161">
        <f>C32+G32+K32+O32</f>
        <v>13751.813999999998</v>
      </c>
      <c r="S32" s="161">
        <f>D32+H32+L32+P32</f>
        <v>12324.51731283392</v>
      </c>
      <c r="T32" s="161">
        <f t="shared" si="6"/>
        <v>-10.122914933554028</v>
      </c>
      <c r="U32" s="77"/>
      <c r="V32" s="77"/>
    </row>
    <row r="33" spans="1:22" ht="12.75">
      <c r="A33" s="72">
        <v>17</v>
      </c>
      <c r="B33" s="66"/>
      <c r="C33" s="76">
        <v>57.2</v>
      </c>
      <c r="D33" s="76">
        <v>77.1</v>
      </c>
      <c r="E33" s="161">
        <f t="shared" si="7"/>
        <v>34.79020979020977</v>
      </c>
      <c r="F33" s="77"/>
      <c r="G33" s="77">
        <v>45.342</v>
      </c>
      <c r="H33" s="161">
        <v>29.276</v>
      </c>
      <c r="I33" s="161">
        <f t="shared" si="8"/>
        <v>-35.43293193948215</v>
      </c>
      <c r="J33" s="77"/>
      <c r="K33" s="80">
        <v>47.438</v>
      </c>
      <c r="L33" s="149">
        <v>54.953</v>
      </c>
      <c r="M33" s="149">
        <f t="shared" si="9"/>
        <v>15.841730258442599</v>
      </c>
      <c r="N33" s="71"/>
      <c r="O33" s="161">
        <f>'6-J-2'!I32</f>
        <v>56.991</v>
      </c>
      <c r="P33" s="161">
        <f>'6-J-2'!J32</f>
        <v>35.41188125553828</v>
      </c>
      <c r="Q33" s="161">
        <f t="shared" si="10"/>
        <v>-37.8640815996591</v>
      </c>
      <c r="R33" s="161">
        <f t="shared" si="4"/>
        <v>206.971</v>
      </c>
      <c r="S33" s="161">
        <f t="shared" si="5"/>
        <v>196.74088125553828</v>
      </c>
      <c r="T33" s="161">
        <f t="shared" si="6"/>
        <v>5.970812437676227</v>
      </c>
      <c r="U33" s="77"/>
      <c r="V33" s="77"/>
    </row>
    <row r="34" spans="1:22" ht="12.75">
      <c r="A34" s="72">
        <v>18</v>
      </c>
      <c r="B34" s="66"/>
      <c r="C34" s="76">
        <v>4595.7</v>
      </c>
      <c r="D34" s="76">
        <v>4575.7</v>
      </c>
      <c r="E34" s="161">
        <f>(D34-C34)/C34*100</f>
        <v>-0.43518941619339824</v>
      </c>
      <c r="F34" s="77"/>
      <c r="G34" s="170">
        <v>5767.208</v>
      </c>
      <c r="H34" s="170">
        <v>5948.085</v>
      </c>
      <c r="I34" s="161">
        <f>(H34-G34)/G34*100</f>
        <v>3.136300962268058</v>
      </c>
      <c r="J34" s="82"/>
      <c r="K34" s="80">
        <v>6706.094</v>
      </c>
      <c r="L34" s="149">
        <v>4312.704</v>
      </c>
      <c r="M34" s="172">
        <f>(L34-K34)/K34*100</f>
        <v>-35.68977708931608</v>
      </c>
      <c r="N34" s="71"/>
      <c r="O34" s="161">
        <f>'6-J-2'!I33</f>
        <v>8364.787</v>
      </c>
      <c r="P34" s="161">
        <f>'6-J-2'!J33</f>
        <v>7859.057148751165</v>
      </c>
      <c r="Q34" s="161">
        <f>(P34-O34)/O34*100</f>
        <v>-6.045938184066553</v>
      </c>
      <c r="R34" s="161">
        <f>C34+G34+K34+O34</f>
        <v>25433.789</v>
      </c>
      <c r="S34" s="161">
        <f>D34+H34+L34+P34</f>
        <v>22695.546148751164</v>
      </c>
      <c r="T34" s="161">
        <f t="shared" si="6"/>
        <v>-8.14129470205716</v>
      </c>
      <c r="U34" s="77"/>
      <c r="V34" s="77"/>
    </row>
    <row r="35" spans="1:22" ht="12.75">
      <c r="A35" s="72">
        <v>19</v>
      </c>
      <c r="B35" s="66"/>
      <c r="C35" s="76">
        <v>39</v>
      </c>
      <c r="D35" s="76">
        <v>36.1</v>
      </c>
      <c r="E35" s="161">
        <f t="shared" si="7"/>
        <v>-7.435897435897432</v>
      </c>
      <c r="F35" s="77"/>
      <c r="G35" s="170">
        <v>48.522</v>
      </c>
      <c r="H35" s="170">
        <v>37.252</v>
      </c>
      <c r="I35" s="161">
        <f t="shared" si="8"/>
        <v>-23.22657763488726</v>
      </c>
      <c r="J35" s="77"/>
      <c r="K35" s="80">
        <v>22.287</v>
      </c>
      <c r="L35" s="149">
        <v>45.791</v>
      </c>
      <c r="M35" s="172">
        <f t="shared" si="9"/>
        <v>105.46058240229729</v>
      </c>
      <c r="N35" s="71"/>
      <c r="O35" s="161">
        <f>'6-J-2'!I34</f>
        <v>63.843</v>
      </c>
      <c r="P35" s="161">
        <f>'6-J-2'!J34</f>
        <v>69.0037501115507</v>
      </c>
      <c r="Q35" s="161">
        <f t="shared" si="10"/>
        <v>8.083501889871556</v>
      </c>
      <c r="R35" s="161">
        <f t="shared" si="4"/>
        <v>173.652</v>
      </c>
      <c r="S35" s="161">
        <f t="shared" si="5"/>
        <v>188.14675011155072</v>
      </c>
      <c r="T35" s="161">
        <f t="shared" si="6"/>
        <v>22.606104560435377</v>
      </c>
      <c r="U35" s="77"/>
      <c r="V35" s="77"/>
    </row>
    <row r="36" spans="1:22" ht="12.75">
      <c r="A36" s="72">
        <v>20</v>
      </c>
      <c r="B36" s="66"/>
      <c r="C36" s="76">
        <v>4155.5</v>
      </c>
      <c r="D36" s="76">
        <v>3533.2</v>
      </c>
      <c r="E36" s="161">
        <f t="shared" si="7"/>
        <v>-14.975333894838172</v>
      </c>
      <c r="F36" s="77"/>
      <c r="G36" s="161">
        <v>4150.035</v>
      </c>
      <c r="H36" s="161">
        <v>4323.7</v>
      </c>
      <c r="I36" s="161">
        <f t="shared" si="8"/>
        <v>4.184663502837927</v>
      </c>
      <c r="J36" s="82"/>
      <c r="K36" s="80">
        <v>4819.927</v>
      </c>
      <c r="L36" s="149">
        <v>3325.279</v>
      </c>
      <c r="M36" s="172">
        <f t="shared" si="9"/>
        <v>-31.009764255765692</v>
      </c>
      <c r="N36" s="71"/>
      <c r="O36" s="161">
        <f>'6-J-2'!I35</f>
        <v>2712.703</v>
      </c>
      <c r="P36" s="161">
        <f>'6-J-2'!J35</f>
        <v>2690.9896615536095</v>
      </c>
      <c r="Q36" s="161">
        <f t="shared" si="10"/>
        <v>-0.8004318366732547</v>
      </c>
      <c r="R36" s="161">
        <f t="shared" si="4"/>
        <v>15838.164999999999</v>
      </c>
      <c r="S36" s="161">
        <f t="shared" si="5"/>
        <v>13873.16866155361</v>
      </c>
      <c r="T36" s="161">
        <f t="shared" si="6"/>
        <v>-10.097743004462856</v>
      </c>
      <c r="U36" s="77"/>
      <c r="V36" s="77"/>
    </row>
    <row r="37" spans="1:22" ht="12.75">
      <c r="A37" s="72" t="s">
        <v>148</v>
      </c>
      <c r="B37" s="66"/>
      <c r="C37" s="149">
        <f>SUM(C19:C36)</f>
        <v>60767.39999999998</v>
      </c>
      <c r="D37" s="149">
        <f>SUM(D19:D36)</f>
        <v>59566.499999999985</v>
      </c>
      <c r="E37" s="161">
        <f>(D37-C37)/C37*100</f>
        <v>-1.9762240938397801</v>
      </c>
      <c r="F37" s="77"/>
      <c r="G37" s="149">
        <f>SUM(G19:G36)</f>
        <v>67187.796</v>
      </c>
      <c r="H37" s="149">
        <f>SUM(H19:H36)</f>
        <v>67548.878</v>
      </c>
      <c r="I37" s="161">
        <f>(H37-G37)/G37*100</f>
        <v>0.5374220044366315</v>
      </c>
      <c r="J37" s="77"/>
      <c r="K37" s="80">
        <v>71994.904</v>
      </c>
      <c r="L37" s="149">
        <f>SUM(L19:L36)</f>
        <v>64895.336</v>
      </c>
      <c r="M37" s="172">
        <f t="shared" si="9"/>
        <v>-9.861209065574965</v>
      </c>
      <c r="N37" s="71"/>
      <c r="O37" s="161">
        <f>SUM(O19:O36)</f>
        <v>72660.271</v>
      </c>
      <c r="P37" s="161">
        <f>SUM(P19:P36)</f>
        <v>74234.6326882795</v>
      </c>
      <c r="Q37" s="161">
        <f t="shared" si="10"/>
        <v>2.166743485280289</v>
      </c>
      <c r="R37" s="161">
        <f t="shared" si="4"/>
        <v>272610.371</v>
      </c>
      <c r="S37" s="161">
        <f t="shared" si="5"/>
        <v>266245.3466882795</v>
      </c>
      <c r="T37" s="161">
        <f>(D37/S37*E37)+(H37/S37*I37)+(L37/S37*M37)+(P37/S37*Q37)</f>
        <v>-2.1052520728070436</v>
      </c>
      <c r="U37" s="77"/>
      <c r="V37" s="77"/>
    </row>
    <row r="38" spans="1:22" ht="12.75">
      <c r="A38" s="66" t="s">
        <v>1</v>
      </c>
      <c r="B38" s="66"/>
      <c r="C38" s="80">
        <v>53.2</v>
      </c>
      <c r="D38" s="76">
        <v>0</v>
      </c>
      <c r="E38" s="164" t="s">
        <v>149</v>
      </c>
      <c r="F38" s="77"/>
      <c r="G38" s="161">
        <v>2.838</v>
      </c>
      <c r="H38" s="161">
        <v>0</v>
      </c>
      <c r="I38" s="164" t="s">
        <v>149</v>
      </c>
      <c r="J38" s="77"/>
      <c r="K38" s="80">
        <v>18.552</v>
      </c>
      <c r="L38" s="161">
        <v>0</v>
      </c>
      <c r="M38" s="164" t="s">
        <v>149</v>
      </c>
      <c r="N38" s="71"/>
      <c r="O38" s="161">
        <f>'6-J-2'!I36</f>
        <v>-24.023</v>
      </c>
      <c r="P38" s="161">
        <f>'6-J-2'!J36</f>
        <v>7.288407619746818</v>
      </c>
      <c r="Q38" s="164" t="s">
        <v>149</v>
      </c>
      <c r="R38" s="149">
        <f t="shared" si="4"/>
        <v>50.56700000000001</v>
      </c>
      <c r="S38" s="161">
        <f t="shared" si="5"/>
        <v>7.288407619746818</v>
      </c>
      <c r="T38" s="164" t="s">
        <v>149</v>
      </c>
      <c r="U38" s="77"/>
      <c r="V38" s="77"/>
    </row>
    <row r="39" spans="1:22" ht="12.75">
      <c r="A39" s="66" t="s">
        <v>150</v>
      </c>
      <c r="B39" s="66"/>
      <c r="C39" s="162">
        <v>60819.5</v>
      </c>
      <c r="D39" s="76">
        <v>59566.5</v>
      </c>
      <c r="E39" s="161">
        <f>(D39-C39)/C39*100</f>
        <v>-2.0601945099844623</v>
      </c>
      <c r="F39" s="77"/>
      <c r="G39" s="162">
        <f>SUM(G37:G38)</f>
        <v>67190.634</v>
      </c>
      <c r="H39" s="162">
        <f>SUM(H37:H38)</f>
        <v>67548.878</v>
      </c>
      <c r="I39" s="161">
        <f>(H39-G39)/G39*100</f>
        <v>0.5331755018117428</v>
      </c>
      <c r="J39" s="77"/>
      <c r="K39" s="80">
        <v>72013.456</v>
      </c>
      <c r="L39" s="162">
        <f>SUM(L37:L38)</f>
        <v>64895.336</v>
      </c>
      <c r="M39" s="172">
        <f>(L39-K39)/K39*100</f>
        <v>-9.884430487546664</v>
      </c>
      <c r="N39" s="71"/>
      <c r="O39" s="162">
        <f>SUM(O19:O36)+O38</f>
        <v>72636.24799999999</v>
      </c>
      <c r="P39" s="162">
        <f>SUM(P19:P36)+P38</f>
        <v>74241.92109589925</v>
      </c>
      <c r="Q39" s="161">
        <f>(P39-O39)/O39*100</f>
        <v>2.2105672307017508</v>
      </c>
      <c r="R39" s="161">
        <f t="shared" si="4"/>
        <v>272659.838</v>
      </c>
      <c r="S39" s="161">
        <f t="shared" si="5"/>
        <v>266252.6350958992</v>
      </c>
      <c r="T39" s="161">
        <f>(D39/S39*E39)+(H39/S39*I39)+(L39/S39*M39)+(P39/S39*Q39)</f>
        <v>-2.118438560769201</v>
      </c>
      <c r="U39" s="77"/>
      <c r="V39" s="77"/>
    </row>
    <row r="40" spans="1:22" ht="12.75">
      <c r="A40" s="66"/>
      <c r="B40" s="66"/>
      <c r="C40" s="66"/>
      <c r="D40" s="77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83"/>
      <c r="P40" s="66"/>
      <c r="Q40" s="66"/>
      <c r="R40" s="66"/>
      <c r="S40" s="66"/>
      <c r="T40" s="66"/>
      <c r="U40" s="66"/>
      <c r="V40" s="77"/>
    </row>
    <row r="41" spans="1:22" ht="12.75">
      <c r="A41" s="66"/>
      <c r="B41" s="146" t="s">
        <v>215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83"/>
      <c r="P41" s="66"/>
      <c r="Q41" s="66"/>
      <c r="R41" s="66"/>
      <c r="S41" s="66"/>
      <c r="T41" s="66"/>
      <c r="U41" s="66"/>
      <c r="V41" s="66"/>
    </row>
    <row r="42" spans="1:22" ht="12.75">
      <c r="A42" s="66"/>
      <c r="B42" s="165" t="s">
        <v>250</v>
      </c>
      <c r="C42" s="66"/>
      <c r="D42" s="66"/>
      <c r="E42" s="66"/>
      <c r="F42" s="66"/>
      <c r="G42" s="66"/>
      <c r="H42" s="66"/>
      <c r="I42" s="66"/>
      <c r="J42" s="66"/>
      <c r="K42" s="66"/>
      <c r="L42" s="170"/>
      <c r="M42" s="170"/>
      <c r="N42" s="66"/>
      <c r="O42" s="83"/>
      <c r="P42" s="66"/>
      <c r="Q42" s="66"/>
      <c r="R42" s="66"/>
      <c r="S42" s="66"/>
      <c r="T42" s="66"/>
      <c r="U42" s="66"/>
      <c r="V42" s="66"/>
    </row>
    <row r="43" spans="1:22" ht="12.75">
      <c r="A43" s="66"/>
      <c r="B43" s="165" t="s">
        <v>231</v>
      </c>
      <c r="C43" s="66"/>
      <c r="D43" s="66"/>
      <c r="E43" s="66"/>
      <c r="F43" s="66"/>
      <c r="G43" s="66"/>
      <c r="H43" s="66"/>
      <c r="I43" s="66"/>
      <c r="J43" s="66"/>
      <c r="K43" s="66"/>
      <c r="L43" s="170"/>
      <c r="M43" s="66"/>
      <c r="N43" s="66"/>
      <c r="O43" s="83"/>
      <c r="P43" s="66"/>
      <c r="Q43" s="66"/>
      <c r="R43" s="66"/>
      <c r="S43" s="66"/>
      <c r="T43" s="66"/>
      <c r="U43" s="66"/>
      <c r="V43" s="66"/>
    </row>
    <row r="44" spans="1:22" ht="12.75">
      <c r="A44" s="66"/>
      <c r="B44" s="165" t="s">
        <v>251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66"/>
      <c r="O44" s="66"/>
      <c r="P44" s="66"/>
      <c r="Q44" s="66"/>
      <c r="R44" s="66"/>
      <c r="S44" s="66"/>
      <c r="T44" s="66"/>
      <c r="U44" s="66"/>
      <c r="V44" s="66"/>
    </row>
    <row r="45" spans="1:22" ht="12.75">
      <c r="A45" s="66"/>
      <c r="B45" s="165" t="s">
        <v>232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66"/>
      <c r="Q45" s="66"/>
      <c r="R45" s="66"/>
      <c r="S45" s="66"/>
      <c r="T45" s="66"/>
      <c r="U45" s="66"/>
      <c r="V45" s="66"/>
    </row>
    <row r="46" spans="1:22" ht="12.75">
      <c r="A46" s="66"/>
      <c r="B46" s="165" t="s">
        <v>288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66"/>
      <c r="Q46" s="66"/>
      <c r="R46" s="66"/>
      <c r="S46" s="66"/>
      <c r="T46" s="66"/>
      <c r="U46" s="66"/>
      <c r="V46" s="66"/>
    </row>
    <row r="47" spans="1:2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8" spans="1:22" ht="12.75">
      <c r="A48" s="66" t="s">
        <v>151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</row>
    <row r="51" spans="7:8" ht="10.5">
      <c r="G51" s="20"/>
      <c r="H51" s="20"/>
    </row>
  </sheetData>
  <mergeCells count="3">
    <mergeCell ref="A5:T5"/>
    <mergeCell ref="A6:T6"/>
    <mergeCell ref="A7:T7"/>
  </mergeCells>
  <printOptions/>
  <pageMargins left="0.25" right="0.46" top="0.77" bottom="0.68" header="0.5" footer="0.5"/>
  <pageSetup fitToHeight="1" fitToWidth="1" horizontalDpi="300" verticalDpi="300" orientation="landscape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>
    <tabColor indexed="27"/>
    <pageSetUpPr fitToPage="1"/>
  </sheetPr>
  <dimension ref="A1:V49"/>
  <sheetViews>
    <sheetView showGridLines="0" zoomScale="75" zoomScaleNormal="75" workbookViewId="0" topLeftCell="E1">
      <selection activeCell="T4" sqref="T4"/>
    </sheetView>
  </sheetViews>
  <sheetFormatPr defaultColWidth="9.33203125" defaultRowHeight="10.5"/>
  <cols>
    <col min="2" max="2" width="7.83203125" style="0" customWidth="1"/>
    <col min="3" max="3" width="11.83203125" style="0" customWidth="1"/>
    <col min="4" max="4" width="12" style="0" customWidth="1"/>
    <col min="6" max="6" width="2.33203125" style="0" customWidth="1"/>
    <col min="7" max="7" width="12.33203125" style="0" customWidth="1"/>
    <col min="8" max="8" width="12" style="0" customWidth="1"/>
    <col min="10" max="10" width="2.33203125" style="0" customWidth="1"/>
    <col min="11" max="11" width="14.16015625" style="0" customWidth="1"/>
    <col min="12" max="12" width="14.83203125" style="0" customWidth="1"/>
    <col min="13" max="13" width="10.5" style="0" customWidth="1"/>
    <col min="14" max="14" width="2.33203125" style="0" customWidth="1"/>
    <col min="15" max="15" width="13.66015625" style="0" customWidth="1"/>
    <col min="16" max="16" width="12.5" style="0" customWidth="1"/>
    <col min="17" max="17" width="9.66015625" style="0" customWidth="1"/>
    <col min="18" max="19" width="12.83203125" style="0" customWidth="1"/>
    <col min="20" max="20" width="10.16015625" style="0" bestFit="1" customWidth="1"/>
    <col min="21" max="21" width="2.33203125" style="0" customWidth="1"/>
    <col min="22" max="22" width="10.83203125" style="0" customWidth="1"/>
  </cols>
  <sheetData>
    <row r="1" spans="1:22" ht="12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T1" s="178" t="s">
        <v>99</v>
      </c>
      <c r="U1" s="66"/>
      <c r="V1" s="66"/>
    </row>
    <row r="2" spans="1:22" ht="12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T2" s="118" t="s">
        <v>258</v>
      </c>
      <c r="U2" s="66"/>
      <c r="V2" s="66"/>
    </row>
    <row r="3" spans="1:22" ht="12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 t="s">
        <v>286</v>
      </c>
      <c r="U3" s="66"/>
      <c r="V3" s="66"/>
    </row>
    <row r="4" spans="1:22" ht="12.75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9"/>
      <c r="V4" s="69"/>
    </row>
    <row r="5" spans="1:22" ht="12.75">
      <c r="A5" s="218" t="s">
        <v>133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70"/>
      <c r="V5" s="70"/>
    </row>
    <row r="6" spans="1:22" ht="12.75">
      <c r="A6" s="218" t="s">
        <v>206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71"/>
      <c r="V6" s="71"/>
    </row>
    <row r="7" spans="1:22" ht="12.75">
      <c r="A7" s="218" t="s">
        <v>134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70"/>
      <c r="V7" s="70"/>
    </row>
    <row r="8" spans="1:22" ht="12.7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72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2" ht="12.75">
      <c r="A9" s="66"/>
      <c r="B9" s="66"/>
      <c r="C9" s="73" t="s">
        <v>135</v>
      </c>
      <c r="D9" s="73"/>
      <c r="E9" s="73"/>
      <c r="F9" s="66"/>
      <c r="G9" s="73" t="s">
        <v>233</v>
      </c>
      <c r="H9" s="67"/>
      <c r="I9" s="67"/>
      <c r="J9" s="66"/>
      <c r="K9" s="67" t="s">
        <v>218</v>
      </c>
      <c r="L9" s="128"/>
      <c r="M9" s="73"/>
      <c r="N9" s="66"/>
      <c r="O9" s="73" t="s">
        <v>230</v>
      </c>
      <c r="P9" s="148"/>
      <c r="Q9" s="73"/>
      <c r="R9" s="73" t="s">
        <v>136</v>
      </c>
      <c r="S9" s="73"/>
      <c r="T9" s="73"/>
      <c r="U9" s="66"/>
      <c r="V9" s="73"/>
    </row>
    <row r="10" spans="1:22" ht="12.75">
      <c r="A10" s="66"/>
      <c r="B10" s="66"/>
      <c r="C10" s="72" t="s">
        <v>137</v>
      </c>
      <c r="D10" s="66"/>
      <c r="E10" s="66"/>
      <c r="F10" s="66"/>
      <c r="G10" s="72" t="s">
        <v>139</v>
      </c>
      <c r="H10" s="66"/>
      <c r="I10" s="66"/>
      <c r="J10" s="66"/>
      <c r="K10" s="147" t="s">
        <v>222</v>
      </c>
      <c r="L10" s="72"/>
      <c r="M10" s="66"/>
      <c r="N10" s="66"/>
      <c r="O10" s="72" t="s">
        <v>139</v>
      </c>
      <c r="P10" s="72" t="s">
        <v>216</v>
      </c>
      <c r="Q10" s="66"/>
      <c r="R10" s="72"/>
      <c r="S10" s="66"/>
      <c r="T10" s="66"/>
      <c r="U10" s="66"/>
      <c r="V10" s="66"/>
    </row>
    <row r="11" spans="1:22" ht="12.75">
      <c r="A11" s="66"/>
      <c r="B11" s="66"/>
      <c r="C11" s="72" t="s">
        <v>140</v>
      </c>
      <c r="D11" s="67" t="s">
        <v>212</v>
      </c>
      <c r="E11" s="72" t="s">
        <v>141</v>
      </c>
      <c r="F11" s="72"/>
      <c r="G11" s="72" t="s">
        <v>140</v>
      </c>
      <c r="H11" s="67" t="s">
        <v>213</v>
      </c>
      <c r="I11" s="72" t="s">
        <v>141</v>
      </c>
      <c r="J11" s="72"/>
      <c r="K11" s="72" t="s">
        <v>140</v>
      </c>
      <c r="L11" s="67" t="s">
        <v>214</v>
      </c>
      <c r="M11" s="72" t="s">
        <v>141</v>
      </c>
      <c r="N11" s="66"/>
      <c r="O11" s="72" t="s">
        <v>140</v>
      </c>
      <c r="P11" s="72" t="s">
        <v>142</v>
      </c>
      <c r="Q11" s="72" t="s">
        <v>141</v>
      </c>
      <c r="R11" s="159"/>
      <c r="S11" s="70"/>
      <c r="T11" s="159" t="s">
        <v>141</v>
      </c>
      <c r="U11" s="72"/>
      <c r="V11" s="72"/>
    </row>
    <row r="12" spans="1:22" ht="12.75">
      <c r="A12" s="66"/>
      <c r="B12" s="66"/>
      <c r="C12" s="74" t="s">
        <v>142</v>
      </c>
      <c r="D12" s="74" t="s">
        <v>143</v>
      </c>
      <c r="E12" s="74" t="s">
        <v>144</v>
      </c>
      <c r="F12" s="72"/>
      <c r="G12" s="154" t="s">
        <v>223</v>
      </c>
      <c r="H12" s="154" t="s">
        <v>225</v>
      </c>
      <c r="I12" s="74" t="s">
        <v>144</v>
      </c>
      <c r="J12" s="72"/>
      <c r="K12" s="154" t="s">
        <v>234</v>
      </c>
      <c r="L12" s="154" t="s">
        <v>235</v>
      </c>
      <c r="M12" s="74" t="s">
        <v>144</v>
      </c>
      <c r="N12" s="66"/>
      <c r="O12" s="74" t="s">
        <v>142</v>
      </c>
      <c r="P12" s="75" t="s">
        <v>143</v>
      </c>
      <c r="Q12" s="74" t="s">
        <v>144</v>
      </c>
      <c r="R12" s="160" t="s">
        <v>142</v>
      </c>
      <c r="S12" s="160" t="s">
        <v>143</v>
      </c>
      <c r="T12" s="160" t="s">
        <v>144</v>
      </c>
      <c r="U12" s="72"/>
      <c r="V12" s="74"/>
    </row>
    <row r="13" spans="1:22" ht="12.7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71"/>
      <c r="S13" s="71"/>
      <c r="T13" s="71"/>
      <c r="U13" s="66"/>
      <c r="V13" s="66"/>
    </row>
    <row r="14" spans="1:22" ht="12.75">
      <c r="A14" s="67" t="s">
        <v>145</v>
      </c>
      <c r="B14" s="67"/>
      <c r="C14" s="77">
        <v>61651.8</v>
      </c>
      <c r="D14" s="76">
        <v>60116.759</v>
      </c>
      <c r="E14" s="76">
        <v>-2.072471408298395</v>
      </c>
      <c r="F14" s="77"/>
      <c r="G14" s="161">
        <v>69116.82</v>
      </c>
      <c r="H14" s="161">
        <v>65868.924</v>
      </c>
      <c r="I14" s="161">
        <f>(H14-G14)/G14*100</f>
        <v>-4.699139804175029</v>
      </c>
      <c r="J14" s="77"/>
      <c r="K14" s="78">
        <v>74839.814</v>
      </c>
      <c r="L14" s="161">
        <v>68763.818832</v>
      </c>
      <c r="M14" s="79">
        <f>(L14-K14)/K14*100</f>
        <v>-8.118666847568587</v>
      </c>
      <c r="N14" s="66"/>
      <c r="O14" s="77">
        <f>'6-J-2'!I16</f>
        <v>72917.71899999998</v>
      </c>
      <c r="P14" s="193">
        <f>'6-J-2'!J16</f>
        <v>72147.38999999997</v>
      </c>
      <c r="Q14" s="77">
        <f>(P14-O14)/O14*100</f>
        <v>-1.0564359535163361</v>
      </c>
      <c r="R14" s="161">
        <f>C14+G14+K14+O14</f>
        <v>278526.153</v>
      </c>
      <c r="S14" s="193">
        <f>D14+H14+L14+P14</f>
        <v>266896.89183199994</v>
      </c>
      <c r="T14" s="161">
        <f>(D14/S14*E14)+(H14/S14*I14)+(L14/S14*M14)+(P14/S14*Q14)</f>
        <v>-4.003820248675743</v>
      </c>
      <c r="U14" s="77"/>
      <c r="V14" s="77"/>
    </row>
    <row r="15" spans="1:22" ht="12.75">
      <c r="A15" s="66"/>
      <c r="B15" s="66"/>
      <c r="C15" s="77"/>
      <c r="D15" s="77"/>
      <c r="E15" s="77"/>
      <c r="F15" s="77"/>
      <c r="G15" s="77"/>
      <c r="H15" s="77"/>
      <c r="I15" s="77"/>
      <c r="J15" s="77"/>
      <c r="K15" s="66"/>
      <c r="L15" s="66"/>
      <c r="M15" s="79"/>
      <c r="N15" s="66"/>
      <c r="O15" s="77"/>
      <c r="P15" s="77"/>
      <c r="Q15" s="77"/>
      <c r="R15" s="161"/>
      <c r="S15" s="161"/>
      <c r="T15" s="161"/>
      <c r="U15" s="77"/>
      <c r="V15" s="77"/>
    </row>
    <row r="16" spans="1:22" ht="12.75">
      <c r="A16" s="72" t="s">
        <v>146</v>
      </c>
      <c r="B16" s="66"/>
      <c r="C16" s="77"/>
      <c r="D16" s="77"/>
      <c r="E16" s="77"/>
      <c r="F16" s="77"/>
      <c r="G16" s="77"/>
      <c r="H16" s="77"/>
      <c r="I16" s="77"/>
      <c r="J16" s="77"/>
      <c r="K16" s="66"/>
      <c r="L16" s="66"/>
      <c r="M16" s="79"/>
      <c r="N16" s="66"/>
      <c r="O16" s="77"/>
      <c r="P16" s="77"/>
      <c r="Q16" s="77"/>
      <c r="R16" s="161"/>
      <c r="S16" s="161"/>
      <c r="T16" s="161"/>
      <c r="U16" s="77"/>
      <c r="V16" s="77"/>
    </row>
    <row r="17" spans="1:22" ht="12.75">
      <c r="A17" s="74" t="s">
        <v>147</v>
      </c>
      <c r="B17" s="66"/>
      <c r="C17" s="77"/>
      <c r="D17" s="77"/>
      <c r="E17" s="77"/>
      <c r="F17" s="77"/>
      <c r="G17" s="77"/>
      <c r="H17" s="77"/>
      <c r="I17" s="77"/>
      <c r="J17" s="77"/>
      <c r="K17" s="66"/>
      <c r="L17" s="66"/>
      <c r="M17" s="79"/>
      <c r="N17" s="66"/>
      <c r="O17" s="77"/>
      <c r="P17" s="77"/>
      <c r="Q17" s="77"/>
      <c r="R17" s="161"/>
      <c r="S17" s="161"/>
      <c r="T17" s="161"/>
      <c r="U17" s="77"/>
      <c r="V17" s="77"/>
    </row>
    <row r="18" spans="1:22" ht="12.75">
      <c r="A18" s="66"/>
      <c r="B18" s="66"/>
      <c r="C18" s="77"/>
      <c r="D18" s="77"/>
      <c r="E18" s="77"/>
      <c r="F18" s="77"/>
      <c r="G18" s="77"/>
      <c r="H18" s="77"/>
      <c r="I18" s="77"/>
      <c r="J18" s="77"/>
      <c r="K18" s="66"/>
      <c r="L18" s="66"/>
      <c r="M18" s="79"/>
      <c r="N18" s="66"/>
      <c r="O18" s="77"/>
      <c r="P18" s="77"/>
      <c r="Q18" s="77"/>
      <c r="R18" s="161"/>
      <c r="S18" s="161"/>
      <c r="T18" s="161"/>
      <c r="U18" s="77"/>
      <c r="V18" s="77"/>
    </row>
    <row r="19" spans="1:22" ht="12.75">
      <c r="A19" s="72">
        <v>1</v>
      </c>
      <c r="B19" s="66"/>
      <c r="C19" s="77">
        <v>1712.6</v>
      </c>
      <c r="D19" s="76">
        <v>1710.4</v>
      </c>
      <c r="E19" s="79">
        <f aca="true" t="shared" si="0" ref="E19:E36">(D19-C19)/C19*100</f>
        <v>-0.128459651991114</v>
      </c>
      <c r="F19" s="77"/>
      <c r="G19" s="161">
        <v>1869.428</v>
      </c>
      <c r="H19" s="161">
        <v>1772.945</v>
      </c>
      <c r="I19" s="161">
        <f aca="true" t="shared" si="1" ref="I19:I24">(H19-G19)/G19*100</f>
        <v>-5.161097405195609</v>
      </c>
      <c r="J19" s="77"/>
      <c r="K19" s="80">
        <v>1963.492</v>
      </c>
      <c r="L19" s="149">
        <v>1911.998</v>
      </c>
      <c r="M19" s="79">
        <f aca="true" t="shared" si="2" ref="M19:M24">(L19-K19)/K19*100</f>
        <v>-2.622572437269921</v>
      </c>
      <c r="N19" s="66"/>
      <c r="O19" s="77">
        <f>'6-J-2'!I18</f>
        <v>2310.398</v>
      </c>
      <c r="P19" s="77">
        <f>'6-J-2'!J18</f>
        <v>2260.8228368676114</v>
      </c>
      <c r="Q19" s="77">
        <f aca="true" t="shared" si="3" ref="Q19:Q24">(P19-O19)/O19*100</f>
        <v>-2.1457412589687466</v>
      </c>
      <c r="R19" s="161">
        <f aca="true" t="shared" si="4" ref="R19:S39">C19+G19+K19+O19</f>
        <v>7855.918000000001</v>
      </c>
      <c r="S19" s="161">
        <f t="shared" si="4"/>
        <v>7656.165836867613</v>
      </c>
      <c r="T19" s="185">
        <f aca="true" t="shared" si="5" ref="T19:T36">(D19/S19*E19)+(H19/S19*I19)+(L19/S19*M19)+(P19/S19*Q19)</f>
        <v>-2.51242641981366</v>
      </c>
      <c r="U19" s="77"/>
      <c r="V19" s="77"/>
    </row>
    <row r="20" spans="1:22" ht="12.75">
      <c r="A20" s="72">
        <v>2</v>
      </c>
      <c r="B20" s="66"/>
      <c r="C20" s="77">
        <v>3517.9</v>
      </c>
      <c r="D20" s="76">
        <v>3512.4</v>
      </c>
      <c r="E20" s="79">
        <f t="shared" si="0"/>
        <v>-0.1563432729753546</v>
      </c>
      <c r="F20" s="77"/>
      <c r="G20" s="161">
        <v>3782.609</v>
      </c>
      <c r="H20" s="161">
        <v>3617.023</v>
      </c>
      <c r="I20" s="161">
        <f t="shared" si="1"/>
        <v>-4.377560567322707</v>
      </c>
      <c r="J20" s="77"/>
      <c r="K20" s="80">
        <v>3806.894</v>
      </c>
      <c r="L20" s="149">
        <v>3768.81</v>
      </c>
      <c r="M20" s="79">
        <f t="shared" si="2"/>
        <v>-1.000395598091248</v>
      </c>
      <c r="N20" s="66"/>
      <c r="O20" s="77">
        <f>'6-J-2'!I19</f>
        <v>4242.692</v>
      </c>
      <c r="P20" s="77">
        <f>'6-J-2'!J19</f>
        <v>4268.959800054099</v>
      </c>
      <c r="Q20" s="77">
        <f t="shared" si="3"/>
        <v>0.6191304967246998</v>
      </c>
      <c r="R20" s="161">
        <f t="shared" si="4"/>
        <v>15350.095000000001</v>
      </c>
      <c r="S20" s="161">
        <f t="shared" si="4"/>
        <v>15167.1928000541</v>
      </c>
      <c r="T20" s="185">
        <f t="shared" si="5"/>
        <v>-1.1544743533801765</v>
      </c>
      <c r="U20" s="77"/>
      <c r="V20" s="77"/>
    </row>
    <row r="21" spans="1:22" ht="12.75">
      <c r="A21" s="72">
        <v>3</v>
      </c>
      <c r="B21" s="66"/>
      <c r="C21" s="77">
        <v>17759.6</v>
      </c>
      <c r="D21" s="76">
        <v>17646.1</v>
      </c>
      <c r="E21" s="79">
        <f t="shared" si="0"/>
        <v>-0.6390909705173541</v>
      </c>
      <c r="F21" s="77"/>
      <c r="G21" s="161">
        <v>19118.127</v>
      </c>
      <c r="H21" s="161">
        <v>19049.963</v>
      </c>
      <c r="I21" s="161">
        <f t="shared" si="1"/>
        <v>-0.3565412030163868</v>
      </c>
      <c r="J21" s="77"/>
      <c r="K21" s="80">
        <v>19318.672</v>
      </c>
      <c r="L21" s="149">
        <v>18074.717</v>
      </c>
      <c r="M21" s="79">
        <f t="shared" si="2"/>
        <v>-6.4391330832678255</v>
      </c>
      <c r="N21" s="66"/>
      <c r="O21" s="77">
        <f>'6-J-2'!I20</f>
        <v>18003.208</v>
      </c>
      <c r="P21" s="77">
        <f>'6-J-2'!J20</f>
        <v>18843.323710025015</v>
      </c>
      <c r="Q21" s="77">
        <f t="shared" si="3"/>
        <v>4.666477830090153</v>
      </c>
      <c r="R21" s="161">
        <f t="shared" si="4"/>
        <v>74199.60699999999</v>
      </c>
      <c r="S21" s="161">
        <f t="shared" si="4"/>
        <v>73614.10371002501</v>
      </c>
      <c r="T21" s="185">
        <f t="shared" si="5"/>
        <v>-0.6319864458433637</v>
      </c>
      <c r="U21" s="77"/>
      <c r="V21" s="77"/>
    </row>
    <row r="22" spans="1:22" ht="12.75">
      <c r="A22" s="72">
        <v>4</v>
      </c>
      <c r="B22" s="66"/>
      <c r="C22" s="77">
        <v>10.1</v>
      </c>
      <c r="D22" s="76">
        <v>8.4</v>
      </c>
      <c r="E22" s="79">
        <f t="shared" si="0"/>
        <v>-16.831683168316825</v>
      </c>
      <c r="F22" s="77"/>
      <c r="G22" s="161">
        <v>9.643</v>
      </c>
      <c r="H22" s="161">
        <v>6.865</v>
      </c>
      <c r="I22" s="161">
        <f t="shared" si="1"/>
        <v>-28.808462096857827</v>
      </c>
      <c r="J22" s="77"/>
      <c r="K22" s="80">
        <v>8.167</v>
      </c>
      <c r="L22" s="149">
        <v>5.841</v>
      </c>
      <c r="M22" s="79">
        <f t="shared" si="2"/>
        <v>-28.48047018489041</v>
      </c>
      <c r="N22" s="66"/>
      <c r="O22" s="77">
        <f>'6-J-2'!I21</f>
        <v>6.975</v>
      </c>
      <c r="P22" s="77">
        <f>'6-J-2'!J21</f>
        <v>6.239508612317367</v>
      </c>
      <c r="Q22" s="77">
        <f t="shared" si="3"/>
        <v>-10.544679393299388</v>
      </c>
      <c r="R22" s="161">
        <f t="shared" si="4"/>
        <v>34.885000000000005</v>
      </c>
      <c r="S22" s="161">
        <f t="shared" si="4"/>
        <v>27.345508612317367</v>
      </c>
      <c r="T22" s="185">
        <f t="shared" si="5"/>
        <v>-20.892069818369258</v>
      </c>
      <c r="U22" s="77"/>
      <c r="V22" s="77"/>
    </row>
    <row r="23" spans="1:22" ht="12.75">
      <c r="A23" s="72" t="s">
        <v>114</v>
      </c>
      <c r="B23" s="66"/>
      <c r="C23" s="77">
        <v>11960.5</v>
      </c>
      <c r="D23" s="76">
        <v>12076.2</v>
      </c>
      <c r="E23" s="79">
        <f t="shared" si="0"/>
        <v>0.967350863258231</v>
      </c>
      <c r="F23" s="77"/>
      <c r="G23" s="161">
        <v>13638.05</v>
      </c>
      <c r="H23" s="161">
        <v>13907.999</v>
      </c>
      <c r="I23" s="161">
        <f t="shared" si="1"/>
        <v>1.979381216522894</v>
      </c>
      <c r="J23" s="77"/>
      <c r="K23" s="80">
        <v>15193.921</v>
      </c>
      <c r="L23" s="149">
        <v>14491.461</v>
      </c>
      <c r="M23" s="79">
        <f t="shared" si="2"/>
        <v>-4.623296382809947</v>
      </c>
      <c r="N23" s="66"/>
      <c r="O23" s="77">
        <f>'6-J-2'!I22</f>
        <v>15700.584</v>
      </c>
      <c r="P23" s="77">
        <f>'6-J-2'!J22</f>
        <v>16208.336709876356</v>
      </c>
      <c r="Q23" s="77">
        <f t="shared" si="3"/>
        <v>3.2339733979089873</v>
      </c>
      <c r="R23" s="161">
        <f t="shared" si="4"/>
        <v>56493.055</v>
      </c>
      <c r="S23" s="161">
        <f t="shared" si="4"/>
        <v>56683.99670987636</v>
      </c>
      <c r="T23" s="161">
        <f t="shared" si="5"/>
        <v>0.4345170846389381</v>
      </c>
      <c r="U23" s="77"/>
      <c r="V23" s="77"/>
    </row>
    <row r="24" spans="1:22" ht="12.75">
      <c r="A24" s="72">
        <v>8</v>
      </c>
      <c r="B24" s="66"/>
      <c r="C24" s="77">
        <v>449</v>
      </c>
      <c r="D24" s="76">
        <v>457.3</v>
      </c>
      <c r="E24" s="79">
        <f t="shared" si="0"/>
        <v>1.8485523385300695</v>
      </c>
      <c r="F24" s="77"/>
      <c r="G24" s="161">
        <v>511.885</v>
      </c>
      <c r="H24" s="161">
        <v>537.684</v>
      </c>
      <c r="I24" s="161">
        <f t="shared" si="1"/>
        <v>5.03999921857448</v>
      </c>
      <c r="J24" s="77"/>
      <c r="K24" s="80">
        <v>555.986</v>
      </c>
      <c r="L24" s="149">
        <v>567.805</v>
      </c>
      <c r="M24" s="79">
        <f t="shared" si="2"/>
        <v>2.125772951117467</v>
      </c>
      <c r="N24" s="66"/>
      <c r="O24" s="77">
        <f>'6-J-2'!I23</f>
        <v>623.639</v>
      </c>
      <c r="P24" s="77">
        <f>'6-J-2'!J23</f>
        <v>633.2440462350431</v>
      </c>
      <c r="Q24" s="77">
        <f t="shared" si="3"/>
        <v>1.5401612527508892</v>
      </c>
      <c r="R24" s="161">
        <f t="shared" si="4"/>
        <v>2140.51</v>
      </c>
      <c r="S24" s="161">
        <f t="shared" si="4"/>
        <v>2196.033046235043</v>
      </c>
      <c r="T24" s="161">
        <f t="shared" si="5"/>
        <v>2.6127076676474394</v>
      </c>
      <c r="U24" s="77"/>
      <c r="V24" s="77"/>
    </row>
    <row r="25" spans="1:22" ht="12.75">
      <c r="A25" s="72">
        <v>9</v>
      </c>
      <c r="B25" s="66"/>
      <c r="C25" s="77">
        <v>114.1</v>
      </c>
      <c r="D25" s="76">
        <v>71.1</v>
      </c>
      <c r="E25" s="79">
        <f t="shared" si="0"/>
        <v>-37.68624014022787</v>
      </c>
      <c r="F25" s="77"/>
      <c r="G25" s="161">
        <v>0</v>
      </c>
      <c r="H25" s="161">
        <v>0</v>
      </c>
      <c r="I25" s="161">
        <v>0</v>
      </c>
      <c r="J25" s="77"/>
      <c r="K25" s="80">
        <v>0</v>
      </c>
      <c r="L25" s="149">
        <v>0</v>
      </c>
      <c r="M25" s="79">
        <v>0</v>
      </c>
      <c r="N25" s="66"/>
      <c r="O25" s="77">
        <f>'6-J-2'!I24</f>
        <v>0</v>
      </c>
      <c r="P25" s="77">
        <f>'6-J-2'!J24</f>
        <v>0</v>
      </c>
      <c r="Q25" s="77">
        <v>0</v>
      </c>
      <c r="R25" s="161">
        <f t="shared" si="4"/>
        <v>114.1</v>
      </c>
      <c r="S25" s="161">
        <f t="shared" si="4"/>
        <v>71.1</v>
      </c>
      <c r="T25" s="161">
        <f t="shared" si="5"/>
        <v>-37.68624014022787</v>
      </c>
      <c r="U25" s="77"/>
      <c r="V25" s="77"/>
    </row>
    <row r="26" spans="1:22" ht="12.75">
      <c r="A26" s="72">
        <v>10</v>
      </c>
      <c r="B26" s="66"/>
      <c r="C26" s="77">
        <v>3721.6</v>
      </c>
      <c r="D26" s="76">
        <v>3678.2</v>
      </c>
      <c r="E26" s="79">
        <f t="shared" si="0"/>
        <v>-1.1661650902837515</v>
      </c>
      <c r="F26" s="77"/>
      <c r="G26" s="161">
        <v>4355.648</v>
      </c>
      <c r="H26" s="161">
        <v>4566.622</v>
      </c>
      <c r="I26" s="161">
        <f aca="true" t="shared" si="6" ref="I26:I36">(H26-G26)/G26*100</f>
        <v>4.843688011519759</v>
      </c>
      <c r="J26" s="77"/>
      <c r="K26" s="80">
        <v>5000.87</v>
      </c>
      <c r="L26" s="149">
        <v>4844.261</v>
      </c>
      <c r="M26" s="79">
        <f aca="true" t="shared" si="7" ref="M26:M37">(L26-K26)/K26*100</f>
        <v>-3.1316350954933734</v>
      </c>
      <c r="N26" s="66"/>
      <c r="O26" s="77">
        <f>'6-J-2'!I25</f>
        <v>5810.427</v>
      </c>
      <c r="P26" s="77">
        <f>'6-J-2'!J25</f>
        <v>5915.309309074978</v>
      </c>
      <c r="Q26" s="77">
        <f aca="true" t="shared" si="8" ref="Q26:Q37">(P26-O26)/O26*100</f>
        <v>1.805070592487925</v>
      </c>
      <c r="R26" s="161">
        <f t="shared" si="4"/>
        <v>18888.545</v>
      </c>
      <c r="S26" s="161">
        <f t="shared" si="4"/>
        <v>19004.392309074978</v>
      </c>
      <c r="T26" s="161">
        <f t="shared" si="5"/>
        <v>0.7017849717322185</v>
      </c>
      <c r="U26" s="77"/>
      <c r="V26" s="77"/>
    </row>
    <row r="27" spans="1:22" ht="12.75">
      <c r="A27" s="72">
        <v>11</v>
      </c>
      <c r="B27" s="66"/>
      <c r="C27" s="77">
        <v>2315.7</v>
      </c>
      <c r="D27" s="76">
        <v>2304.3</v>
      </c>
      <c r="E27" s="79">
        <f t="shared" si="0"/>
        <v>-0.49229174763568845</v>
      </c>
      <c r="F27" s="77"/>
      <c r="G27" s="161">
        <v>2780.002</v>
      </c>
      <c r="H27" s="161">
        <v>2648.068</v>
      </c>
      <c r="I27" s="161">
        <f t="shared" si="6"/>
        <v>-4.745823923867672</v>
      </c>
      <c r="J27" s="77"/>
      <c r="K27" s="80">
        <v>3050.324</v>
      </c>
      <c r="L27" s="149">
        <v>2869.753</v>
      </c>
      <c r="M27" s="79">
        <f t="shared" si="7"/>
        <v>-5.919731805539343</v>
      </c>
      <c r="N27" s="66"/>
      <c r="O27" s="77">
        <f>'6-J-2'!I26</f>
        <v>3181.028</v>
      </c>
      <c r="P27" s="77">
        <f>'6-J-2'!J26</f>
        <v>3284.0853058301755</v>
      </c>
      <c r="Q27" s="77">
        <f t="shared" si="8"/>
        <v>3.2397484659102553</v>
      </c>
      <c r="R27" s="161">
        <f t="shared" si="4"/>
        <v>11327.054</v>
      </c>
      <c r="S27" s="161">
        <f t="shared" si="4"/>
        <v>11106.206305830176</v>
      </c>
      <c r="T27" s="161">
        <f t="shared" si="5"/>
        <v>-1.8053158355828716</v>
      </c>
      <c r="U27" s="77"/>
      <c r="V27" s="77"/>
    </row>
    <row r="28" spans="1:22" ht="12.75">
      <c r="A28" s="72">
        <v>12</v>
      </c>
      <c r="B28" s="66"/>
      <c r="C28" s="77">
        <v>648</v>
      </c>
      <c r="D28" s="76">
        <v>673.1</v>
      </c>
      <c r="E28" s="79">
        <f t="shared" si="0"/>
        <v>3.8734567901234604</v>
      </c>
      <c r="F28" s="77"/>
      <c r="G28" s="161">
        <v>722.705</v>
      </c>
      <c r="H28" s="161">
        <v>822.255</v>
      </c>
      <c r="I28" s="161">
        <f t="shared" si="6"/>
        <v>13.774638337911036</v>
      </c>
      <c r="J28" s="77"/>
      <c r="K28" s="80">
        <v>812.248</v>
      </c>
      <c r="L28" s="149">
        <v>866.701</v>
      </c>
      <c r="M28" s="79">
        <f t="shared" si="7"/>
        <v>6.703986959647788</v>
      </c>
      <c r="N28" s="66"/>
      <c r="O28" s="77">
        <f>'6-J-2'!I27</f>
        <v>1000.584</v>
      </c>
      <c r="P28" s="77">
        <f>'6-J-2'!J27</f>
        <v>1065.8722663223816</v>
      </c>
      <c r="Q28" s="77">
        <f t="shared" si="8"/>
        <v>6.525016022880806</v>
      </c>
      <c r="R28" s="161">
        <f t="shared" si="4"/>
        <v>3183.537</v>
      </c>
      <c r="S28" s="161">
        <f t="shared" si="4"/>
        <v>3427.9282663223817</v>
      </c>
      <c r="T28" s="161">
        <f t="shared" si="5"/>
        <v>7.788574542904907</v>
      </c>
      <c r="U28" s="77"/>
      <c r="V28" s="77"/>
    </row>
    <row r="29" spans="1:22" ht="12.75">
      <c r="A29" s="72">
        <v>13</v>
      </c>
      <c r="B29" s="66"/>
      <c r="C29" s="77">
        <v>291.6</v>
      </c>
      <c r="D29" s="76">
        <v>303.7</v>
      </c>
      <c r="E29" s="79">
        <f t="shared" si="0"/>
        <v>4.149519890260619</v>
      </c>
      <c r="F29" s="77"/>
      <c r="G29" s="161">
        <v>327.831</v>
      </c>
      <c r="H29" s="161">
        <v>361.657</v>
      </c>
      <c r="I29" s="161">
        <f t="shared" si="6"/>
        <v>10.318121227095657</v>
      </c>
      <c r="J29" s="77"/>
      <c r="K29" s="80">
        <v>457.643</v>
      </c>
      <c r="L29" s="149">
        <v>277.667</v>
      </c>
      <c r="M29" s="79">
        <f t="shared" si="7"/>
        <v>-39.326724105907886</v>
      </c>
      <c r="N29" s="66"/>
      <c r="O29" s="77">
        <f>'6-J-2'!I28</f>
        <v>312.788</v>
      </c>
      <c r="P29" s="77">
        <f>'6-J-2'!J28</f>
        <v>339.7511448527207</v>
      </c>
      <c r="Q29" s="77">
        <f t="shared" si="8"/>
        <v>8.620261919485623</v>
      </c>
      <c r="R29" s="161">
        <f t="shared" si="4"/>
        <v>1389.862</v>
      </c>
      <c r="S29" s="161">
        <f t="shared" si="4"/>
        <v>1282.7751448527206</v>
      </c>
      <c r="T29" s="161">
        <f t="shared" si="5"/>
        <v>-2.338024476833803</v>
      </c>
      <c r="U29" s="77"/>
      <c r="V29" s="77"/>
    </row>
    <row r="30" spans="1:22" ht="12.75">
      <c r="A30" s="72">
        <v>14</v>
      </c>
      <c r="B30" s="66"/>
      <c r="C30" s="77">
        <v>4326.5</v>
      </c>
      <c r="D30" s="76">
        <v>4242.2</v>
      </c>
      <c r="E30" s="79">
        <f t="shared" si="0"/>
        <v>-1.948457182480069</v>
      </c>
      <c r="F30" s="77"/>
      <c r="G30" s="161">
        <v>4619.553</v>
      </c>
      <c r="H30" s="161">
        <v>5063.148</v>
      </c>
      <c r="I30" s="161">
        <f t="shared" si="6"/>
        <v>9.602552454750498</v>
      </c>
      <c r="J30" s="77"/>
      <c r="K30" s="80">
        <v>5132.336</v>
      </c>
      <c r="L30" s="149">
        <v>4990.066</v>
      </c>
      <c r="M30" s="79">
        <f t="shared" si="7"/>
        <v>-2.7720320727247874</v>
      </c>
      <c r="N30" s="66"/>
      <c r="O30" s="77">
        <f>'6-J-2'!I29</f>
        <v>5218.069</v>
      </c>
      <c r="P30" s="77">
        <f>'6-J-2'!J29</f>
        <v>5784.318914639855</v>
      </c>
      <c r="Q30" s="77">
        <f t="shared" si="8"/>
        <v>10.851713816736709</v>
      </c>
      <c r="R30" s="161">
        <f t="shared" si="4"/>
        <v>19296.458</v>
      </c>
      <c r="S30" s="161">
        <f t="shared" si="4"/>
        <v>20079.732914639855</v>
      </c>
      <c r="T30" s="161">
        <f t="shared" si="5"/>
        <v>4.446799669379215</v>
      </c>
      <c r="U30" s="77"/>
      <c r="V30" s="77"/>
    </row>
    <row r="31" spans="1:22" ht="12.75">
      <c r="A31" s="72">
        <v>15</v>
      </c>
      <c r="B31" s="66"/>
      <c r="C31" s="77">
        <v>1540.7</v>
      </c>
      <c r="D31" s="76">
        <v>1439.4</v>
      </c>
      <c r="E31" s="79">
        <f t="shared" si="0"/>
        <v>-6.574933471798531</v>
      </c>
      <c r="F31" s="77"/>
      <c r="G31" s="161">
        <v>1633.711</v>
      </c>
      <c r="H31" s="161">
        <v>1585.322</v>
      </c>
      <c r="I31" s="161">
        <f t="shared" si="6"/>
        <v>-2.961906971306438</v>
      </c>
      <c r="J31" s="77"/>
      <c r="K31" s="80">
        <v>1766.688</v>
      </c>
      <c r="L31" s="149">
        <v>1655.497</v>
      </c>
      <c r="M31" s="79">
        <f t="shared" si="7"/>
        <v>-6.293754188628667</v>
      </c>
      <c r="N31" s="66"/>
      <c r="O31" s="77">
        <f>'6-J-2'!I30</f>
        <v>1968.755</v>
      </c>
      <c r="P31" s="77">
        <f>'6-J-2'!J30</f>
        <v>1970.0353813831714</v>
      </c>
      <c r="Q31" s="77">
        <f t="shared" si="8"/>
        <v>0.06503507969103767</v>
      </c>
      <c r="R31" s="161">
        <f t="shared" si="4"/>
        <v>6909.854</v>
      </c>
      <c r="S31" s="161">
        <f t="shared" si="4"/>
        <v>6650.254381383172</v>
      </c>
      <c r="T31" s="161">
        <f t="shared" si="5"/>
        <v>-3.6766571458243376</v>
      </c>
      <c r="U31" s="77"/>
      <c r="V31" s="77"/>
    </row>
    <row r="32" spans="1:22" ht="12.75">
      <c r="A32" s="72">
        <v>16</v>
      </c>
      <c r="B32" s="66"/>
      <c r="C32" s="77">
        <v>3531.4</v>
      </c>
      <c r="D32" s="76">
        <v>3221.6</v>
      </c>
      <c r="E32" s="79">
        <f t="shared" si="0"/>
        <v>-8.772724698419895</v>
      </c>
      <c r="F32" s="77"/>
      <c r="G32" s="161">
        <v>3807.497</v>
      </c>
      <c r="H32" s="161">
        <v>3271.014</v>
      </c>
      <c r="I32" s="161">
        <f>(H32-G32)/G32*100</f>
        <v>-14.090175251615426</v>
      </c>
      <c r="J32" s="82"/>
      <c r="K32" s="80">
        <v>3331.917</v>
      </c>
      <c r="L32" s="149">
        <v>2832.032</v>
      </c>
      <c r="M32" s="79">
        <f>(L32-K32)/K32*100</f>
        <v>-15.002924742723176</v>
      </c>
      <c r="N32" s="66"/>
      <c r="O32" s="77">
        <f>'6-J-2'!I31</f>
        <v>3082.8</v>
      </c>
      <c r="P32" s="77">
        <f>'6-J-2'!J31</f>
        <v>2999.8713128339177</v>
      </c>
      <c r="Q32" s="77">
        <f>(P32-O32)/O32*100</f>
        <v>-2.690044348192632</v>
      </c>
      <c r="R32" s="161">
        <f>C32+G32+K32+O32</f>
        <v>13753.614000000001</v>
      </c>
      <c r="S32" s="161">
        <f>D32+H32+L32+P32</f>
        <v>12324.51731283392</v>
      </c>
      <c r="T32" s="161">
        <f t="shared" si="5"/>
        <v>-10.135076049122203</v>
      </c>
      <c r="U32" s="77"/>
      <c r="V32" s="77"/>
    </row>
    <row r="33" spans="1:22" ht="12.75">
      <c r="A33" s="72">
        <v>17</v>
      </c>
      <c r="B33" s="66"/>
      <c r="C33" s="77">
        <v>57.2</v>
      </c>
      <c r="D33" s="76">
        <v>77.1</v>
      </c>
      <c r="E33" s="79">
        <f t="shared" si="0"/>
        <v>34.79020979020977</v>
      </c>
      <c r="F33" s="77"/>
      <c r="G33" s="77">
        <v>45.342</v>
      </c>
      <c r="H33" s="161">
        <v>29.276</v>
      </c>
      <c r="I33" s="161">
        <f t="shared" si="6"/>
        <v>-35.43293193948215</v>
      </c>
      <c r="J33" s="77"/>
      <c r="K33" s="80">
        <v>47.438</v>
      </c>
      <c r="L33" s="149">
        <v>54.953</v>
      </c>
      <c r="M33" s="80">
        <f t="shared" si="7"/>
        <v>15.841730258442599</v>
      </c>
      <c r="N33" s="66"/>
      <c r="O33" s="77">
        <f>'6-J-2'!I32</f>
        <v>56.991</v>
      </c>
      <c r="P33" s="77">
        <f>'6-J-2'!J32</f>
        <v>35.41188125553828</v>
      </c>
      <c r="Q33" s="77">
        <f t="shared" si="8"/>
        <v>-37.8640815996591</v>
      </c>
      <c r="R33" s="161">
        <f t="shared" si="4"/>
        <v>206.971</v>
      </c>
      <c r="S33" s="161">
        <f t="shared" si="4"/>
        <v>196.74088125553828</v>
      </c>
      <c r="T33" s="161">
        <f t="shared" si="5"/>
        <v>5.970812437676227</v>
      </c>
      <c r="U33" s="77"/>
      <c r="V33" s="77"/>
    </row>
    <row r="34" spans="1:22" ht="12.75">
      <c r="A34" s="72">
        <v>18</v>
      </c>
      <c r="B34" s="66"/>
      <c r="C34" s="81">
        <v>4595.7</v>
      </c>
      <c r="D34" s="76">
        <v>4575.7</v>
      </c>
      <c r="E34" s="79">
        <f t="shared" si="0"/>
        <v>-0.43518941619339824</v>
      </c>
      <c r="F34" s="77"/>
      <c r="G34" s="170">
        <v>5767.208</v>
      </c>
      <c r="H34" s="170">
        <v>5948.085</v>
      </c>
      <c r="I34" s="161">
        <f>(H34-G34)/G34*100</f>
        <v>3.136300962268058</v>
      </c>
      <c r="J34" s="82"/>
      <c r="K34" s="80">
        <v>6706.094</v>
      </c>
      <c r="L34" s="149">
        <v>4312.704</v>
      </c>
      <c r="M34" s="79">
        <f>(L34-K34)/K34*100</f>
        <v>-35.68977708931608</v>
      </c>
      <c r="N34" s="66"/>
      <c r="O34" s="77">
        <f>'6-J-2'!I33</f>
        <v>8364.787</v>
      </c>
      <c r="P34" s="77">
        <f>'6-J-2'!J33</f>
        <v>7859.057148751165</v>
      </c>
      <c r="Q34" s="77">
        <f>(P34-O34)/O34*100</f>
        <v>-6.045938184066553</v>
      </c>
      <c r="R34" s="161">
        <f>C34+G34+K34+O34</f>
        <v>25433.789</v>
      </c>
      <c r="S34" s="161">
        <f>D34+H34+L34+P34</f>
        <v>22695.546148751164</v>
      </c>
      <c r="T34" s="161">
        <f t="shared" si="5"/>
        <v>-8.14129470205716</v>
      </c>
      <c r="U34" s="77"/>
      <c r="V34" s="77"/>
    </row>
    <row r="35" spans="1:22" ht="12.75">
      <c r="A35" s="72">
        <v>19</v>
      </c>
      <c r="B35" s="66"/>
      <c r="C35" s="81">
        <v>39</v>
      </c>
      <c r="D35" s="76">
        <v>36.1</v>
      </c>
      <c r="E35" s="79">
        <f t="shared" si="0"/>
        <v>-7.435897435897432</v>
      </c>
      <c r="F35" s="77"/>
      <c r="G35" s="170">
        <v>48.522</v>
      </c>
      <c r="H35" s="170">
        <v>37.252</v>
      </c>
      <c r="I35" s="161">
        <f t="shared" si="6"/>
        <v>-23.22657763488726</v>
      </c>
      <c r="J35" s="77"/>
      <c r="K35" s="80">
        <v>22.287</v>
      </c>
      <c r="L35" s="149">
        <v>45.791</v>
      </c>
      <c r="M35" s="79">
        <f t="shared" si="7"/>
        <v>105.46058240229729</v>
      </c>
      <c r="N35" s="66"/>
      <c r="O35" s="77">
        <f>'6-J-2'!I34</f>
        <v>63.843</v>
      </c>
      <c r="P35" s="77">
        <f>'6-J-2'!J34</f>
        <v>69.0037501115507</v>
      </c>
      <c r="Q35" s="77">
        <f t="shared" si="8"/>
        <v>8.083501889871556</v>
      </c>
      <c r="R35" s="161">
        <f t="shared" si="4"/>
        <v>173.652</v>
      </c>
      <c r="S35" s="161">
        <f t="shared" si="4"/>
        <v>188.14675011155072</v>
      </c>
      <c r="T35" s="161">
        <f t="shared" si="5"/>
        <v>22.606104560435377</v>
      </c>
      <c r="U35" s="77"/>
      <c r="V35" s="77"/>
    </row>
    <row r="36" spans="1:22" ht="12.75">
      <c r="A36" s="72">
        <v>20</v>
      </c>
      <c r="B36" s="66"/>
      <c r="C36" s="77">
        <v>4098.9</v>
      </c>
      <c r="D36" s="76">
        <v>3533.2</v>
      </c>
      <c r="E36" s="79">
        <f t="shared" si="0"/>
        <v>-13.80126375369001</v>
      </c>
      <c r="F36" s="77"/>
      <c r="G36" s="161">
        <v>4150.035</v>
      </c>
      <c r="H36" s="161">
        <v>4323.7</v>
      </c>
      <c r="I36" s="161">
        <f t="shared" si="6"/>
        <v>4.184663502837927</v>
      </c>
      <c r="J36" s="82"/>
      <c r="K36" s="80">
        <v>4819.927</v>
      </c>
      <c r="L36" s="149">
        <v>3325.279</v>
      </c>
      <c r="M36" s="79">
        <f t="shared" si="7"/>
        <v>-31.009764255765692</v>
      </c>
      <c r="N36" s="66"/>
      <c r="O36" s="77">
        <f>'6-J-2'!I35</f>
        <v>2712.703</v>
      </c>
      <c r="P36" s="77">
        <f>'6-J-2'!J35</f>
        <v>2690.9896615536095</v>
      </c>
      <c r="Q36" s="77">
        <f t="shared" si="8"/>
        <v>-0.8004318366732547</v>
      </c>
      <c r="R36" s="161">
        <f t="shared" si="4"/>
        <v>15781.564999999999</v>
      </c>
      <c r="S36" s="161">
        <f t="shared" si="4"/>
        <v>13873.16866155361</v>
      </c>
      <c r="T36" s="161">
        <f t="shared" si="5"/>
        <v>-9.798732394565164</v>
      </c>
      <c r="U36" s="77"/>
      <c r="V36" s="77"/>
    </row>
    <row r="37" spans="1:22" ht="12.75">
      <c r="A37" s="72" t="s">
        <v>148</v>
      </c>
      <c r="B37" s="66"/>
      <c r="C37" s="149">
        <f>SUM(C19:C36)</f>
        <v>60690.099999999984</v>
      </c>
      <c r="D37" s="149">
        <f>SUM(D19:D36)</f>
        <v>59566.499999999985</v>
      </c>
      <c r="E37" s="161">
        <f>(D37-C37)/C37*100</f>
        <v>-1.8513727939153155</v>
      </c>
      <c r="F37" s="77"/>
      <c r="G37" s="149">
        <f>SUM(G19:G36)</f>
        <v>67187.796</v>
      </c>
      <c r="H37" s="149">
        <f>SUM(H19:H36)</f>
        <v>67548.878</v>
      </c>
      <c r="I37" s="161">
        <f>(H37-G37)/G37*100</f>
        <v>0.5374220044366315</v>
      </c>
      <c r="J37" s="77"/>
      <c r="K37" s="80">
        <v>71994.904</v>
      </c>
      <c r="L37" s="149">
        <f>SUM(L19:L36)</f>
        <v>64895.336</v>
      </c>
      <c r="M37" s="172">
        <f t="shared" si="7"/>
        <v>-9.861209065574965</v>
      </c>
      <c r="N37" s="71"/>
      <c r="O37" s="161">
        <f>SUM(O19:O36)</f>
        <v>72660.271</v>
      </c>
      <c r="P37" s="161">
        <f>SUM(P19:P36)</f>
        <v>74234.6326882795</v>
      </c>
      <c r="Q37" s="161">
        <f t="shared" si="8"/>
        <v>2.166743485280289</v>
      </c>
      <c r="R37" s="161">
        <f t="shared" si="4"/>
        <v>272533.071</v>
      </c>
      <c r="S37" s="161">
        <f t="shared" si="4"/>
        <v>266245.3466882795</v>
      </c>
      <c r="T37" s="161">
        <f>(D37/S37*E37)+(H37/S37*I37)+(L37/S37*M37)+(P37/S37*Q37)</f>
        <v>-2.077319359430243</v>
      </c>
      <c r="U37" s="77"/>
      <c r="V37" s="77"/>
    </row>
    <row r="38" spans="1:22" ht="12.75">
      <c r="A38" s="66" t="s">
        <v>1</v>
      </c>
      <c r="B38" s="66"/>
      <c r="C38" s="77">
        <v>-126.5</v>
      </c>
      <c r="D38" s="76">
        <v>0</v>
      </c>
      <c r="E38" s="164" t="s">
        <v>253</v>
      </c>
      <c r="F38" s="77"/>
      <c r="G38" s="161">
        <v>2.838</v>
      </c>
      <c r="H38" s="161">
        <v>0</v>
      </c>
      <c r="I38" s="164" t="s">
        <v>149</v>
      </c>
      <c r="J38" s="77"/>
      <c r="K38" s="80">
        <v>18.552</v>
      </c>
      <c r="L38" s="161">
        <v>0</v>
      </c>
      <c r="M38" s="164" t="s">
        <v>149</v>
      </c>
      <c r="N38" s="71"/>
      <c r="O38" s="161">
        <f>'6-J-2'!I36</f>
        <v>-24.023</v>
      </c>
      <c r="P38" s="161">
        <f>'6-J-2'!J36</f>
        <v>7.288407619746818</v>
      </c>
      <c r="Q38" s="164" t="s">
        <v>149</v>
      </c>
      <c r="R38" s="149">
        <f t="shared" si="4"/>
        <v>-129.133</v>
      </c>
      <c r="S38" s="161">
        <f t="shared" si="4"/>
        <v>7.288407619746818</v>
      </c>
      <c r="T38" s="164" t="s">
        <v>149</v>
      </c>
      <c r="U38" s="77"/>
      <c r="V38" s="77"/>
    </row>
    <row r="39" spans="1:22" ht="12.75">
      <c r="A39" s="66" t="s">
        <v>150</v>
      </c>
      <c r="B39" s="66"/>
      <c r="C39" s="162">
        <f>C37+C38</f>
        <v>60563.599999999984</v>
      </c>
      <c r="D39" s="76">
        <v>59566.5</v>
      </c>
      <c r="E39" s="161">
        <f>(D39-C39)/C39*100</f>
        <v>-1.6463684457330547</v>
      </c>
      <c r="F39" s="77"/>
      <c r="G39" s="162">
        <f>SUM(G37:G38)</f>
        <v>67190.634</v>
      </c>
      <c r="H39" s="162">
        <f>SUM(H37:H38)</f>
        <v>67548.878</v>
      </c>
      <c r="I39" s="161">
        <f>(H39-G39)/G39*100</f>
        <v>0.5331755018117428</v>
      </c>
      <c r="J39" s="77"/>
      <c r="K39" s="80">
        <v>72013.456</v>
      </c>
      <c r="L39" s="162">
        <f>SUM(L37:L38)</f>
        <v>64895.336</v>
      </c>
      <c r="M39" s="172">
        <f>(L39-K39)/K39*100</f>
        <v>-9.884430487546664</v>
      </c>
      <c r="N39" s="71"/>
      <c r="O39" s="162">
        <f>SUM(O19:O36)+O38</f>
        <v>72636.24799999999</v>
      </c>
      <c r="P39" s="162">
        <f>SUM(P19:P36)+P38</f>
        <v>74241.92109589925</v>
      </c>
      <c r="Q39" s="161">
        <f>(P39-O39)/O39*100</f>
        <v>2.2105672307017508</v>
      </c>
      <c r="R39" s="161">
        <f t="shared" si="4"/>
        <v>272403.93799999997</v>
      </c>
      <c r="S39" s="161">
        <f t="shared" si="4"/>
        <v>266252.6350958992</v>
      </c>
      <c r="T39" s="161">
        <f>(D39/S39*E39)+(H39/S39*I39)+(L39/S39*M39)+(P39/S39*Q39)</f>
        <v>-2.02585667797449</v>
      </c>
      <c r="U39" s="77"/>
      <c r="V39" s="77"/>
    </row>
    <row r="40" spans="1:22" ht="12.75">
      <c r="A40" s="66"/>
      <c r="B40" s="66"/>
      <c r="C40" s="66"/>
      <c r="D40" s="77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83"/>
      <c r="P40" s="66"/>
      <c r="Q40" s="66"/>
      <c r="R40" s="66"/>
      <c r="S40" s="66"/>
      <c r="T40" s="66"/>
      <c r="U40" s="66"/>
      <c r="V40" s="77"/>
    </row>
    <row r="41" spans="1:22" ht="12.75">
      <c r="A41" s="66"/>
      <c r="B41" s="165" t="s">
        <v>252</v>
      </c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66"/>
      <c r="O41" s="83"/>
      <c r="P41" s="66"/>
      <c r="Q41" s="66"/>
      <c r="R41" s="66"/>
      <c r="S41" s="66"/>
      <c r="T41" s="66"/>
      <c r="U41" s="66"/>
      <c r="V41" s="66"/>
    </row>
    <row r="42" spans="1:22" ht="12.75">
      <c r="A42" s="66"/>
      <c r="B42" s="165" t="s">
        <v>250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66"/>
      <c r="O42" s="66"/>
      <c r="P42" s="66"/>
      <c r="Q42" s="66"/>
      <c r="R42" s="66"/>
      <c r="S42" s="66"/>
      <c r="T42" s="66"/>
      <c r="U42" s="66"/>
      <c r="V42" s="66"/>
    </row>
    <row r="43" spans="1:22" ht="12.75">
      <c r="A43" s="66"/>
      <c r="B43" s="165" t="s">
        <v>231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66"/>
      <c r="O43" s="66"/>
      <c r="P43" s="66"/>
      <c r="Q43" s="66"/>
      <c r="R43" s="66"/>
      <c r="S43" s="66"/>
      <c r="T43" s="66"/>
      <c r="U43" s="66"/>
      <c r="V43" s="66"/>
    </row>
    <row r="44" spans="1:22" ht="12.75">
      <c r="A44" s="66"/>
      <c r="B44" s="165" t="s">
        <v>251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66"/>
      <c r="O44" s="66"/>
      <c r="P44" s="66"/>
      <c r="Q44" s="66"/>
      <c r="R44" s="66"/>
      <c r="S44" s="77"/>
      <c r="T44" s="66"/>
      <c r="U44" s="66"/>
      <c r="V44" s="66"/>
    </row>
    <row r="45" spans="1:22" ht="12.75">
      <c r="A45" s="66"/>
      <c r="B45" s="165" t="s">
        <v>232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66"/>
      <c r="O45" s="66"/>
      <c r="P45" s="66"/>
      <c r="Q45" s="66"/>
      <c r="R45" s="66"/>
      <c r="S45" s="66"/>
      <c r="T45" s="66"/>
      <c r="U45" s="66"/>
      <c r="V45" s="66"/>
    </row>
    <row r="46" spans="1:22" ht="12.75">
      <c r="A46" s="66"/>
      <c r="B46" s="165" t="s">
        <v>288</v>
      </c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</row>
    <row r="47" spans="2:22" ht="12.75"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</row>
    <row r="49" ht="12.75">
      <c r="A49" s="66" t="s">
        <v>219</v>
      </c>
    </row>
  </sheetData>
  <mergeCells count="3">
    <mergeCell ref="A5:T5"/>
    <mergeCell ref="A6:T6"/>
    <mergeCell ref="A7:T7"/>
  </mergeCells>
  <printOptions/>
  <pageMargins left="0.25" right="0.46" top="0.77" bottom="0.68" header="0.5" footer="0.5"/>
  <pageSetup fitToHeight="1" fitToWidth="1" horizontalDpi="300" verticalDpi="300" orientation="landscape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27"/>
    <pageSetUpPr fitToPage="1"/>
  </sheetPr>
  <dimension ref="A1:N48"/>
  <sheetViews>
    <sheetView showGridLines="0" zoomScale="75" zoomScaleNormal="75" workbookViewId="0" topLeftCell="A1">
      <selection activeCell="D33" sqref="D33"/>
    </sheetView>
  </sheetViews>
  <sheetFormatPr defaultColWidth="9.33203125" defaultRowHeight="10.5"/>
  <cols>
    <col min="2" max="2" width="13.83203125" style="0" customWidth="1"/>
    <col min="4" max="4" width="16.16015625" style="0" customWidth="1"/>
    <col min="6" max="6" width="12.16015625" style="0" customWidth="1"/>
    <col min="8" max="8" width="14" style="0" customWidth="1"/>
  </cols>
  <sheetData>
    <row r="1" spans="1:12" ht="12.75">
      <c r="A1" s="84"/>
      <c r="B1" s="84"/>
      <c r="C1" s="84"/>
      <c r="D1" s="85"/>
      <c r="E1" s="84"/>
      <c r="F1" s="84"/>
      <c r="G1" s="84"/>
      <c r="H1" s="86"/>
      <c r="I1" s="86" t="s">
        <v>99</v>
      </c>
      <c r="J1" s="87"/>
      <c r="K1" s="66"/>
      <c r="L1" s="66"/>
    </row>
    <row r="2" spans="1:12" ht="12.75">
      <c r="A2" s="84"/>
      <c r="B2" s="84"/>
      <c r="C2" s="84"/>
      <c r="D2" s="85"/>
      <c r="E2" s="84" t="s">
        <v>286</v>
      </c>
      <c r="F2" s="84"/>
      <c r="G2" s="84"/>
      <c r="H2" s="86"/>
      <c r="I2" s="88" t="s">
        <v>259</v>
      </c>
      <c r="J2" s="87"/>
      <c r="K2" s="66"/>
      <c r="L2" s="66"/>
    </row>
    <row r="3" spans="1:12" ht="14.25">
      <c r="A3" s="89" t="s">
        <v>110</v>
      </c>
      <c r="B3" s="90" t="s">
        <v>152</v>
      </c>
      <c r="C3" s="90"/>
      <c r="D3" s="90"/>
      <c r="E3" s="90"/>
      <c r="F3" s="90"/>
      <c r="G3" s="90"/>
      <c r="H3" s="90"/>
      <c r="I3" s="90"/>
      <c r="J3" s="87"/>
      <c r="K3" s="66"/>
      <c r="L3" s="66"/>
    </row>
    <row r="4" spans="1:12" ht="14.25">
      <c r="A4" s="84"/>
      <c r="B4" s="90" t="s">
        <v>185</v>
      </c>
      <c r="C4" s="90"/>
      <c r="D4" s="90"/>
      <c r="E4" s="90"/>
      <c r="F4" s="90"/>
      <c r="G4" s="90"/>
      <c r="H4" s="90"/>
      <c r="I4" s="90"/>
      <c r="J4" s="87"/>
      <c r="K4" s="66"/>
      <c r="L4" s="66"/>
    </row>
    <row r="5" spans="1:12" ht="14.25">
      <c r="A5" s="89" t="s">
        <v>111</v>
      </c>
      <c r="B5" s="90" t="s">
        <v>186</v>
      </c>
      <c r="C5" s="90"/>
      <c r="D5" s="90"/>
      <c r="E5" s="90"/>
      <c r="F5" s="90"/>
      <c r="G5" s="90"/>
      <c r="H5" s="90"/>
      <c r="I5" s="90"/>
      <c r="J5" s="87"/>
      <c r="K5" s="66"/>
      <c r="L5" s="66"/>
    </row>
    <row r="6" spans="1:12" ht="14.25">
      <c r="A6" s="84"/>
      <c r="B6" s="90" t="s">
        <v>153</v>
      </c>
      <c r="C6" s="90"/>
      <c r="D6" s="90"/>
      <c r="E6" s="90"/>
      <c r="F6" s="90"/>
      <c r="G6" s="90"/>
      <c r="H6" s="90"/>
      <c r="I6" s="90"/>
      <c r="J6" s="87"/>
      <c r="K6" s="66"/>
      <c r="L6" s="66"/>
    </row>
    <row r="7" spans="1:12" ht="14.25">
      <c r="A7" s="84"/>
      <c r="B7" s="91"/>
      <c r="C7" s="91"/>
      <c r="D7" s="91"/>
      <c r="E7" s="91"/>
      <c r="F7" s="91"/>
      <c r="G7" s="91"/>
      <c r="H7" s="91"/>
      <c r="I7" s="91"/>
      <c r="J7" s="87"/>
      <c r="K7" s="66"/>
      <c r="L7" s="66"/>
    </row>
    <row r="8" spans="1:12" ht="12.75">
      <c r="A8" s="89" t="s">
        <v>112</v>
      </c>
      <c r="B8" s="84"/>
      <c r="C8" s="84"/>
      <c r="D8" s="129" t="s">
        <v>183</v>
      </c>
      <c r="E8" s="84"/>
      <c r="F8" s="129" t="s">
        <v>182</v>
      </c>
      <c r="G8" s="84"/>
      <c r="H8" s="130" t="s">
        <v>187</v>
      </c>
      <c r="I8" s="84"/>
      <c r="J8" s="87"/>
      <c r="K8" s="66"/>
      <c r="L8" s="66"/>
    </row>
    <row r="9" spans="1:12" ht="12.75">
      <c r="A9" s="84"/>
      <c r="B9" s="89" t="s">
        <v>106</v>
      </c>
      <c r="C9" s="84"/>
      <c r="D9" s="89" t="s">
        <v>0</v>
      </c>
      <c r="E9" s="84"/>
      <c r="F9" s="89" t="s">
        <v>154</v>
      </c>
      <c r="G9" s="85"/>
      <c r="H9" s="89" t="s">
        <v>0</v>
      </c>
      <c r="I9" s="84"/>
      <c r="J9" s="87"/>
      <c r="K9" s="66"/>
      <c r="L9" s="66"/>
    </row>
    <row r="10" spans="1:12" ht="12.75">
      <c r="A10" s="89" t="s">
        <v>113</v>
      </c>
      <c r="B10" s="89" t="s">
        <v>108</v>
      </c>
      <c r="C10" s="84"/>
      <c r="D10" s="93" t="s">
        <v>155</v>
      </c>
      <c r="E10" s="84"/>
      <c r="F10" s="93" t="s">
        <v>156</v>
      </c>
      <c r="G10" s="84"/>
      <c r="H10" s="93" t="s">
        <v>105</v>
      </c>
      <c r="I10" s="84"/>
      <c r="J10" s="87"/>
      <c r="K10" s="66"/>
      <c r="L10" s="66"/>
    </row>
    <row r="11" spans="1:12" ht="12.75">
      <c r="A11" s="84"/>
      <c r="B11" s="84"/>
      <c r="C11" s="84"/>
      <c r="D11" s="84"/>
      <c r="E11" s="84"/>
      <c r="F11" s="84"/>
      <c r="G11" s="84"/>
      <c r="H11" s="84"/>
      <c r="I11" s="84"/>
      <c r="J11" s="87"/>
      <c r="K11" s="66"/>
      <c r="L11" s="66"/>
    </row>
    <row r="12" spans="1:12" ht="12.75">
      <c r="A12" s="89" t="s">
        <v>157</v>
      </c>
      <c r="B12" s="89" t="s">
        <v>110</v>
      </c>
      <c r="C12" s="84"/>
      <c r="D12" s="94">
        <f>'6-A'!T20*1000</f>
        <v>2468028.4721940155</v>
      </c>
      <c r="E12" s="84"/>
      <c r="F12" s="95">
        <f>'6-J-2'!L18</f>
        <v>-1.9729124568909824</v>
      </c>
      <c r="G12" s="84"/>
      <c r="H12" s="96">
        <f aca="true" t="shared" si="0" ref="H12:H29">D12*F12/100</f>
        <v>-48692.04116753193</v>
      </c>
      <c r="I12" s="84"/>
      <c r="J12" s="87"/>
      <c r="K12" s="66"/>
      <c r="L12" s="66"/>
    </row>
    <row r="13" spans="1:12" ht="12.75">
      <c r="A13" s="84"/>
      <c r="B13" s="89" t="s">
        <v>111</v>
      </c>
      <c r="C13" s="84"/>
      <c r="D13" s="94">
        <f>'6-A'!T21*1000</f>
        <v>4400619.172402221</v>
      </c>
      <c r="E13" s="84"/>
      <c r="F13" s="95">
        <f>'6-J-2'!L19</f>
        <v>0.633311486497316</v>
      </c>
      <c r="G13" s="84"/>
      <c r="H13" s="96">
        <f t="shared" si="0"/>
        <v>27869.626695826388</v>
      </c>
      <c r="I13" s="84"/>
      <c r="J13" s="87"/>
      <c r="K13" s="66"/>
      <c r="L13" s="66"/>
    </row>
    <row r="14" spans="1:12" ht="12.75">
      <c r="A14" s="89" t="s">
        <v>158</v>
      </c>
      <c r="B14" s="89" t="s">
        <v>112</v>
      </c>
      <c r="C14" s="84"/>
      <c r="D14" s="194">
        <f>'6-A'!T22*1000</f>
        <v>18381036.089164265</v>
      </c>
      <c r="E14" s="84"/>
      <c r="F14" s="95">
        <f>'6-J-2'!L20</f>
        <v>3.305936233230023</v>
      </c>
      <c r="G14" s="84"/>
      <c r="H14" s="196">
        <f t="shared" si="0"/>
        <v>607665.3321147682</v>
      </c>
      <c r="I14" s="84"/>
      <c r="J14" s="87"/>
      <c r="K14" s="66"/>
      <c r="L14" s="66"/>
    </row>
    <row r="15" spans="1:12" ht="12.75">
      <c r="A15" s="84"/>
      <c r="B15" s="89" t="s">
        <v>113</v>
      </c>
      <c r="C15" s="84"/>
      <c r="D15" s="94">
        <f>'6-A'!T23*1000</f>
        <v>6672.729518720016</v>
      </c>
      <c r="E15" s="84"/>
      <c r="F15" s="95">
        <f>'6-J-2'!L21</f>
        <v>-11.128104644168086</v>
      </c>
      <c r="G15" s="84"/>
      <c r="H15" s="96">
        <f t="shared" si="0"/>
        <v>-742.548323465457</v>
      </c>
      <c r="I15" s="84"/>
      <c r="J15" s="87"/>
      <c r="K15" s="66"/>
      <c r="L15" s="66"/>
    </row>
    <row r="16" spans="1:12" ht="12.75">
      <c r="A16" s="89" t="s">
        <v>159</v>
      </c>
      <c r="B16" s="89" t="s">
        <v>114</v>
      </c>
      <c r="C16" s="84"/>
      <c r="D16" s="94">
        <f>'6-A'!T24*1000</f>
        <v>16848941.374875434</v>
      </c>
      <c r="E16" s="84"/>
      <c r="F16" s="95">
        <f>'6-J-2'!L22</f>
        <v>2.081256536206397</v>
      </c>
      <c r="G16" s="84"/>
      <c r="H16" s="96">
        <f t="shared" si="0"/>
        <v>350669.69364617893</v>
      </c>
      <c r="I16" s="84"/>
      <c r="J16" s="87"/>
      <c r="K16" s="66"/>
      <c r="L16" s="66"/>
    </row>
    <row r="17" spans="1:12" ht="12.75">
      <c r="A17" s="84"/>
      <c r="B17" s="89" t="s">
        <v>115</v>
      </c>
      <c r="C17" s="84"/>
      <c r="D17" s="94">
        <f>'6-A'!T25*1000</f>
        <v>661810.8882801994</v>
      </c>
      <c r="E17" s="84"/>
      <c r="F17" s="95">
        <f>'6-J-2'!L23</f>
        <v>0.6508102975706636</v>
      </c>
      <c r="G17" s="84"/>
      <c r="H17" s="96">
        <f t="shared" si="0"/>
        <v>4307.133411371417</v>
      </c>
      <c r="I17" s="84"/>
      <c r="J17" s="87"/>
      <c r="K17" s="66"/>
      <c r="L17" s="66"/>
    </row>
    <row r="18" spans="1:12" ht="12.75">
      <c r="A18" s="89" t="s">
        <v>115</v>
      </c>
      <c r="B18" s="89" t="s">
        <v>116</v>
      </c>
      <c r="C18" s="84"/>
      <c r="D18" s="94">
        <f>'6-A'!T26*1000</f>
        <v>0</v>
      </c>
      <c r="E18" s="84"/>
      <c r="F18" s="95">
        <f>'6-J-2'!L24</f>
        <v>0</v>
      </c>
      <c r="G18" s="84"/>
      <c r="H18" s="96">
        <f t="shared" si="0"/>
        <v>0</v>
      </c>
      <c r="I18" s="84"/>
      <c r="J18" s="87"/>
      <c r="K18" s="66"/>
      <c r="L18" s="66"/>
    </row>
    <row r="19" spans="1:12" ht="12.75">
      <c r="A19" s="84"/>
      <c r="B19" s="130" t="s">
        <v>117</v>
      </c>
      <c r="C19" s="84"/>
      <c r="D19" s="94">
        <f>'6-A'!T27*1000</f>
        <v>6419486.711835215</v>
      </c>
      <c r="E19" s="84"/>
      <c r="F19" s="95">
        <f>'6-J-2'!L25</f>
        <v>1.1755428952388194</v>
      </c>
      <c r="G19" s="84"/>
      <c r="H19" s="96">
        <f t="shared" si="0"/>
        <v>75463.81995177896</v>
      </c>
      <c r="I19" s="84"/>
      <c r="J19" s="87"/>
      <c r="K19" s="66"/>
      <c r="L19" s="66"/>
    </row>
    <row r="20" spans="1:12" ht="12.75">
      <c r="A20" s="89" t="s">
        <v>116</v>
      </c>
      <c r="B20" s="89" t="s">
        <v>118</v>
      </c>
      <c r="C20" s="84"/>
      <c r="D20" s="94">
        <f>'6-A'!T28*1000</f>
        <v>3497881.0186345354</v>
      </c>
      <c r="E20" s="84"/>
      <c r="F20" s="95">
        <f>'6-J-2'!L26</f>
        <v>2.258953595469646</v>
      </c>
      <c r="G20" s="84"/>
      <c r="H20" s="96">
        <f t="shared" si="0"/>
        <v>79015.50903569511</v>
      </c>
      <c r="I20" s="84"/>
      <c r="J20" s="87"/>
      <c r="K20" s="66"/>
      <c r="L20" s="66"/>
    </row>
    <row r="21" spans="1:12" ht="12.75">
      <c r="A21" s="84"/>
      <c r="B21" s="89" t="s">
        <v>119</v>
      </c>
      <c r="C21" s="84"/>
      <c r="D21" s="94">
        <f>'6-A'!T29*1000</f>
        <v>1144163.4472690728</v>
      </c>
      <c r="E21" s="84"/>
      <c r="F21" s="95">
        <f>'6-J-2'!L27</f>
        <v>4.565098114783147</v>
      </c>
      <c r="G21" s="97"/>
      <c r="H21" s="96">
        <f t="shared" si="0"/>
        <v>52232.18396131831</v>
      </c>
      <c r="I21" s="84"/>
      <c r="J21" s="87"/>
      <c r="K21" s="66"/>
      <c r="L21" s="66"/>
    </row>
    <row r="22" spans="1:12" ht="12.75">
      <c r="A22" s="89" t="s">
        <v>117</v>
      </c>
      <c r="B22" s="89" t="s">
        <v>120</v>
      </c>
      <c r="C22" s="84"/>
      <c r="D22" s="94">
        <f>'6-A'!T30*1000</f>
        <v>369563.9743536462</v>
      </c>
      <c r="E22" s="84"/>
      <c r="F22" s="95">
        <f>'6-J-2'!L28</f>
        <v>7.579304822569055</v>
      </c>
      <c r="G22" s="97"/>
      <c r="H22" s="96">
        <f t="shared" si="0"/>
        <v>28010.380130663776</v>
      </c>
      <c r="I22" s="84"/>
      <c r="J22" s="87"/>
      <c r="K22" s="66"/>
      <c r="L22" s="66"/>
    </row>
    <row r="23" spans="1:12" ht="12.75">
      <c r="A23" s="84"/>
      <c r="B23" s="89" t="s">
        <v>121</v>
      </c>
      <c r="C23" s="84"/>
      <c r="D23" s="194">
        <f>'6-A'!T31*1000</f>
        <v>5398368.180584574</v>
      </c>
      <c r="E23" s="84"/>
      <c r="F23" s="95">
        <f>'6-J-2'!L29</f>
        <v>7.3256588091521815</v>
      </c>
      <c r="G23" s="97"/>
      <c r="H23" s="196">
        <f t="shared" si="0"/>
        <v>395466.03417146223</v>
      </c>
      <c r="I23" s="84"/>
      <c r="J23" s="87"/>
      <c r="K23" s="66"/>
      <c r="L23" s="66"/>
    </row>
    <row r="24" spans="1:12" ht="12.75">
      <c r="A24" s="89" t="s">
        <v>118</v>
      </c>
      <c r="B24" s="89" t="s">
        <v>122</v>
      </c>
      <c r="C24" s="84"/>
      <c r="D24" s="94">
        <f>'6-A'!T32*1000</f>
        <v>1995593.1762843037</v>
      </c>
      <c r="E24" s="84"/>
      <c r="F24" s="95">
        <f>'6-J-2'!L30</f>
        <v>-2.272992068286233</v>
      </c>
      <c r="G24" s="97"/>
      <c r="H24" s="96">
        <f t="shared" si="0"/>
        <v>-45359.674612203526</v>
      </c>
      <c r="I24" s="84"/>
      <c r="J24" s="87"/>
      <c r="K24" s="66"/>
      <c r="L24" s="66"/>
    </row>
    <row r="25" spans="1:12" ht="12.75">
      <c r="A25" s="66"/>
      <c r="B25" s="130" t="s">
        <v>125</v>
      </c>
      <c r="C25" s="84"/>
      <c r="D25" s="94">
        <f>'6-A'!T33*1000</f>
        <v>2832876.7597464374</v>
      </c>
      <c r="E25" s="84"/>
      <c r="F25" s="95">
        <f>'6-J-2'!L31</f>
        <v>-3.3447713214202786</v>
      </c>
      <c r="G25" s="97"/>
      <c r="H25" s="96">
        <f>D25*F25/100</f>
        <v>-94753.24943117889</v>
      </c>
      <c r="I25" s="84"/>
      <c r="J25" s="87"/>
      <c r="K25" s="66"/>
      <c r="L25" s="66"/>
    </row>
    <row r="26" spans="1:12" ht="12.75">
      <c r="A26" s="89" t="s">
        <v>119</v>
      </c>
      <c r="B26" s="89" t="s">
        <v>123</v>
      </c>
      <c r="C26" s="84"/>
      <c r="D26" s="94">
        <f>'6-A'!T34*1000</f>
        <v>42000.88125553828</v>
      </c>
      <c r="E26" s="84"/>
      <c r="F26" s="95">
        <f>'6-J-2'!L32</f>
        <v>-32.87520685610161</v>
      </c>
      <c r="G26" s="97"/>
      <c r="H26" s="96">
        <f t="shared" si="0"/>
        <v>-13807.87659414382</v>
      </c>
      <c r="I26" s="84"/>
      <c r="J26" s="87"/>
      <c r="K26" s="66"/>
      <c r="L26" s="66"/>
    </row>
    <row r="27" spans="1:12" ht="12.75">
      <c r="A27" s="84"/>
      <c r="B27" s="130" t="s">
        <v>126</v>
      </c>
      <c r="C27" s="84"/>
      <c r="D27" s="94">
        <f>'6-A'!T35*1000</f>
        <v>9146652.908947544</v>
      </c>
      <c r="E27" s="84"/>
      <c r="F27" s="95">
        <f>'6-J-2'!L33</f>
        <v>-6.872694228743292</v>
      </c>
      <c r="G27" s="97"/>
      <c r="H27" s="96">
        <f>D27*F27/100</f>
        <v>-628621.4865964183</v>
      </c>
      <c r="I27" s="84"/>
      <c r="J27" s="87"/>
      <c r="K27" s="66"/>
      <c r="L27" s="66"/>
    </row>
    <row r="28" spans="1:12" ht="12.75">
      <c r="A28" s="92">
        <v>13</v>
      </c>
      <c r="B28" s="130" t="s">
        <v>124</v>
      </c>
      <c r="C28" s="84"/>
      <c r="D28" s="94">
        <f>'6-A'!T36*1000</f>
        <v>68331.40353857834</v>
      </c>
      <c r="E28" s="84"/>
      <c r="F28" s="95">
        <f>'6-J-2'!L34</f>
        <v>2.1629147648175966</v>
      </c>
      <c r="G28" s="97"/>
      <c r="H28" s="96">
        <f t="shared" si="0"/>
        <v>1477.9500161430044</v>
      </c>
      <c r="I28" s="84"/>
      <c r="J28" s="87"/>
      <c r="K28" s="66"/>
      <c r="L28" s="66"/>
    </row>
    <row r="29" spans="1:12" ht="12.75">
      <c r="A29" s="84"/>
      <c r="B29" s="130" t="s">
        <v>127</v>
      </c>
      <c r="C29" s="84"/>
      <c r="D29" s="94">
        <f>'6-A'!T37*1000</f>
        <v>3064789.2268108674</v>
      </c>
      <c r="E29" s="84"/>
      <c r="F29" s="95">
        <f>'6-J-2'!L35</f>
        <v>-2.0202588034214735</v>
      </c>
      <c r="G29" s="97"/>
      <c r="H29" s="96">
        <f t="shared" si="0"/>
        <v>-61916.67416095946</v>
      </c>
      <c r="I29" s="84"/>
      <c r="J29" s="87"/>
      <c r="K29" s="66"/>
      <c r="L29" s="66"/>
    </row>
    <row r="30" spans="1:12" ht="12.75">
      <c r="A30" s="84"/>
      <c r="B30" s="98" t="s">
        <v>1</v>
      </c>
      <c r="C30" s="84"/>
      <c r="D30" s="94">
        <f>'6-A'!T38*1000</f>
        <v>-3640.0567834839567</v>
      </c>
      <c r="E30" s="84"/>
      <c r="F30" s="95">
        <f>'6-J-2'!L37</f>
        <v>1.2054391786159193</v>
      </c>
      <c r="G30" s="97" t="s">
        <v>160</v>
      </c>
      <c r="H30" s="96">
        <f>D30*F30/100</f>
        <v>-43.878670591982065</v>
      </c>
      <c r="I30" s="84"/>
      <c r="J30" s="87"/>
      <c r="K30" s="66"/>
      <c r="L30" s="66"/>
    </row>
    <row r="31" spans="1:12" ht="12.75">
      <c r="A31" s="89" t="s">
        <v>122</v>
      </c>
      <c r="B31" s="85" t="s">
        <v>161</v>
      </c>
      <c r="C31" s="84"/>
      <c r="D31" s="194">
        <f>'6-A'!T39*1000</f>
        <v>76743176.3589117</v>
      </c>
      <c r="E31" s="84"/>
      <c r="F31" s="95"/>
      <c r="G31" s="97"/>
      <c r="H31" s="195">
        <f>SUM(H12:H30)</f>
        <v>728240.2335787128</v>
      </c>
      <c r="I31" s="85" t="s">
        <v>104</v>
      </c>
      <c r="J31" s="87"/>
      <c r="K31" s="66"/>
      <c r="L31" s="66"/>
    </row>
    <row r="32" spans="1:12" ht="12.75">
      <c r="A32" s="84"/>
      <c r="B32" s="96"/>
      <c r="C32" s="84"/>
      <c r="D32" s="94"/>
      <c r="E32" s="84"/>
      <c r="F32" s="97"/>
      <c r="G32" s="97"/>
      <c r="H32" s="97"/>
      <c r="I32" s="84"/>
      <c r="J32" s="87"/>
      <c r="K32" s="66"/>
      <c r="L32" s="66"/>
    </row>
    <row r="33" spans="1:12" ht="12.75">
      <c r="A33" s="89" t="s">
        <v>125</v>
      </c>
      <c r="B33" s="85" t="s">
        <v>2</v>
      </c>
      <c r="C33" s="84"/>
      <c r="D33" s="194">
        <f>'6-A'!T16*1000</f>
        <v>77683166</v>
      </c>
      <c r="E33" s="84"/>
      <c r="F33" s="95">
        <f>'6-J-2'!L16</f>
        <v>-0.6448460330308441</v>
      </c>
      <c r="G33" s="97"/>
      <c r="H33" s="196">
        <f>D33*F33/100</f>
        <v>-500936.8142837655</v>
      </c>
      <c r="I33" s="85" t="s">
        <v>162</v>
      </c>
      <c r="J33" s="87"/>
      <c r="K33" s="66"/>
      <c r="L33" s="66"/>
    </row>
    <row r="34" spans="1:12" ht="12.75">
      <c r="A34" s="84"/>
      <c r="B34" s="84"/>
      <c r="C34" s="84"/>
      <c r="D34" s="84"/>
      <c r="E34" s="84"/>
      <c r="F34" s="84"/>
      <c r="G34" s="84"/>
      <c r="H34" s="84"/>
      <c r="I34" s="84"/>
      <c r="J34" s="87"/>
      <c r="K34" s="66"/>
      <c r="L34" s="66"/>
    </row>
    <row r="35" spans="1:12" ht="12.75">
      <c r="A35" s="84"/>
      <c r="B35" s="85" t="s">
        <v>163</v>
      </c>
      <c r="C35" s="84"/>
      <c r="D35" s="84"/>
      <c r="E35" s="84"/>
      <c r="F35" s="84"/>
      <c r="G35" s="84"/>
      <c r="H35" s="195">
        <f>H31-H33</f>
        <v>1229177.0478624783</v>
      </c>
      <c r="I35" s="84"/>
      <c r="J35" s="87"/>
      <c r="K35" s="66"/>
      <c r="L35" s="66"/>
    </row>
    <row r="36" spans="1:12" ht="12.75">
      <c r="A36" s="89" t="s">
        <v>123</v>
      </c>
      <c r="B36" s="84"/>
      <c r="C36" s="84"/>
      <c r="D36" s="84"/>
      <c r="E36" s="84"/>
      <c r="F36" s="84"/>
      <c r="G36" s="84"/>
      <c r="H36" s="84"/>
      <c r="I36" s="84"/>
      <c r="J36" s="87"/>
      <c r="K36" s="66"/>
      <c r="L36" s="66"/>
    </row>
    <row r="37" spans="1:12" ht="12.75">
      <c r="A37" s="84"/>
      <c r="B37" s="99" t="s">
        <v>164</v>
      </c>
      <c r="C37" s="100"/>
      <c r="D37" s="100"/>
      <c r="E37" s="100"/>
      <c r="F37" s="100"/>
      <c r="G37" s="100"/>
      <c r="H37" s="100"/>
      <c r="I37" s="100"/>
      <c r="J37" s="87"/>
      <c r="K37" s="66"/>
      <c r="L37" s="66"/>
    </row>
    <row r="38" spans="1:12" ht="12.75">
      <c r="A38" s="89" t="s">
        <v>126</v>
      </c>
      <c r="B38" s="99" t="s">
        <v>165</v>
      </c>
      <c r="C38" s="100"/>
      <c r="D38" s="100"/>
      <c r="E38" s="100"/>
      <c r="F38" s="100"/>
      <c r="G38" s="100"/>
      <c r="H38" s="101">
        <f>(H35/D31)</f>
        <v>0.016016760136613004</v>
      </c>
      <c r="I38" s="100"/>
      <c r="J38" s="87"/>
      <c r="K38" s="66"/>
      <c r="L38" s="66"/>
    </row>
    <row r="39" spans="1:12" ht="12.75">
      <c r="A39" s="84"/>
      <c r="B39" s="84"/>
      <c r="C39" s="84"/>
      <c r="D39" s="84"/>
      <c r="E39" s="84"/>
      <c r="F39" s="84"/>
      <c r="G39" s="84"/>
      <c r="H39" s="84"/>
      <c r="I39" s="84"/>
      <c r="J39" s="87"/>
      <c r="K39" s="66"/>
      <c r="L39" s="66"/>
    </row>
    <row r="40" spans="1:12" ht="12.75">
      <c r="A40" s="89" t="s">
        <v>124</v>
      </c>
      <c r="B40" s="84"/>
      <c r="C40" s="84"/>
      <c r="D40" s="84"/>
      <c r="E40" s="84"/>
      <c r="F40" s="84"/>
      <c r="G40" s="84"/>
      <c r="H40" s="84"/>
      <c r="I40" s="84"/>
      <c r="J40" s="87"/>
      <c r="K40" s="66"/>
      <c r="L40" s="66"/>
    </row>
    <row r="41" spans="1:12" ht="12.75">
      <c r="A41" s="84"/>
      <c r="B41" s="166" t="s">
        <v>243</v>
      </c>
      <c r="C41" s="117"/>
      <c r="D41" s="117"/>
      <c r="E41" s="117"/>
      <c r="F41" s="117"/>
      <c r="G41" s="117"/>
      <c r="H41" s="117"/>
      <c r="I41" s="117"/>
      <c r="J41" s="169"/>
      <c r="K41" s="71"/>
      <c r="L41" s="71"/>
    </row>
    <row r="42" spans="1:12" ht="12.75">
      <c r="A42" s="89" t="s">
        <v>127</v>
      </c>
      <c r="B42" s="166" t="s">
        <v>277</v>
      </c>
      <c r="C42" s="117"/>
      <c r="D42" s="117"/>
      <c r="E42" s="117"/>
      <c r="F42" s="117"/>
      <c r="G42" s="117"/>
      <c r="H42" s="117"/>
      <c r="I42" s="117"/>
      <c r="J42" s="169"/>
      <c r="K42" s="71"/>
      <c r="L42" s="71"/>
    </row>
    <row r="43" spans="1:12" ht="12.75">
      <c r="A43" s="84"/>
      <c r="B43" s="117"/>
      <c r="C43" s="117"/>
      <c r="D43" s="117"/>
      <c r="E43" s="117"/>
      <c r="F43" s="117"/>
      <c r="G43" s="117"/>
      <c r="H43" s="117"/>
      <c r="I43" s="117"/>
      <c r="J43" s="169"/>
      <c r="K43" s="71"/>
      <c r="L43" s="71"/>
    </row>
    <row r="44" spans="1:12" ht="12.75">
      <c r="A44" s="66"/>
      <c r="B44" s="183" t="s">
        <v>166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</row>
    <row r="45" spans="1:14" ht="12.75">
      <c r="A45" s="66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37"/>
      <c r="N45" s="37"/>
    </row>
    <row r="46" spans="1:14" ht="12.75">
      <c r="A46" s="66"/>
      <c r="B46" s="183" t="s">
        <v>167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37"/>
      <c r="N46" s="37"/>
    </row>
    <row r="47" spans="1:12" ht="12.75">
      <c r="A47" s="66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pans="1:12" ht="12.75">
      <c r="A48" s="66"/>
      <c r="B48" s="117" t="s">
        <v>168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</row>
  </sheetData>
  <printOptions/>
  <pageMargins left="0.75" right="0.75" top="1" bottom="1" header="0.5" footer="0.5"/>
  <pageSetup fitToHeight="1" fitToWidth="1"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27"/>
    <pageSetUpPr fitToPage="1"/>
  </sheetPr>
  <dimension ref="A1:K48"/>
  <sheetViews>
    <sheetView showGridLines="0" zoomScale="75" zoomScaleNormal="75" workbookViewId="0" topLeftCell="A25">
      <selection activeCell="F3" sqref="F3"/>
    </sheetView>
  </sheetViews>
  <sheetFormatPr defaultColWidth="9.33203125" defaultRowHeight="10.5"/>
  <cols>
    <col min="2" max="2" width="14.33203125" style="0" customWidth="1"/>
    <col min="4" max="4" width="14.83203125" style="0" customWidth="1"/>
    <col min="6" max="6" width="33.33203125" style="0" customWidth="1"/>
    <col min="8" max="8" width="15.16015625" style="0" customWidth="1"/>
  </cols>
  <sheetData>
    <row r="1" spans="1:9" ht="15.75">
      <c r="A1" s="102"/>
      <c r="B1" s="102"/>
      <c r="C1" s="102"/>
      <c r="D1" s="103"/>
      <c r="E1" s="102"/>
      <c r="F1" s="102"/>
      <c r="G1" s="102"/>
      <c r="H1" s="104"/>
      <c r="I1" s="105" t="s">
        <v>99</v>
      </c>
    </row>
    <row r="2" spans="1:9" ht="15.75">
      <c r="A2" s="102"/>
      <c r="B2" s="102"/>
      <c r="C2" s="102"/>
      <c r="D2" s="103"/>
      <c r="E2" s="102"/>
      <c r="F2" s="102" t="s">
        <v>286</v>
      </c>
      <c r="G2" s="102"/>
      <c r="H2" s="104"/>
      <c r="I2" s="88" t="s">
        <v>260</v>
      </c>
    </row>
    <row r="3" spans="1:9" ht="15.75">
      <c r="A3" s="106" t="s">
        <v>110</v>
      </c>
      <c r="B3" s="107" t="s">
        <v>169</v>
      </c>
      <c r="C3" s="107"/>
      <c r="D3" s="107"/>
      <c r="E3" s="107"/>
      <c r="F3" s="107"/>
      <c r="G3" s="107"/>
      <c r="H3" s="107"/>
      <c r="I3" s="107"/>
    </row>
    <row r="4" spans="1:9" ht="15.75">
      <c r="A4" s="102"/>
      <c r="B4" s="107" t="s">
        <v>185</v>
      </c>
      <c r="C4" s="107"/>
      <c r="D4" s="107"/>
      <c r="E4" s="107"/>
      <c r="F4" s="107"/>
      <c r="G4" s="107"/>
      <c r="H4" s="107"/>
      <c r="I4" s="107"/>
    </row>
    <row r="5" spans="1:9" ht="15.75">
      <c r="A5" s="106" t="s">
        <v>111</v>
      </c>
      <c r="B5" s="107" t="s">
        <v>188</v>
      </c>
      <c r="C5" s="107"/>
      <c r="D5" s="107"/>
      <c r="E5" s="107"/>
      <c r="F5" s="107"/>
      <c r="G5" s="107"/>
      <c r="H5" s="107"/>
      <c r="I5" s="107"/>
    </row>
    <row r="6" spans="1:9" ht="15.75">
      <c r="A6" s="102"/>
      <c r="B6" s="107" t="s">
        <v>153</v>
      </c>
      <c r="C6" s="107"/>
      <c r="D6" s="107"/>
      <c r="E6" s="107"/>
      <c r="F6" s="107"/>
      <c r="G6" s="107"/>
      <c r="H6" s="107"/>
      <c r="I6" s="107"/>
    </row>
    <row r="7" spans="1:9" s="37" customFormat="1" ht="15.75">
      <c r="A7" s="108"/>
      <c r="B7" s="109"/>
      <c r="C7" s="109"/>
      <c r="D7" s="109"/>
      <c r="E7" s="109"/>
      <c r="F7" s="109"/>
      <c r="G7" s="109"/>
      <c r="H7" s="109"/>
      <c r="I7" s="109"/>
    </row>
    <row r="8" spans="1:9" ht="15.75">
      <c r="A8" s="106" t="s">
        <v>112</v>
      </c>
      <c r="B8" s="102"/>
      <c r="C8" s="102"/>
      <c r="D8" s="131" t="s">
        <v>183</v>
      </c>
      <c r="E8" s="102"/>
      <c r="F8" s="110" t="s">
        <v>170</v>
      </c>
      <c r="G8" s="102"/>
      <c r="H8" s="132" t="s">
        <v>189</v>
      </c>
      <c r="I8" s="102"/>
    </row>
    <row r="9" spans="1:9" ht="15.75">
      <c r="A9" s="102"/>
      <c r="B9" s="106" t="s">
        <v>106</v>
      </c>
      <c r="C9" s="102"/>
      <c r="D9" s="106" t="s">
        <v>0</v>
      </c>
      <c r="E9" s="102"/>
      <c r="F9" s="106" t="s">
        <v>101</v>
      </c>
      <c r="G9" s="103" t="s">
        <v>103</v>
      </c>
      <c r="H9" s="106" t="s">
        <v>171</v>
      </c>
      <c r="I9" s="102"/>
    </row>
    <row r="10" spans="1:9" ht="15.75">
      <c r="A10" s="106" t="s">
        <v>113</v>
      </c>
      <c r="B10" s="106" t="s">
        <v>108</v>
      </c>
      <c r="C10" s="102"/>
      <c r="D10" s="111" t="s">
        <v>155</v>
      </c>
      <c r="E10" s="102"/>
      <c r="F10" s="111" t="s">
        <v>156</v>
      </c>
      <c r="G10" s="102"/>
      <c r="H10" s="111" t="s">
        <v>105</v>
      </c>
      <c r="I10" s="102"/>
    </row>
    <row r="11" spans="1:9" ht="15.75">
      <c r="A11" s="102"/>
      <c r="B11" s="102"/>
      <c r="C11" s="102"/>
      <c r="D11" s="102"/>
      <c r="E11" s="102"/>
      <c r="F11" s="102"/>
      <c r="G11" s="102"/>
      <c r="H11" s="102"/>
      <c r="I11" s="102"/>
    </row>
    <row r="12" spans="1:9" ht="15.75">
      <c r="A12" s="106" t="s">
        <v>157</v>
      </c>
      <c r="B12" s="106" t="s">
        <v>110</v>
      </c>
      <c r="C12" s="102"/>
      <c r="D12" s="94">
        <f>'6-A'!T20*1000</f>
        <v>2468028.4721940155</v>
      </c>
      <c r="E12" s="102"/>
      <c r="F12" s="155">
        <f>'6-J-3'!T19</f>
        <v>-2.5384516920054283</v>
      </c>
      <c r="G12" s="102"/>
      <c r="H12" s="98">
        <f aca="true" t="shared" si="0" ref="H12:H29">D12*F12/100</f>
        <v>-62649.71051158471</v>
      </c>
      <c r="I12" s="102"/>
    </row>
    <row r="13" spans="1:9" ht="15.75">
      <c r="A13" s="102"/>
      <c r="B13" s="106" t="s">
        <v>111</v>
      </c>
      <c r="C13" s="102"/>
      <c r="D13" s="94">
        <f>'6-A'!T21*1000</f>
        <v>4400619.172402221</v>
      </c>
      <c r="E13" s="102"/>
      <c r="F13" s="155">
        <f>'6-J-3'!T20</f>
        <v>-1.1334229546856418</v>
      </c>
      <c r="G13" s="102"/>
      <c r="H13" s="98">
        <f t="shared" si="0"/>
        <v>-49877.62784830409</v>
      </c>
      <c r="I13" s="102"/>
    </row>
    <row r="14" spans="1:9" ht="15.75">
      <c r="A14" s="106" t="s">
        <v>158</v>
      </c>
      <c r="B14" s="106" t="s">
        <v>112</v>
      </c>
      <c r="C14" s="102"/>
      <c r="D14" s="194">
        <f>'6-A'!T22*1000</f>
        <v>18381036.089164265</v>
      </c>
      <c r="E14" s="102"/>
      <c r="F14" s="155">
        <f>'6-J-3'!T21</f>
        <v>-0.5619081170635873</v>
      </c>
      <c r="G14" s="102"/>
      <c r="H14" s="197">
        <f t="shared" si="0"/>
        <v>-103284.53378540138</v>
      </c>
      <c r="I14" s="102"/>
    </row>
    <row r="15" spans="1:9" ht="15.75">
      <c r="A15" s="102"/>
      <c r="B15" s="106" t="s">
        <v>113</v>
      </c>
      <c r="C15" s="102"/>
      <c r="D15" s="94">
        <f>'6-A'!T23*1000</f>
        <v>6672.729518720016</v>
      </c>
      <c r="E15" s="102"/>
      <c r="F15" s="155">
        <f>'6-J-3'!T22</f>
        <v>-20.892069818369258</v>
      </c>
      <c r="G15" s="102"/>
      <c r="H15" s="98">
        <f t="shared" si="0"/>
        <v>-1394.0713098419208</v>
      </c>
      <c r="I15" s="102"/>
    </row>
    <row r="16" spans="1:9" ht="15.75">
      <c r="A16" s="106" t="s">
        <v>159</v>
      </c>
      <c r="B16" s="106" t="s">
        <v>114</v>
      </c>
      <c r="C16" s="102"/>
      <c r="D16" s="94">
        <f>'6-A'!T24*1000</f>
        <v>16848941.374875434</v>
      </c>
      <c r="E16" s="102"/>
      <c r="F16" s="155">
        <f>'6-J-3'!T23</f>
        <v>0.3857098914918655</v>
      </c>
      <c r="G16" s="102"/>
      <c r="H16" s="98">
        <f t="shared" si="0"/>
        <v>64988.03349456007</v>
      </c>
      <c r="I16" s="102"/>
    </row>
    <row r="17" spans="1:9" ht="15.75">
      <c r="A17" s="102"/>
      <c r="B17" s="106" t="s">
        <v>115</v>
      </c>
      <c r="C17" s="102"/>
      <c r="D17" s="94">
        <f>'6-A'!T25*1000</f>
        <v>661810.8882801994</v>
      </c>
      <c r="E17" s="102"/>
      <c r="F17" s="155">
        <f>'6-J-3'!T24</f>
        <v>2.4347181733932217</v>
      </c>
      <c r="G17" s="102"/>
      <c r="H17" s="98">
        <f t="shared" si="0"/>
        <v>16113.229970453125</v>
      </c>
      <c r="I17" s="102"/>
    </row>
    <row r="18" spans="1:9" ht="15.75">
      <c r="A18" s="106" t="s">
        <v>115</v>
      </c>
      <c r="B18" s="106" t="s">
        <v>116</v>
      </c>
      <c r="C18" s="102"/>
      <c r="D18" s="94">
        <f>'6-A'!T26*1000</f>
        <v>0</v>
      </c>
      <c r="E18" s="102"/>
      <c r="F18" s="155">
        <f>'6-J-3'!T25</f>
        <v>-38.759689922480625</v>
      </c>
      <c r="G18" s="102"/>
      <c r="H18" s="98">
        <f t="shared" si="0"/>
        <v>0</v>
      </c>
      <c r="I18" s="102"/>
    </row>
    <row r="19" spans="1:9" ht="15.75">
      <c r="A19" s="102"/>
      <c r="B19" s="106" t="s">
        <v>117</v>
      </c>
      <c r="C19" s="102"/>
      <c r="D19" s="94">
        <f>'6-A'!T27*1000</f>
        <v>6419486.711835215</v>
      </c>
      <c r="E19" s="102"/>
      <c r="F19" s="155">
        <f>'6-J-3'!T26</f>
        <v>0.6556371906650763</v>
      </c>
      <c r="G19" s="102"/>
      <c r="H19" s="98">
        <f t="shared" si="0"/>
        <v>42088.54233259428</v>
      </c>
      <c r="I19" s="102"/>
    </row>
    <row r="20" spans="1:9" ht="15.75">
      <c r="A20" s="106" t="s">
        <v>116</v>
      </c>
      <c r="B20" s="106" t="s">
        <v>118</v>
      </c>
      <c r="C20" s="102"/>
      <c r="D20" s="94">
        <f>'6-A'!T28*1000</f>
        <v>3497881.0186345354</v>
      </c>
      <c r="E20" s="102"/>
      <c r="F20" s="155">
        <f>'6-J-3'!T27</f>
        <v>-1.7597462147966678</v>
      </c>
      <c r="G20" s="102"/>
      <c r="H20" s="98">
        <f t="shared" si="0"/>
        <v>-61553.82882351236</v>
      </c>
      <c r="I20" s="102"/>
    </row>
    <row r="21" spans="1:9" ht="15.75">
      <c r="A21" s="102"/>
      <c r="B21" s="106" t="s">
        <v>119</v>
      </c>
      <c r="C21" s="102"/>
      <c r="D21" s="94">
        <f>'6-A'!T29*1000</f>
        <v>1144163.4472690728</v>
      </c>
      <c r="E21" s="102"/>
      <c r="F21" s="155">
        <f>'6-J-3'!T28</f>
        <v>7.769706504302795</v>
      </c>
      <c r="G21" s="102"/>
      <c r="H21" s="98">
        <f t="shared" si="0"/>
        <v>88898.14178232024</v>
      </c>
      <c r="I21" s="102"/>
    </row>
    <row r="22" spans="1:9" ht="15.75">
      <c r="A22" s="106" t="s">
        <v>117</v>
      </c>
      <c r="B22" s="106" t="s">
        <v>120</v>
      </c>
      <c r="C22" s="102"/>
      <c r="D22" s="94">
        <f>'6-A'!T30*1000</f>
        <v>369563.9743536462</v>
      </c>
      <c r="E22" s="102"/>
      <c r="F22" s="155">
        <f>'6-J-3'!T29</f>
        <v>-2.3464775591595965</v>
      </c>
      <c r="G22" s="102"/>
      <c r="H22" s="186">
        <f t="shared" si="0"/>
        <v>-8671.735724946635</v>
      </c>
      <c r="I22" s="102"/>
    </row>
    <row r="23" spans="1:9" ht="15.75">
      <c r="A23" s="102"/>
      <c r="B23" s="106" t="s">
        <v>121</v>
      </c>
      <c r="C23" s="102"/>
      <c r="D23" s="194">
        <f>'6-A'!T31*1000</f>
        <v>5398368.180584574</v>
      </c>
      <c r="E23" s="102"/>
      <c r="F23" s="155">
        <f>'6-J-3'!T30</f>
        <v>4.2655001705094024</v>
      </c>
      <c r="G23" s="102"/>
      <c r="H23" s="197">
        <f t="shared" si="0"/>
        <v>230267.40394756035</v>
      </c>
      <c r="I23" s="102"/>
    </row>
    <row r="24" spans="1:9" ht="15.75">
      <c r="A24" s="106" t="s">
        <v>118</v>
      </c>
      <c r="B24" s="106" t="s">
        <v>122</v>
      </c>
      <c r="C24" s="102"/>
      <c r="D24" s="94">
        <f>'6-A'!T32*1000</f>
        <v>1995593.1762843037</v>
      </c>
      <c r="E24" s="102"/>
      <c r="F24" s="155">
        <f>'6-J-3'!T31</f>
        <v>-3.6766571458243376</v>
      </c>
      <c r="G24" s="102"/>
      <c r="H24" s="98">
        <f t="shared" si="0"/>
        <v>-73371.11911743972</v>
      </c>
      <c r="I24" s="102"/>
    </row>
    <row r="25" spans="2:9" ht="15.75">
      <c r="B25" s="106">
        <v>16</v>
      </c>
      <c r="C25" s="102"/>
      <c r="D25" s="94">
        <f>'6-A'!T33*1000</f>
        <v>2832876.7597464374</v>
      </c>
      <c r="E25" s="102"/>
      <c r="F25" s="155">
        <f>'6-J-3'!T32</f>
        <v>-10.122914933554028</v>
      </c>
      <c r="G25" s="102"/>
      <c r="H25" s="98">
        <f t="shared" si="0"/>
        <v>-286769.7045615536</v>
      </c>
      <c r="I25" s="102"/>
    </row>
    <row r="26" spans="1:9" ht="15.75">
      <c r="A26" s="106" t="s">
        <v>119</v>
      </c>
      <c r="B26" s="106" t="s">
        <v>123</v>
      </c>
      <c r="C26" s="102"/>
      <c r="D26" s="94">
        <f>'6-A'!T34*1000</f>
        <v>42000.88125553828</v>
      </c>
      <c r="E26" s="102"/>
      <c r="F26" s="155">
        <f>'6-J-3'!T33</f>
        <v>5.970812437676227</v>
      </c>
      <c r="G26" s="102"/>
      <c r="H26" s="98">
        <f t="shared" si="0"/>
        <v>2507.793841939303</v>
      </c>
      <c r="I26" s="102"/>
    </row>
    <row r="27" spans="1:9" ht="15.75">
      <c r="A27" s="102"/>
      <c r="B27" s="106">
        <v>18</v>
      </c>
      <c r="C27" s="102"/>
      <c r="D27" s="94">
        <f>'6-A'!T35*1000</f>
        <v>9146652.908947544</v>
      </c>
      <c r="E27" s="102"/>
      <c r="F27" s="155">
        <f>'6-J-3'!T34</f>
        <v>-8.14129470205716</v>
      </c>
      <c r="G27" s="102"/>
      <c r="H27" s="98">
        <f>D27*F27/100</f>
        <v>-744655.9686917035</v>
      </c>
      <c r="I27" s="102"/>
    </row>
    <row r="28" spans="1:9" ht="15.75">
      <c r="A28" s="114">
        <v>13</v>
      </c>
      <c r="B28" s="106">
        <v>19</v>
      </c>
      <c r="C28" s="102"/>
      <c r="D28" s="94">
        <f>'6-A'!T36*1000</f>
        <v>68331.40353857834</v>
      </c>
      <c r="E28" s="102"/>
      <c r="F28" s="155">
        <f>'6-J-3'!T35</f>
        <v>22.606104560435377</v>
      </c>
      <c r="G28" s="102"/>
      <c r="H28" s="98">
        <f t="shared" si="0"/>
        <v>15447.068531544057</v>
      </c>
      <c r="I28" s="102"/>
    </row>
    <row r="29" spans="1:9" ht="15.75">
      <c r="A29" s="102"/>
      <c r="B29" s="113">
        <v>20</v>
      </c>
      <c r="C29" s="102"/>
      <c r="D29" s="94">
        <f>'6-A'!T37*1000</f>
        <v>3064789.2268108674</v>
      </c>
      <c r="E29" s="102"/>
      <c r="F29" s="155">
        <f>'6-J-3'!T36</f>
        <v>-10.097743004462856</v>
      </c>
      <c r="G29" s="102"/>
      <c r="H29" s="98">
        <f t="shared" si="0"/>
        <v>-309474.5397518256</v>
      </c>
      <c r="I29" s="102"/>
    </row>
    <row r="30" spans="1:9" ht="15.75">
      <c r="A30" s="102"/>
      <c r="B30" s="113" t="s">
        <v>1</v>
      </c>
      <c r="C30" s="102"/>
      <c r="D30" s="133">
        <f>'6-A'!T38*1000</f>
        <v>-3640.0567834839567</v>
      </c>
      <c r="E30" s="102"/>
      <c r="F30" s="155">
        <f>'6-J-3'!T39</f>
        <v>-2.118438560769201</v>
      </c>
      <c r="G30" s="102" t="s">
        <v>160</v>
      </c>
      <c r="H30" s="98">
        <f>D30*F30/100</f>
        <v>77.11236653521921</v>
      </c>
      <c r="I30" s="102"/>
    </row>
    <row r="31" spans="1:9" ht="15.75">
      <c r="A31" s="106" t="s">
        <v>122</v>
      </c>
      <c r="B31" s="103" t="s">
        <v>161</v>
      </c>
      <c r="C31" s="102"/>
      <c r="D31" s="194">
        <f>'6-A'!T39*1000</f>
        <v>76743176.3589117</v>
      </c>
      <c r="E31" s="102"/>
      <c r="F31" s="155"/>
      <c r="G31" s="102"/>
      <c r="H31" s="197">
        <f>SUM(H12:H30)</f>
        <v>-1241315.513858607</v>
      </c>
      <c r="I31" s="151" t="s">
        <v>104</v>
      </c>
    </row>
    <row r="32" spans="1:9" ht="15.75">
      <c r="A32" s="102"/>
      <c r="B32" s="112"/>
      <c r="C32" s="102"/>
      <c r="D32" s="112"/>
      <c r="E32" s="102"/>
      <c r="F32" s="155"/>
      <c r="G32" s="102"/>
      <c r="H32" s="98"/>
      <c r="I32" s="102"/>
    </row>
    <row r="33" spans="1:9" ht="15.75">
      <c r="A33" s="106" t="s">
        <v>125</v>
      </c>
      <c r="B33" s="103" t="s">
        <v>2</v>
      </c>
      <c r="C33" s="102"/>
      <c r="D33" s="194">
        <f>'6-A'!T16*1000</f>
        <v>77683166</v>
      </c>
      <c r="E33" s="102"/>
      <c r="F33" s="155">
        <f>'6-J-3'!T14</f>
        <v>-3.275803695107694</v>
      </c>
      <c r="G33" s="102"/>
      <c r="H33" s="197">
        <f>D33*F33/100</f>
        <v>-2544748.022304644</v>
      </c>
      <c r="I33" s="151" t="s">
        <v>162</v>
      </c>
    </row>
    <row r="34" spans="1:9" ht="15.75">
      <c r="A34" s="102"/>
      <c r="B34" s="102"/>
      <c r="C34" s="102"/>
      <c r="D34" s="102"/>
      <c r="E34" s="102"/>
      <c r="F34" s="155"/>
      <c r="G34" s="102"/>
      <c r="H34" s="98"/>
      <c r="I34" s="102"/>
    </row>
    <row r="35" spans="1:9" ht="15.75">
      <c r="A35" s="102"/>
      <c r="B35" s="103" t="s">
        <v>163</v>
      </c>
      <c r="C35" s="102"/>
      <c r="D35" s="102"/>
      <c r="E35" s="102"/>
      <c r="F35" s="155"/>
      <c r="G35" s="102"/>
      <c r="H35" s="197">
        <f>(H31-H33)</f>
        <v>1303432.5084460368</v>
      </c>
      <c r="I35" s="102"/>
    </row>
    <row r="36" spans="1:9" ht="15.75">
      <c r="A36" s="106" t="s">
        <v>123</v>
      </c>
      <c r="B36" s="102"/>
      <c r="C36" s="102"/>
      <c r="D36" s="102"/>
      <c r="E36" s="102"/>
      <c r="F36" s="102"/>
      <c r="G36" s="102"/>
      <c r="H36" s="92"/>
      <c r="I36" s="102"/>
    </row>
    <row r="37" spans="1:9" ht="15.75">
      <c r="A37" s="102"/>
      <c r="B37" s="115" t="s">
        <v>164</v>
      </c>
      <c r="C37" s="116"/>
      <c r="D37" s="116"/>
      <c r="E37" s="116"/>
      <c r="F37" s="116"/>
      <c r="G37" s="116"/>
      <c r="H37" s="157"/>
      <c r="I37" s="116"/>
    </row>
    <row r="38" spans="1:9" ht="15.75">
      <c r="A38" s="106" t="s">
        <v>126</v>
      </c>
      <c r="B38" s="115" t="s">
        <v>165</v>
      </c>
      <c r="C38" s="116"/>
      <c r="D38" s="116"/>
      <c r="E38" s="116"/>
      <c r="F38" s="116"/>
      <c r="G38" s="116"/>
      <c r="H38" s="156">
        <f>(H35/D31)</f>
        <v>0.016984344019723097</v>
      </c>
      <c r="I38" s="116"/>
    </row>
    <row r="39" spans="1:9" ht="15.75">
      <c r="A39" s="102"/>
      <c r="B39" s="102"/>
      <c r="C39" s="102"/>
      <c r="D39" s="102"/>
      <c r="E39" s="102"/>
      <c r="F39" s="102"/>
      <c r="G39" s="102"/>
      <c r="H39" s="102"/>
      <c r="I39" s="102"/>
    </row>
    <row r="40" spans="1:9" ht="15.75">
      <c r="A40" s="106" t="s">
        <v>124</v>
      </c>
      <c r="B40" s="102"/>
      <c r="C40" s="102"/>
      <c r="D40" s="102"/>
      <c r="E40" s="102"/>
      <c r="F40" s="102"/>
      <c r="G40" s="102"/>
      <c r="H40" s="102"/>
      <c r="I40" s="102"/>
    </row>
    <row r="41" spans="1:9" ht="15.75">
      <c r="A41" s="102"/>
      <c r="B41" s="166" t="s">
        <v>243</v>
      </c>
      <c r="C41" s="117"/>
      <c r="D41" s="117"/>
      <c r="E41" s="108"/>
      <c r="F41" s="108"/>
      <c r="G41" s="108"/>
      <c r="H41" s="108"/>
      <c r="I41" s="108"/>
    </row>
    <row r="42" spans="1:9" ht="15.75">
      <c r="A42" s="106" t="s">
        <v>127</v>
      </c>
      <c r="B42" s="166" t="s">
        <v>278</v>
      </c>
      <c r="C42" s="117"/>
      <c r="D42" s="117"/>
      <c r="E42" s="108"/>
      <c r="F42" s="108"/>
      <c r="G42" s="108"/>
      <c r="H42" s="108"/>
      <c r="I42" s="108"/>
    </row>
    <row r="43" spans="1:9" ht="15.75">
      <c r="A43" s="102"/>
      <c r="B43" s="168"/>
      <c r="C43" s="117"/>
      <c r="D43" s="117"/>
      <c r="E43" s="108"/>
      <c r="F43" s="108"/>
      <c r="G43" s="108"/>
      <c r="H43" s="108"/>
      <c r="I43" s="108"/>
    </row>
    <row r="44" spans="1:11" ht="15.75">
      <c r="A44" s="106" t="s">
        <v>172</v>
      </c>
      <c r="B44" s="184" t="s">
        <v>254</v>
      </c>
      <c r="C44" s="117"/>
      <c r="D44" s="117"/>
      <c r="E44" s="108"/>
      <c r="F44" s="108"/>
      <c r="G44" s="108"/>
      <c r="H44" s="108"/>
      <c r="I44" s="108"/>
      <c r="J44" s="37"/>
      <c r="K44" s="37"/>
    </row>
    <row r="45" spans="1:11" ht="15.75">
      <c r="A45" s="102"/>
      <c r="B45" s="117"/>
      <c r="C45" s="117"/>
      <c r="D45" s="117"/>
      <c r="E45" s="108"/>
      <c r="F45" s="108"/>
      <c r="G45" s="108"/>
      <c r="H45" s="108"/>
      <c r="I45" s="108"/>
      <c r="J45" s="37"/>
      <c r="K45" s="37"/>
    </row>
    <row r="46" spans="1:11" ht="15.75">
      <c r="A46" s="106" t="s">
        <v>173</v>
      </c>
      <c r="B46" s="184" t="s">
        <v>220</v>
      </c>
      <c r="C46" s="117"/>
      <c r="D46" s="117"/>
      <c r="E46" s="108"/>
      <c r="F46" s="108"/>
      <c r="G46" s="108"/>
      <c r="H46" s="108"/>
      <c r="I46" s="108"/>
      <c r="J46" s="37"/>
      <c r="K46" s="37"/>
    </row>
    <row r="47" spans="2:9" ht="10.5">
      <c r="B47" s="37"/>
      <c r="C47" s="37"/>
      <c r="D47" s="37"/>
      <c r="E47" s="37"/>
      <c r="F47" s="37"/>
      <c r="G47" s="37"/>
      <c r="H47" s="37"/>
      <c r="I47" s="37"/>
    </row>
    <row r="48" spans="2:9" ht="12.75">
      <c r="B48" s="167" t="s">
        <v>221</v>
      </c>
      <c r="C48" s="37"/>
      <c r="D48" s="37"/>
      <c r="E48" s="37"/>
      <c r="F48" s="37"/>
      <c r="G48" s="37"/>
      <c r="H48" s="37"/>
      <c r="I48" s="37"/>
    </row>
  </sheetData>
  <printOptions/>
  <pageMargins left="0.75" right="0.75" top="1" bottom="1" header="0.5" footer="0.5"/>
  <pageSetup fitToHeight="1" fitToWidth="1" horizontalDpi="300" verticalDpi="300" orientation="portrait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2006-07-28T21:04:39Z</cp:lastPrinted>
  <dcterms:created xsi:type="dcterms:W3CDTF">1999-05-12T16:33:56Z</dcterms:created>
  <dcterms:modified xsi:type="dcterms:W3CDTF">2006-07-28T21:15:36Z</dcterms:modified>
  <cp:category/>
  <cp:version/>
  <cp:contentType/>
  <cp:contentStatus/>
</cp:coreProperties>
</file>