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" windowWidth="7500" windowHeight="2205" activeTab="0"/>
  </bookViews>
  <sheets>
    <sheet name="Table 287" sheetId="1" r:id="rId1"/>
    <sheet name="Notes" sheetId="2" r:id="rId2"/>
  </sheets>
  <definedNames>
    <definedName name="_Regression_Int" localSheetId="0" hidden="1">1</definedName>
    <definedName name="_xlnm.Print_Area" localSheetId="0">'Table 287'!$A$1:$J$53</definedName>
    <definedName name="Print_Area_MI" localSheetId="0">'Table 287'!$A$1:$J$80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<sst xmlns="http://schemas.openxmlformats.org/spreadsheetml/2006/main" count="89" uniqueCount="74">
  <si>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</t>
  </si>
  <si>
    <t>Year</t>
  </si>
  <si>
    <t>Total</t>
  </si>
  <si>
    <t>1949-50 ....................</t>
  </si>
  <si>
    <t>1959-60 ......................</t>
  </si>
  <si>
    <t>1969-70 ........</t>
  </si>
  <si>
    <t>1970-71 ...........................</t>
  </si>
  <si>
    <t>1971-72 ......................</t>
  </si>
  <si>
    <t>1972-73 .........................</t>
  </si>
  <si>
    <t>1973-74 .........................</t>
  </si>
  <si>
    <t>1974-75 .........................</t>
  </si>
  <si>
    <t>1975-76 ...................</t>
  </si>
  <si>
    <t>1976-77 .......................</t>
  </si>
  <si>
    <t>1977-78 .........................</t>
  </si>
  <si>
    <t>1978-79 ......................</t>
  </si>
  <si>
    <t>1979-80 .....................</t>
  </si>
  <si>
    <t>1980-81 ...........................</t>
  </si>
  <si>
    <t>1981-82 ..........................</t>
  </si>
  <si>
    <t>1982-83 ....................</t>
  </si>
  <si>
    <t>1983-84 .................</t>
  </si>
  <si>
    <t>1984-85 .................</t>
  </si>
  <si>
    <t>1985-86 ....................</t>
  </si>
  <si>
    <t>1986-87 ..................</t>
  </si>
  <si>
    <t>1987-88 ...............</t>
  </si>
  <si>
    <t>1988-89 ...............</t>
  </si>
  <si>
    <t>1989-90 ...............</t>
  </si>
  <si>
    <t>1990-91 ...............</t>
  </si>
  <si>
    <t>1991-92 ...............</t>
  </si>
  <si>
    <t>1992-93 ...............</t>
  </si>
  <si>
    <t>1993-94 ...............</t>
  </si>
  <si>
    <t>1994-95 ...............</t>
  </si>
  <si>
    <t>1995-96 ...............</t>
  </si>
  <si>
    <t>1996-97 ...............</t>
  </si>
  <si>
    <t>1997-98 ...............</t>
  </si>
  <si>
    <t>1999-2000 ...............</t>
  </si>
  <si>
    <t>2000-01 ...............</t>
  </si>
  <si>
    <t>14.2602 from Engineering goes into 45.0702 Cartography, Social Sciences.</t>
  </si>
  <si>
    <t>15.0202 Engineering Technologies goes into 48.0101 Precision Productions.</t>
  </si>
  <si>
    <t>41.0303 from Science Technologies goes into 15.0611 Engineering Technologies.</t>
  </si>
  <si>
    <t>48.0604 from Precision Productions goes into 15.0607 Engineering Technologies.</t>
  </si>
  <si>
    <t>Also included in Engineering Technologies are 46.0000 Construction Trades and 47.0000 Mechanics and</t>
  </si>
  <si>
    <t>Repairers.</t>
  </si>
  <si>
    <t>48.0602 Precision Productions goes in 47.0408 Mechanics and Repairers.</t>
  </si>
  <si>
    <t>2001-02 ...............</t>
  </si>
  <si>
    <t>2002-03 ...............</t>
  </si>
  <si>
    <t>Males</t>
  </si>
  <si>
    <t>Females</t>
  </si>
  <si>
    <t>1992 Classification</t>
  </si>
  <si>
    <t>2002 Classification</t>
  </si>
  <si>
    <t>These categories were moved in Engineering.</t>
  </si>
  <si>
    <t>These categories were moved out of Engineering.</t>
  </si>
  <si>
    <t>14.3001 Engineering, Engineering/Industrial Management moved to 15.1501, Engineering Technologies.</t>
  </si>
  <si>
    <t>27.0302 Mathematics, Operations Research moved to 14.3701, Engineering.</t>
  </si>
  <si>
    <t>These categories were moved in Engineering Technologies.</t>
  </si>
  <si>
    <t>47.0401 Mechanics and Repairers, Instrumentation Technology/Technician moved to 15.0404, Engineering Technologies.</t>
  </si>
  <si>
    <t>48.0101 Precision Productions, Drafting and Design Technology moved to 15.1301, Engineering Technologies.</t>
  </si>
  <si>
    <t>48.0102 Precision Productions, Architectural Drafting moved to 15.1303, Engineering Technologies.</t>
  </si>
  <si>
    <t>48.0103 Precision Productions, Civil Drafting and Civil Engineering moved to 15.1304, Engineering Technologies.</t>
  </si>
  <si>
    <t>48.0104 Precision Productions, Electrical/Electronics Drafting moved to 15.1305, Engineering Technologies.</t>
  </si>
  <si>
    <t>48.0105 Precision Productions, Mechanical Drafting moved to 15.1306, Engineering Technologies.</t>
  </si>
  <si>
    <t>48.0199 Precision Productions, Drafting, Other moved to 15.1399, Engineering Technologies.</t>
  </si>
  <si>
    <t>These categories were moved in Mechanics and Repairers.</t>
  </si>
  <si>
    <t>49.0306 Transportation and Materials Moving Workers, Marine Maintenance/Fitter and Shipper moved to 47.0616, Mechanics and Repairers.</t>
  </si>
  <si>
    <t>2003-04 ...............</t>
  </si>
  <si>
    <t>2004-05 ...............</t>
  </si>
  <si>
    <t>Bachelor's degrees</t>
  </si>
  <si>
    <t>Doctor's degrees</t>
  </si>
  <si>
    <t>Master's degrees</t>
  </si>
  <si>
    <t>NOTE: Includes degrees in engineering, engineering-related technologies, mechanic and repair technologies, and construction trades from 1969-70 through 2004-05.</t>
  </si>
  <si>
    <t>1998-99 ...............</t>
  </si>
  <si>
    <r>
      <t>SOURCE: U.S. Department of Education, National Center for Education Statistics,</t>
    </r>
    <r>
      <rPr>
        <i/>
        <sz val="10"/>
        <rFont val="Courier New"/>
        <family val="3"/>
      </rPr>
      <t xml:space="preserve"> Earned Degrees</t>
    </r>
    <r>
      <rPr>
        <sz val="10"/>
        <rFont val="Courier New"/>
        <family val="3"/>
      </rPr>
      <t xml:space="preserve"> </t>
    </r>
    <r>
      <rPr>
        <i/>
        <sz val="10"/>
        <rFont val="Courier New"/>
        <family val="3"/>
      </rPr>
      <t>Conferred</t>
    </r>
    <r>
      <rPr>
        <sz val="10"/>
        <rFont val="Courier New"/>
        <family val="3"/>
      </rPr>
      <t>, 1949-50 and 1959-60; Higher Education General Information Survey (HEGIS), "Degrees and Other Formal Awards Conferred" surveys, 1969-70 through 1985-86; and 1986-87 through 2004-05 Integrated Postsecondary Education Data System, "Completions Survey" (IPEDS-C:87-99), and Fall 2000 through Fall 2005. (This table was prepared July 2006.)</t>
    </r>
  </si>
  <si>
    <t xml:space="preserve">           1949-50 through 2004-05</t>
  </si>
  <si>
    <t xml:space="preserve">           granting institutions, by level of degree and sex of student: Selected years, </t>
  </si>
  <si>
    <t>Table 287. Degrees in engineering and engineering technologies conferred by degree-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</si>
</sst>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0"/>
      <name val="Courier New"/>
      <family val="3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 wrapText="1"/>
    </xf>
    <xf numFmtId="37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distributed" wrapText="1"/>
    </xf>
    <xf numFmtId="0" fontId="0" fillId="0" borderId="11" xfId="0" applyBorder="1" applyAlignment="1">
      <alignment horizontal="left" vertical="distributed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12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12.625" style="2" customWidth="1"/>
    <col min="2" max="10" width="8.625" style="2" customWidth="1"/>
    <col min="11" max="16384" width="9.625" style="2" customWidth="1"/>
  </cols>
  <sheetData>
    <row r="1" spans="1:9" ht="12" customHeight="1">
      <c r="A1" s="6" t="s">
        <v>73</v>
      </c>
      <c r="B1" s="16"/>
      <c r="C1" s="16"/>
      <c r="D1" s="16"/>
      <c r="E1" s="16"/>
      <c r="F1" s="16"/>
      <c r="G1" s="16"/>
      <c r="H1" s="16"/>
      <c r="I1" s="16"/>
    </row>
    <row r="2" spans="1:9" ht="12" customHeight="1">
      <c r="A2" s="17" t="s">
        <v>72</v>
      </c>
      <c r="B2" s="16"/>
      <c r="C2" s="16"/>
      <c r="D2" s="16"/>
      <c r="E2" s="16"/>
      <c r="F2" s="16"/>
      <c r="G2" s="16"/>
      <c r="H2" s="16"/>
      <c r="I2" s="16"/>
    </row>
    <row r="3" spans="1:9" ht="12" customHeight="1">
      <c r="A3" s="17" t="s">
        <v>71</v>
      </c>
      <c r="B3" s="16"/>
      <c r="C3" s="16"/>
      <c r="D3" s="16"/>
      <c r="E3" s="16"/>
      <c r="F3" s="16"/>
      <c r="G3" s="16"/>
      <c r="H3" s="16"/>
      <c r="I3" s="16"/>
    </row>
    <row r="4" spans="1:10" ht="12" customHeight="1">
      <c r="A4" s="37" t="s">
        <v>1</v>
      </c>
      <c r="B4" s="34" t="s">
        <v>65</v>
      </c>
      <c r="C4" s="35"/>
      <c r="D4" s="36"/>
      <c r="E4" s="34" t="s">
        <v>67</v>
      </c>
      <c r="F4" s="35"/>
      <c r="G4" s="36"/>
      <c r="H4" s="34" t="s">
        <v>66</v>
      </c>
      <c r="I4" s="35"/>
      <c r="J4" s="35"/>
    </row>
    <row r="5" spans="1:10" ht="13.5" customHeight="1">
      <c r="A5" s="38"/>
      <c r="B5" s="18" t="s">
        <v>2</v>
      </c>
      <c r="C5" s="19" t="s">
        <v>45</v>
      </c>
      <c r="D5" s="18" t="s">
        <v>46</v>
      </c>
      <c r="E5" s="19" t="s">
        <v>2</v>
      </c>
      <c r="F5" s="18" t="s">
        <v>45</v>
      </c>
      <c r="G5" s="19" t="s">
        <v>46</v>
      </c>
      <c r="H5" s="18" t="s">
        <v>2</v>
      </c>
      <c r="I5" s="19" t="s">
        <v>45</v>
      </c>
      <c r="J5" s="20" t="s">
        <v>46</v>
      </c>
    </row>
    <row r="6" spans="1:10" ht="12" customHeight="1">
      <c r="A6" s="21">
        <v>1</v>
      </c>
      <c r="B6" s="22">
        <v>2</v>
      </c>
      <c r="C6" s="23">
        <v>3</v>
      </c>
      <c r="D6" s="22">
        <v>4</v>
      </c>
      <c r="E6" s="23">
        <v>5</v>
      </c>
      <c r="F6" s="22">
        <v>6</v>
      </c>
      <c r="G6" s="23">
        <v>7</v>
      </c>
      <c r="H6" s="22">
        <v>8</v>
      </c>
      <c r="I6" s="23">
        <v>9</v>
      </c>
      <c r="J6" s="24">
        <v>10</v>
      </c>
    </row>
    <row r="7" spans="1:11" ht="12" customHeight="1">
      <c r="A7" s="25" t="s">
        <v>3</v>
      </c>
      <c r="B7" s="26">
        <f>C7+D7</f>
        <v>52246</v>
      </c>
      <c r="C7" s="27">
        <v>52071</v>
      </c>
      <c r="D7" s="26">
        <v>175</v>
      </c>
      <c r="E7" s="27">
        <f>F7+G7</f>
        <v>4496</v>
      </c>
      <c r="F7" s="26">
        <v>4481</v>
      </c>
      <c r="G7" s="27">
        <v>15</v>
      </c>
      <c r="H7" s="26">
        <f>I7+J7</f>
        <v>417</v>
      </c>
      <c r="I7" s="27">
        <v>416</v>
      </c>
      <c r="J7" s="28">
        <v>1</v>
      </c>
      <c r="K7" s="3"/>
    </row>
    <row r="8" spans="1:11" ht="12" customHeight="1">
      <c r="A8" s="1" t="s">
        <v>4</v>
      </c>
      <c r="B8" s="10">
        <f>C8+D8</f>
        <v>37679</v>
      </c>
      <c r="C8" s="4">
        <v>37537</v>
      </c>
      <c r="D8" s="10">
        <v>142</v>
      </c>
      <c r="E8" s="4">
        <f>F8+G8</f>
        <v>7159</v>
      </c>
      <c r="F8" s="10">
        <v>7133</v>
      </c>
      <c r="G8" s="4">
        <v>26</v>
      </c>
      <c r="H8" s="10">
        <f>I8+J8</f>
        <v>786</v>
      </c>
      <c r="I8" s="4">
        <v>783</v>
      </c>
      <c r="J8" s="13">
        <v>3</v>
      </c>
      <c r="K8" s="3"/>
    </row>
    <row r="9" spans="1:11" ht="12" customHeight="1">
      <c r="A9" s="1" t="s">
        <v>5</v>
      </c>
      <c r="B9" s="10">
        <f>C9+D9</f>
        <v>44479</v>
      </c>
      <c r="C9" s="4">
        <v>44149</v>
      </c>
      <c r="D9" s="10">
        <v>330</v>
      </c>
      <c r="E9" s="4">
        <f>F9+G9</f>
        <v>15593</v>
      </c>
      <c r="F9" s="10">
        <v>15421</v>
      </c>
      <c r="G9" s="4">
        <v>172</v>
      </c>
      <c r="H9" s="10">
        <f>I9+J9</f>
        <v>3681</v>
      </c>
      <c r="I9" s="4">
        <v>3657</v>
      </c>
      <c r="J9" s="13">
        <v>24</v>
      </c>
      <c r="K9" s="3"/>
    </row>
    <row r="10" spans="2:10" ht="12" customHeight="1">
      <c r="B10" s="11"/>
      <c r="C10" s="5"/>
      <c r="D10" s="11"/>
      <c r="E10" s="5"/>
      <c r="F10" s="11"/>
      <c r="G10" s="5"/>
      <c r="H10" s="11"/>
      <c r="I10" s="5"/>
      <c r="J10" s="14"/>
    </row>
    <row r="11" spans="1:11" ht="12" customHeight="1">
      <c r="A11" s="1" t="s">
        <v>6</v>
      </c>
      <c r="B11" s="10">
        <f>C11+D11</f>
        <v>50182</v>
      </c>
      <c r="C11" s="4">
        <f>44669+5106</f>
        <v>49775</v>
      </c>
      <c r="D11" s="10">
        <f>42+365</f>
        <v>407</v>
      </c>
      <c r="E11" s="4">
        <f>F11+G11</f>
        <v>16947</v>
      </c>
      <c r="F11" s="10">
        <f>16600+134</f>
        <v>16734</v>
      </c>
      <c r="G11" s="4">
        <v>213</v>
      </c>
      <c r="H11" s="10">
        <f>I11+J11</f>
        <v>3688</v>
      </c>
      <c r="I11" s="4">
        <f>1+3662</f>
        <v>3663</v>
      </c>
      <c r="J11" s="13">
        <v>25</v>
      </c>
      <c r="K11" s="3"/>
    </row>
    <row r="12" spans="1:11" ht="12" customHeight="1">
      <c r="A12" s="1" t="s">
        <v>7</v>
      </c>
      <c r="B12" s="10">
        <f>C12+D12</f>
        <v>51258</v>
      </c>
      <c r="C12" s="4">
        <f>45000+5726</f>
        <v>50726</v>
      </c>
      <c r="D12" s="10">
        <f>46+486</f>
        <v>532</v>
      </c>
      <c r="E12" s="4">
        <f>F12+G12</f>
        <v>17299</v>
      </c>
      <c r="F12" s="10">
        <f>16773+236</f>
        <v>17009</v>
      </c>
      <c r="G12" s="4">
        <f>1+289</f>
        <v>290</v>
      </c>
      <c r="H12" s="10">
        <f>I12+J12</f>
        <v>3708</v>
      </c>
      <c r="I12" s="4">
        <f>3670+15</f>
        <v>3685</v>
      </c>
      <c r="J12" s="13">
        <v>23</v>
      </c>
      <c r="K12" s="3"/>
    </row>
    <row r="13" spans="1:11" ht="12" customHeight="1">
      <c r="A13" s="1" t="s">
        <v>8</v>
      </c>
      <c r="B13" s="10">
        <f>C13+D13</f>
        <v>51384</v>
      </c>
      <c r="C13" s="4">
        <f>45964+4802</f>
        <v>50766</v>
      </c>
      <c r="D13" s="10">
        <f>52+566</f>
        <v>618</v>
      </c>
      <c r="E13" s="4">
        <f>F13+G13</f>
        <v>16988</v>
      </c>
      <c r="F13" s="10">
        <f>16574+120</f>
        <v>16694</v>
      </c>
      <c r="G13" s="4">
        <f>2+292</f>
        <v>294</v>
      </c>
      <c r="H13" s="10">
        <f>I13+J13</f>
        <v>3513</v>
      </c>
      <c r="I13" s="4">
        <f>3440+19</f>
        <v>3459</v>
      </c>
      <c r="J13" s="13">
        <v>54</v>
      </c>
      <c r="K13" s="3"/>
    </row>
    <row r="14" spans="1:11" ht="12" customHeight="1">
      <c r="A14" s="1" t="s">
        <v>9</v>
      </c>
      <c r="B14" s="10">
        <f>C14+D14</f>
        <v>50412</v>
      </c>
      <c r="C14" s="4">
        <f>7341+42270</f>
        <v>49611</v>
      </c>
      <c r="D14" s="10">
        <f>696+105</f>
        <v>801</v>
      </c>
      <c r="E14" s="4">
        <f>F14+G14</f>
        <v>15851</v>
      </c>
      <c r="F14" s="10">
        <f>200+15270</f>
        <v>15470</v>
      </c>
      <c r="G14" s="4">
        <f>372+9</f>
        <v>381</v>
      </c>
      <c r="H14" s="10">
        <f>I14+J14</f>
        <v>3374</v>
      </c>
      <c r="I14" s="4">
        <f>4+3314</f>
        <v>3318</v>
      </c>
      <c r="J14" s="13">
        <v>56</v>
      </c>
      <c r="K14" s="3"/>
    </row>
    <row r="15" spans="1:11" ht="12" customHeight="1">
      <c r="A15" s="1" t="s">
        <v>10</v>
      </c>
      <c r="B15" s="10">
        <f>C15+D15</f>
        <v>47131</v>
      </c>
      <c r="C15" s="4">
        <f>38833+7272</f>
        <v>46105</v>
      </c>
      <c r="D15" s="10">
        <f>192+834</f>
        <v>1026</v>
      </c>
      <c r="E15" s="4">
        <f>F15+G15</f>
        <v>15837</v>
      </c>
      <c r="F15" s="10">
        <f>15209+217</f>
        <v>15426</v>
      </c>
      <c r="G15" s="4">
        <f>4+407</f>
        <v>411</v>
      </c>
      <c r="H15" s="10">
        <f>I15+J15</f>
        <v>3181</v>
      </c>
      <c r="I15" s="4">
        <f>3111+2</f>
        <v>3113</v>
      </c>
      <c r="J15" s="13">
        <v>68</v>
      </c>
      <c r="K15" s="3"/>
    </row>
    <row r="16" spans="2:10" ht="12" customHeight="1">
      <c r="B16" s="11"/>
      <c r="C16" s="5"/>
      <c r="D16" s="11"/>
      <c r="E16" s="5"/>
      <c r="F16" s="11"/>
      <c r="G16" s="5"/>
      <c r="H16" s="11"/>
      <c r="I16" s="5"/>
      <c r="J16" s="14"/>
    </row>
    <row r="17" spans="1:11" ht="12" customHeight="1">
      <c r="A17" s="1" t="s">
        <v>11</v>
      </c>
      <c r="B17" s="10">
        <f>C17+D17</f>
        <v>46676</v>
      </c>
      <c r="C17" s="4">
        <f>37406+7778</f>
        <v>45184</v>
      </c>
      <c r="D17" s="10">
        <f>165+1327</f>
        <v>1492</v>
      </c>
      <c r="E17" s="4">
        <f>F17+G17</f>
        <v>16800</v>
      </c>
      <c r="F17" s="10">
        <f>15860+314</f>
        <v>16174</v>
      </c>
      <c r="G17" s="4">
        <f>14+612</f>
        <v>626</v>
      </c>
      <c r="H17" s="10">
        <f>I17+J17</f>
        <v>2874</v>
      </c>
      <c r="I17" s="4">
        <f>2803+2</f>
        <v>2805</v>
      </c>
      <c r="J17" s="13">
        <v>69</v>
      </c>
      <c r="K17" s="3"/>
    </row>
    <row r="18" spans="1:11" ht="12" customHeight="1">
      <c r="A18" s="1" t="s">
        <v>12</v>
      </c>
      <c r="B18" s="10">
        <f>C18+D18</f>
        <v>49482</v>
      </c>
      <c r="C18" s="4">
        <f>39087+8151</f>
        <v>47238</v>
      </c>
      <c r="D18" s="10">
        <f>196+2048</f>
        <v>2244</v>
      </c>
      <c r="E18" s="4">
        <f>F18+G18</f>
        <v>16659</v>
      </c>
      <c r="F18" s="10">
        <f>15630+261</f>
        <v>15891</v>
      </c>
      <c r="G18" s="4">
        <f>23+745</f>
        <v>768</v>
      </c>
      <c r="H18" s="10">
        <f>I18+J18</f>
        <v>2622</v>
      </c>
      <c r="I18" s="4">
        <f>2544+3</f>
        <v>2547</v>
      </c>
      <c r="J18" s="13">
        <v>75</v>
      </c>
      <c r="K18" s="3"/>
    </row>
    <row r="19" spans="1:11" ht="12" customHeight="1">
      <c r="A19" s="1" t="s">
        <v>13</v>
      </c>
      <c r="B19" s="10">
        <f>C19+D19</f>
        <v>56150</v>
      </c>
      <c r="C19" s="4">
        <f>43813+8540</f>
        <v>52353</v>
      </c>
      <c r="D19" s="10">
        <f>245+3552</f>
        <v>3797</v>
      </c>
      <c r="E19" s="4">
        <f>F19+G19</f>
        <v>16887</v>
      </c>
      <c r="F19" s="10">
        <f>15605+335</f>
        <v>15940</v>
      </c>
      <c r="G19" s="4">
        <f>25+922</f>
        <v>947</v>
      </c>
      <c r="H19" s="10">
        <f>I19+J19</f>
        <v>2483</v>
      </c>
      <c r="I19" s="4">
        <f>2421+3</f>
        <v>2424</v>
      </c>
      <c r="J19" s="13">
        <v>59</v>
      </c>
      <c r="K19" s="3"/>
    </row>
    <row r="20" spans="1:11" ht="12" customHeight="1">
      <c r="A20" s="1" t="s">
        <v>14</v>
      </c>
      <c r="B20" s="10">
        <f>C20+D20</f>
        <v>62898</v>
      </c>
      <c r="C20" s="4">
        <f>48576+9027</f>
        <v>57603</v>
      </c>
      <c r="D20" s="10">
        <f>4968+327</f>
        <v>5295</v>
      </c>
      <c r="E20" s="4">
        <f>F20+G20</f>
        <v>16012</v>
      </c>
      <c r="F20" s="10">
        <f>250+14721</f>
        <v>14971</v>
      </c>
      <c r="G20" s="4">
        <f>1023+18</f>
        <v>1041</v>
      </c>
      <c r="H20" s="10">
        <f>I20+J20</f>
        <v>2545</v>
      </c>
      <c r="I20" s="4">
        <f>6+2453</f>
        <v>2459</v>
      </c>
      <c r="J20" s="13">
        <v>86</v>
      </c>
      <c r="K20" s="3"/>
    </row>
    <row r="21" spans="1:11" ht="12" customHeight="1">
      <c r="A21" s="1" t="s">
        <v>15</v>
      </c>
      <c r="B21" s="10">
        <f>C21+D21</f>
        <v>69387</v>
      </c>
      <c r="C21" s="4">
        <f>52876+10001</f>
        <v>62877</v>
      </c>
      <c r="D21" s="10">
        <f>490+6020</f>
        <v>6510</v>
      </c>
      <c r="E21" s="4">
        <f>F21+G21</f>
        <v>16765</v>
      </c>
      <c r="F21" s="10">
        <f>15216+319</f>
        <v>15535</v>
      </c>
      <c r="G21" s="4">
        <f>20+1210</f>
        <v>1230</v>
      </c>
      <c r="H21" s="10">
        <f>I21+J21</f>
        <v>2546</v>
      </c>
      <c r="I21" s="4">
        <f>2442+5</f>
        <v>2447</v>
      </c>
      <c r="J21" s="13">
        <v>99</v>
      </c>
      <c r="K21" s="3"/>
    </row>
    <row r="22" spans="2:10" ht="12" customHeight="1">
      <c r="B22" s="11"/>
      <c r="C22" s="5"/>
      <c r="D22" s="11" t="s">
        <v>0</v>
      </c>
      <c r="E22" s="5" t="s">
        <v>0</v>
      </c>
      <c r="F22" s="11"/>
      <c r="G22" s="5"/>
      <c r="H22" s="11"/>
      <c r="I22" s="5"/>
      <c r="J22" s="14"/>
    </row>
    <row r="23" spans="1:11" ht="12" customHeight="1">
      <c r="A23" s="1" t="s">
        <v>16</v>
      </c>
      <c r="B23" s="10">
        <f>C23+D23</f>
        <v>75355</v>
      </c>
      <c r="C23" s="4">
        <f>56535+11038</f>
        <v>67573</v>
      </c>
      <c r="D23" s="10">
        <f>675+7107</f>
        <v>7782</v>
      </c>
      <c r="E23" s="4">
        <f>F23+G23</f>
        <v>17216</v>
      </c>
      <c r="F23" s="10">
        <f>284+15477</f>
        <v>15761</v>
      </c>
      <c r="G23" s="4">
        <f>1416+39</f>
        <v>1455</v>
      </c>
      <c r="H23" s="10">
        <f>I23+J23</f>
        <v>2608</v>
      </c>
      <c r="I23" s="4">
        <f>2489+10</f>
        <v>2499</v>
      </c>
      <c r="J23" s="13">
        <v>109</v>
      </c>
      <c r="K23" s="3"/>
    </row>
    <row r="24" spans="1:11" ht="12" customHeight="1">
      <c r="A24" s="1" t="s">
        <v>17</v>
      </c>
      <c r="B24" s="10">
        <f>C24+D24</f>
        <v>80632</v>
      </c>
      <c r="C24" s="4">
        <f>59196+12109</f>
        <v>71305</v>
      </c>
      <c r="D24" s="10">
        <f>875+8452</f>
        <v>9327</v>
      </c>
      <c r="E24" s="4">
        <f>F24+G24</f>
        <v>18475</v>
      </c>
      <c r="F24" s="10">
        <f>16389+358</f>
        <v>16747</v>
      </c>
      <c r="G24" s="4">
        <f>55+1673</f>
        <v>1728</v>
      </c>
      <c r="H24" s="10">
        <f>I24+J24</f>
        <v>2676</v>
      </c>
      <c r="I24" s="4">
        <f>2519+13</f>
        <v>2532</v>
      </c>
      <c r="J24" s="13">
        <f>2+142</f>
        <v>144</v>
      </c>
      <c r="K24" s="3"/>
    </row>
    <row r="25" spans="1:11" ht="12" customHeight="1">
      <c r="A25" s="1" t="s">
        <v>18</v>
      </c>
      <c r="B25" s="10">
        <f>C25+D25</f>
        <v>89811</v>
      </c>
      <c r="C25" s="4">
        <f>62912+15693+51+17</f>
        <v>78673</v>
      </c>
      <c r="D25" s="10">
        <f>3+1358+9777</f>
        <v>11138</v>
      </c>
      <c r="E25" s="4">
        <f>F25+G25</f>
        <v>19949</v>
      </c>
      <c r="F25" s="10">
        <f>17553+485</f>
        <v>18038</v>
      </c>
      <c r="G25" s="4">
        <f>1859+52</f>
        <v>1911</v>
      </c>
      <c r="H25" s="10">
        <f>I25+J25</f>
        <v>2871</v>
      </c>
      <c r="I25" s="4">
        <f>2729+13</f>
        <v>2742</v>
      </c>
      <c r="J25" s="13">
        <v>129</v>
      </c>
      <c r="K25" s="3"/>
    </row>
    <row r="26" spans="1:11" ht="12" customHeight="1">
      <c r="A26" s="1" t="s">
        <v>19</v>
      </c>
      <c r="B26" s="10">
        <f>C26+D26</f>
        <v>95295</v>
      </c>
      <c r="C26" s="4">
        <f>65510+17222+10+99</f>
        <v>82841</v>
      </c>
      <c r="D26" s="10">
        <f>10969+1481+1+3</f>
        <v>12454</v>
      </c>
      <c r="E26" s="4">
        <f>F26+G26</f>
        <v>21197</v>
      </c>
      <c r="F26" s="10">
        <f>18400+501+15</f>
        <v>18916</v>
      </c>
      <c r="G26" s="4">
        <f>1+60+2220</f>
        <v>2281</v>
      </c>
      <c r="H26" s="10">
        <f>I26+J26</f>
        <v>3032</v>
      </c>
      <c r="I26" s="4">
        <f>2862+2</f>
        <v>2864</v>
      </c>
      <c r="J26" s="13">
        <f>168</f>
        <v>168</v>
      </c>
      <c r="K26" s="3"/>
    </row>
    <row r="27" spans="1:11" ht="12" customHeight="1">
      <c r="A27" s="1" t="s">
        <v>20</v>
      </c>
      <c r="B27" s="10">
        <f>C27+D27</f>
        <v>97099</v>
      </c>
      <c r="C27" s="4">
        <f>66407+17409+14+161</f>
        <v>83991</v>
      </c>
      <c r="D27" s="10">
        <f>11628+1468+12</f>
        <v>13108</v>
      </c>
      <c r="E27" s="4">
        <f>F27+G27</f>
        <v>22124</v>
      </c>
      <c r="F27" s="10">
        <f>19105+563+20</f>
        <v>19688</v>
      </c>
      <c r="G27" s="4">
        <f>4+63+2369</f>
        <v>2436</v>
      </c>
      <c r="H27" s="10">
        <f>I27+J27</f>
        <v>3269</v>
      </c>
      <c r="I27" s="4">
        <f>3047+8</f>
        <v>3055</v>
      </c>
      <c r="J27" s="13">
        <f>1+213</f>
        <v>214</v>
      </c>
      <c r="K27" s="3"/>
    </row>
    <row r="28" spans="2:10" ht="12" customHeight="1">
      <c r="B28" s="11" t="s">
        <v>0</v>
      </c>
      <c r="C28" s="5" t="s">
        <v>0</v>
      </c>
      <c r="D28" s="11"/>
      <c r="E28" s="5" t="s">
        <v>0</v>
      </c>
      <c r="F28" s="11" t="s">
        <v>0</v>
      </c>
      <c r="G28" s="5" t="s">
        <v>0</v>
      </c>
      <c r="H28" s="11" t="s">
        <v>0</v>
      </c>
      <c r="I28" s="5"/>
      <c r="J28" s="14"/>
    </row>
    <row r="29" spans="1:11" ht="12" customHeight="1">
      <c r="A29" s="1" t="s">
        <v>21</v>
      </c>
      <c r="B29" s="10">
        <f>C29+D29</f>
        <v>97122</v>
      </c>
      <c r="C29" s="4">
        <f>65866+18012+26+146</f>
        <v>84050</v>
      </c>
      <c r="D29" s="10">
        <f>5+1542+11525</f>
        <v>13072</v>
      </c>
      <c r="E29" s="4">
        <f>F29+G29</f>
        <v>22146</v>
      </c>
      <c r="F29" s="10">
        <f>19027+518</f>
        <v>19545</v>
      </c>
      <c r="G29" s="4">
        <f>99+2502</f>
        <v>2601</v>
      </c>
      <c r="H29" s="10">
        <f>I29+J29</f>
        <v>3456</v>
      </c>
      <c r="I29" s="4">
        <f>3209+11</f>
        <v>3220</v>
      </c>
      <c r="J29" s="13">
        <f>1+235</f>
        <v>236</v>
      </c>
      <c r="K29" s="3"/>
    </row>
    <row r="30" spans="1:11" ht="12" customHeight="1">
      <c r="A30" s="1" t="s">
        <v>22</v>
      </c>
      <c r="B30" s="10">
        <f>C30+D30</f>
        <v>93560</v>
      </c>
      <c r="C30" s="4">
        <f>80104+2+437</f>
        <v>80543</v>
      </c>
      <c r="D30" s="10">
        <f>12712+305</f>
        <v>13017</v>
      </c>
      <c r="E30" s="4">
        <f>F30+G30</f>
        <v>23101</v>
      </c>
      <c r="F30" s="10">
        <f>19804+333</f>
        <v>20137</v>
      </c>
      <c r="G30" s="4">
        <f>2850+114</f>
        <v>2964</v>
      </c>
      <c r="H30" s="10">
        <f>I30+J30</f>
        <v>3854</v>
      </c>
      <c r="I30" s="4">
        <f>3555+30</f>
        <v>3585</v>
      </c>
      <c r="J30" s="13">
        <f>263+6</f>
        <v>269</v>
      </c>
      <c r="K30" s="3"/>
    </row>
    <row r="31" spans="1:11" ht="12" customHeight="1">
      <c r="A31" s="1" t="s">
        <v>23</v>
      </c>
      <c r="B31" s="10">
        <f>C31+D31</f>
        <v>89406</v>
      </c>
      <c r="C31" s="4">
        <f>76372+3+511</f>
        <v>76886</v>
      </c>
      <c r="D31" s="10">
        <f>12134+1+385</f>
        <v>12520</v>
      </c>
      <c r="E31" s="4">
        <f>F31+G31</f>
        <v>23839</v>
      </c>
      <c r="F31" s="10">
        <f>20476+339</f>
        <v>20815</v>
      </c>
      <c r="G31" s="4">
        <f>2909+115</f>
        <v>3024</v>
      </c>
      <c r="H31" s="10">
        <f>I31+J31</f>
        <v>4237</v>
      </c>
      <c r="I31" s="4">
        <f>3898+43</f>
        <v>3941</v>
      </c>
      <c r="J31" s="13">
        <f>293+3</f>
        <v>296</v>
      </c>
      <c r="K31" s="3"/>
    </row>
    <row r="32" spans="1:11" ht="12" customHeight="1">
      <c r="A32" s="1" t="s">
        <v>24</v>
      </c>
      <c r="B32" s="10">
        <f>C32+D32</f>
        <v>85982</v>
      </c>
      <c r="C32" s="4">
        <f>73436+581+3</f>
        <v>74020</v>
      </c>
      <c r="D32" s="10">
        <f>11566+396</f>
        <v>11962</v>
      </c>
      <c r="E32" s="4">
        <f>F32+G32</f>
        <v>25066</v>
      </c>
      <c r="F32" s="10">
        <f>21374+357</f>
        <v>21731</v>
      </c>
      <c r="G32" s="4">
        <f>3194+141</f>
        <v>3335</v>
      </c>
      <c r="H32" s="10">
        <f>I32+J32</f>
        <v>4572</v>
      </c>
      <c r="I32" s="4">
        <f>4123+37</f>
        <v>4160</v>
      </c>
      <c r="J32" s="13">
        <f>400+12</f>
        <v>412</v>
      </c>
      <c r="K32" s="3"/>
    </row>
    <row r="33" spans="1:11" ht="12" customHeight="1">
      <c r="A33" s="1" t="s">
        <v>25</v>
      </c>
      <c r="B33" s="10">
        <f>C33+D33</f>
        <v>82480</v>
      </c>
      <c r="C33" s="4">
        <f>54366+16278+198+17</f>
        <v>70859</v>
      </c>
      <c r="D33" s="10">
        <f>2+4+1472+10143</f>
        <v>11621</v>
      </c>
      <c r="E33" s="4">
        <f>F33+G33</f>
        <v>25294</v>
      </c>
      <c r="F33" s="10">
        <f>21008+745</f>
        <v>21753</v>
      </c>
      <c r="G33" s="4">
        <f>164+3377</f>
        <v>3541</v>
      </c>
      <c r="H33" s="10">
        <f>I33+J33</f>
        <v>5030</v>
      </c>
      <c r="I33" s="4">
        <f>4562+14</f>
        <v>4576</v>
      </c>
      <c r="J33" s="13">
        <v>454</v>
      </c>
      <c r="K33" s="3"/>
    </row>
    <row r="34" spans="2:10" ht="12" customHeight="1">
      <c r="B34" s="11"/>
      <c r="C34" s="5"/>
      <c r="D34" s="11"/>
      <c r="E34" s="5" t="s">
        <v>0</v>
      </c>
      <c r="F34" s="11"/>
      <c r="G34" s="5"/>
      <c r="H34" s="11"/>
      <c r="I34" s="5"/>
      <c r="J34" s="14"/>
    </row>
    <row r="35" spans="1:11" ht="12" customHeight="1">
      <c r="A35" s="1" t="s">
        <v>26</v>
      </c>
      <c r="B35" s="10">
        <f>C35+D35</f>
        <v>79751</v>
      </c>
      <c r="C35" s="4">
        <f>52641+15633+20+188</f>
        <v>68482</v>
      </c>
      <c r="D35" s="10">
        <f>12+4+1446+9807</f>
        <v>11269</v>
      </c>
      <c r="E35" s="4">
        <f>F35+G35</f>
        <v>25450</v>
      </c>
      <c r="F35" s="10">
        <f>20965+815</f>
        <v>21780</v>
      </c>
      <c r="G35" s="4">
        <f>181+3489</f>
        <v>3670</v>
      </c>
      <c r="H35" s="10">
        <f>I35+J35</f>
        <v>5330</v>
      </c>
      <c r="I35" s="4">
        <f>4821+13</f>
        <v>4834</v>
      </c>
      <c r="J35" s="13">
        <f>1+495</f>
        <v>496</v>
      </c>
      <c r="K35" s="3"/>
    </row>
    <row r="36" spans="1:11" ht="12" customHeight="1">
      <c r="A36" s="1" t="s">
        <v>27</v>
      </c>
      <c r="B36" s="10">
        <f>C36+D36</f>
        <v>78058</v>
      </c>
      <c r="C36" s="4">
        <f>51793+15169+65+77</f>
        <v>67104</v>
      </c>
      <c r="D36" s="10">
        <f>1+2+1452+9499</f>
        <v>10954</v>
      </c>
      <c r="E36" s="4">
        <f>F36+G36</f>
        <v>26430</v>
      </c>
      <c r="F36" s="10">
        <f>21326+1118</f>
        <v>22444</v>
      </c>
      <c r="G36" s="4">
        <f>234+3752</f>
        <v>3986</v>
      </c>
      <c r="H36" s="10">
        <f>I36+J36</f>
        <v>5533</v>
      </c>
      <c r="I36" s="4">
        <f>4975+23</f>
        <v>4998</v>
      </c>
      <c r="J36" s="13">
        <f>3+532</f>
        <v>535</v>
      </c>
      <c r="K36" s="3"/>
    </row>
    <row r="37" spans="1:11" ht="12" customHeight="1">
      <c r="A37" s="1" t="s">
        <v>28</v>
      </c>
      <c r="B37" s="10">
        <f>C37+D37</f>
        <v>78662</v>
      </c>
      <c r="C37" s="4">
        <f>52310+14772+64+102</f>
        <v>67248</v>
      </c>
      <c r="D37" s="10">
        <f>3+5+1493+9913</f>
        <v>11414</v>
      </c>
      <c r="E37" s="4">
        <f>F37+G37</f>
        <v>29149</v>
      </c>
      <c r="F37" s="10">
        <f>23278+1480</f>
        <v>24758</v>
      </c>
      <c r="G37" s="4">
        <f>299+4092</f>
        <v>4391</v>
      </c>
      <c r="H37" s="10">
        <f>I37+J37</f>
        <v>5894</v>
      </c>
      <c r="I37" s="4">
        <f>5282+40</f>
        <v>5322</v>
      </c>
      <c r="J37" s="13">
        <f>4+568</f>
        <v>572</v>
      </c>
      <c r="K37" s="3"/>
    </row>
    <row r="38" spans="1:11" ht="12" customHeight="1">
      <c r="A38" s="1" t="s">
        <v>29</v>
      </c>
      <c r="B38" s="10">
        <f>C38+D38</f>
        <v>78662</v>
      </c>
      <c r="C38" s="4">
        <f>52014+14730+70+106</f>
        <v>66920</v>
      </c>
      <c r="D38" s="10">
        <f>1+5+1503+10233</f>
        <v>11742</v>
      </c>
      <c r="E38" s="4">
        <f>F38+G38</f>
        <v>30172</v>
      </c>
      <c r="F38" s="10">
        <f>23903+1550</f>
        <v>25453</v>
      </c>
      <c r="G38" s="4">
        <f>329+4390</f>
        <v>4719</v>
      </c>
      <c r="H38" s="10">
        <f>I38+J38</f>
        <v>6011</v>
      </c>
      <c r="I38" s="4">
        <f>5299+40</f>
        <v>5339</v>
      </c>
      <c r="J38" s="13">
        <f>3+669</f>
        <v>672</v>
      </c>
      <c r="K38" s="3"/>
    </row>
    <row r="39" spans="1:11" ht="12" customHeight="1">
      <c r="A39" s="1" t="s">
        <v>30</v>
      </c>
      <c r="B39" s="10">
        <f>C39+D39</f>
        <v>78569</v>
      </c>
      <c r="C39" s="4">
        <f>51586+14483+91+63</f>
        <v>66223</v>
      </c>
      <c r="D39" s="10">
        <f>3+22+1576+10745</f>
        <v>12346</v>
      </c>
      <c r="E39" s="4">
        <f>F39+G39</f>
        <v>30031</v>
      </c>
      <c r="F39" s="10">
        <f>23518+1568+4</f>
        <v>25090</v>
      </c>
      <c r="G39" s="4">
        <f>3+319+4619</f>
        <v>4941</v>
      </c>
      <c r="H39" s="10">
        <f>I39+J39</f>
        <v>6173</v>
      </c>
      <c r="I39" s="4">
        <f>5391+44</f>
        <v>5435</v>
      </c>
      <c r="J39" s="13">
        <f>7+731</f>
        <v>738</v>
      </c>
      <c r="K39" s="3"/>
    </row>
    <row r="40" spans="2:10" ht="12" customHeight="1">
      <c r="B40" s="11"/>
      <c r="C40" s="5"/>
      <c r="D40" s="11"/>
      <c r="E40" s="5"/>
      <c r="F40" s="11"/>
      <c r="G40" s="5"/>
      <c r="H40" s="11"/>
      <c r="I40" s="5"/>
      <c r="J40" s="14"/>
    </row>
    <row r="41" spans="1:11" ht="12" customHeight="1">
      <c r="A41" s="1" t="s">
        <v>31</v>
      </c>
      <c r="B41" s="10">
        <f>C41+D41</f>
        <v>78086</v>
      </c>
      <c r="C41" s="4">
        <f>51107+14199+76+48</f>
        <v>65430</v>
      </c>
      <c r="D41" s="10">
        <f>6+4+1496+11150</f>
        <v>12656</v>
      </c>
      <c r="E41" s="4">
        <f>F41+G41</f>
        <v>28946</v>
      </c>
      <c r="F41" s="10">
        <f>22246+1682</f>
        <v>23928</v>
      </c>
      <c r="G41" s="4">
        <f>4646+372</f>
        <v>5018</v>
      </c>
      <c r="H41" s="10">
        <f>I41+J41</f>
        <v>6431</v>
      </c>
      <c r="I41" s="4">
        <f>42+5581</f>
        <v>5623</v>
      </c>
      <c r="J41" s="13">
        <f>800+8</f>
        <v>808</v>
      </c>
      <c r="K41" s="3"/>
    </row>
    <row r="42" spans="1:11" ht="12" customHeight="1">
      <c r="A42" s="1" t="s">
        <v>32</v>
      </c>
      <c r="B42" s="10">
        <f>C42+D42</f>
        <v>75757</v>
      </c>
      <c r="C42" s="4">
        <f>50178+12750+93+45</f>
        <v>63066</v>
      </c>
      <c r="D42" s="10">
        <f>11240+1433+3+15</f>
        <v>12691</v>
      </c>
      <c r="E42" s="4">
        <f>F42+G42</f>
        <v>27106</v>
      </c>
      <c r="F42" s="10">
        <f>20568+1546</f>
        <v>22114</v>
      </c>
      <c r="G42" s="4">
        <f>392+4600</f>
        <v>4992</v>
      </c>
      <c r="H42" s="10">
        <f>I42+J42</f>
        <v>6250</v>
      </c>
      <c r="I42" s="4">
        <f>5436+40</f>
        <v>5476</v>
      </c>
      <c r="J42" s="13">
        <f>7+767</f>
        <v>774</v>
      </c>
      <c r="K42" s="3"/>
    </row>
    <row r="43" spans="1:11" ht="12" customHeight="1">
      <c r="A43" s="1" t="s">
        <v>33</v>
      </c>
      <c r="B43" s="10">
        <f>C43+D43</f>
        <v>74649</v>
      </c>
      <c r="C43" s="4">
        <f>49049+12648+169+89</f>
        <v>61955</v>
      </c>
      <c r="D43" s="10">
        <f>1476+11203+13+2</f>
        <v>12694</v>
      </c>
      <c r="E43" s="4">
        <f>F43+G43</f>
        <v>27327</v>
      </c>
      <c r="F43" s="10">
        <f>20137+1721+9</f>
        <v>21867</v>
      </c>
      <c r="G43" s="4">
        <f>444+5009+7</f>
        <v>5460</v>
      </c>
      <c r="H43" s="10">
        <f>I43+J43</f>
        <v>6038</v>
      </c>
      <c r="I43" s="4">
        <f>5256+38</f>
        <v>5294</v>
      </c>
      <c r="J43" s="13">
        <f>4+740</f>
        <v>744</v>
      </c>
      <c r="K43" s="3"/>
    </row>
    <row r="44" spans="1:11" ht="12" customHeight="1">
      <c r="A44" s="1" t="s">
        <v>69</v>
      </c>
      <c r="B44" s="10">
        <f>C44+D44</f>
        <v>72665</v>
      </c>
      <c r="C44" s="4">
        <f>46761+12717+187+38</f>
        <v>59703</v>
      </c>
      <c r="D44" s="10">
        <f>1445+11499+1+17</f>
        <v>12962</v>
      </c>
      <c r="E44" s="4">
        <f>F44+G44</f>
        <v>26738</v>
      </c>
      <c r="F44" s="10">
        <f>1585+19805+4</f>
        <v>21394</v>
      </c>
      <c r="G44" s="4">
        <f>4929+412+3</f>
        <v>5344</v>
      </c>
      <c r="H44" s="10">
        <f>I44+J44</f>
        <v>5461</v>
      </c>
      <c r="I44" s="4">
        <f>23+4653</f>
        <v>4676</v>
      </c>
      <c r="J44" s="13">
        <f>779+6</f>
        <v>785</v>
      </c>
      <c r="K44" s="3"/>
    </row>
    <row r="45" spans="1:11" ht="12" customHeight="1">
      <c r="A45" s="1" t="s">
        <v>34</v>
      </c>
      <c r="B45" s="10">
        <f>C45+D45</f>
        <v>73419</v>
      </c>
      <c r="C45" s="4">
        <f>46776+12731+170+64</f>
        <v>59741</v>
      </c>
      <c r="D45" s="10">
        <f>6+16+1610+12046</f>
        <v>13678</v>
      </c>
      <c r="E45" s="4">
        <f>F45+G45</f>
        <v>26726</v>
      </c>
      <c r="F45" s="10">
        <f>19633+1460+7</f>
        <v>21100</v>
      </c>
      <c r="G45" s="4">
        <f>5+404+5217</f>
        <v>5626</v>
      </c>
      <c r="H45" s="10">
        <f>I45+J45</f>
        <v>5421</v>
      </c>
      <c r="I45" s="4">
        <f>4556+26</f>
        <v>4582</v>
      </c>
      <c r="J45" s="13">
        <f>5+834</f>
        <v>839</v>
      </c>
      <c r="K45" s="3"/>
    </row>
    <row r="46" spans="1:10" ht="12" customHeight="1">
      <c r="A46" s="1"/>
      <c r="B46" s="11"/>
      <c r="C46" s="5"/>
      <c r="D46" s="11"/>
      <c r="E46" s="5"/>
      <c r="F46" s="11"/>
      <c r="G46" s="5"/>
      <c r="H46" s="11"/>
      <c r="I46" s="5"/>
      <c r="J46" s="14"/>
    </row>
    <row r="47" spans="1:11" ht="12" customHeight="1">
      <c r="A47" s="1" t="s">
        <v>35</v>
      </c>
      <c r="B47" s="10">
        <f>C47+D47</f>
        <v>72975</v>
      </c>
      <c r="C47" s="4">
        <f>46614+12702+159+89</f>
        <v>59564</v>
      </c>
      <c r="D47" s="10">
        <f>4+15+1691+11701</f>
        <v>13411</v>
      </c>
      <c r="E47" s="4">
        <f>F47+G47</f>
        <v>27272</v>
      </c>
      <c r="F47" s="10">
        <f>19881+1521+3</f>
        <v>21405</v>
      </c>
      <c r="G47" s="4">
        <f>4+485+5378</f>
        <v>5867</v>
      </c>
      <c r="H47" s="10">
        <f>I47+J47</f>
        <v>5604</v>
      </c>
      <c r="I47" s="4">
        <f>4618+51</f>
        <v>4669</v>
      </c>
      <c r="J47" s="13">
        <f>11+924</f>
        <v>935</v>
      </c>
      <c r="K47" s="3"/>
    </row>
    <row r="48" spans="1:11" ht="12" customHeight="1">
      <c r="A48" s="1" t="s">
        <v>43</v>
      </c>
      <c r="B48" s="10">
        <f>C48+D48</f>
        <v>74679</v>
      </c>
      <c r="C48" s="4">
        <f>47214+12921+182+157</f>
        <v>60474</v>
      </c>
      <c r="D48" s="10">
        <f>7+20+1765+12413</f>
        <v>14205</v>
      </c>
      <c r="E48" s="4">
        <f>F48+G48</f>
        <v>27057</v>
      </c>
      <c r="F48" s="10">
        <f>19620+1635+8</f>
        <v>21263</v>
      </c>
      <c r="G48" s="4">
        <f>1+505+5288</f>
        <v>5794</v>
      </c>
      <c r="H48" s="10">
        <f>I48+J48</f>
        <v>5245</v>
      </c>
      <c r="I48" s="4">
        <f>4291+41</f>
        <v>4332</v>
      </c>
      <c r="J48" s="13">
        <f>17+896</f>
        <v>913</v>
      </c>
      <c r="K48" s="3"/>
    </row>
    <row r="49" spans="1:11" ht="12" customHeight="1">
      <c r="A49" s="1" t="s">
        <v>44</v>
      </c>
      <c r="B49" s="10">
        <f>C49+D49</f>
        <v>77267</v>
      </c>
      <c r="C49" s="4">
        <f>49945+12622+148+122</f>
        <v>62837</v>
      </c>
      <c r="D49" s="10">
        <f>12+18+1734+12666</f>
        <v>14430</v>
      </c>
      <c r="E49" s="4">
        <f>F49+G49</f>
        <v>30669</v>
      </c>
      <c r="F49" s="10">
        <f>22383+1786</f>
        <v>24169</v>
      </c>
      <c r="G49" s="4">
        <f>5954+546</f>
        <v>6500</v>
      </c>
      <c r="H49" s="10">
        <f>I49+J49</f>
        <v>5333</v>
      </c>
      <c r="I49" s="4">
        <f>44+4371</f>
        <v>4415</v>
      </c>
      <c r="J49" s="13">
        <f>905+13</f>
        <v>918</v>
      </c>
      <c r="K49" s="3"/>
    </row>
    <row r="50" spans="1:11" ht="12" customHeight="1">
      <c r="A50" s="1" t="s">
        <v>63</v>
      </c>
      <c r="B50" s="10">
        <f>C50+D50</f>
        <v>78227</v>
      </c>
      <c r="C50" s="4">
        <v>63502</v>
      </c>
      <c r="D50" s="10">
        <v>14725</v>
      </c>
      <c r="E50" s="4">
        <f>F50+G50</f>
        <v>35197</v>
      </c>
      <c r="F50" s="10">
        <v>27667</v>
      </c>
      <c r="G50" s="4">
        <v>7530</v>
      </c>
      <c r="H50" s="10">
        <f>I50+J50</f>
        <v>5981</v>
      </c>
      <c r="I50" s="4">
        <v>4923</v>
      </c>
      <c r="J50" s="13">
        <v>1058</v>
      </c>
      <c r="K50" s="3"/>
    </row>
    <row r="51" spans="1:11" ht="12" customHeight="1">
      <c r="A51" s="29" t="s">
        <v>64</v>
      </c>
      <c r="B51" s="12">
        <f>C51+D51</f>
        <v>79743</v>
      </c>
      <c r="C51" s="30">
        <v>65164</v>
      </c>
      <c r="D51" s="12">
        <v>14579</v>
      </c>
      <c r="E51" s="30">
        <f>F51+G51</f>
        <v>35133</v>
      </c>
      <c r="F51" s="12">
        <v>27161</v>
      </c>
      <c r="G51" s="30">
        <v>7972</v>
      </c>
      <c r="H51" s="12">
        <f>I51+J51</f>
        <v>6601</v>
      </c>
      <c r="I51" s="30">
        <v>5368</v>
      </c>
      <c r="J51" s="15">
        <v>1233</v>
      </c>
      <c r="K51" s="3"/>
    </row>
    <row r="52" spans="1:12" ht="27" customHeight="1">
      <c r="A52" s="32" t="s">
        <v>68</v>
      </c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</row>
    <row r="53" spans="1:12" ht="81" customHeight="1">
      <c r="A53" s="31" t="s">
        <v>70</v>
      </c>
      <c r="B53" s="31"/>
      <c r="C53" s="31"/>
      <c r="D53" s="31"/>
      <c r="E53" s="31"/>
      <c r="F53" s="31"/>
      <c r="G53" s="31"/>
      <c r="H53" s="31"/>
      <c r="I53" s="31"/>
      <c r="J53" s="31"/>
      <c r="K53" s="3"/>
      <c r="L53" s="3"/>
    </row>
    <row r="54" ht="12" customHeight="1">
      <c r="A54" s="9"/>
    </row>
    <row r="82" spans="2:11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4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1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 customHeight="1">
      <c r="A89" s="9"/>
      <c r="B89" s="8"/>
      <c r="C89" s="8"/>
      <c r="D89" s="8"/>
      <c r="E89" s="8"/>
      <c r="F89" s="8"/>
      <c r="G89" s="8"/>
      <c r="H89" s="8"/>
      <c r="I89" s="8"/>
      <c r="J89" s="8"/>
      <c r="K89" s="3"/>
    </row>
    <row r="90" spans="1:11" ht="12" customHeight="1">
      <c r="A90" s="9"/>
      <c r="B90" s="8"/>
      <c r="C90" s="8"/>
      <c r="D90" s="8"/>
      <c r="E90" s="8"/>
      <c r="F90" s="8"/>
      <c r="G90" s="8"/>
      <c r="H90" s="8"/>
      <c r="I90" s="8"/>
      <c r="J90" s="8"/>
      <c r="K90" s="3"/>
    </row>
    <row r="91" spans="1:11" ht="12" customHeight="1">
      <c r="A91" s="9"/>
      <c r="B91" s="8"/>
      <c r="C91" s="8"/>
      <c r="D91" s="8"/>
      <c r="E91" s="8"/>
      <c r="F91" s="8"/>
      <c r="G91" s="8"/>
      <c r="H91" s="8"/>
      <c r="I91" s="8"/>
      <c r="J91" s="8"/>
      <c r="K91" s="3"/>
    </row>
    <row r="92" spans="1:11" ht="12" customHeight="1">
      <c r="A92" s="9"/>
      <c r="B92" s="8"/>
      <c r="C92" s="8"/>
      <c r="D92" s="8"/>
      <c r="E92" s="8"/>
      <c r="F92" s="8"/>
      <c r="G92" s="8"/>
      <c r="H92" s="8"/>
      <c r="I92" s="8"/>
      <c r="J92" s="8"/>
      <c r="K92" s="3"/>
    </row>
    <row r="93" spans="1:11" ht="12" customHeight="1">
      <c r="A93" s="9"/>
      <c r="B93" s="8"/>
      <c r="C93" s="8"/>
      <c r="D93" s="8"/>
      <c r="E93" s="8"/>
      <c r="F93" s="8"/>
      <c r="G93" s="8"/>
      <c r="H93" s="8"/>
      <c r="I93" s="8"/>
      <c r="J93" s="8"/>
      <c r="K93" s="3"/>
    </row>
    <row r="94" spans="1:10" ht="12" customHeight="1">
      <c r="A94" s="9"/>
      <c r="B94" s="7"/>
      <c r="C94" s="7"/>
      <c r="D94" s="7"/>
      <c r="E94" s="7"/>
      <c r="F94" s="7"/>
      <c r="G94" s="7"/>
      <c r="H94" s="7"/>
      <c r="I94" s="7"/>
      <c r="J94" s="7"/>
    </row>
    <row r="95" spans="1:10" ht="12" customHeight="1">
      <c r="A95" s="9"/>
      <c r="B95" s="7"/>
      <c r="C95" s="7"/>
      <c r="D95" s="7"/>
      <c r="E95" s="7"/>
      <c r="F95" s="7"/>
      <c r="G95" s="7"/>
      <c r="H95" s="7"/>
      <c r="I95" s="7"/>
      <c r="J95" s="7"/>
    </row>
    <row r="96" spans="1:10" ht="12" customHeight="1">
      <c r="A96" s="9"/>
      <c r="B96" s="7"/>
      <c r="C96" s="7"/>
      <c r="D96" s="7"/>
      <c r="E96" s="7"/>
      <c r="F96" s="7"/>
      <c r="G96" s="7"/>
      <c r="H96" s="7"/>
      <c r="I96" s="7"/>
      <c r="J96" s="7"/>
    </row>
    <row r="97" spans="1:10" ht="12" customHeight="1">
      <c r="A97" s="9"/>
      <c r="B97" s="7"/>
      <c r="C97" s="7"/>
      <c r="D97" s="7"/>
      <c r="E97" s="7"/>
      <c r="F97" s="7"/>
      <c r="G97" s="7"/>
      <c r="H97" s="7"/>
      <c r="I97" s="7"/>
      <c r="J97" s="7"/>
    </row>
    <row r="98" spans="1:10" ht="12" customHeight="1">
      <c r="A98" s="9"/>
      <c r="B98" s="7"/>
      <c r="C98" s="7"/>
      <c r="D98" s="7"/>
      <c r="E98" s="7"/>
      <c r="F98" s="7"/>
      <c r="G98" s="7"/>
      <c r="H98" s="7"/>
      <c r="I98" s="7"/>
      <c r="J98" s="7"/>
    </row>
    <row r="99" spans="1:10" ht="12" customHeight="1">
      <c r="A99" s="9"/>
      <c r="B99" s="7"/>
      <c r="C99" s="7"/>
      <c r="D99" s="7"/>
      <c r="E99" s="7"/>
      <c r="F99" s="7"/>
      <c r="G99" s="7"/>
      <c r="H99" s="7"/>
      <c r="I99" s="7"/>
      <c r="J99" s="7"/>
    </row>
    <row r="100" spans="1:10" ht="12" customHeight="1">
      <c r="A100" s="9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" customHeight="1">
      <c r="A101" s="9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" customHeight="1">
      <c r="A102" s="9"/>
      <c r="B102" s="7"/>
      <c r="C102" s="7"/>
      <c r="D102" s="7"/>
      <c r="E102" s="7"/>
      <c r="F102" s="7"/>
      <c r="G102" s="7"/>
      <c r="H102" s="7"/>
      <c r="I102" s="7"/>
      <c r="J102" s="7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  <row r="111" ht="12" customHeight="1">
      <c r="A111" s="9"/>
    </row>
    <row r="112" ht="12" customHeight="1">
      <c r="A112" s="9"/>
    </row>
  </sheetData>
  <mergeCells count="6">
    <mergeCell ref="A53:J53"/>
    <mergeCell ref="A52:J52"/>
    <mergeCell ref="B4:D4"/>
    <mergeCell ref="H4:J4"/>
    <mergeCell ref="E4:G4"/>
    <mergeCell ref="A4:A5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00390625" defaultRowHeight="12.75"/>
  <sheetData>
    <row r="1" ht="13.5">
      <c r="A1" s="9" t="s">
        <v>48</v>
      </c>
    </row>
    <row r="2" ht="13.5">
      <c r="A2" s="9"/>
    </row>
    <row r="3" ht="13.5">
      <c r="A3" s="2" t="s">
        <v>49</v>
      </c>
    </row>
    <row r="4" ht="13.5">
      <c r="A4" s="2"/>
    </row>
    <row r="5" ht="13.5">
      <c r="A5" s="2" t="s">
        <v>52</v>
      </c>
    </row>
    <row r="6" ht="13.5">
      <c r="A6" s="2"/>
    </row>
    <row r="7" ht="13.5">
      <c r="A7" s="2" t="s">
        <v>50</v>
      </c>
    </row>
    <row r="8" ht="13.5">
      <c r="A8" s="2"/>
    </row>
    <row r="9" ht="13.5">
      <c r="A9" s="2" t="s">
        <v>51</v>
      </c>
    </row>
    <row r="10" ht="13.5">
      <c r="A10" s="9"/>
    </row>
    <row r="11" ht="13.5">
      <c r="A11" s="2" t="s">
        <v>53</v>
      </c>
    </row>
    <row r="12" ht="13.5">
      <c r="A12" s="2"/>
    </row>
    <row r="13" ht="13.5">
      <c r="A13" s="2" t="s">
        <v>54</v>
      </c>
    </row>
    <row r="14" ht="13.5">
      <c r="A14" s="2" t="s">
        <v>55</v>
      </c>
    </row>
    <row r="15" ht="13.5">
      <c r="A15" s="2" t="s">
        <v>56</v>
      </c>
    </row>
    <row r="16" ht="13.5">
      <c r="A16" s="2" t="s">
        <v>57</v>
      </c>
    </row>
    <row r="17" ht="13.5">
      <c r="A17" s="2" t="s">
        <v>58</v>
      </c>
    </row>
    <row r="18" ht="13.5">
      <c r="A18" s="2" t="s">
        <v>59</v>
      </c>
    </row>
    <row r="19" ht="13.5">
      <c r="A19" s="2" t="s">
        <v>60</v>
      </c>
    </row>
    <row r="20" ht="13.5">
      <c r="A20" s="2" t="s">
        <v>51</v>
      </c>
    </row>
    <row r="21" ht="13.5">
      <c r="A21" s="2"/>
    </row>
    <row r="22" ht="13.5">
      <c r="A22" s="2" t="s">
        <v>61</v>
      </c>
    </row>
    <row r="23" ht="13.5">
      <c r="A23" s="2"/>
    </row>
    <row r="24" ht="13.5">
      <c r="A24" s="2" t="s">
        <v>62</v>
      </c>
    </row>
    <row r="25" ht="13.5">
      <c r="A25" s="2"/>
    </row>
    <row r="26" ht="13.5">
      <c r="A26" s="2" t="s">
        <v>47</v>
      </c>
    </row>
    <row r="27" ht="13.5">
      <c r="A27" s="2"/>
    </row>
    <row r="28" ht="13.5">
      <c r="A28" s="1" t="s">
        <v>36</v>
      </c>
    </row>
    <row r="29" ht="13.5">
      <c r="A29" s="1" t="s">
        <v>37</v>
      </c>
    </row>
    <row r="30" ht="13.5">
      <c r="A30" s="1" t="s">
        <v>38</v>
      </c>
    </row>
    <row r="31" ht="13.5">
      <c r="A31" s="1" t="s">
        <v>39</v>
      </c>
    </row>
    <row r="32" ht="13.5">
      <c r="A32" s="1" t="s">
        <v>40</v>
      </c>
    </row>
    <row r="33" ht="13.5">
      <c r="A33" s="1" t="s">
        <v>41</v>
      </c>
    </row>
    <row r="34" ht="13.5">
      <c r="A34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Hoffman</dc:creator>
  <cp:keywords/>
  <dc:description/>
  <cp:lastModifiedBy>Sally Dillow</cp:lastModifiedBy>
  <cp:lastPrinted>2006-08-21T19:02:54Z</cp:lastPrinted>
  <dcterms:created xsi:type="dcterms:W3CDTF">2003-08-24T16:09:53Z</dcterms:created>
  <dcterms:modified xsi:type="dcterms:W3CDTF">2007-03-20T15:32:49Z</dcterms:modified>
  <cp:category/>
  <cp:version/>
  <cp:contentType/>
  <cp:contentStatus/>
</cp:coreProperties>
</file>