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21" yWindow="135" windowWidth="15480" windowHeight="11640" firstSheet="4" activeTab="6"/>
  </bookViews>
  <sheets>
    <sheet name="Tech summary table" sheetId="1" r:id="rId1"/>
    <sheet name="LCCA summary tables" sheetId="2" r:id="rId2"/>
    <sheet name="new pavement costs" sheetId="3" r:id="rId3"/>
    <sheet name="rehabilitation costs" sheetId="4" r:id="rId4"/>
    <sheet name="maintenance costs" sheetId="5" r:id="rId5"/>
    <sheet name="AC lifetimes" sheetId="6" r:id="rId6"/>
    <sheet name="scenarios - new roads" sheetId="7" r:id="rId7"/>
    <sheet name="scenarios - existing roads" sheetId="8" r:id="rId8"/>
    <sheet name="scenarios - parking lots" sheetId="9" r:id="rId9"/>
    <sheet name="albedo vs. time" sheetId="10" r:id="rId10"/>
    <sheet name="weather data" sheetId="11" r:id="rId11"/>
    <sheet name="inflators" sheetId="12" r:id="rId12"/>
    <sheet name="chart data" sheetId="13" r:id="rId13"/>
    <sheet name="figure 2" sheetId="14" r:id="rId14"/>
    <sheet name="figure 3" sheetId="15" r:id="rId15"/>
    <sheet name="figure 4" sheetId="16" r:id="rId16"/>
  </sheets>
  <definedNames>
    <definedName name="_xlnm.Print_Area" localSheetId="4">'maintenance costs'!$A$1:$S$92</definedName>
    <definedName name="_xlnm.Print_Area" localSheetId="2">'new pavement costs'!$A$1:$S$94</definedName>
    <definedName name="_xlnm.Print_Area" localSheetId="3">'rehabilitation costs'!$A$1:$S$124</definedName>
    <definedName name="_xlnm.Print_Area" localSheetId="7">'scenarios - existing roads'!$A$45:$N$326</definedName>
    <definedName name="_xlnm.Print_Area" localSheetId="6">'scenarios - new roads'!$A$44:$N$365</definedName>
    <definedName name="_xlnm.Print_Area" localSheetId="8">'scenarios - parking lots'!$A$44:$N$308</definedName>
    <definedName name="_xlnm.Print_Area" localSheetId="10">'weather data'!$A$1:$L$44</definedName>
    <definedName name="_xlnm.Print_Titles" localSheetId="4">'maintenance costs'!$1:$4</definedName>
    <definedName name="_xlnm.Print_Titles" localSheetId="2">'new pavement costs'!$1:$4</definedName>
    <definedName name="_xlnm.Print_Titles" localSheetId="3">'rehabilitation costs'!$1:$4</definedName>
  </definedNames>
  <calcPr fullCalcOnLoad="1"/>
</workbook>
</file>

<file path=xl/comments3.xml><?xml version="1.0" encoding="utf-8"?>
<comments xmlns="http://schemas.openxmlformats.org/spreadsheetml/2006/main">
  <authors>
    <author>Alan Sanstad</author>
  </authors>
  <commentList>
    <comment ref="L90" authorId="0">
      <text>
        <r>
          <rPr>
            <b/>
            <sz val="9"/>
            <rFont val="Geneva"/>
            <family val="0"/>
          </rPr>
          <t>supposedly a contractor cost from an Ohio project.</t>
        </r>
      </text>
    </comment>
  </commentList>
</comments>
</file>

<file path=xl/comments5.xml><?xml version="1.0" encoding="utf-8"?>
<comments xmlns="http://schemas.openxmlformats.org/spreadsheetml/2006/main">
  <authors>
    <author>Alan Sanstad</author>
  </authors>
  <commentList>
    <comment ref="L88" authorId="0">
      <text>
        <r>
          <rPr>
            <b/>
            <sz val="9"/>
            <rFont val="Geneva"/>
            <family val="0"/>
          </rPr>
          <t>assumes 20% O&amp;P</t>
        </r>
      </text>
    </comment>
  </commentList>
</comments>
</file>

<file path=xl/comments6.xml><?xml version="1.0" encoding="utf-8"?>
<comments xmlns="http://schemas.openxmlformats.org/spreadsheetml/2006/main">
  <authors>
    <author>Alan Sanstad</author>
  </authors>
  <commentList>
    <comment ref="D1" authorId="0">
      <text>
        <r>
          <rPr>
            <b/>
            <sz val="9"/>
            <rFont val="Geneva"/>
            <family val="0"/>
          </rPr>
          <t>load-related distress</t>
        </r>
        <r>
          <rPr>
            <sz val="9"/>
            <rFont val="Geneva"/>
            <family val="0"/>
          </rPr>
          <t xml:space="preserve">
</t>
        </r>
      </text>
    </comment>
    <comment ref="I1" authorId="0">
      <text>
        <r>
          <rPr>
            <b/>
            <sz val="9"/>
            <rFont val="Geneva"/>
            <family val="0"/>
          </rPr>
          <t>load-related distress</t>
        </r>
        <r>
          <rPr>
            <sz val="9"/>
            <rFont val="Geneva"/>
            <family val="0"/>
          </rPr>
          <t xml:space="preserve">
</t>
        </r>
      </text>
    </comment>
    <comment ref="N1" authorId="0">
      <text>
        <r>
          <rPr>
            <b/>
            <sz val="9"/>
            <rFont val="Geneva"/>
            <family val="0"/>
          </rPr>
          <t>load-related distress</t>
        </r>
        <r>
          <rPr>
            <sz val="9"/>
            <rFont val="Geneva"/>
            <family val="0"/>
          </rPr>
          <t xml:space="preserve">
</t>
        </r>
      </text>
    </comment>
    <comment ref="O1" authorId="0">
      <text>
        <r>
          <rPr>
            <b/>
            <sz val="9"/>
            <rFont val="Geneva"/>
            <family val="0"/>
          </rPr>
          <t>this data incorrect in PMS appendices. Values listed are guesses.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Alan Sanstad</author>
  </authors>
  <commentList>
    <comment ref="B46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46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J46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A45" authorId="0">
      <text>
        <r>
          <rPr>
            <sz val="9"/>
            <rFont val="Geneva"/>
            <family val="0"/>
          </rPr>
          <t>inflated from 1985 dollars to 2000 dollars using Historical Cost Indexes from RS Means (2000)</t>
        </r>
      </text>
    </comment>
    <comment ref="B73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73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J73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00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00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J100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58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58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J58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85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85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J85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13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13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J113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A142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B143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56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71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84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99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13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28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41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56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69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84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98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F231" authorId="0">
      <text>
        <r>
          <rPr>
            <b/>
            <sz val="9"/>
            <rFont val="Geneva"/>
            <family val="0"/>
          </rPr>
          <t>incremental cost of "chipping" estimated as cost difference between chip seals and emulsion sealcoats</t>
        </r>
      </text>
    </comment>
    <comment ref="F244" authorId="0">
      <text>
        <r>
          <rPr>
            <b/>
            <sz val="9"/>
            <rFont val="Geneva"/>
            <family val="0"/>
          </rPr>
          <t>incremental cost of "chipping" estimated as cost difference between chip seals and emulsion sealcoats</t>
        </r>
      </text>
    </comment>
    <comment ref="F259" authorId="0">
      <text>
        <r>
          <rPr>
            <b/>
            <sz val="9"/>
            <rFont val="Geneva"/>
            <family val="0"/>
          </rPr>
          <t>incremental cost of "chipping" estimated as cost difference between chip seals and emulsion sealcoats</t>
        </r>
      </text>
    </comment>
    <comment ref="F272" authorId="0">
      <text>
        <r>
          <rPr>
            <b/>
            <sz val="9"/>
            <rFont val="Geneva"/>
            <family val="0"/>
          </rPr>
          <t>incremental cost of "chipping" estimated as cost difference between chip seals and emulsion sealcoats</t>
        </r>
      </text>
    </comment>
    <comment ref="F287" authorId="0">
      <text>
        <r>
          <rPr>
            <b/>
            <sz val="9"/>
            <rFont val="Geneva"/>
            <family val="0"/>
          </rPr>
          <t>incremental cost of "chipping" estimated as cost difference between chip seals and emulsion sealcoats</t>
        </r>
      </text>
    </comment>
    <comment ref="F301" authorId="0">
      <text>
        <r>
          <rPr>
            <b/>
            <sz val="9"/>
            <rFont val="Geneva"/>
            <family val="0"/>
          </rPr>
          <t>incremental cost of "chipping" estimated as cost difference between chip seals and emulsion sealcoats</t>
        </r>
      </text>
    </comment>
    <comment ref="B357" authorId="0">
      <text>
        <r>
          <rPr>
            <sz val="9"/>
            <rFont val="Geneva"/>
            <family val="0"/>
          </rPr>
          <t>using cost data from street project in Independence, MO. Adjusted to LA prices using City Cost Indexes (Means, 2000).</t>
        </r>
      </text>
    </comment>
    <comment ref="A312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A131" authorId="0">
      <text>
        <r>
          <rPr>
            <sz val="9"/>
            <rFont val="Geneva"/>
            <family val="0"/>
          </rPr>
          <t>removal 6" AC + grading + 12" JCPC, SN=6, lifetime assumed to be 40 years</t>
        </r>
      </text>
    </comment>
    <comment ref="A132" authorId="0">
      <text>
        <r>
          <rPr>
            <sz val="9"/>
            <rFont val="Geneva"/>
            <family val="0"/>
          </rPr>
          <t>joint sealing priced using TxDOT data, assuming 0.75 ln ft/SY. Adjusted to LA prices using City Cost Indexes (Means, 2000)</t>
        </r>
      </text>
    </comment>
    <comment ref="A133" authorId="0">
      <text>
        <r>
          <rPr>
            <sz val="9"/>
            <rFont val="Geneva"/>
            <family val="0"/>
          </rPr>
          <t>PDR priced using TxDOT data; joint sealing priced using TxDOT data assuming 0.75 ln ft/SY.</t>
        </r>
      </text>
    </comment>
    <comment ref="F131" authorId="0">
      <text>
        <r>
          <rPr>
            <sz val="9"/>
            <rFont val="Geneva"/>
            <family val="0"/>
          </rPr>
          <t>removal 6" AC + grading + 10" JCPC, SN=5, lifetime assumed to be 40 years</t>
        </r>
      </text>
    </comment>
    <comment ref="J131" authorId="0">
      <text>
        <r>
          <rPr>
            <sz val="9"/>
            <rFont val="Geneva"/>
            <family val="0"/>
          </rPr>
          <t>removal 6" AC + grading + 9" JCPC, SN=4.5, lifetime assumed to be 40 years</t>
        </r>
      </text>
    </comment>
    <comment ref="A72" authorId="0">
      <text>
        <r>
          <rPr>
            <sz val="9"/>
            <rFont val="Geneva"/>
            <family val="0"/>
          </rPr>
          <t>inflated from 1985 dollars to 2000 dollars using Historical Cost Indexes from RS Means (2000)</t>
        </r>
      </text>
    </comment>
    <comment ref="A99" authorId="0">
      <text>
        <r>
          <rPr>
            <sz val="9"/>
            <rFont val="Geneva"/>
            <family val="0"/>
          </rPr>
          <t>inflated from 1985 dollars to 2000 dollars using Historical Cost Indexes from RS Means (2000)</t>
        </r>
      </text>
    </comment>
    <comment ref="A170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A198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A227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A255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A283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</commentList>
</comments>
</file>

<file path=xl/comments8.xml><?xml version="1.0" encoding="utf-8"?>
<comments xmlns="http://schemas.openxmlformats.org/spreadsheetml/2006/main">
  <authors>
    <author>Alan Sanstad</author>
  </authors>
  <commentList>
    <comment ref="A46" authorId="0">
      <text>
        <r>
          <rPr>
            <sz val="9"/>
            <rFont val="Geneva"/>
            <family val="0"/>
          </rPr>
          <t>inflated from 1985 dollars to 2000 dollars using Historical Cost Indexes from RS Means (2000)</t>
        </r>
      </text>
    </comment>
    <comment ref="B47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47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B60" authorId="0">
      <text>
        <r>
          <rPr>
            <sz val="9"/>
            <rFont val="Geneva"/>
            <family val="0"/>
          </rPr>
          <t>all treatments are allowed to decay to PCI=70</t>
        </r>
      </text>
    </comment>
    <comment ref="B74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B88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74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F60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F88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B103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B116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B130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B144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03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F116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F144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F130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59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59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B172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72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B186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86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199" authorId="0">
      <text>
        <r>
          <rPr>
            <b/>
            <sz val="9"/>
            <rFont val="Geneva"/>
            <family val="0"/>
          </rPr>
          <t>all treatments are allowed to decay to PCI=70</t>
        </r>
      </text>
    </comment>
    <comment ref="F199" authorId="0">
      <text>
        <r>
          <rPr>
            <b/>
            <sz val="9"/>
            <rFont val="Geneva"/>
            <family val="0"/>
          </rPr>
          <t>all treatments are allowed to decay to PCI=50, non-load related distress</t>
        </r>
      </text>
    </comment>
    <comment ref="D50" authorId="0">
      <text>
        <r>
          <rPr>
            <b/>
            <sz val="9"/>
            <rFont val="Geneva"/>
            <family val="0"/>
          </rPr>
          <t>No initial costs in this scenario for existing street in very good condition.  First treatment applied in year 7.</t>
        </r>
      </text>
    </comment>
    <comment ref="D106" authorId="0">
      <text>
        <r>
          <rPr>
            <b/>
            <sz val="9"/>
            <rFont val="Geneva"/>
            <family val="0"/>
          </rPr>
          <t>No initial costs in this scenario for existing street in very good condition.  First treatment applied in year 7.</t>
        </r>
      </text>
    </comment>
    <comment ref="D162" authorId="0">
      <text>
        <r>
          <rPr>
            <b/>
            <sz val="9"/>
            <rFont val="Geneva"/>
            <family val="0"/>
          </rPr>
          <t>No initial costs in this scenario for existing street in very good condition.  First treatment applied in year 8.</t>
        </r>
      </text>
    </comment>
    <comment ref="H50" authorId="0">
      <text>
        <r>
          <rPr>
            <b/>
            <sz val="9"/>
            <rFont val="Geneva"/>
            <family val="0"/>
          </rPr>
          <t>No initial costs in this scenario for existing street in very good condition. First treatement applied in year 11.</t>
        </r>
      </text>
    </comment>
    <comment ref="H106" authorId="0">
      <text>
        <r>
          <rPr>
            <b/>
            <sz val="9"/>
            <rFont val="Geneva"/>
            <family val="0"/>
          </rPr>
          <t>No initial costs in this scenario for existing street in very good condition. First treatement applied in year 11.</t>
        </r>
      </text>
    </comment>
    <comment ref="H162" authorId="0">
      <text>
        <r>
          <rPr>
            <b/>
            <sz val="9"/>
            <rFont val="Geneva"/>
            <family val="0"/>
          </rPr>
          <t>No initial costs in this scenario for existing street in very good condition. First treatement applied in year 11.</t>
        </r>
      </text>
    </comment>
    <comment ref="B214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28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41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A213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B295" authorId="0">
      <text>
        <r>
          <rPr>
            <b/>
            <sz val="9"/>
            <rFont val="Geneva"/>
            <family val="0"/>
          </rPr>
          <t>hypothetical, based on conversations with agencies that installed UTW in intersections.</t>
        </r>
      </text>
    </comment>
    <comment ref="H295" authorId="0">
      <text>
        <r>
          <rPr>
            <b/>
            <sz val="9"/>
            <rFont val="Geneva"/>
            <family val="0"/>
          </rPr>
          <t>hypothetical, based on conversations with agencies that installed UTW in intersections.</t>
        </r>
      </text>
    </comment>
    <comment ref="B255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69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B282" authorId="0">
      <text>
        <r>
          <rPr>
            <b/>
            <sz val="9"/>
            <rFont val="Geneva"/>
            <family val="0"/>
          </rPr>
          <t>all treatments are allowed to decay to PCI=50 with load-related distress</t>
        </r>
      </text>
    </comment>
    <comment ref="F258" authorId="0">
      <text>
        <r>
          <rPr>
            <b/>
            <sz val="9"/>
            <rFont val="Geneva"/>
            <family val="0"/>
          </rPr>
          <t>with chip seal using high-â aggregate</t>
        </r>
      </text>
    </comment>
    <comment ref="F260" authorId="0">
      <text>
        <r>
          <rPr>
            <b/>
            <sz val="9"/>
            <rFont val="Geneva"/>
            <family val="0"/>
          </rPr>
          <t>with chip seal using high-â aggregate</t>
        </r>
      </text>
    </comment>
    <comment ref="F272" authorId="0">
      <text>
        <r>
          <rPr>
            <b/>
            <sz val="9"/>
            <rFont val="Geneva"/>
            <family val="0"/>
          </rPr>
          <t>with chip seal using high-â aggregate</t>
        </r>
      </text>
    </comment>
    <comment ref="F274" authorId="0">
      <text>
        <r>
          <rPr>
            <b/>
            <sz val="9"/>
            <rFont val="Geneva"/>
            <family val="0"/>
          </rPr>
          <t>with chip seal using high-â aggregate</t>
        </r>
      </text>
    </comment>
    <comment ref="F285" authorId="0">
      <text>
        <r>
          <rPr>
            <b/>
            <sz val="9"/>
            <rFont val="Geneva"/>
            <family val="0"/>
          </rPr>
          <t>with chip seal using high-â aggregate</t>
        </r>
      </text>
    </comment>
    <comment ref="B313" authorId="0">
      <text>
        <r>
          <rPr>
            <b/>
            <sz val="9"/>
            <rFont val="Geneva"/>
            <family val="0"/>
          </rPr>
          <t>hypothetical, based on conversations with agencies that installed UTW in intersections.</t>
        </r>
      </text>
    </comment>
    <comment ref="H313" authorId="0">
      <text>
        <r>
          <rPr>
            <b/>
            <sz val="9"/>
            <rFont val="Geneva"/>
            <family val="0"/>
          </rPr>
          <t>hypothetical, based on conversations with agencies that installed UTW in intersections.</t>
        </r>
      </text>
    </comment>
    <comment ref="B315" authorId="0">
      <text>
        <r>
          <rPr>
            <b/>
            <sz val="9"/>
            <rFont val="Geneva"/>
            <family val="0"/>
          </rPr>
          <t>using MTC data inflated from 85$ to 00$ using Historical Cost Indexes (Means, 2000).</t>
        </r>
      </text>
    </comment>
    <comment ref="H315" authorId="0">
      <text>
        <r>
          <rPr>
            <sz val="9"/>
            <rFont val="Geneva"/>
            <family val="0"/>
          </rPr>
          <t>using cost data from intersection project in Bellevue, WA. Adjusted to LA prices using City Cost Indexes (Means, 2000).</t>
        </r>
      </text>
    </comment>
    <comment ref="H297" authorId="0">
      <text>
        <r>
          <rPr>
            <sz val="9"/>
            <rFont val="Geneva"/>
            <family val="0"/>
          </rPr>
          <t>using cost data from intersection project in Bellevue, WA. Adjusted to LA prices using City Cost Indexes (Means, 2000).</t>
        </r>
      </text>
    </comment>
    <comment ref="A102" authorId="0">
      <text>
        <r>
          <rPr>
            <sz val="9"/>
            <rFont val="Geneva"/>
            <family val="0"/>
          </rPr>
          <t>inflated from 1985 dollars to 2000 dollars using Historical Cost Indexes from RS Means (2000)</t>
        </r>
      </text>
    </comment>
    <comment ref="A158" authorId="0">
      <text>
        <r>
          <rPr>
            <sz val="9"/>
            <rFont val="Geneva"/>
            <family val="0"/>
          </rPr>
          <t>inflated from 1985 dollars to 2000 dollars using Historical Cost Indexes from RS Means (2000)</t>
        </r>
      </text>
    </comment>
    <comment ref="A254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  <comment ref="A295" authorId="0">
      <text>
        <r>
          <rPr>
            <sz val="9"/>
            <rFont val="Geneva"/>
            <family val="0"/>
          </rPr>
          <t>inflated from 85$ to 00$ using Historical Cost Indexes and adjusted to LA prices using City Cost Indexes (Means, 2000).</t>
        </r>
      </text>
    </comment>
  </commentList>
</comments>
</file>

<file path=xl/comments9.xml><?xml version="1.0" encoding="utf-8"?>
<comments xmlns="http://schemas.openxmlformats.org/spreadsheetml/2006/main">
  <authors>
    <author>Alan Sanstad</author>
  </authors>
  <commentList>
    <comment ref="I4" authorId="0">
      <text>
        <r>
          <rPr>
            <b/>
            <sz val="9"/>
            <rFont val="Geneva"/>
            <family val="0"/>
          </rPr>
          <t>8" stone base + 3" wearing course</t>
        </r>
        <r>
          <rPr>
            <sz val="9"/>
            <rFont val="Geneva"/>
            <family val="0"/>
          </rPr>
          <t xml:space="preserve">
note: does not include restriping</t>
        </r>
      </text>
    </comment>
    <comment ref="J4" authorId="0">
      <text>
        <r>
          <rPr>
            <b/>
            <sz val="9"/>
            <rFont val="Geneva"/>
            <family val="0"/>
          </rPr>
          <t xml:space="preserve">3" wearing course + 9" stone base + grading + prime coat
</t>
        </r>
        <r>
          <rPr>
            <sz val="9"/>
            <rFont val="Geneva"/>
            <family val="0"/>
          </rPr>
          <t>note: does not include restriping</t>
        </r>
      </text>
    </comment>
    <comment ref="H4" authorId="0">
      <text>
        <r>
          <rPr>
            <b/>
            <sz val="9"/>
            <rFont val="Geneva"/>
            <family val="0"/>
          </rPr>
          <t>3" wearing course + 8" stone base + grading</t>
        </r>
      </text>
    </comment>
    <comment ref="O4" authorId="0">
      <text>
        <r>
          <rPr>
            <b/>
            <sz val="9"/>
            <rFont val="Geneva"/>
            <family val="0"/>
          </rPr>
          <t>cost estimate based on contractor quote from Cincinnati, OH. City Cost Index used to deflate to national average.</t>
        </r>
      </text>
    </comment>
    <comment ref="N4" authorId="0">
      <text>
        <r>
          <rPr>
            <b/>
            <sz val="9"/>
            <rFont val="Geneva"/>
            <family val="0"/>
          </rPr>
          <t>excavating, grading, 6" stone base, GP2, seeding.</t>
        </r>
      </text>
    </comment>
    <comment ref="E143" authorId="0">
      <text>
        <r>
          <rPr>
            <sz val="9"/>
            <rFont val="Geneva"/>
            <family val="0"/>
          </rPr>
          <t>cost estimate based on contractor quote from Cincinnati, OH. City Cost Index used to adjust to LA prices.</t>
        </r>
      </text>
    </comment>
    <comment ref="B143" authorId="0">
      <text>
        <r>
          <rPr>
            <b/>
            <sz val="9"/>
            <rFont val="Geneva"/>
            <family val="0"/>
          </rPr>
          <t>excavating, grading, 8" stone base, GP2, seeding.</t>
        </r>
      </text>
    </comment>
    <comment ref="E207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H143" authorId="0">
      <text>
        <r>
          <rPr>
            <b/>
            <sz val="9"/>
            <rFont val="Geneva"/>
            <family val="0"/>
          </rPr>
          <t>excavating, grading, 6" stone base, Geoblock installation, &amp; seeding.</t>
        </r>
      </text>
    </comment>
    <comment ref="E206" authorId="0">
      <text>
        <r>
          <rPr>
            <b/>
            <sz val="9"/>
            <rFont val="Geneva"/>
            <family val="0"/>
          </rPr>
          <t>3" wearing course + 9" stone base + grading + high-albedo sealcoat (Asphacolor) + striping</t>
        </r>
      </text>
    </comment>
    <comment ref="K4" authorId="0">
      <text>
        <r>
          <rPr>
            <b/>
            <sz val="9"/>
            <rFont val="Geneva"/>
            <family val="0"/>
          </rPr>
          <t>5" PCC</t>
        </r>
      </text>
    </comment>
    <comment ref="L4" authorId="0">
      <text>
        <r>
          <rPr>
            <b/>
            <sz val="9"/>
            <rFont val="Geneva"/>
            <family val="0"/>
          </rPr>
          <t xml:space="preserve">5" PCC
</t>
        </r>
        <r>
          <rPr>
            <sz val="9"/>
            <rFont val="Geneva"/>
            <family val="0"/>
          </rPr>
          <t>note: does not include restriping</t>
        </r>
      </text>
    </comment>
    <comment ref="M4" authorId="0">
      <text>
        <r>
          <rPr>
            <b/>
            <sz val="9"/>
            <rFont val="Geneva"/>
            <family val="0"/>
          </rPr>
          <t xml:space="preserve">4" PCC + 4" stone base
</t>
        </r>
        <r>
          <rPr>
            <sz val="9"/>
            <rFont val="Geneva"/>
            <family val="0"/>
          </rPr>
          <t>note: does not include restriping</t>
        </r>
      </text>
    </comment>
    <comment ref="A101" authorId="0">
      <text>
        <r>
          <rPr>
            <b/>
            <sz val="9"/>
            <rFont val="Geneva"/>
            <family val="0"/>
          </rPr>
          <t>3" AC wearing course + 8" stone base + grading + prime coat + striping</t>
        </r>
      </text>
    </comment>
    <comment ref="A122" authorId="0">
      <text>
        <r>
          <rPr>
            <b/>
            <sz val="9"/>
            <rFont val="Geneva"/>
            <family val="0"/>
          </rPr>
          <t>5" PCC (includes jointing, finishing, curing) + grading + striping</t>
        </r>
      </text>
    </comment>
    <comment ref="A123" authorId="0">
      <text>
        <r>
          <rPr>
            <sz val="9"/>
            <rFont val="Geneva"/>
            <family val="0"/>
          </rPr>
          <t>joint sealing priced using TxDOT data, assuming 0.75 ln ft/SY. Adjusted to LA prices using City Cost Indexes (Means, 2000)</t>
        </r>
      </text>
    </comment>
    <comment ref="A133" authorId="0">
      <text>
        <r>
          <rPr>
            <b/>
            <sz val="9"/>
            <rFont val="Geneva"/>
            <family val="0"/>
          </rPr>
          <t>PDR priced using TxDOT data; joint sealing priced using TxDOT data assuming 0.75 ln ft/SY.</t>
        </r>
      </text>
    </comment>
    <comment ref="A272" authorId="0">
      <text>
        <r>
          <rPr>
            <b/>
            <sz val="9"/>
            <rFont val="Geneva"/>
            <family val="0"/>
          </rPr>
          <t>AC removal + 3" AC wearing course + 8" stone base + grading + prime coat + striping</t>
        </r>
      </text>
    </comment>
    <comment ref="A206" authorId="0">
      <text>
        <r>
          <rPr>
            <b/>
            <sz val="9"/>
            <rFont val="Geneva"/>
            <family val="0"/>
          </rPr>
          <t>3" AC wearing course + 8" stone base + grading + prime coat + striping</t>
        </r>
      </text>
    </comment>
    <comment ref="A228" authorId="0">
      <text>
        <r>
          <rPr>
            <b/>
            <sz val="9"/>
            <rFont val="Geneva"/>
            <family val="0"/>
          </rPr>
          <t>3" AC wearing course + 8" stone base + grading + prime coat + striping</t>
        </r>
      </text>
    </comment>
    <comment ref="A250" authorId="0">
      <text>
        <r>
          <rPr>
            <b/>
            <sz val="9"/>
            <rFont val="Geneva"/>
            <family val="0"/>
          </rPr>
          <t>3" AC wearing course + 8" stone base + grading + prime coat + striping</t>
        </r>
      </text>
    </comment>
    <comment ref="F206" authorId="0">
      <text>
        <r>
          <rPr>
            <b/>
            <sz val="9"/>
            <rFont val="Geneva"/>
            <family val="0"/>
          </rPr>
          <t>no lag associated with the use of high-â sealcoats</t>
        </r>
      </text>
    </comment>
    <comment ref="G206" authorId="0">
      <text>
        <r>
          <rPr>
            <b/>
            <sz val="9"/>
            <rFont val="Geneva"/>
            <family val="0"/>
          </rPr>
          <t>no lag associated with the use of high-â sealcoats</t>
        </r>
      </text>
    </comment>
    <comment ref="E208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09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54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55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A293" authorId="0">
      <text>
        <r>
          <rPr>
            <b/>
            <sz val="9"/>
            <rFont val="Geneva"/>
            <family val="0"/>
          </rPr>
          <t>AC removal + 3" AC wearing course + 8" stone base + grading + prime coat + striping</t>
        </r>
      </text>
    </comment>
    <comment ref="A98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A202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A140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A185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E211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12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28" authorId="0">
      <text>
        <r>
          <rPr>
            <b/>
            <sz val="9"/>
            <rFont val="Geneva"/>
            <family val="0"/>
          </rPr>
          <t>3" wearing course + 9" stone base + grading + high-albedo sealcoat (Asphacolor) + striping</t>
        </r>
      </text>
    </comment>
    <comment ref="E229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30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31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33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50" authorId="0">
      <text>
        <r>
          <rPr>
            <b/>
            <sz val="9"/>
            <rFont val="Geneva"/>
            <family val="0"/>
          </rPr>
          <t>3" wearing course + 9" stone base + grading + high-albedo sealcoat (Asphacolor) + striping</t>
        </r>
      </text>
    </comment>
    <comment ref="E251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52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E253" authorId="0">
      <text>
        <r>
          <rPr>
            <b/>
            <sz val="9"/>
            <rFont val="Geneva"/>
            <family val="0"/>
          </rPr>
          <t>high-albedo sealcoat (Asphacolor).</t>
        </r>
      </text>
    </comment>
    <comment ref="L291" authorId="0">
      <text>
        <r>
          <rPr>
            <sz val="9"/>
            <rFont val="Geneva"/>
            <family val="0"/>
          </rPr>
          <t>using cost data from parking lot project in San Diego County. Adjusted to LA prices using City Cost Indexes (Means, 2000).</t>
        </r>
      </text>
    </comment>
    <comment ref="L270" authorId="0">
      <text>
        <r>
          <rPr>
            <sz val="9"/>
            <rFont val="Geneva"/>
            <family val="0"/>
          </rPr>
          <t>using cost data from parking lot project in San Diego County. Adjusted to LA prices using City Cost Indexes (Means, 2000).</t>
        </r>
      </text>
    </comment>
    <comment ref="A119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A224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A246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  <comment ref="A268" authorId="0">
      <text>
        <r>
          <rPr>
            <sz val="9"/>
            <rFont val="Geneva"/>
            <family val="0"/>
          </rPr>
          <t>adjusted to LA prices using City Cost Indexes (Means, 2000).</t>
        </r>
      </text>
    </comment>
  </commentList>
</comments>
</file>

<file path=xl/sharedStrings.xml><?xml version="1.0" encoding="utf-8"?>
<sst xmlns="http://schemas.openxmlformats.org/spreadsheetml/2006/main" count="3453" uniqueCount="793">
  <si>
    <t xml:space="preserve">  asphalt surface treatment, .30 gal/SY asphalt, 20#/SY aggregate, double course, roadway</t>
  </si>
  <si>
    <t>Lack of information; lack of contractors and competitive bidding</t>
  </si>
  <si>
    <t>Lack of testing infrastructure and demonstration sites</t>
  </si>
  <si>
    <t>Incremental costs and availability of high-â aggregates unknown; maintenance over long term unknown; low-volume streets only</t>
  </si>
  <si>
    <t>02750-100-0300</t>
  </si>
  <si>
    <t>02750-100-0400</t>
  </si>
  <si>
    <t>02750-100-0500</t>
  </si>
  <si>
    <t>cape seal (AC)</t>
  </si>
  <si>
    <t>ending PCI = 50, load-related distress</t>
  </si>
  <si>
    <t>NEW AC ROAD PAVEMENT MAINTENANCE SCENARIOS</t>
  </si>
  <si>
    <t>NET PRESENT VALUE CALCULATIONS - EXISTING AC ARTERIAL STREET SCENARIOS</t>
  </si>
  <si>
    <t>total reconstruction</t>
  </si>
  <si>
    <t>surface reconstruction</t>
  </si>
  <si>
    <t>EXISTING AC ROAD PAVEMENTS</t>
  </si>
  <si>
    <t>RECONSTRUCTED AC ROAD PAVEMENTS</t>
  </si>
  <si>
    <t>50, load</t>
  </si>
  <si>
    <t>50, nonload</t>
  </si>
  <si>
    <t>Incremental costs and availability of high-â aggregates unknown; lag time associated with realizing durability and reflectivity benefits</t>
  </si>
  <si>
    <t>AC - collector</t>
  </si>
  <si>
    <t>AC - residential</t>
  </si>
  <si>
    <t>PCC - arterial</t>
  </si>
  <si>
    <t>4% real discount rate</t>
  </si>
  <si>
    <t>using RS Means cost data inflated to 2000$</t>
  </si>
  <si>
    <t>4% real discount rate; inflated to 2000$</t>
  </si>
  <si>
    <t>using manufacturer cost data inflated to 2000$</t>
  </si>
  <si>
    <t>using MTC cost data (2000$)</t>
  </si>
  <si>
    <t>using MTC cost data inflated to 2000$</t>
  </si>
  <si>
    <t>using MTC cost data inflated to 2000$, 4% real discount rate</t>
  </si>
  <si>
    <t>using cost data from City of Independence (MO) inflated to 2000$</t>
  </si>
  <si>
    <t>using cost data from City of Bellevue (WA) inflated to 2000$</t>
  </si>
  <si>
    <t>4% real discount rate; cost data inflated to 2000$</t>
  </si>
  <si>
    <t>using cost data from CaCPC inflated to 2000$</t>
  </si>
  <si>
    <t>PCC - collector</t>
  </si>
  <si>
    <t>PCC - residential</t>
  </si>
  <si>
    <t>Porous pavement - Invisible Structures, Inc.</t>
  </si>
  <si>
    <t>Porous pavement - Bartron Corp.</t>
  </si>
  <si>
    <t>Porous pavement - Presto Products Co.</t>
  </si>
  <si>
    <t>Potential lack of proximity to sources of high-albedo aggregates</t>
  </si>
  <si>
    <t>SY -&gt; SM</t>
  </si>
  <si>
    <t xml:space="preserve">  fixed form, 12' pass, unreinforced, 7" thick</t>
  </si>
  <si>
    <t>NET PRESENT VALUE CALCULATIONS - RECONSTRUCTED AC ARTERIAL STREET SCENARIOS</t>
  </si>
  <si>
    <t xml:space="preserve">  fixed form, 12' pass, unreinforced, 8" thick</t>
  </si>
  <si>
    <t xml:space="preserve">  fixed form, 12' pass, unreinforced, 9" thick</t>
  </si>
  <si>
    <t>Expensive; existing colored sealcoat emulsions are decorative; technology not yet optimized for reflectivity</t>
  </si>
  <si>
    <t>Agencies constrained by first costs; misplaced incentives for developers (new roads); costs of repairing utility cuts can be prohibitive</t>
  </si>
  <si>
    <t>High-â AC (sealcoat method) - best guess, ∆â=0.1</t>
  </si>
  <si>
    <t>Table 10. Parking Lots - 35-year analysis</t>
  </si>
  <si>
    <t>Table 11. Parking Lots - 20-year analysis</t>
  </si>
  <si>
    <t>highly distressed AC, high-frequency repair</t>
  </si>
  <si>
    <t>Table 5. Existing Streets - 35-year analysis</t>
  </si>
  <si>
    <t>Table 6. Existing Streets - 20-year analysis</t>
  </si>
  <si>
    <t>Table 7. Totally Reconstructed Streets - 35-year analysis</t>
  </si>
  <si>
    <t>Table 8. Surface Reconstructed Streets - 35-year analysis</t>
  </si>
  <si>
    <t>Table 9. Reconstructed Streets - 20-year analysis</t>
  </si>
  <si>
    <t>Valley Fair Mall parking lot in West Valley, Utah (1984). cited from "Civil Engineering" magazine, June 1986.</t>
  </si>
  <si>
    <t>Coachella Unified School District parking lot in Thermal, CA (1998)</t>
  </si>
  <si>
    <r>
      <t xml:space="preserve">source: RS Means, </t>
    </r>
    <r>
      <rPr>
        <i/>
        <sz val="8"/>
        <rFont val="Arial"/>
        <family val="2"/>
      </rPr>
      <t>Building Construction Cost Data 2000</t>
    </r>
    <r>
      <rPr>
        <sz val="8"/>
        <rFont val="Arial"/>
        <family val="2"/>
      </rPr>
      <t xml:space="preserve"> and </t>
    </r>
    <r>
      <rPr>
        <i/>
        <sz val="8"/>
        <rFont val="Arial"/>
        <family val="2"/>
      </rPr>
      <t>Site Works and Landscape Cost Data 2000</t>
    </r>
  </si>
  <si>
    <r>
      <t xml:space="preserve">source: Invisible Structures, Inc. using data from RS Means, </t>
    </r>
    <r>
      <rPr>
        <i/>
        <sz val="8"/>
        <rFont val="Arial"/>
        <family val="2"/>
      </rPr>
      <t>Site Works &amp; Landscape Cost Data 1998</t>
    </r>
  </si>
  <si>
    <t>AC pavement rehabilitation - City of Bellevue (1999)</t>
  </si>
  <si>
    <t>source: Metropolitan Transportation Commission, PMS Technical Appendices</t>
  </si>
  <si>
    <t xml:space="preserve">  reclamation &amp; blending 4" thick pvmt w/existing base, &gt;15,000 SY</t>
  </si>
  <si>
    <t>very good to good</t>
  </si>
  <si>
    <t>good to fair, load-related distress</t>
  </si>
  <si>
    <t>good to fair, nonload-related distress</t>
  </si>
  <si>
    <t>fair to poor</t>
  </si>
  <si>
    <t>relative savings</t>
  </si>
  <si>
    <t>chipping</t>
  </si>
  <si>
    <t>res</t>
  </si>
  <si>
    <t>chipseal</t>
  </si>
  <si>
    <t>discount rate for NPV</t>
  </si>
  <si>
    <t xml:space="preserve">  asphalt surface treatment, .30 gal/SY asphalt, 20#/SY aggregate, single course, small area</t>
  </si>
  <si>
    <t xml:space="preserve">  sand seal, sharp sand, asphalt emulsion, small area</t>
  </si>
  <si>
    <t>thin overlay w/fabric</t>
  </si>
  <si>
    <t>thin overlay w/SAMI</t>
  </si>
  <si>
    <t>queried 4/17/00 from www.bls.gov</t>
  </si>
  <si>
    <t xml:space="preserve">  tack coat emulsion, .15 gal per SY @ 1,000 SY</t>
  </si>
  <si>
    <t xml:space="preserve">  seal coat emulsion, non-skid pavement renewal, 1,000-10,000 SY</t>
  </si>
  <si>
    <t>Pavement Lifetimes - MTC PMS       units = years</t>
  </si>
  <si>
    <t>Phoenix</t>
  </si>
  <si>
    <t>LA</t>
  </si>
  <si>
    <t>Houston</t>
  </si>
  <si>
    <t>Sacramento</t>
  </si>
  <si>
    <t>New Orleans</t>
  </si>
  <si>
    <t>SLC</t>
  </si>
  <si>
    <t>Atlanta</t>
  </si>
  <si>
    <t>Miami</t>
  </si>
  <si>
    <t>hours &gt; 75ºF</t>
  </si>
  <si>
    <t>02785-500-5360</t>
  </si>
  <si>
    <t>hours &gt; 82ºF</t>
  </si>
  <si>
    <t>hours &gt; 90ºF</t>
  </si>
  <si>
    <t>CDH &gt; 75ºF</t>
  </si>
  <si>
    <t>CDH &gt; 82ºF</t>
  </si>
  <si>
    <t>CDH &gt; 90ºF</t>
  </si>
  <si>
    <t>∆â = 0.1</t>
  </si>
  <si>
    <t>∆â = 0.2</t>
  </si>
  <si>
    <t>[hrs(&gt;75ºF)-hrs(&gt;82ºF)]/hrs(&gt;75ºF)</t>
  </si>
  <si>
    <t>[hrs(&gt;75ºF)-hrs(&gt;90ºF)]/hrs(&gt;75ºF)</t>
  </si>
  <si>
    <t>Tp = pavement surface temperature</t>
  </si>
  <si>
    <t>High first cost; only suitable for low-volume parking lots and access lanes</t>
  </si>
  <si>
    <t>Incremental costs of chipping unknown; maintenance over long term unknown</t>
  </si>
  <si>
    <t xml:space="preserve">  seal coat emulsion, non-skid pavement renewal, &lt;1,000 SY</t>
  </si>
  <si>
    <t xml:space="preserve">  slurry seal, type I, 8#/SY aggregate, 1 coat, small area</t>
  </si>
  <si>
    <t>BATELLE ANNUAL WEATHER DATA</t>
  </si>
  <si>
    <t>rejuvination treatment</t>
  </si>
  <si>
    <t>∆ cost</t>
  </si>
  <si>
    <t>LA prices, $/SY</t>
  </si>
  <si>
    <t xml:space="preserve">  slurry seal, type I, 8#/SY aggregate, 1 coat, roadway</t>
  </si>
  <si>
    <t xml:space="preserve">  slurry seal, type II, 12#/SY aggregate, 2 coats, small area</t>
  </si>
  <si>
    <t>ARTERIAL STREET</t>
  </si>
  <si>
    <t>INCREASED LIFETIME ESTIMATIONS FOR HIGH-ALBEDO ASPHALT CONCRETE</t>
  </si>
  <si>
    <t>Technologies currently in use</t>
  </si>
  <si>
    <t>Technologies in development or not used in U.S.</t>
  </si>
  <si>
    <t>Paving Technology</t>
  </si>
  <si>
    <t>conservative performance</t>
  </si>
  <si>
    <t>best guess performance</t>
  </si>
  <si>
    <t>optimistic performance</t>
  </si>
  <si>
    <t>note 2: high-albedo durability benefits only applied to overlays.</t>
  </si>
  <si>
    <t>note 3: high-albedo durability benefits calculated using CDH data.</t>
  </si>
  <si>
    <t>note 2: high-albedo durability benefits only applied to new pavements and overlays.</t>
  </si>
  <si>
    <t>note 1: high-albedo durability benefits only applied to new pavements and overlays.</t>
  </si>
  <si>
    <t>note 2: high-albedo durability benefits calculated using CDH data.</t>
  </si>
  <si>
    <t>NET PRESENT VALUE CALCULATIONS - HIGH-ALBEDO AC PAVEMENT PARKING LOT SCENARIO (NO LAG)</t>
  </si>
  <si>
    <t>reconstruct surface &amp; base</t>
  </si>
  <si>
    <t xml:space="preserve">  crack and seat existing PCC for AC overlay</t>
  </si>
  <si>
    <t xml:space="preserve">  concrete removal for reconstruction (11" PCC)</t>
  </si>
  <si>
    <t>base preparation - RS Means (2000)</t>
  </si>
  <si>
    <t>AC pavements - RS Means (2000)</t>
  </si>
  <si>
    <t>Appendix G. New Pavement Item Unit Costs</t>
  </si>
  <si>
    <t>Appedix H. Pavement Rehabilitation Item Unit Costs</t>
  </si>
  <si>
    <t>Appendix I. Pavement Maintenance Item Unit Costs</t>
  </si>
  <si>
    <t xml:space="preserve">  seal coat</t>
  </si>
  <si>
    <t>units = per linear foot</t>
  </si>
  <si>
    <t xml:space="preserve">  crushed 3/4" stone base course, compacted, 9" deep</t>
  </si>
  <si>
    <t>PCC pavements - RS Means (2000)</t>
  </si>
  <si>
    <t xml:space="preserve">  CTPB aggregate for 11" PCC</t>
  </si>
  <si>
    <t xml:space="preserve">  CTPB cement for 11" PCC</t>
  </si>
  <si>
    <t xml:space="preserve">  11" PCC with dowels</t>
  </si>
  <si>
    <t>1997 dollars</t>
  </si>
  <si>
    <t>1997 dollars, unit = per linear foot</t>
  </si>
  <si>
    <t>Historical Cost Index - RS Means</t>
  </si>
  <si>
    <t>2000 (January)</t>
  </si>
  <si>
    <t>SF</t>
  </si>
  <si>
    <t>Oakland</t>
  </si>
  <si>
    <t>Higher-albedo alternatives</t>
  </si>
  <si>
    <t>Higher-albedo alternative</t>
  </si>
  <si>
    <t>If incremental costs low and durability benefits significant, LCC can be significantly lower than conventional AC</t>
  </si>
  <si>
    <t>Parking Lots</t>
  </si>
  <si>
    <t>Applications</t>
  </si>
  <si>
    <t>Tech Maturity</t>
  </si>
  <si>
    <t>Pros</t>
  </si>
  <si>
    <t>Cons</t>
  </si>
  <si>
    <t>Established niche market for parking lots &amp; private surfaces; existing installations up to 8 years old</t>
  </si>
  <si>
    <t>Used widely for parking lots &amp; access lanes; many installations up to 15 years old</t>
  </si>
  <si>
    <t>High-albedo asphalt emulsion sealcoats</t>
  </si>
  <si>
    <t>mill &amp; thin overlay</t>
  </si>
  <si>
    <t>remaining life</t>
  </si>
  <si>
    <t>mow &amp; fertilize</t>
  </si>
  <si>
    <t>50 - load-related</t>
  </si>
  <si>
    <t>02740-300-0120</t>
  </si>
  <si>
    <t>material costs</t>
  </si>
  <si>
    <t>labor costs</t>
  </si>
  <si>
    <t>engineering</t>
  </si>
  <si>
    <t>Not suitable for high-volume applications</t>
  </si>
  <si>
    <t>"Black is better" culture</t>
  </si>
  <si>
    <t>PCC pavement rehabilitation - NRMCA (1992)</t>
  </si>
  <si>
    <t xml:space="preserve">  reseal joints</t>
  </si>
  <si>
    <t>AC pavements - NRMCA (1992)</t>
  </si>
  <si>
    <t xml:space="preserve">  full AC pavement (3" AC on 8" stone base) @ 5000 SY</t>
  </si>
  <si>
    <t>PCC pavements - NRMCA (1992)</t>
  </si>
  <si>
    <t>cape seal (AC/AC)</t>
  </si>
  <si>
    <t>COLLECTOR STREET</t>
  </si>
  <si>
    <t>RESIDENTIAL STREET</t>
  </si>
  <si>
    <t xml:space="preserve">  variable-depth PCC repair</t>
  </si>
  <si>
    <t>conservative performance, RS Means data</t>
  </si>
  <si>
    <t>optimistic performance, RS Means data</t>
  </si>
  <si>
    <t>best guess performance, RS Means data</t>
  </si>
  <si>
    <t>seal coat, restripe</t>
  </si>
  <si>
    <t>High-albedo "chipping" of AC and ACOLs</t>
  </si>
  <si>
    <t>units = per square foot</t>
  </si>
  <si>
    <t>AC maintenance treatments - NRMCA (1992)</t>
  </si>
  <si>
    <t>source: National Ready Mixed Concrete Association (1992)</t>
  </si>
  <si>
    <t xml:space="preserve">  restriping parking lot</t>
  </si>
  <si>
    <t>AC pavement rehabilitation - NRMCA (1992)</t>
  </si>
  <si>
    <t>PCC pavement rehabilitation - Nevada DOT (1999)</t>
  </si>
  <si>
    <t xml:space="preserve">  profile grinding</t>
  </si>
  <si>
    <t>AC pavement rehabilitation - MTC PMS (1985)</t>
  </si>
  <si>
    <t xml:space="preserve">  cape seal (chip seal + slurry seal)</t>
  </si>
  <si>
    <t xml:space="preserve">  reclamation &amp; blending 8" thick pvmt w/existing base, &gt;15,000 SY</t>
  </si>
  <si>
    <t xml:space="preserve">  reclamation &amp; blending 8" thick pvmt w/existing base, 5,000-15,000 SY</t>
  </si>
  <si>
    <t>chip seal</t>
  </si>
  <si>
    <t xml:space="preserve">  seal cracks</t>
  </si>
  <si>
    <t xml:space="preserve">  rejuvenating treatment</t>
  </si>
  <si>
    <t xml:space="preserve">  skin patch</t>
  </si>
  <si>
    <t xml:space="preserve">  shallow patch</t>
  </si>
  <si>
    <t xml:space="preserve">  thin AC overlay w/fabric (1.5")</t>
  </si>
  <si>
    <t xml:space="preserve">  reconstruct surface &amp; base, collector road</t>
  </si>
  <si>
    <t xml:space="preserve">  reconstruct surface &amp; base, residential road</t>
  </si>
  <si>
    <t xml:space="preserve">  reconstruct surface, arterial road</t>
  </si>
  <si>
    <t xml:space="preserve">  sand seal, sharp sand, asphalt emulsion, roadway</t>
  </si>
  <si>
    <t xml:space="preserve">  seal cracks (1/2" to 1-1/2" wide) @ 1,000 SY</t>
  </si>
  <si>
    <t>Porous pavements</t>
  </si>
  <si>
    <t>Resin pavements</t>
  </si>
  <si>
    <t>High-albedo aggregates in AC and ACOLs</t>
  </si>
  <si>
    <t>High-albedo chip seals in conjunction with AC and ACOLs</t>
  </si>
  <si>
    <t xml:space="preserve">  cold planing and cleaning, 1" to 3" asphalt pvmt, 5,000-10,000 SY</t>
  </si>
  <si>
    <t>02785-500-5200</t>
  </si>
  <si>
    <t>02785-500-5280</t>
  </si>
  <si>
    <t xml:space="preserve">  profile grooving, asphalt pvmt load &amp; sweep, 1" deep</t>
  </si>
  <si>
    <t xml:space="preserve">  profile grooving, asphalt pvmt load &amp; sweep, 6" deep</t>
  </si>
  <si>
    <t xml:space="preserve">  profile grooving, asphalt pvmt load &amp; sweep, 3" deep</t>
  </si>
  <si>
    <t xml:space="preserve">  seal cracks (1/2" to 1-1/2" wide) @ 10,000 SY</t>
  </si>
  <si>
    <t xml:space="preserve">  seal coat emulsion, non-skid pavement renewal, &gt;10,000 SY</t>
  </si>
  <si>
    <t xml:space="preserve">  fill pot holes, hot mix patch, 4" thick</t>
  </si>
  <si>
    <t xml:space="preserve">  fill pot holes, hot mix patch, 6" thick</t>
  </si>
  <si>
    <t>PCC pavements - Nevada DOT (1999)</t>
  </si>
  <si>
    <t>double chip seal</t>
  </si>
  <si>
    <t xml:space="preserve">    surface prep for heat scarify &amp; thin AC overlay, PCI = 25-50</t>
  </si>
  <si>
    <t xml:space="preserve">    surface prep for heat scarify &amp; thin AC overlay, PCI = 0-25</t>
  </si>
  <si>
    <t xml:space="preserve">  heater scarify &amp; thin AC overlay</t>
  </si>
  <si>
    <t>02785-800-2120</t>
  </si>
  <si>
    <t>02785-800-3000</t>
  </si>
  <si>
    <t>assumes material costs is twice that of non-skid emulsions</t>
  </si>
  <si>
    <t>sand seal</t>
  </si>
  <si>
    <t>Soil Stabilization Co. (2000)</t>
  </si>
  <si>
    <t>02785-500-3240</t>
  </si>
  <si>
    <t>Ta = air temperature</t>
  </si>
  <si>
    <t>Tc = critical pavement temperature</t>
  </si>
  <si>
    <t>â = pavement albedo</t>
  </si>
  <si>
    <t>functional class</t>
  </si>
  <si>
    <t>starting PCI</t>
  </si>
  <si>
    <t>ending PCI</t>
  </si>
  <si>
    <t>70-100</t>
  </si>
  <si>
    <t>50-70, nonload</t>
  </si>
  <si>
    <t>50-70, load</t>
  </si>
  <si>
    <t>25-50</t>
  </si>
  <si>
    <t>arterial/AC</t>
  </si>
  <si>
    <t>Low maintenance; alternative to reconstructing distressed AC; performance of existing projects better than expected</t>
  </si>
  <si>
    <t>total material costs</t>
  </si>
  <si>
    <t>total labor costs</t>
  </si>
  <si>
    <t>total pavement item costs w/o O&amp;P</t>
  </si>
  <si>
    <t>total pavement item costs w/O&amp;P</t>
  </si>
  <si>
    <t>AC pavement rehabilitation - City of Independence (1999)</t>
  </si>
  <si>
    <t>CDH = Cooling Degree Hours</t>
  </si>
  <si>
    <t>note: CDH units are hundreds</t>
  </si>
  <si>
    <t xml:space="preserve">    surface prep for thick AC overlay, PCI = 25-50</t>
  </si>
  <si>
    <t xml:space="preserve">    surface prep for thick AC overlay, PCI = 0-25</t>
  </si>
  <si>
    <t xml:space="preserve">    surface prep for thin AC overlay, PCI = 70-100</t>
  </si>
  <si>
    <t xml:space="preserve">    surface prep for thin AC overlay, PCI = 50-70</t>
  </si>
  <si>
    <t>02310-440-0200</t>
  </si>
  <si>
    <t xml:space="preserve">  tack coat emulsion, .05 gal per SY @ 1,000 SY</t>
  </si>
  <si>
    <t xml:space="preserve">  crushed 1-1/2" stone base course, compacted, 8" deep</t>
  </si>
  <si>
    <t xml:space="preserve">  tack coat emulsion, .15 gal per SY @ 10,000 SY</t>
  </si>
  <si>
    <t xml:space="preserve">  fabric overlay, polypropylene, 6 oz/SY, ideal conditions</t>
  </si>
  <si>
    <t>seal cracks and patch</t>
  </si>
  <si>
    <t xml:space="preserve">  arterial - AC surface</t>
  </si>
  <si>
    <t xml:space="preserve">  arterial - AC/AC surface</t>
  </si>
  <si>
    <t xml:space="preserve">  collector - AC surface</t>
  </si>
  <si>
    <t>source: Vernal Jeppson, P.E. for the Rocky Mountain Concrete Promotion Council (1999)</t>
  </si>
  <si>
    <t>source: NDOT research report #RDT97-001 (1999)</t>
  </si>
  <si>
    <t>PCC pavements - RMCPC (1999)</t>
  </si>
  <si>
    <t xml:space="preserve">  4" PCC</t>
  </si>
  <si>
    <t xml:space="preserve">  5" PCC</t>
  </si>
  <si>
    <t xml:space="preserve">  graded stone, 4" deep</t>
  </si>
  <si>
    <t xml:space="preserve">  curing</t>
  </si>
  <si>
    <t xml:space="preserve">  form, place, and finish</t>
  </si>
  <si>
    <t>sand seal, restripe</t>
  </si>
  <si>
    <t>AC - industry studies</t>
  </si>
  <si>
    <t>PCC - industry studies</t>
  </si>
  <si>
    <t>example: Los Angeles, using high-â chips as surface layer of AC and ACOL's ("chipping")</t>
  </si>
  <si>
    <t>AC - LBNL estimates</t>
  </si>
  <si>
    <t>PCC - LBNL estimates</t>
  </si>
  <si>
    <t>patch</t>
  </si>
  <si>
    <t>using manufacturer and RS Means cost data</t>
  </si>
  <si>
    <t>Noland St., Independence, MO - Musselman &amp; Hall Contractors (1999)</t>
  </si>
  <si>
    <t>mill &amp; UTW (3")</t>
  </si>
  <si>
    <t>KC</t>
  </si>
  <si>
    <t>LCC competitive with conventional AC reconstruction</t>
  </si>
  <si>
    <t>Portland cement concrete</t>
  </si>
  <si>
    <t>LCC</t>
  </si>
  <si>
    <t>X</t>
  </si>
  <si>
    <t>unit = per stall</t>
  </si>
  <si>
    <t>mill &amp; overlay 1.5", restripe</t>
  </si>
  <si>
    <t>patch 1%, crack seal 0.45 ln ft/SY, seal coat, restripe</t>
  </si>
  <si>
    <t>patch 0.1%, crack seal</t>
  </si>
  <si>
    <t>patch 1%, crack seal</t>
  </si>
  <si>
    <t>02310-440-1050</t>
  </si>
  <si>
    <t>02740-315-0020</t>
  </si>
  <si>
    <t>NET PRESENT VALUE CALCULATIONS - PCC INDUSTRY STUDIES</t>
  </si>
  <si>
    <t>full-depth repair 10%, clean &amp; seal joints</t>
  </si>
  <si>
    <t>NET PRESENT VALUE CALCULATIONS - RECONSTRUCTED AC COLLECTOR STREET SCENARIOS</t>
  </si>
  <si>
    <t>NET PRESENT VALUE CALCULATIONS - RECONSTRUCTED AC RESIDENTIAL STREET SCENARIOS</t>
  </si>
  <si>
    <t xml:space="preserve">  grade subgrade for base course, roadways</t>
  </si>
  <si>
    <t xml:space="preserve">  crushed 3/4" stone base course, compacted, 3" deep</t>
  </si>
  <si>
    <t xml:space="preserve">  crushed 3/4" stone base course, compacted, 6" deep</t>
  </si>
  <si>
    <t xml:space="preserve">  pavement removal, bituminous roads, 4-6" thick</t>
  </si>
  <si>
    <t>02200-875-1710</t>
  </si>
  <si>
    <t>02200-875-1750</t>
  </si>
  <si>
    <t xml:space="preserve">  fixed form, 12' pass, unreinforced, 15" thick</t>
  </si>
  <si>
    <t>starting PCI = 0-25 ending PCI = 25</t>
  </si>
  <si>
    <t>starting PCI = 0-25 ending PCI = 50</t>
  </si>
  <si>
    <t>starting PCI = 0-25 ending PCI = 70</t>
  </si>
  <si>
    <t>back calculated from $0.50/sq ft @ 10,000 SF</t>
  </si>
  <si>
    <t>PCC pavement rehabilitation - RMCPC (1999)</t>
  </si>
  <si>
    <t xml:space="preserve">  saw &amp; seal joints</t>
  </si>
  <si>
    <t>back calculated from 840 linear feet @ $1/ft specified for 1,111 SY</t>
  </si>
  <si>
    <t>AC maintenance treatments - RMCPC (1999)</t>
  </si>
  <si>
    <t xml:space="preserve">  crack sealing</t>
  </si>
  <si>
    <t xml:space="preserve">  seal coat emulsion, petroleum resistant, &lt;1,000 SY</t>
  </si>
  <si>
    <t>Tree resin pavements - Soil Stabilization Co. (2000)</t>
  </si>
  <si>
    <t xml:space="preserve">  continuous steel reinforcement under 10' wide, add</t>
  </si>
  <si>
    <t>parking lot pavement type</t>
  </si>
  <si>
    <t>Invisible Structures, Inc.</t>
  </si>
  <si>
    <t>Bartron Corp.</t>
  </si>
  <si>
    <t>Presto Products Co.</t>
  </si>
  <si>
    <t xml:space="preserve">  milling (2.5")</t>
  </si>
  <si>
    <t xml:space="preserve">  milling (1.5")</t>
  </si>
  <si>
    <t>back calculated from MTC Technical Appendices</t>
  </si>
  <si>
    <t xml:space="preserve">  continuous steel reinforcement over 10' wide, add</t>
  </si>
  <si>
    <t>02785-850-0400</t>
  </si>
  <si>
    <t>City Cost Index - RS Means*</t>
  </si>
  <si>
    <t xml:space="preserve">    surface prep for thin AC overlay, PCI = 0-25</t>
  </si>
  <si>
    <t xml:space="preserve">    surface prep for thin AC overlay w/fabric, PCI = 70-100</t>
  </si>
  <si>
    <t>aggregate</t>
  </si>
  <si>
    <t>binder</t>
  </si>
  <si>
    <t>transportation</t>
  </si>
  <si>
    <t>Conventional</t>
  </si>
  <si>
    <t>unit = per square foot</t>
  </si>
  <si>
    <t xml:space="preserve">  fill pot holes, hot mix patch, 2" thick</t>
  </si>
  <si>
    <t>02720-200-0200</t>
  </si>
  <si>
    <t>02720-200-0300</t>
  </si>
  <si>
    <t>02720-200-0301</t>
  </si>
  <si>
    <t>02720-200-0302</t>
  </si>
  <si>
    <t xml:space="preserve">  reconstruct surface &amp; base, arterial road</t>
  </si>
  <si>
    <t xml:space="preserve">  slurry seal, thermoplastic coal tar, type II, small area</t>
  </si>
  <si>
    <t xml:space="preserve">  slurry seal, thermoplastic coal tar, type II, roadway</t>
  </si>
  <si>
    <t>arterial</t>
  </si>
  <si>
    <t>collector</t>
  </si>
  <si>
    <t>residential</t>
  </si>
  <si>
    <t>02740-315-1120</t>
  </si>
  <si>
    <t>collector/AC</t>
  </si>
  <si>
    <t>residential/AC</t>
  </si>
  <si>
    <t>unit = per thousand square feet</t>
  </si>
  <si>
    <t>02785-500-3280</t>
  </si>
  <si>
    <t>02785-500-3320</t>
  </si>
  <si>
    <t>02785-500-3040</t>
  </si>
  <si>
    <t>02785-500-3120</t>
  </si>
  <si>
    <t xml:space="preserve">  thin overlay (1.5"), parking lot</t>
  </si>
  <si>
    <t xml:space="preserve">  thin overlay (2"), parking lot</t>
  </si>
  <si>
    <t xml:space="preserve">  patching, parking lot</t>
  </si>
  <si>
    <t xml:space="preserve">  spot repair/patching, 2% parking lot area @ 50,000 SF</t>
  </si>
  <si>
    <t>example: Los Angeles, using high-â chip seals with every ACOL</t>
  </si>
  <si>
    <t>clean &amp; seal joints, restripe</t>
  </si>
  <si>
    <t xml:space="preserve">  crushed 1-1/2" stone base course, compacted, 6" deep</t>
  </si>
  <si>
    <t>back calculated from 123.5 cu yards @ $3.50/cu yard specified for 1,111 SY area and 4" depth</t>
  </si>
  <si>
    <t>back calculated from 124 cu yards @ $67/cu yard specified for 1,111 SY area and 4" depth</t>
  </si>
  <si>
    <t xml:space="preserve">  saw cutting, 1"</t>
  </si>
  <si>
    <t>AC pavement rehabilitation - RMCPC (1999)</t>
  </si>
  <si>
    <t>LA/SF deflator</t>
  </si>
  <si>
    <t xml:space="preserve">  deep patch</t>
  </si>
  <si>
    <t xml:space="preserve">  asphaltic concrete binder course, 2" thick</t>
  </si>
  <si>
    <t xml:space="preserve">  asphaltic concrete binder course, 3" thick</t>
  </si>
  <si>
    <t>patch 1%, crack seal, seal coat, restripe</t>
  </si>
  <si>
    <t>overlay 1.5", restripe</t>
  </si>
  <si>
    <t>patch 10%, crack seal, seal coat, restripe</t>
  </si>
  <si>
    <t>NET PRESENT VALUE CALCULATIONS - HIGH ALBEDO SCENARIOS FOR EXISTING AC STREETS (LAG)</t>
  </si>
  <si>
    <t>example: Los Angeles, using high-â aggregates in AC and ACOL's</t>
  </si>
  <si>
    <t>NET PRESENT VALUE CALCULATIONS - WHITETOPPING SCENARIO FOR RECONSTRUCTED AC STREETS</t>
  </si>
  <si>
    <t xml:space="preserve">  reclamation &amp; blending 4" thick pvmt w/existing base, 5,000-15,000 SY</t>
  </si>
  <si>
    <t xml:space="preserve">  mineral filler, 4" AC overlay</t>
  </si>
  <si>
    <t>NEW PARKING LOT PAVEMENTS</t>
  </si>
  <si>
    <t>85$ -&gt; 00$</t>
  </si>
  <si>
    <t>97$ -&gt; 00$</t>
  </si>
  <si>
    <t>inflators applied to MTC cost data</t>
  </si>
  <si>
    <t xml:space="preserve">  saw and seal joints - longitudinal</t>
  </si>
  <si>
    <t>AC pavement rehabilitation - Nevada DOT (1999)</t>
  </si>
  <si>
    <t>note 1: assumes availability of high-albedo aggregate within region (no incremental cost).</t>
  </si>
  <si>
    <t>AC - collector, total reconstruct</t>
  </si>
  <si>
    <t>AC - residential, total reconstruct</t>
  </si>
  <si>
    <t>AC - arterial, surface reconstruct</t>
  </si>
  <si>
    <t>AC - collector, surface reconstruct</t>
  </si>
  <si>
    <t>AC - residential, surface reconstruct</t>
  </si>
  <si>
    <t>Whitetopping</t>
  </si>
  <si>
    <t>High-â AC (chipping method) - residential, ∆â=0.1</t>
  </si>
  <si>
    <t>High-â AC (chipping method) - residential, ∆â=0.2</t>
  </si>
  <si>
    <t xml:space="preserve">  ultra-thin whitetopping (3") @ 5,000 SY</t>
  </si>
  <si>
    <t>source: Matt Ross, Missouri/Kansas ACPA</t>
  </si>
  <si>
    <t>slab replacement, 50%, restripe</t>
  </si>
  <si>
    <t>slab replacement, 25%, restripe</t>
  </si>
  <si>
    <t>San Diego</t>
  </si>
  <si>
    <t>20-year analysis</t>
  </si>
  <si>
    <t>slab replacement, 50%</t>
  </si>
  <si>
    <t>slab replacement, 25%</t>
  </si>
  <si>
    <t>UTW</t>
  </si>
  <si>
    <t>AC - arterial</t>
  </si>
  <si>
    <t>02785-500-5340</t>
  </si>
  <si>
    <t>02785-500-5350</t>
  </si>
  <si>
    <t xml:space="preserve">    surface prep for SAMI &amp; thin AC overlay, PCI = 0-25</t>
  </si>
  <si>
    <t xml:space="preserve">    surface prep for heat scarify &amp; thin AC overlay, PCI = 70-100</t>
  </si>
  <si>
    <t xml:space="preserve">    surface prep for heat scarify &amp; thin AC overlay, PCI = 50-70</t>
  </si>
  <si>
    <t xml:space="preserve">  thin bonded concrete overlay (UTW)</t>
  </si>
  <si>
    <t>source: http://dot.state.tx.us/insdtdot/geodist/hou/cserve/bidprice/s_4.htm</t>
  </si>
  <si>
    <t>average low contractor bid price from 4/30/99 to 4/30/00</t>
  </si>
  <si>
    <t>PCC pavement rehabilitation - TxDOT (2000)</t>
  </si>
  <si>
    <t xml:space="preserve">  full-depth PCC repair</t>
  </si>
  <si>
    <t>equipment costs</t>
  </si>
  <si>
    <t xml:space="preserve">    surface prep for thick AC overlay, PCI = 50-70</t>
  </si>
  <si>
    <t xml:space="preserve">  transverse construction joints using bulkhead</t>
  </si>
  <si>
    <t xml:space="preserve">  longitudinal joint tie bars, grouted</t>
  </si>
  <si>
    <t>02785-500-5040</t>
  </si>
  <si>
    <t>02785-500-5080</t>
  </si>
  <si>
    <t>02785-500-5120</t>
  </si>
  <si>
    <t>02785-500-5160</t>
  </si>
  <si>
    <t>AC pavement rehabilitation - RS Means (2000)</t>
  </si>
  <si>
    <t>02785-500-3200</t>
  </si>
  <si>
    <t>source: Olsen, A.R., S. Moreno, J. Deringer, and C.R. Watson, 1984. "Weather Data for Simplified Energy Calculation Methods". PNL-5143 volumes II, III, IV. Pacific Northwest Laboratory.</t>
  </si>
  <si>
    <t>yearly averages for 10am-6pm</t>
  </si>
  <si>
    <t>assumes Tp - Ta = 30ºF for standard asphalt,  dTp/dâ = -7ºF/0.1 for high-albedo asphalt, and Tc = 105ºF</t>
  </si>
  <si>
    <t>02740-300-0300</t>
  </si>
  <si>
    <t>02740-300-0340</t>
  </si>
  <si>
    <t>AC pavements - RMCPC (1999)</t>
  </si>
  <si>
    <t xml:space="preserve">  asphaltic concrete wearing course, 3" thick @ 1000 SY</t>
  </si>
  <si>
    <t>back calculated from 181.3 tons @ $27/ton specified for 1,111 SY area and 3" depth</t>
  </si>
  <si>
    <t xml:space="preserve">  graded stone, 9" deep</t>
  </si>
  <si>
    <t xml:space="preserve">  prime &amp; tack coat @ 1000 SY</t>
  </si>
  <si>
    <t xml:space="preserve">  granular borrow, 9" deep</t>
  </si>
  <si>
    <t xml:space="preserve">  reconstruct surface, collector road</t>
  </si>
  <si>
    <t xml:space="preserve">  thick AC overlay (2.5"), collector road</t>
  </si>
  <si>
    <t xml:space="preserve">  thin AC overlay (1.5")</t>
  </si>
  <si>
    <t xml:space="preserve">    surface prep for thick AC overlay, PCI = 70-100</t>
  </si>
  <si>
    <t xml:space="preserve">  parking stall paint, white</t>
  </si>
  <si>
    <t xml:space="preserve">  fabric overlay, polypropylene, 4 oz/SY, ideal conditions</t>
  </si>
  <si>
    <t xml:space="preserve">  asphaltic concrete binder course, 1-1/2" thick</t>
  </si>
  <si>
    <t>back calculated from 277.8 cu yards @ $7/cu yard specified for 1,111 SY area and 9" depth</t>
  </si>
  <si>
    <t>Resin pavement - manufacturer claims</t>
  </si>
  <si>
    <t>back calculated from 840 linear feet @ $0.56/ft specified for 1,111 SY</t>
  </si>
  <si>
    <t>heater scarify and thin overlay</t>
  </si>
  <si>
    <t xml:space="preserve">  thin AC overlay w/SAMI</t>
  </si>
  <si>
    <t>slurry seal</t>
  </si>
  <si>
    <t>single chip seal</t>
  </si>
  <si>
    <t xml:space="preserve">  seal coat emulsion, petroleum resistant, &gt;10,000 SY</t>
  </si>
  <si>
    <t>PVs w/ending PCI = 70</t>
  </si>
  <si>
    <t>PVs w/ending PCI = 50</t>
  </si>
  <si>
    <t>seal coat</t>
  </si>
  <si>
    <t>NRMCA (1992)</t>
  </si>
  <si>
    <t>NRMCA (2000)</t>
  </si>
  <si>
    <t>construct</t>
  </si>
  <si>
    <t>overlay 1.5"</t>
  </si>
  <si>
    <t>patch 1% &amp; crack seal 0.7 ft/SY</t>
  </si>
  <si>
    <t>patch 1%, crack seal 1.2 ft/SY, overlay 1.5"</t>
  </si>
  <si>
    <t>AC pavement rehabilitation - NRMCA (2000)</t>
  </si>
  <si>
    <t>source: pub # 2PMSP63, National Ready Mixed Concrete Association (2000)</t>
  </si>
  <si>
    <t>overlay 2", restripe</t>
  </si>
  <si>
    <t>NET PRESENT VALUE CALCULATIONS - AC INDUSTRY STUDIES</t>
  </si>
  <si>
    <t>RMCPC (1999)</t>
  </si>
  <si>
    <t>total lifecycle cost</t>
  </si>
  <si>
    <t>initial costs</t>
  </si>
  <si>
    <t>initial cost</t>
  </si>
  <si>
    <t>patch 1%, crack seal, overlay 1.5"</t>
  </si>
  <si>
    <t xml:space="preserve">overlay 1.5" </t>
  </si>
  <si>
    <t xml:space="preserve">seal coat </t>
  </si>
  <si>
    <t>patch 10%, crack seal 0.7 ln ft/SY, seal coat, restripe</t>
  </si>
  <si>
    <t>patch 20%, crack seal 1.2 ln ft/SY, seal coat, restripe</t>
  </si>
  <si>
    <t>back calculated from 155 cu yards @ $67/cu yard specified for 1,111 SY area and 5" depth</t>
  </si>
  <si>
    <t xml:space="preserve">  thick AC overlay (2.5"), arterial road</t>
  </si>
  <si>
    <t>AC maintenance treatments - NRMCA (2000)</t>
  </si>
  <si>
    <t xml:space="preserve">  crushed graded stone, 8" deep</t>
  </si>
  <si>
    <t>AC pavements - NRMCA (2000)</t>
  </si>
  <si>
    <t>PCC pavements - NRMCA (2000)</t>
  </si>
  <si>
    <t>full depth repair 10%, clean &amp; seal joints</t>
  </si>
  <si>
    <t>NET PRESENT VALUE CALCULATIONS - AC, LBNL ESTIMATES</t>
  </si>
  <si>
    <t>NET PRESENT VALUE CALCULATIONS - PCC, LBNL ESTIMATES</t>
  </si>
  <si>
    <t>units converted to $/SY assuming 33 SY/stall</t>
  </si>
  <si>
    <t xml:space="preserve">  thick AC overlay (2.5"), residential road</t>
  </si>
  <si>
    <t xml:space="preserve">    surface prep for thin AC overlay, PCI = 25-50</t>
  </si>
  <si>
    <t>* for all base costs in Division 02 - Site Construction</t>
  </si>
  <si>
    <t xml:space="preserve">  fixed form, 12' pass, unreinforced, 10" thick</t>
  </si>
  <si>
    <t xml:space="preserve">  fixed form, 12' pass, unreinforced, 12" thick</t>
  </si>
  <si>
    <t xml:space="preserve">  pavement removal, bituminous roads, 3" thick</t>
  </si>
  <si>
    <t>[(CDH &gt;75ºF)-(CDH &gt;82ºF)]/(CDH &gt;75ºF)</t>
  </si>
  <si>
    <t>[(CDH &gt;75ºF)-(CDH&gt;90ºF)]/(CDH &gt;75ºF)</t>
  </si>
  <si>
    <t>Current LCC higher than conventional AC</t>
  </si>
  <si>
    <t xml:space="preserve">  seal coat emulsion, 2 coat coal tar pitch, 1,000-10,000 SY</t>
  </si>
  <si>
    <t xml:space="preserve">  seal coat emulsion, 2 coat coal tar pitch, &lt;1,000 SY</t>
  </si>
  <si>
    <t xml:space="preserve">  seal coat emulsion, 2 coat coal tar pitch, &gt;10,000 SY</t>
  </si>
  <si>
    <t>source: Bob Randolph, president of Soil Stabilization Co., private communication, 5/11/00.</t>
  </si>
  <si>
    <t xml:space="preserve">  grading, stone base, 3" RoadOyl pavement, small area</t>
  </si>
  <si>
    <t xml:space="preserve">  sand seal (resin emulsion + sand), small area</t>
  </si>
  <si>
    <t>Porous pavements - Bartron Corp. (1999)</t>
  </si>
  <si>
    <t xml:space="preserve">  excavation, rock/sand base, GP8 Plus, &amp; seeding</t>
  </si>
  <si>
    <t>source: David Akers, California Cement Promotion Council, fax communication, 6/6/00.</t>
  </si>
  <si>
    <t>AC pavement rehabilitation - CaCPC (2000)</t>
  </si>
  <si>
    <t>02785-850-0450</t>
  </si>
  <si>
    <t>02785-850-0500</t>
  </si>
  <si>
    <t>02785-850-0550</t>
  </si>
  <si>
    <t>02740-315-1000</t>
  </si>
  <si>
    <t>02740-315-1100</t>
  </si>
  <si>
    <t xml:space="preserve">  surface prep for maintenance treatments, PCI = 70-100</t>
  </si>
  <si>
    <t xml:space="preserve">  surface prep for maintenance treatments, PCI = 50-70</t>
  </si>
  <si>
    <t xml:space="preserve">  surface prep for maintenance treatments, PCI = 25-50</t>
  </si>
  <si>
    <t>starting PCI = 50-70 w/load-related distress, ending PCI = 50</t>
  </si>
  <si>
    <t xml:space="preserve">  seal coat emulsion, petroleum resistant, 1,000-10,000 SY</t>
  </si>
  <si>
    <t xml:space="preserve">  seal coat surface preparation</t>
  </si>
  <si>
    <t>02785-850-0300</t>
  </si>
  <si>
    <t>02785-850-0350</t>
  </si>
  <si>
    <t>patch 0.1%, crack seal 0.45 ft/SY</t>
  </si>
  <si>
    <t xml:space="preserve">  6" stone base, 2" binder course, 1" topping, small area</t>
  </si>
  <si>
    <t>total pavement rehab item costs w/o O&amp;P</t>
  </si>
  <si>
    <t>total pavement rehab item costs w/O&amp;P</t>
  </si>
  <si>
    <t xml:space="preserve">  GP2/GV2 surface w/sand or stone fill @15,000 SF</t>
  </si>
  <si>
    <t xml:space="preserve">  GP2/GV2 surface w/sand or stone fill @150,000 SF</t>
  </si>
  <si>
    <t xml:space="preserve">  seeding, athletic field mix, 8#/1000 SF, push spreader</t>
  </si>
  <si>
    <t>administration</t>
  </si>
  <si>
    <t xml:space="preserve">  full PCC pavement (5" PCC on graded subgrade) @ 5000 SY</t>
  </si>
  <si>
    <t>Porous pavements - Invisible Structures, Inc. (1998)</t>
  </si>
  <si>
    <t xml:space="preserve">  tack coat emulsion, .05 gal per SY @ 10,000 SY</t>
  </si>
  <si>
    <t>AC maintenance treatments - California Pavement Maintenance (2000)</t>
  </si>
  <si>
    <t>AC maintenance treatments - Asphacolor Corp (2000)</t>
  </si>
  <si>
    <t>restripe</t>
  </si>
  <si>
    <t>02785-800-0010</t>
  </si>
  <si>
    <t xml:space="preserve">  crushed 1-1/2" stone base course, compacted, 4" deep</t>
  </si>
  <si>
    <t>patch 20%, crack seal, seal coat, restripe</t>
  </si>
  <si>
    <t>overlay 1.5" w/fabric, restripe</t>
  </si>
  <si>
    <t>NET PRESENT VALUE CALCULATIONS - HIGH ALBEDO SCENARIOS FOR EXISTING AC STREETS (NO LAG)</t>
  </si>
  <si>
    <t>Asphalt paving mixtures and blocks</t>
  </si>
  <si>
    <t>02785-800-0620</t>
  </si>
  <si>
    <t>02785-800-0700</t>
  </si>
  <si>
    <t>02785-800-0800</t>
  </si>
  <si>
    <t>02785-800-1901</t>
  </si>
  <si>
    <t>02785-800-1910</t>
  </si>
  <si>
    <t>02785-800-1950</t>
  </si>
  <si>
    <t>02785-800-1960</t>
  </si>
  <si>
    <t>02785-800-2080</t>
  </si>
  <si>
    <t>lifetime</t>
  </si>
  <si>
    <t>discounted cost</t>
  </si>
  <si>
    <t>back calculated from 123.5 cu yards @ $7.50/cu yard specified for 1,111 SY area and 4" depth</t>
  </si>
  <si>
    <t xml:space="preserve">  excavation, 4" deep</t>
  </si>
  <si>
    <t>High-â AC (aggregate method) - collector, ∆â=0.1</t>
  </si>
  <si>
    <t>High-â AC (aggregate method) - collector, ∆â=0.2</t>
  </si>
  <si>
    <t>High-â AC (aggregate method) - residential, ∆â=0.1</t>
  </si>
  <si>
    <t>High-â AC (aggregate method) - residential, ∆â=0.2</t>
  </si>
  <si>
    <t xml:space="preserve">  asphaltic concrete binder course, 4" thick</t>
  </si>
  <si>
    <t xml:space="preserve">  asphaltic concrete wearing course, 1-1/2" thick</t>
  </si>
  <si>
    <t xml:space="preserve">  asphaltic concrete wearing course, 1" thick</t>
  </si>
  <si>
    <t xml:space="preserve">  asphaltic concrete wearing course, 2" thick</t>
  </si>
  <si>
    <t xml:space="preserve">  single chip seal</t>
  </si>
  <si>
    <t>ultra-thin whitetopping</t>
  </si>
  <si>
    <t>AC - arterial, total reconstruct</t>
  </si>
  <si>
    <t>AC maintenace treatments - RS Means (2000)</t>
  </si>
  <si>
    <t>AC maintenace treatments - MTC PMS</t>
  </si>
  <si>
    <t xml:space="preserve">  asphalt cement (AC-20P), 4" AC overlay</t>
  </si>
  <si>
    <t>High-â AC (chipping method) - arterial, ∆â=0.2</t>
  </si>
  <si>
    <t xml:space="preserve">  double chip seal</t>
  </si>
  <si>
    <t xml:space="preserve">  slurry seal, type II, 12#/SY aggregate, 2 coats, roadway</t>
  </si>
  <si>
    <t xml:space="preserve">  saw and seal joints - transverse</t>
  </si>
  <si>
    <t>1985 dollars</t>
  </si>
  <si>
    <t xml:space="preserve">  mill existing surface, 4" deep</t>
  </si>
  <si>
    <t xml:space="preserve">  dense graded aggregate (type 2C), 4" AC overlay</t>
  </si>
  <si>
    <t xml:space="preserve">  open graded aggregate, 4" AC overlay</t>
  </si>
  <si>
    <t>AC pavements</t>
  </si>
  <si>
    <t>albedo</t>
  </si>
  <si>
    <t>age</t>
  </si>
  <si>
    <t>PCC pavements</t>
  </si>
  <si>
    <t>INFLATOR SERIES</t>
  </si>
  <si>
    <t>High-â AC (chipping method) - collector, ∆â=0.2</t>
  </si>
  <si>
    <t xml:space="preserve">    surface prep for SAMI &amp; thin AC overlay, PCI = 50-70</t>
  </si>
  <si>
    <t xml:space="preserve">    surface prep for SAMI &amp; thin AC overlay, PCI = 25-50</t>
  </si>
  <si>
    <t>High-â AC (chipping method) - collector, ∆â=0.1</t>
  </si>
  <si>
    <t>No existing street installations; few existing parking lot installations</t>
  </si>
  <si>
    <t>No existing installations</t>
  </si>
  <si>
    <t>source: Bob Goenen, Pavement Manager, City of Bellevue Transportation Department, fax communication, 6/2/00.</t>
  </si>
  <si>
    <t>AC pavement rehabilitation - TxDOT (2000)</t>
  </si>
  <si>
    <t>Long service life; low maintenance (watering/mowing); minimizes stormwater runoff; provides durable green space</t>
  </si>
  <si>
    <t>Does not require changes in current construction/maintenance methods, only changes in selection of surface treatment</t>
  </si>
  <si>
    <t>Lab tests indicate strength equivalent to AC pavements</t>
  </si>
  <si>
    <t>Does not require changes in current construction methods, only changes in selection of constituent aggregate</t>
  </si>
  <si>
    <t>02750-100-0600</t>
  </si>
  <si>
    <t>02750-100-0610</t>
  </si>
  <si>
    <t xml:space="preserve">  slurry seal, thermoplastic coal tar, type I, small area</t>
  </si>
  <si>
    <t xml:space="preserve">  slurry seal, thermoplastic coal tar, type I, roadway</t>
  </si>
  <si>
    <t>site</t>
  </si>
  <si>
    <t xml:space="preserve">  grade subgrade for large parking lots</t>
  </si>
  <si>
    <t>02310-440-1020</t>
  </si>
  <si>
    <t>02740-300-0080</t>
  </si>
  <si>
    <t>02740-300-0160</t>
  </si>
  <si>
    <t>02740-300-0200</t>
  </si>
  <si>
    <t>Accepted practice in Britain; requires only small changes in current construction methods</t>
  </si>
  <si>
    <t>whitetopped parking lot scenario</t>
  </si>
  <si>
    <t>year discounted</t>
  </si>
  <si>
    <t>residual value</t>
  </si>
  <si>
    <t>starting PCI = 70-100</t>
  </si>
  <si>
    <t>ending PCI = 70</t>
  </si>
  <si>
    <t>ending PCI = 50</t>
  </si>
  <si>
    <t>starting PCI = 50-70, nonload</t>
  </si>
  <si>
    <t>thin overlay (AC)</t>
  </si>
  <si>
    <t>mill &amp; thin overlay (AC/AC)</t>
  </si>
  <si>
    <t xml:space="preserve">  crushed 1-1/2" stone base course, compacted, 12" deep</t>
  </si>
  <si>
    <t>02720-200-0050</t>
  </si>
  <si>
    <t>02720-200-0100</t>
  </si>
  <si>
    <t xml:space="preserve">  rubberized chip seal (2% latex)</t>
  </si>
  <si>
    <t xml:space="preserve">  collector - AC/AC surface</t>
  </si>
  <si>
    <t xml:space="preserve">  residential - AC surface</t>
  </si>
  <si>
    <t xml:space="preserve">  residential - AC/AC surface</t>
  </si>
  <si>
    <t>starting PCI = 70-100 ending PCI = 25</t>
  </si>
  <si>
    <t>starting PCI = 70-100 ending PCI = 50</t>
  </si>
  <si>
    <t>starting PCI = 70-100 ending PCI = 70</t>
  </si>
  <si>
    <t>starting PCI = 50-70 ending PCI = 25</t>
  </si>
  <si>
    <t>starting PCI = 50-70 ending PCI = 50</t>
  </si>
  <si>
    <t>starting PCI = 50-70 ending PCI = 70</t>
  </si>
  <si>
    <t>starting PCI = 25-50 ending PCI = 25</t>
  </si>
  <si>
    <t xml:space="preserve">  transverse expansion joints, incl premolded bit. jt. filler</t>
  </si>
  <si>
    <t xml:space="preserve">  asphalt surface treatment, .30 gal/SY asphalt, 20#/SY aggregate, double course, small area</t>
  </si>
  <si>
    <t>unit = per linear foot</t>
  </si>
  <si>
    <t>unit = each</t>
  </si>
  <si>
    <t>02750-100-0020</t>
  </si>
  <si>
    <t>02750-100-0030</t>
  </si>
  <si>
    <t>02750-100-0200</t>
  </si>
  <si>
    <t>02766-550-0800</t>
  </si>
  <si>
    <t>reconstruct surface and base</t>
  </si>
  <si>
    <t>reconstruct surface</t>
  </si>
  <si>
    <t>thick overlay</t>
  </si>
  <si>
    <t>thin overlay</t>
  </si>
  <si>
    <t>02740-300-0380</t>
  </si>
  <si>
    <t>02740-300-0420</t>
  </si>
  <si>
    <t>02740-300-0460</t>
  </si>
  <si>
    <t>Porous pavement - manufacturer claims</t>
  </si>
  <si>
    <t xml:space="preserve">  concrete overlay (2") - unbonded??</t>
  </si>
  <si>
    <t xml:space="preserve">  clean and seal joints</t>
  </si>
  <si>
    <t xml:space="preserve">  saw joints</t>
  </si>
  <si>
    <t>intersection scenario</t>
  </si>
  <si>
    <t>back calculated from 277.8 cu yards @ $7.50/cu yard specified for 1,111 SY area and 9" depth</t>
  </si>
  <si>
    <t>NET PRESENT VALUE CALCULATIONS - EXISTING AC COLLECTOR STREET SCENARIOS</t>
  </si>
  <si>
    <t>NET PRESENT VALUE CALCULATIONS - EXISTING AC RESIDENTIAL STREET SCENARIOS</t>
  </si>
  <si>
    <t>total reconstruct</t>
  </si>
  <si>
    <t>surface reconstruct</t>
  </si>
  <si>
    <t>starting PCI = 25-50 ending PCI = 50</t>
  </si>
  <si>
    <t>starting PCI = 25-50 ending PCI = 70</t>
  </si>
  <si>
    <t>PCC pavement rehabilitation - NRMCA (2000)</t>
  </si>
  <si>
    <t xml:space="preserve">  clean &amp; seal joints</t>
  </si>
  <si>
    <t>assuming 1.8 linear feet/square yard @ $0.50/ft</t>
  </si>
  <si>
    <t xml:space="preserve">  asphaltic concrete wearing course, 2-1/2" thick</t>
  </si>
  <si>
    <t xml:space="preserve">  asphaltic concrete wearing course, 3" thick</t>
  </si>
  <si>
    <t>($/sq yard)</t>
  </si>
  <si>
    <t xml:space="preserve">  grade subgrade for small area</t>
  </si>
  <si>
    <t>NET PRESENT VALUE CALCULATIONS - WHITETOPPING EXISTING AC PARKING LOT SCENARIO</t>
  </si>
  <si>
    <t xml:space="preserve">  reconstruct surface, residential road</t>
  </si>
  <si>
    <t>Resin pavement - Soil Stabilization Co.</t>
  </si>
  <si>
    <t>High-â AC (sealcoat method) - high, ∆â=0.1</t>
  </si>
  <si>
    <t>High-â AC (sealcoat method) - high, ∆â=0.2</t>
  </si>
  <si>
    <t xml:space="preserve">  fixed form, 12' pass, unreinforced, 6" thick</t>
  </si>
  <si>
    <t xml:space="preserve">  place, finish, cure, cut &amp; seal joints</t>
  </si>
  <si>
    <t>02785-800-0030</t>
  </si>
  <si>
    <t>02785-800-0100</t>
  </si>
  <si>
    <t>02785-800-0300</t>
  </si>
  <si>
    <t>02785-800-0320</t>
  </si>
  <si>
    <t>02785-800-0400</t>
  </si>
  <si>
    <t>02785-800-0600</t>
  </si>
  <si>
    <t>source: Bartron Corporation website (www.grassroad.com)</t>
  </si>
  <si>
    <t>Cincinnati</t>
  </si>
  <si>
    <t>High-â AC (sealcoat method) - best guess, ∆â=0.2</t>
  </si>
  <si>
    <t>Used extensively in several major cities; existing street installations up to 70 years old</t>
  </si>
  <si>
    <t>Over 150 existing street installations up to 10 years old</t>
  </si>
  <si>
    <t>High-â AC (sealcoat method) - low, ∆â=0.2</t>
  </si>
  <si>
    <t>High-â AC (sealcoat method) - low, ∆â=0.1</t>
  </si>
  <si>
    <t>AC - high maintenance</t>
  </si>
  <si>
    <t>AC - best guess maintenance</t>
  </si>
  <si>
    <t>AC - low maintenance</t>
  </si>
  <si>
    <t>PCC - high maintenance</t>
  </si>
  <si>
    <t>PCC - best guess maintenance</t>
  </si>
  <si>
    <t>PCC - low maintenance</t>
  </si>
  <si>
    <t>distressed AC intersection</t>
  </si>
  <si>
    <t>reconstruct AC - high maintenance</t>
  </si>
  <si>
    <t>reconstruct AC - best guess maintenance</t>
  </si>
  <si>
    <t>reconstruct AC - low maintenance</t>
  </si>
  <si>
    <t>Invisible Structures, Inc. spec, RS Means data</t>
  </si>
  <si>
    <t>Bartron Corp. spec, RS Means data</t>
  </si>
  <si>
    <t>Presto Products Co. spec, RS Means data</t>
  </si>
  <si>
    <t>Soil Stabilization Co.</t>
  </si>
  <si>
    <t xml:space="preserve">  surface prep for maintenance treatments, PCI = 0-25</t>
  </si>
  <si>
    <t>02785-800-3040</t>
  </si>
  <si>
    <t>02785-850-0100</t>
  </si>
  <si>
    <t>02785-850-0150</t>
  </si>
  <si>
    <t>02785-850-0200</t>
  </si>
  <si>
    <t>02785-850-0250</t>
  </si>
  <si>
    <t xml:space="preserve">  ultra-thin whitetopping (4") @ 1,000 SY</t>
  </si>
  <si>
    <t xml:space="preserve">  ultra-thin whitetopping (4") @ 30,000 SY</t>
  </si>
  <si>
    <t xml:space="preserve">  ultra-thin whitetopping (4") @ 130,000 SY</t>
  </si>
  <si>
    <t xml:space="preserve">  bonded concrete overlay (9") @ 35,000 SY</t>
  </si>
  <si>
    <t xml:space="preserve">  ultra-thin whitetopping (2") @ 5000 SY</t>
  </si>
  <si>
    <t>1992 dollars</t>
  </si>
  <si>
    <t xml:space="preserve">  slurry seal</t>
  </si>
  <si>
    <t>rubberized chip seal</t>
  </si>
  <si>
    <t>cape seal</t>
  </si>
  <si>
    <t>02720-200-0303</t>
  </si>
  <si>
    <t>02720-200-0304</t>
  </si>
  <si>
    <t>add increment</t>
  </si>
  <si>
    <t xml:space="preserve">  mowing, 48"-58" swath (for GP2)</t>
  </si>
  <si>
    <t>total pavement maintenance item cost w/o O&amp;P</t>
  </si>
  <si>
    <t>total pavement maintenance item cost w/O&amp;P</t>
  </si>
  <si>
    <t>02750-100-0100</t>
  </si>
  <si>
    <t>line number:</t>
  </si>
  <si>
    <t>02750-100-0730</t>
  </si>
  <si>
    <t>02750-100-0740</t>
  </si>
  <si>
    <t>02750-100-0750</t>
  </si>
  <si>
    <t>includes joints, finishing, and curing</t>
  </si>
  <si>
    <t>High-â AC (aggregate method) - arterial, ∆â=0.1</t>
  </si>
  <si>
    <t>High-â AC (aggregate method) - arterial, ∆â=0.2</t>
  </si>
  <si>
    <t>ultra-thin whitetopping w/CPR</t>
  </si>
  <si>
    <t>Seattle</t>
  </si>
  <si>
    <t>unit= per linear foot, average low contractor bid price from 4/30/99 to 4/30/00</t>
  </si>
  <si>
    <t>NET PRESENT VALUE CALCULATIONS - WHITETOPPING SCENARIO FOR EXISTING AC STREETS</t>
  </si>
  <si>
    <t>future costs</t>
  </si>
  <si>
    <t>total lifecycle costs</t>
  </si>
  <si>
    <t>slurry seal (AC)</t>
  </si>
  <si>
    <t>slurry seal (AC/AC)</t>
  </si>
  <si>
    <t>EXISTING AC ROAD PAVEMENT MAINTENANCE SCENARIOS</t>
  </si>
  <si>
    <t>unit costs</t>
  </si>
  <si>
    <t>-maintenance scenario-</t>
  </si>
  <si>
    <t>partial depth repair 10%, clean &amp; seal joints, restripe</t>
  </si>
  <si>
    <t>slurry  seal</t>
  </si>
  <si>
    <t xml:space="preserve">  fertilize, 12' spread (for GP2)</t>
  </si>
  <si>
    <t xml:space="preserve">  sweep paving by hand (for GV2)</t>
  </si>
  <si>
    <t xml:space="preserve">  power vaccum (for GV2)</t>
  </si>
  <si>
    <t>Industry</t>
  </si>
  <si>
    <t>SIC</t>
  </si>
  <si>
    <t>Ready-mixed concrete</t>
  </si>
  <si>
    <t>Residential Streets</t>
  </si>
  <si>
    <t>Collector Streets</t>
  </si>
  <si>
    <t>Arterial Streets</t>
  </si>
  <si>
    <t>Market Barriers</t>
  </si>
  <si>
    <t>"C" Avenue in Cedar Rapids, Iowa (1991).</t>
  </si>
  <si>
    <t>Valley View Drive in Pottawattamie County, Iowa (1995).</t>
  </si>
  <si>
    <t>mill &amp; UTW (4")</t>
  </si>
  <si>
    <t>source: Sam Randolph, Soil Stabilization Co., private communication, 6/6/00</t>
  </si>
  <si>
    <t>Main Street, Bellevue, WA (1998). does not include AC suface milling</t>
  </si>
  <si>
    <t>(re)construct</t>
  </si>
  <si>
    <t>distressed AC parking lot scenario</t>
  </si>
  <si>
    <t xml:space="preserve">  crushed 3/4" stone base course, compacted, 12" deep</t>
  </si>
  <si>
    <t xml:space="preserve">    surface prep for thin AC overlay w/fabric, PCI = 50-70</t>
  </si>
  <si>
    <t>High-â AC (chipseal method) - collector, ∆â=0.2</t>
  </si>
  <si>
    <t>High-â AC (chipseal method) - arterial, ∆â=0.1</t>
  </si>
  <si>
    <t>High-â AC (chipseal method) - arterial, ∆â=0.2</t>
  </si>
  <si>
    <t>High-â AC (chipseal method) - collector, ∆â=0.1</t>
  </si>
  <si>
    <t>High-â AC (chipseal method) - residential, ∆â=0.1</t>
  </si>
  <si>
    <t>High-â AC (chipseal method) - residential, ∆â=0.2</t>
  </si>
  <si>
    <t>High-â AC (chipping method) - arterial, ∆â=0.1</t>
  </si>
  <si>
    <t>Porous pavement maintenance - Invisible Structures, Inc. (1998)</t>
  </si>
  <si>
    <t xml:space="preserve">  excavate &amp; stockpile 6" topsoil (500' haul)</t>
  </si>
  <si>
    <t xml:space="preserve">line number: </t>
  </si>
  <si>
    <t>02310-460-0250</t>
  </si>
  <si>
    <t xml:space="preserve">  cold planing and cleaning, 1" to 3" asphalt pvmt, &gt;25,000 SY</t>
  </si>
  <si>
    <t xml:space="preserve">    surface prep for thin AC overlay w/fabric, PCI = 25-50</t>
  </si>
  <si>
    <t xml:space="preserve">    surface prep for thin AC overlay w/fabric, PCI = 0-25</t>
  </si>
  <si>
    <t xml:space="preserve">    surface prep for SAMI &amp; thin AC overlay, PCI = 70-100</t>
  </si>
  <si>
    <t>Porous pavements - Presto Products, Co. (2000)</t>
  </si>
  <si>
    <t xml:space="preserve">  Geoblock installation w/sand or soil fill</t>
  </si>
  <si>
    <t xml:space="preserve">NET PRESENT VALUE CALCULATIONS - POROUS PAVEMENT, MANUFACTURER CLAIMS </t>
  </si>
  <si>
    <t>NET PRESENT VALUE CALCULATIONS - RESIN PAVEMENT, MANUFACTURER CLAIMS</t>
  </si>
  <si>
    <t>High-â sealcoat example: Los Angeles</t>
  </si>
  <si>
    <t>No existing installations in U.S.</t>
  </si>
  <si>
    <t>Long service life; low maintenance requirements; high strength</t>
  </si>
  <si>
    <t>Table 12. Summary of Reflective Pavement Technology Assessment</t>
  </si>
  <si>
    <t>source: Jason Jones, president of Asphacolor Corp., private communication, 5/11/00.</t>
  </si>
  <si>
    <t xml:space="preserve">  "nanoceramic" seal coat (parking lots only)</t>
  </si>
  <si>
    <t xml:space="preserve">  asphacolor emulsion seal coat (parking lots only)</t>
  </si>
  <si>
    <t>source: Bill Coe, California Pavement Maintenance Co., private communication, 5/3/00.</t>
  </si>
  <si>
    <t>increment to cost per square foot of standard emulsion seal coat</t>
  </si>
  <si>
    <t>base year</t>
  </si>
  <si>
    <t>Existing surface treatment technology; only requires that it be done in conjunction with all new/reconstructed AC and ACOLs</t>
  </si>
  <si>
    <t>2000 (March)</t>
  </si>
  <si>
    <t>Producer Price Indexes - U.S. Bureau of Labor Statistics</t>
  </si>
  <si>
    <t>clean &amp; seal joints</t>
  </si>
  <si>
    <t>NET PRESENT VALUE CALCULATIONS - RECONSTRUCTED PCC STREET SCENARIOS</t>
  </si>
  <si>
    <t>arterial streets</t>
  </si>
  <si>
    <t>residential streets</t>
  </si>
  <si>
    <t>collector streets</t>
  </si>
  <si>
    <t>partial depth repair 10%, clean &amp; seal joints</t>
  </si>
  <si>
    <t>NET PRESENT VALUE CALCULATIONS - HIGH ALBEDO SCENARIOS FOR RECONSTRUCTED ARTERIAL AC STREETS (LAG)</t>
  </si>
  <si>
    <t>NET PRESENT VALUE CALCULATIONS - HIGH ALBEDO SCENARIOS FOR RECONSTRUCTED COLLECTOR AC STREETS (LAG)</t>
  </si>
  <si>
    <t>NET PRESENT VALUE CALCULATIONS - HIGH ALBEDO SCENARIOS FOR RECONSTRUCTED RESIDENTIAL AC STREETS (LAG)</t>
  </si>
  <si>
    <t>NET PRESENT VALUE CALCULATIONS - HIGH ALBEDO SCENARIOS FOR RECONSTRUCTED ARTERIAL AC STREETS (NO LAG)</t>
  </si>
  <si>
    <t>NET PRESENT VALUE CALCULATIONS - HIGH ALBEDO SCENARIOS FOR RECONSTRUCTED COLLECTOR AC STREETS (NO LAG)</t>
  </si>
  <si>
    <t>NET PRESENT VALUE CALCULATIONS - HIGH ALBEDO SCENARIOS FOR RECONSTRUCTED RESIDENTIAL AC STREETS (NO LAG)</t>
  </si>
  <si>
    <t>High first cost</t>
  </si>
  <si>
    <t>High first cost; not suitable for high truck-volume streets</t>
  </si>
  <si>
    <t>Existing installations mostly bikeways, walkways, and access lanes; performance in streets and parking lots unknown</t>
  </si>
  <si>
    <t>thin overlay w/fabric (AC)</t>
  </si>
  <si>
    <t>thin overlay (AC/AC)</t>
  </si>
  <si>
    <t>starting PCI = 50-70, load</t>
  </si>
  <si>
    <t>starting PCI = 25-50</t>
  </si>
  <si>
    <t>thick overlay (AC)</t>
  </si>
  <si>
    <t xml:space="preserve">  slurry seal, type III, 20#/SY aggregate, 2 coats, small area</t>
  </si>
  <si>
    <t xml:space="preserve">  slurry seal, type III, 20#/SY aggregate, 2 coats, roadway</t>
  </si>
  <si>
    <t xml:space="preserve">  asphalt surface treatment, .30 gal/SY asphalt, 20#/SY aggregate, single course, roadway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</si>
</sst>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_(&quot;$&quot;* #,##0.000_);_(&quot;$&quot;* \(#,##0.000\);_(&quot;$&quot;* &quot;-&quot;??_);_(@_)"/>
  </numFmts>
  <fonts count="3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7"/>
      <color indexed="9"/>
      <name val="Arial"/>
      <family val="0"/>
    </font>
    <font>
      <b/>
      <sz val="7"/>
      <name val="Arial"/>
      <family val="0"/>
    </font>
    <font>
      <sz val="9"/>
      <color indexed="10"/>
      <name val="Arial"/>
      <family val="0"/>
    </font>
    <font>
      <sz val="8.5"/>
      <name val="Geneva"/>
      <family val="0"/>
    </font>
    <font>
      <sz val="9.25"/>
      <name val="Geneva"/>
      <family val="0"/>
    </font>
    <font>
      <vertAlign val="superscript"/>
      <sz val="8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vertAlign val="superscript"/>
      <sz val="8"/>
      <name val="Geneva"/>
      <family val="0"/>
    </font>
    <font>
      <b/>
      <sz val="8.25"/>
      <name val="Geneva"/>
      <family val="0"/>
    </font>
    <font>
      <b/>
      <sz val="9"/>
      <color indexed="20"/>
      <name val="Arial"/>
      <family val="0"/>
    </font>
    <font>
      <sz val="9"/>
      <color indexed="20"/>
      <name val="Arial"/>
      <family val="0"/>
    </font>
    <font>
      <sz val="9"/>
      <color indexed="20"/>
      <name val="Geneva"/>
      <family val="0"/>
    </font>
    <font>
      <sz val="9"/>
      <color indexed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8.5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</fonts>
  <fills count="18">
    <fill>
      <patternFill/>
    </fill>
    <fill>
      <patternFill patternType="gray125"/>
    </fill>
    <fill>
      <patternFill patternType="lightGray">
        <fgColor indexed="9"/>
        <bgColor indexed="41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9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/>
    </xf>
    <xf numFmtId="44" fontId="4" fillId="2" borderId="5" xfId="17" applyFont="1" applyFill="1" applyBorder="1" applyAlignment="1">
      <alignment horizontal="center"/>
    </xf>
    <xf numFmtId="44" fontId="4" fillId="2" borderId="0" xfId="17" applyFont="1" applyFill="1" applyBorder="1" applyAlignment="1">
      <alignment horizontal="center"/>
    </xf>
    <xf numFmtId="44" fontId="4" fillId="2" borderId="3" xfId="17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44" fontId="7" fillId="2" borderId="5" xfId="17" applyFont="1" applyFill="1" applyBorder="1" applyAlignment="1">
      <alignment horizontal="center"/>
    </xf>
    <xf numFmtId="44" fontId="7" fillId="2" borderId="0" xfId="17" applyFont="1" applyFill="1" applyBorder="1" applyAlignment="1">
      <alignment horizontal="center"/>
    </xf>
    <xf numFmtId="44" fontId="4" fillId="2" borderId="8" xfId="0" applyNumberFormat="1" applyFont="1" applyFill="1" applyBorder="1" applyAlignment="1">
      <alignment horizontal="center"/>
    </xf>
    <xf numFmtId="44" fontId="4" fillId="2" borderId="8" xfId="0" applyNumberFormat="1" applyFont="1" applyFill="1" applyBorder="1" applyAlignment="1">
      <alignment/>
    </xf>
    <xf numFmtId="44" fontId="4" fillId="0" borderId="8" xfId="0" applyNumberFormat="1" applyFont="1" applyBorder="1" applyAlignment="1">
      <alignment horizontal="center"/>
    </xf>
    <xf numFmtId="44" fontId="4" fillId="2" borderId="3" xfId="17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44" fontId="8" fillId="2" borderId="5" xfId="17" applyFont="1" applyFill="1" applyBorder="1" applyAlignment="1">
      <alignment horizontal="center"/>
    </xf>
    <xf numFmtId="44" fontId="8" fillId="2" borderId="0" xfId="17" applyFont="1" applyFill="1" applyBorder="1" applyAlignment="1">
      <alignment horizontal="center"/>
    </xf>
    <xf numFmtId="44" fontId="5" fillId="2" borderId="0" xfId="17" applyFont="1" applyFill="1" applyBorder="1" applyAlignment="1">
      <alignment horizontal="center"/>
    </xf>
    <xf numFmtId="44" fontId="5" fillId="2" borderId="3" xfId="17" applyNumberFormat="1" applyFont="1" applyFill="1" applyBorder="1" applyAlignment="1">
      <alignment horizontal="center"/>
    </xf>
    <xf numFmtId="44" fontId="5" fillId="2" borderId="3" xfId="17" applyFont="1" applyFill="1" applyBorder="1" applyAlignment="1">
      <alignment horizontal="center"/>
    </xf>
    <xf numFmtId="44" fontId="5" fillId="2" borderId="8" xfId="0" applyNumberFormat="1" applyFont="1" applyFill="1" applyBorder="1" applyAlignment="1">
      <alignment horizontal="center"/>
    </xf>
    <xf numFmtId="44" fontId="5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44" fontId="5" fillId="2" borderId="5" xfId="17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4" fontId="5" fillId="2" borderId="5" xfId="0" applyNumberFormat="1" applyFont="1" applyFill="1" applyBorder="1" applyAlignment="1">
      <alignment horizontal="center"/>
    </xf>
    <xf numFmtId="44" fontId="4" fillId="3" borderId="9" xfId="17" applyFont="1" applyFill="1" applyBorder="1" applyAlignment="1">
      <alignment horizontal="center"/>
    </xf>
    <xf numFmtId="44" fontId="4" fillId="3" borderId="10" xfId="17" applyFont="1" applyFill="1" applyBorder="1" applyAlignment="1">
      <alignment horizontal="center"/>
    </xf>
    <xf numFmtId="44" fontId="4" fillId="3" borderId="11" xfId="17" applyFont="1" applyFill="1" applyBorder="1" applyAlignment="1">
      <alignment horizontal="center"/>
    </xf>
    <xf numFmtId="44" fontId="4" fillId="3" borderId="1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44" fontId="10" fillId="3" borderId="9" xfId="17" applyFont="1" applyFill="1" applyBorder="1" applyAlignment="1">
      <alignment horizontal="center"/>
    </xf>
    <xf numFmtId="44" fontId="10" fillId="3" borderId="10" xfId="17" applyFont="1" applyFill="1" applyBorder="1" applyAlignment="1">
      <alignment horizontal="center"/>
    </xf>
    <xf numFmtId="44" fontId="10" fillId="3" borderId="11" xfId="17" applyFont="1" applyFill="1" applyBorder="1" applyAlignment="1">
      <alignment horizontal="center"/>
    </xf>
    <xf numFmtId="44" fontId="10" fillId="3" borderId="12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/>
    </xf>
    <xf numFmtId="44" fontId="4" fillId="2" borderId="3" xfId="0" applyNumberFormat="1" applyFont="1" applyFill="1" applyBorder="1" applyAlignment="1">
      <alignment horizontal="center"/>
    </xf>
    <xf numFmtId="44" fontId="4" fillId="2" borderId="5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44" fontId="10" fillId="3" borderId="5" xfId="17" applyFont="1" applyFill="1" applyBorder="1" applyAlignment="1">
      <alignment horizontal="center"/>
    </xf>
    <xf numFmtId="44" fontId="10" fillId="3" borderId="0" xfId="17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4" fontId="10" fillId="3" borderId="3" xfId="17" applyFont="1" applyFill="1" applyBorder="1" applyAlignment="1">
      <alignment horizontal="center"/>
    </xf>
    <xf numFmtId="44" fontId="10" fillId="3" borderId="8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1" fillId="3" borderId="17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" borderId="0" xfId="0" applyFont="1" applyFill="1" applyAlignment="1">
      <alignment/>
    </xf>
    <xf numFmtId="0" fontId="4" fillId="4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8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12" borderId="0" xfId="0" applyFont="1" applyFill="1" applyAlignment="1">
      <alignment/>
    </xf>
    <xf numFmtId="0" fontId="9" fillId="12" borderId="0" xfId="0" applyFont="1" applyFill="1" applyAlignment="1">
      <alignment/>
    </xf>
    <xf numFmtId="0" fontId="4" fillId="0" borderId="24" xfId="0" applyFont="1" applyBorder="1" applyAlignment="1">
      <alignment horizontal="center"/>
    </xf>
    <xf numFmtId="9" fontId="6" fillId="0" borderId="25" xfId="19" applyFont="1" applyBorder="1" applyAlignment="1">
      <alignment horizontal="center"/>
    </xf>
    <xf numFmtId="9" fontId="6" fillId="0" borderId="26" xfId="19" applyFont="1" applyBorder="1" applyAlignment="1">
      <alignment horizontal="center"/>
    </xf>
    <xf numFmtId="0" fontId="6" fillId="0" borderId="27" xfId="0" applyFont="1" applyBorder="1" applyAlignment="1">
      <alignment/>
    </xf>
    <xf numFmtId="9" fontId="6" fillId="0" borderId="28" xfId="19" applyFont="1" applyBorder="1" applyAlignment="1">
      <alignment/>
    </xf>
    <xf numFmtId="44" fontId="4" fillId="0" borderId="0" xfId="0" applyNumberFormat="1" applyFont="1" applyAlignment="1">
      <alignment/>
    </xf>
    <xf numFmtId="44" fontId="4" fillId="0" borderId="0" xfId="17" applyFont="1" applyAlignment="1">
      <alignment/>
    </xf>
    <xf numFmtId="44" fontId="4" fillId="0" borderId="4" xfId="0" applyNumberFormat="1" applyFont="1" applyBorder="1" applyAlignment="1">
      <alignment/>
    </xf>
    <xf numFmtId="44" fontId="4" fillId="0" borderId="22" xfId="0" applyNumberFormat="1" applyFont="1" applyBorder="1" applyAlignment="1">
      <alignment/>
    </xf>
    <xf numFmtId="44" fontId="4" fillId="0" borderId="3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0" xfId="17" applyFont="1" applyBorder="1" applyAlignment="1">
      <alignment/>
    </xf>
    <xf numFmtId="44" fontId="4" fillId="0" borderId="2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10" fillId="12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9" fontId="6" fillId="0" borderId="24" xfId="19" applyFont="1" applyBorder="1" applyAlignment="1">
      <alignment horizontal="center"/>
    </xf>
    <xf numFmtId="44" fontId="4" fillId="0" borderId="1" xfId="0" applyNumberFormat="1" applyFont="1" applyFill="1" applyBorder="1" applyAlignment="1">
      <alignment/>
    </xf>
    <xf numFmtId="44" fontId="4" fillId="0" borderId="2" xfId="0" applyNumberFormat="1" applyFont="1" applyFill="1" applyBorder="1" applyAlignment="1">
      <alignment/>
    </xf>
    <xf numFmtId="44" fontId="4" fillId="0" borderId="2" xfId="17" applyFont="1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44" fontId="4" fillId="0" borderId="15" xfId="17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44" fontId="4" fillId="0" borderId="15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6" fillId="13" borderId="0" xfId="0" applyFont="1" applyFill="1" applyAlignment="1">
      <alignment/>
    </xf>
    <xf numFmtId="44" fontId="4" fillId="13" borderId="5" xfId="17" applyFont="1" applyFill="1" applyBorder="1" applyAlignment="1">
      <alignment horizontal="center"/>
    </xf>
    <xf numFmtId="44" fontId="4" fillId="13" borderId="0" xfId="17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44" fontId="4" fillId="13" borderId="3" xfId="17" applyFont="1" applyFill="1" applyBorder="1" applyAlignment="1">
      <alignment horizontal="center"/>
    </xf>
    <xf numFmtId="44" fontId="4" fillId="13" borderId="8" xfId="0" applyNumberFormat="1" applyFont="1" applyFill="1" applyBorder="1" applyAlignment="1">
      <alignment horizontal="center"/>
    </xf>
    <xf numFmtId="0" fontId="4" fillId="13" borderId="0" xfId="0" applyFont="1" applyFill="1" applyAlignment="1">
      <alignment/>
    </xf>
    <xf numFmtId="0" fontId="8" fillId="13" borderId="0" xfId="0" applyFont="1" applyFill="1" applyAlignment="1">
      <alignment/>
    </xf>
    <xf numFmtId="44" fontId="5" fillId="13" borderId="5" xfId="17" applyFont="1" applyFill="1" applyBorder="1" applyAlignment="1">
      <alignment horizontal="center"/>
    </xf>
    <xf numFmtId="44" fontId="5" fillId="13" borderId="0" xfId="17" applyFont="1" applyFill="1" applyBorder="1" applyAlignment="1">
      <alignment horizontal="center"/>
    </xf>
    <xf numFmtId="44" fontId="5" fillId="13" borderId="3" xfId="17" applyFont="1" applyFill="1" applyBorder="1" applyAlignment="1">
      <alignment horizontal="center"/>
    </xf>
    <xf numFmtId="44" fontId="5" fillId="13" borderId="8" xfId="0" applyNumberFormat="1" applyFont="1" applyFill="1" applyBorder="1" applyAlignment="1">
      <alignment horizontal="center"/>
    </xf>
    <xf numFmtId="0" fontId="5" fillId="13" borderId="0" xfId="0" applyFont="1" applyFill="1" applyAlignment="1">
      <alignment/>
    </xf>
    <xf numFmtId="0" fontId="7" fillId="13" borderId="0" xfId="0" applyFont="1" applyFill="1" applyAlignment="1">
      <alignment/>
    </xf>
    <xf numFmtId="0" fontId="4" fillId="13" borderId="5" xfId="0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9" fontId="4" fillId="0" borderId="6" xfId="19" applyFont="1" applyBorder="1" applyAlignment="1">
      <alignment horizontal="center"/>
    </xf>
    <xf numFmtId="9" fontId="4" fillId="0" borderId="23" xfId="19" applyFont="1" applyBorder="1" applyAlignment="1">
      <alignment horizontal="center"/>
    </xf>
    <xf numFmtId="9" fontId="4" fillId="0" borderId="0" xfId="19" applyFont="1" applyBorder="1" applyAlignment="1">
      <alignment horizontal="center"/>
    </xf>
    <xf numFmtId="9" fontId="4" fillId="0" borderId="20" xfId="19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0" xfId="0" applyFont="1" applyBorder="1" applyAlignment="1">
      <alignment/>
    </xf>
    <xf numFmtId="44" fontId="4" fillId="0" borderId="1" xfId="0" applyNumberFormat="1" applyFont="1" applyBorder="1" applyAlignment="1">
      <alignment/>
    </xf>
    <xf numFmtId="44" fontId="4" fillId="0" borderId="2" xfId="0" applyNumberFormat="1" applyFont="1" applyBorder="1" applyAlignment="1">
      <alignment/>
    </xf>
    <xf numFmtId="44" fontId="4" fillId="0" borderId="15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15" xfId="17" applyFont="1" applyBorder="1" applyAlignment="1">
      <alignment/>
    </xf>
    <xf numFmtId="0" fontId="10" fillId="3" borderId="21" xfId="0" applyFont="1" applyFill="1" applyBorder="1" applyAlignment="1">
      <alignment/>
    </xf>
    <xf numFmtId="0" fontId="4" fillId="0" borderId="0" xfId="0" applyFont="1" applyAlignment="1">
      <alignment horizontal="right"/>
    </xf>
    <xf numFmtId="44" fontId="4" fillId="0" borderId="1" xfId="17" applyFont="1" applyBorder="1" applyAlignment="1">
      <alignment/>
    </xf>
    <xf numFmtId="0" fontId="9" fillId="3" borderId="21" xfId="0" applyFont="1" applyFill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4" fontId="6" fillId="0" borderId="23" xfId="0" applyNumberFormat="1" applyFont="1" applyBorder="1" applyAlignment="1">
      <alignment/>
    </xf>
    <xf numFmtId="44" fontId="4" fillId="0" borderId="22" xfId="17" applyFont="1" applyBorder="1" applyAlignment="1">
      <alignment/>
    </xf>
    <xf numFmtId="44" fontId="4" fillId="0" borderId="23" xfId="0" applyNumberFormat="1" applyFont="1" applyBorder="1" applyAlignment="1">
      <alignment/>
    </xf>
    <xf numFmtId="44" fontId="4" fillId="0" borderId="2" xfId="17" applyFont="1" applyBorder="1" applyAlignment="1">
      <alignment/>
    </xf>
    <xf numFmtId="44" fontId="6" fillId="0" borderId="15" xfId="0" applyNumberFormat="1" applyFont="1" applyBorder="1" applyAlignment="1">
      <alignment/>
    </xf>
    <xf numFmtId="44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44" fontId="4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44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3" fillId="0" borderId="2" xfId="17" applyFont="1" applyBorder="1" applyAlignment="1">
      <alignment/>
    </xf>
    <xf numFmtId="44" fontId="13" fillId="0" borderId="1" xfId="17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44" fontId="4" fillId="0" borderId="4" xfId="17" applyFont="1" applyBorder="1" applyAlignment="1">
      <alignment/>
    </xf>
    <xf numFmtId="44" fontId="4" fillId="0" borderId="36" xfId="0" applyNumberFormat="1" applyFont="1" applyBorder="1" applyAlignment="1">
      <alignment/>
    </xf>
    <xf numFmtId="44" fontId="4" fillId="0" borderId="37" xfId="0" applyNumberFormat="1" applyFont="1" applyBorder="1" applyAlignment="1">
      <alignment/>
    </xf>
    <xf numFmtId="44" fontId="4" fillId="0" borderId="38" xfId="0" applyNumberFormat="1" applyFont="1" applyBorder="1" applyAlignment="1">
      <alignment/>
    </xf>
    <xf numFmtId="44" fontId="4" fillId="0" borderId="5" xfId="0" applyNumberFormat="1" applyFont="1" applyBorder="1" applyAlignment="1">
      <alignment/>
    </xf>
    <xf numFmtId="44" fontId="4" fillId="0" borderId="39" xfId="0" applyNumberFormat="1" applyFont="1" applyBorder="1" applyAlignment="1">
      <alignment/>
    </xf>
    <xf numFmtId="44" fontId="4" fillId="0" borderId="14" xfId="17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44" fontId="5" fillId="0" borderId="2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4" fontId="4" fillId="0" borderId="36" xfId="17" applyFont="1" applyBorder="1" applyAlignment="1">
      <alignment/>
    </xf>
    <xf numFmtId="44" fontId="4" fillId="0" borderId="41" xfId="0" applyNumberFormat="1" applyFont="1" applyBorder="1" applyAlignment="1">
      <alignment/>
    </xf>
    <xf numFmtId="44" fontId="4" fillId="0" borderId="31" xfId="0" applyNumberFormat="1" applyFont="1" applyBorder="1" applyAlignment="1">
      <alignment/>
    </xf>
    <xf numFmtId="44" fontId="4" fillId="0" borderId="41" xfId="17" applyFont="1" applyBorder="1" applyAlignment="1">
      <alignment/>
    </xf>
    <xf numFmtId="44" fontId="4" fillId="0" borderId="31" xfId="17" applyFont="1" applyBorder="1" applyAlignment="1">
      <alignment/>
    </xf>
    <xf numFmtId="44" fontId="4" fillId="0" borderId="32" xfId="17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44" fontId="13" fillId="0" borderId="15" xfId="17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9" fontId="6" fillId="0" borderId="0" xfId="19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4" fontId="6" fillId="0" borderId="32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6" fillId="0" borderId="0" xfId="17" applyFont="1" applyBorder="1" applyAlignment="1">
      <alignment/>
    </xf>
    <xf numFmtId="0" fontId="4" fillId="0" borderId="7" xfId="0" applyFont="1" applyBorder="1" applyAlignment="1">
      <alignment/>
    </xf>
    <xf numFmtId="44" fontId="6" fillId="0" borderId="0" xfId="17" applyFont="1" applyAlignment="1">
      <alignment/>
    </xf>
    <xf numFmtId="44" fontId="6" fillId="0" borderId="1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4" fillId="0" borderId="0" xfId="17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44" fontId="4" fillId="0" borderId="1" xfId="17" applyFont="1" applyFill="1" applyBorder="1" applyAlignment="1">
      <alignment/>
    </xf>
    <xf numFmtId="0" fontId="6" fillId="0" borderId="19" xfId="0" applyFont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5" fillId="0" borderId="29" xfId="0" applyFont="1" applyBorder="1" applyAlignment="1">
      <alignment horizontal="right"/>
    </xf>
    <xf numFmtId="0" fontId="5" fillId="0" borderId="21" xfId="0" applyFont="1" applyFill="1" applyBorder="1" applyAlignment="1">
      <alignment/>
    </xf>
    <xf numFmtId="44" fontId="5" fillId="0" borderId="21" xfId="0" applyNumberFormat="1" applyFont="1" applyFill="1" applyBorder="1" applyAlignment="1">
      <alignment/>
    </xf>
    <xf numFmtId="44" fontId="5" fillId="0" borderId="21" xfId="17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6" fontId="4" fillId="0" borderId="0" xfId="19" applyNumberFormat="1" applyFont="1" applyBorder="1" applyAlignment="1">
      <alignment/>
    </xf>
    <xf numFmtId="0" fontId="5" fillId="0" borderId="0" xfId="0" applyFont="1" applyBorder="1" applyAlignment="1">
      <alignment/>
    </xf>
    <xf numFmtId="44" fontId="4" fillId="0" borderId="2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4" fontId="4" fillId="0" borderId="23" xfId="17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4" fillId="14" borderId="2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3" xfId="17" applyFont="1" applyFill="1" applyBorder="1" applyAlignment="1">
      <alignment/>
    </xf>
    <xf numFmtId="44" fontId="13" fillId="0" borderId="4" xfId="17" applyFont="1" applyFill="1" applyBorder="1" applyAlignment="1">
      <alignment/>
    </xf>
    <xf numFmtId="44" fontId="13" fillId="0" borderId="1" xfId="17" applyFont="1" applyFill="1" applyBorder="1" applyAlignment="1">
      <alignment/>
    </xf>
    <xf numFmtId="44" fontId="13" fillId="0" borderId="3" xfId="17" applyFont="1" applyFill="1" applyBorder="1" applyAlignment="1">
      <alignment/>
    </xf>
    <xf numFmtId="44" fontId="13" fillId="0" borderId="2" xfId="17" applyFont="1" applyFill="1" applyBorder="1" applyAlignment="1">
      <alignment/>
    </xf>
    <xf numFmtId="44" fontId="4" fillId="0" borderId="1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9" borderId="5" xfId="0" applyFont="1" applyFill="1" applyBorder="1" applyAlignment="1">
      <alignment horizontal="center"/>
    </xf>
    <xf numFmtId="44" fontId="4" fillId="0" borderId="2" xfId="17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/>
    </xf>
    <xf numFmtId="0" fontId="4" fillId="16" borderId="15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4" fillId="17" borderId="0" xfId="0" applyFont="1" applyFill="1" applyBorder="1" applyAlignment="1">
      <alignment/>
    </xf>
    <xf numFmtId="44" fontId="4" fillId="17" borderId="0" xfId="17" applyFont="1" applyFill="1" applyBorder="1" applyAlignment="1">
      <alignment/>
    </xf>
    <xf numFmtId="44" fontId="4" fillId="17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4" fontId="22" fillId="0" borderId="0" xfId="17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19" xfId="0" applyFont="1" applyBorder="1" applyAlignment="1" quotePrefix="1">
      <alignment horizontal="center"/>
    </xf>
    <xf numFmtId="0" fontId="22" fillId="0" borderId="1" xfId="0" applyFont="1" applyFill="1" applyBorder="1" applyAlignment="1">
      <alignment/>
    </xf>
    <xf numFmtId="44" fontId="22" fillId="0" borderId="1" xfId="0" applyNumberFormat="1" applyFont="1" applyFill="1" applyBorder="1" applyAlignment="1">
      <alignment/>
    </xf>
    <xf numFmtId="0" fontId="22" fillId="0" borderId="4" xfId="17" applyNumberFormat="1" applyFont="1" applyFill="1" applyBorder="1" applyAlignment="1">
      <alignment horizontal="center"/>
    </xf>
    <xf numFmtId="44" fontId="22" fillId="0" borderId="1" xfId="17" applyFont="1" applyFill="1" applyBorder="1" applyAlignment="1">
      <alignment/>
    </xf>
    <xf numFmtId="0" fontId="22" fillId="0" borderId="2" xfId="0" applyFont="1" applyFill="1" applyBorder="1" applyAlignment="1">
      <alignment/>
    </xf>
    <xf numFmtId="44" fontId="22" fillId="0" borderId="2" xfId="0" applyNumberFormat="1" applyFont="1" applyFill="1" applyBorder="1" applyAlignment="1">
      <alignment/>
    </xf>
    <xf numFmtId="0" fontId="22" fillId="0" borderId="3" xfId="17" applyNumberFormat="1" applyFont="1" applyFill="1" applyBorder="1" applyAlignment="1">
      <alignment horizontal="center"/>
    </xf>
    <xf numFmtId="44" fontId="22" fillId="0" borderId="2" xfId="17" applyFont="1" applyFill="1" applyBorder="1" applyAlignment="1">
      <alignment/>
    </xf>
    <xf numFmtId="0" fontId="22" fillId="0" borderId="15" xfId="0" applyFont="1" applyFill="1" applyBorder="1" applyAlignment="1">
      <alignment/>
    </xf>
    <xf numFmtId="44" fontId="22" fillId="0" borderId="15" xfId="0" applyNumberFormat="1" applyFont="1" applyFill="1" applyBorder="1" applyAlignment="1">
      <alignment/>
    </xf>
    <xf numFmtId="0" fontId="22" fillId="0" borderId="14" xfId="17" applyNumberFormat="1" applyFont="1" applyFill="1" applyBorder="1" applyAlignment="1">
      <alignment horizontal="center"/>
    </xf>
    <xf numFmtId="44" fontId="22" fillId="0" borderId="15" xfId="17" applyFont="1" applyFill="1" applyBorder="1" applyAlignment="1">
      <alignment/>
    </xf>
    <xf numFmtId="0" fontId="22" fillId="0" borderId="0" xfId="0" applyFont="1" applyAlignment="1">
      <alignment horizontal="right"/>
    </xf>
    <xf numFmtId="44" fontId="22" fillId="0" borderId="2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44" fontId="21" fillId="0" borderId="15" xfId="0" applyNumberFormat="1" applyFont="1" applyBorder="1" applyAlignment="1">
      <alignment/>
    </xf>
    <xf numFmtId="44" fontId="22" fillId="0" borderId="0" xfId="0" applyNumberFormat="1" applyFont="1" applyBorder="1" applyAlignment="1">
      <alignment horizontal="left"/>
    </xf>
    <xf numFmtId="44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66" fontId="22" fillId="0" borderId="0" xfId="19" applyNumberFormat="1" applyFont="1" applyBorder="1" applyAlignment="1">
      <alignment/>
    </xf>
    <xf numFmtId="44" fontId="22" fillId="0" borderId="0" xfId="0" applyNumberFormat="1" applyFont="1" applyBorder="1" applyAlignment="1">
      <alignment/>
    </xf>
    <xf numFmtId="0" fontId="22" fillId="0" borderId="4" xfId="0" applyFont="1" applyBorder="1" applyAlignment="1">
      <alignment horizontal="center"/>
    </xf>
    <xf numFmtId="44" fontId="22" fillId="0" borderId="22" xfId="0" applyNumberFormat="1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2" fillId="0" borderId="3" xfId="0" applyFont="1" applyBorder="1" applyAlignment="1">
      <alignment horizontal="center"/>
    </xf>
    <xf numFmtId="44" fontId="22" fillId="0" borderId="20" xfId="0" applyNumberFormat="1" applyFont="1" applyFill="1" applyBorder="1" applyAlignment="1">
      <alignment/>
    </xf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5" xfId="0" applyFont="1" applyBorder="1" applyAlignment="1">
      <alignment horizontal="center"/>
    </xf>
    <xf numFmtId="44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44" fontId="4" fillId="0" borderId="23" xfId="0" applyNumberFormat="1" applyFont="1" applyFill="1" applyBorder="1" applyAlignment="1">
      <alignment/>
    </xf>
    <xf numFmtId="44" fontId="4" fillId="0" borderId="22" xfId="0" applyNumberFormat="1" applyFont="1" applyFill="1" applyBorder="1" applyAlignment="1">
      <alignment/>
    </xf>
    <xf numFmtId="0" fontId="0" fillId="0" borderId="0" xfId="0" applyAlignment="1">
      <alignment vertical="center"/>
    </xf>
    <xf numFmtId="1" fontId="2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169" fontId="6" fillId="0" borderId="24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45" xfId="0" applyFont="1" applyBorder="1" applyAlignment="1">
      <alignment horizontal="center" vertical="center" wrapText="1"/>
    </xf>
    <xf numFmtId="44" fontId="4" fillId="3" borderId="46" xfId="17" applyFont="1" applyFill="1" applyBorder="1" applyAlignment="1">
      <alignment horizontal="center"/>
    </xf>
    <xf numFmtId="44" fontId="4" fillId="3" borderId="47" xfId="17" applyFont="1" applyFill="1" applyBorder="1" applyAlignment="1">
      <alignment horizontal="center"/>
    </xf>
    <xf numFmtId="44" fontId="4" fillId="2" borderId="2" xfId="17" applyFont="1" applyFill="1" applyBorder="1" applyAlignment="1">
      <alignment horizontal="center"/>
    </xf>
    <xf numFmtId="44" fontId="5" fillId="2" borderId="2" xfId="17" applyFont="1" applyFill="1" applyBorder="1" applyAlignment="1">
      <alignment horizontal="center"/>
    </xf>
    <xf numFmtId="44" fontId="10" fillId="3" borderId="2" xfId="17" applyFont="1" applyFill="1" applyBorder="1" applyAlignment="1">
      <alignment horizontal="center"/>
    </xf>
    <xf numFmtId="44" fontId="4" fillId="13" borderId="2" xfId="17" applyFont="1" applyFill="1" applyBorder="1" applyAlignment="1">
      <alignment horizontal="center"/>
    </xf>
    <xf numFmtId="44" fontId="5" fillId="13" borderId="2" xfId="17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10" fillId="3" borderId="47" xfId="17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10" fillId="3" borderId="46" xfId="17" applyFont="1" applyFill="1" applyBorder="1" applyAlignment="1">
      <alignment horizontal="center"/>
    </xf>
    <xf numFmtId="44" fontId="4" fillId="2" borderId="31" xfId="17" applyFont="1" applyFill="1" applyBorder="1" applyAlignment="1">
      <alignment horizontal="center"/>
    </xf>
    <xf numFmtId="44" fontId="5" fillId="2" borderId="31" xfId="17" applyFont="1" applyFill="1" applyBorder="1" applyAlignment="1">
      <alignment horizontal="center"/>
    </xf>
    <xf numFmtId="44" fontId="10" fillId="3" borderId="31" xfId="17" applyFont="1" applyFill="1" applyBorder="1" applyAlignment="1">
      <alignment horizontal="center"/>
    </xf>
    <xf numFmtId="44" fontId="4" fillId="13" borderId="31" xfId="17" applyFont="1" applyFill="1" applyBorder="1" applyAlignment="1">
      <alignment horizontal="center"/>
    </xf>
    <xf numFmtId="44" fontId="5" fillId="13" borderId="31" xfId="17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48" xfId="0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44" fontId="7" fillId="0" borderId="7" xfId="0" applyNumberFormat="1" applyFont="1" applyBorder="1" applyAlignment="1">
      <alignment horizontal="center"/>
    </xf>
    <xf numFmtId="44" fontId="7" fillId="0" borderId="7" xfId="0" applyNumberFormat="1" applyFont="1" applyBorder="1" applyAlignment="1">
      <alignment/>
    </xf>
    <xf numFmtId="44" fontId="12" fillId="0" borderId="7" xfId="0" applyNumberFormat="1" applyFont="1" applyBorder="1" applyAlignment="1">
      <alignment/>
    </xf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/>
    </xf>
    <xf numFmtId="44" fontId="12" fillId="0" borderId="0" xfId="0" applyNumberFormat="1" applyFont="1" applyBorder="1" applyAlignment="1">
      <alignment/>
    </xf>
    <xf numFmtId="44" fontId="7" fillId="0" borderId="6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/>
    </xf>
    <xf numFmtId="44" fontId="12" fillId="0" borderId="6" xfId="0" applyNumberFormat="1" applyFont="1" applyBorder="1" applyAlignment="1">
      <alignment/>
    </xf>
    <xf numFmtId="44" fontId="7" fillId="0" borderId="21" xfId="0" applyNumberFormat="1" applyFont="1" applyBorder="1" applyAlignment="1">
      <alignment horizontal="center"/>
    </xf>
    <xf numFmtId="44" fontId="7" fillId="0" borderId="21" xfId="0" applyNumberFormat="1" applyFont="1" applyBorder="1" applyAlignment="1">
      <alignment/>
    </xf>
    <xf numFmtId="44" fontId="12" fillId="0" borderId="21" xfId="0" applyNumberFormat="1" applyFont="1" applyBorder="1" applyAlignment="1">
      <alignment/>
    </xf>
    <xf numFmtId="44" fontId="7" fillId="0" borderId="48" xfId="0" applyNumberFormat="1" applyFont="1" applyBorder="1" applyAlignment="1">
      <alignment horizontal="center"/>
    </xf>
    <xf numFmtId="44" fontId="7" fillId="0" borderId="48" xfId="0" applyNumberFormat="1" applyFont="1" applyBorder="1" applyAlignment="1">
      <alignment/>
    </xf>
    <xf numFmtId="44" fontId="12" fillId="0" borderId="48" xfId="0" applyNumberFormat="1" applyFont="1" applyBorder="1" applyAlignment="1">
      <alignment/>
    </xf>
    <xf numFmtId="44" fontId="7" fillId="0" borderId="0" xfId="0" applyNumberFormat="1" applyFont="1" applyBorder="1" applyAlignment="1">
      <alignment horizontal="center" vertical="center" wrapText="1"/>
    </xf>
    <xf numFmtId="44" fontId="7" fillId="0" borderId="50" xfId="0" applyNumberFormat="1" applyFont="1" applyBorder="1" applyAlignment="1">
      <alignment horizontal="center"/>
    </xf>
    <xf numFmtId="44" fontId="7" fillId="0" borderId="50" xfId="0" applyNumberFormat="1" applyFont="1" applyBorder="1" applyAlignment="1">
      <alignment/>
    </xf>
    <xf numFmtId="44" fontId="12" fillId="0" borderId="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/>
    </xf>
    <xf numFmtId="44" fontId="12" fillId="0" borderId="50" xfId="0" applyNumberFormat="1" applyFont="1" applyBorder="1" applyAlignment="1">
      <alignment/>
    </xf>
    <xf numFmtId="9" fontId="4" fillId="0" borderId="0" xfId="19" applyFont="1" applyAlignment="1">
      <alignment horizontal="center"/>
    </xf>
    <xf numFmtId="44" fontId="7" fillId="0" borderId="0" xfId="0" applyNumberFormat="1" applyFont="1" applyAlignment="1">
      <alignment/>
    </xf>
    <xf numFmtId="0" fontId="4" fillId="0" borderId="48" xfId="0" applyFont="1" applyBorder="1" applyAlignment="1">
      <alignment/>
    </xf>
    <xf numFmtId="9" fontId="4" fillId="0" borderId="0" xfId="19" applyFont="1" applyAlignment="1">
      <alignment/>
    </xf>
    <xf numFmtId="0" fontId="4" fillId="0" borderId="18" xfId="0" applyFont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3" borderId="1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5" fillId="3" borderId="0" xfId="0" applyFont="1" applyFill="1" applyAlignment="1">
      <alignment/>
    </xf>
    <xf numFmtId="0" fontId="28" fillId="13" borderId="0" xfId="0" applyFont="1" applyFill="1" applyAlignment="1">
      <alignment/>
    </xf>
    <xf numFmtId="0" fontId="34" fillId="13" borderId="0" xfId="0" applyFont="1" applyFill="1" applyAlignment="1">
      <alignment/>
    </xf>
    <xf numFmtId="0" fontId="35" fillId="3" borderId="10" xfId="0" applyFont="1" applyFill="1" applyBorder="1" applyAlignment="1">
      <alignment/>
    </xf>
    <xf numFmtId="0" fontId="28" fillId="2" borderId="0" xfId="0" applyNumberFormat="1" applyFont="1" applyFill="1" applyAlignment="1">
      <alignment/>
    </xf>
    <xf numFmtId="9" fontId="34" fillId="2" borderId="0" xfId="19" applyFont="1" applyFill="1" applyAlignment="1">
      <alignment/>
    </xf>
    <xf numFmtId="44" fontId="28" fillId="2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5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44" fontId="4" fillId="0" borderId="54" xfId="0" applyNumberFormat="1" applyFont="1" applyBorder="1" applyAlignment="1">
      <alignment horizontal="center" vertical="top"/>
    </xf>
    <xf numFmtId="0" fontId="9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17" borderId="0" xfId="0" applyFont="1" applyFill="1" applyBorder="1" applyAlignment="1">
      <alignment/>
    </xf>
    <xf numFmtId="0" fontId="4" fillId="17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6" fillId="0" borderId="19" xfId="0" applyFont="1" applyBorder="1" applyAlignment="1">
      <alignment horizontal="center"/>
    </xf>
    <xf numFmtId="44" fontId="4" fillId="0" borderId="23" xfId="17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12" fillId="0" borderId="57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5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7" fillId="0" borderId="76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29" xfId="0" applyFont="1" applyBorder="1" applyAlignment="1" quotePrefix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22" fillId="0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'albedo vs. time'!$B$28:$B$40</c:f>
              <c:numCache/>
            </c:numRef>
          </c:xVal>
          <c:yVal>
            <c:numRef>
              <c:f>'albedo vs. time'!$A$28:$A$40</c:f>
              <c:numCache/>
            </c:numRef>
          </c:yVal>
          <c:smooth val="0"/>
        </c:ser>
        <c:axId val="29679801"/>
        <c:axId val="65791618"/>
      </c:scatterChart>
      <c:valAx>
        <c:axId val="2967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1618"/>
        <c:crosses val="autoZero"/>
        <c:crossBetween val="midCat"/>
        <c:dispUnits/>
      </c:valAx>
      <c:valAx>
        <c:axId val="65791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7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'albedo vs. time'!$B$25:$B$40</c:f>
              <c:numCache/>
            </c:numRef>
          </c:xVal>
          <c:yVal>
            <c:numRef>
              <c:f>'albedo vs. time'!$A$25:$A$40</c:f>
              <c:numCache/>
            </c:numRef>
          </c:yVal>
          <c:smooth val="0"/>
        </c:ser>
        <c:axId val="55253651"/>
        <c:axId val="27520812"/>
      </c:scatterChart>
      <c:valAx>
        <c:axId val="55253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0812"/>
        <c:crosses val="autoZero"/>
        <c:crossBetween val="midCat"/>
        <c:dispUnits/>
      </c:valAx>
      <c:valAx>
        <c:axId val="2752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Geneva"/>
                    <a:ea typeface="Geneva"/>
                    <a:cs typeface="Geneva"/>
                  </a:rPr>
                  <a:t>albedo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536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65"/>
          <c:w val="0.709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very good to good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data'!$A$4:$A$6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data'!$B$4:$B$6</c:f>
              <c:numCache>
                <c:ptCount val="3"/>
                <c:pt idx="0">
                  <c:v>6.0143867187709565</c:v>
                </c:pt>
                <c:pt idx="1">
                  <c:v>6.0143867187709565</c:v>
                </c:pt>
                <c:pt idx="2">
                  <c:v>1.9494780655863932</c:v>
                </c:pt>
              </c:numCache>
            </c:numRef>
          </c:val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good to fair, nonload-related distress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data'!$A$4:$A$6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data'!$C$4:$C$6</c:f>
              <c:numCache>
                <c:ptCount val="3"/>
                <c:pt idx="0">
                  <c:v>11.591329687060654</c:v>
                </c:pt>
                <c:pt idx="1">
                  <c:v>11.591329687060654</c:v>
                </c:pt>
                <c:pt idx="2">
                  <c:v>3.557272772925951</c:v>
                </c:pt>
              </c:numCache>
            </c:numRef>
          </c:val>
        </c:ser>
        <c:ser>
          <c:idx val="2"/>
          <c:order val="2"/>
          <c:tx>
            <c:strRef>
              <c:f>'chart data'!$C$3</c:f>
              <c:strCache>
                <c:ptCount val="1"/>
                <c:pt idx="0">
                  <c:v>good to fair, load-related distress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data'!$A$4:$A$6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data'!$D$4:$D$6</c:f>
              <c:numCache>
                <c:ptCount val="3"/>
                <c:pt idx="0">
                  <c:v>13.556699494186507</c:v>
                </c:pt>
                <c:pt idx="1">
                  <c:v>13.082709832339104</c:v>
                </c:pt>
                <c:pt idx="2">
                  <c:v>7.508596738824777</c:v>
                </c:pt>
              </c:numCache>
            </c:numRef>
          </c:val>
        </c:ser>
        <c:ser>
          <c:idx val="3"/>
          <c:order val="3"/>
          <c:tx>
            <c:strRef>
              <c:f>'chart data'!$E$3</c:f>
              <c:strCache>
                <c:ptCount val="1"/>
                <c:pt idx="0">
                  <c:v>fair to poor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data'!$A$4:$A$6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data'!$E$4:$E$6</c:f>
              <c:numCache>
                <c:ptCount val="3"/>
                <c:pt idx="0">
                  <c:v>16.01402741213616</c:v>
                </c:pt>
                <c:pt idx="1">
                  <c:v>15.511421043823312</c:v>
                </c:pt>
                <c:pt idx="2">
                  <c:v>10.12326481834339</c:v>
                </c:pt>
              </c:numCache>
            </c:numRef>
          </c:val>
        </c:ser>
        <c:axId val="46360717"/>
        <c:axId val="14593270"/>
      </c:barChart>
      <c:catAx>
        <c:axId val="4636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functional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4593270"/>
        <c:crosses val="autoZero"/>
        <c:auto val="1"/>
        <c:lblOffset val="100"/>
        <c:noMultiLvlLbl val="0"/>
      </c:catAx>
      <c:valAx>
        <c:axId val="1459327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Present Value (2000$/square yard)
4% real discount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6360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4285"/>
          <c:w val="0.2465"/>
          <c:h val="0.1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05"/>
          <c:w val="0.698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data'!$B$7</c:f>
              <c:strCache>
                <c:ptCount val="1"/>
                <c:pt idx="0">
                  <c:v>very good to good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data'!$A$8:$A$10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data'!$B$8:$B$10</c:f>
              <c:numCache>
                <c:ptCount val="3"/>
                <c:pt idx="0">
                  <c:v>2.7240845057318097</c:v>
                </c:pt>
                <c:pt idx="1">
                  <c:v>2.7240845057318097</c:v>
                </c:pt>
                <c:pt idx="2">
                  <c:v>1.4146551803435423</c:v>
                </c:pt>
              </c:numCache>
            </c:numRef>
          </c:val>
        </c:ser>
        <c:ser>
          <c:idx val="1"/>
          <c:order val="1"/>
          <c:tx>
            <c:strRef>
              <c:f>'chart data'!$C$7</c:f>
              <c:strCache>
                <c:ptCount val="1"/>
                <c:pt idx="0">
                  <c:v>good to fair, nonload-related distress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data'!$A$8:$A$10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data'!$C$8:$C$10</c:f>
              <c:numCache>
                <c:ptCount val="3"/>
                <c:pt idx="0">
                  <c:v>9.546448812692383</c:v>
                </c:pt>
                <c:pt idx="1">
                  <c:v>8.694742992348287</c:v>
                </c:pt>
                <c:pt idx="2">
                  <c:v>3.579216847113763</c:v>
                </c:pt>
              </c:numCache>
            </c:numRef>
          </c:val>
        </c:ser>
        <c:ser>
          <c:idx val="2"/>
          <c:order val="2"/>
          <c:tx>
            <c:strRef>
              <c:f>'chart data'!$D$7</c:f>
              <c:strCache>
                <c:ptCount val="1"/>
                <c:pt idx="0">
                  <c:v>good to fair, load-related distress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data'!$A$8:$A$10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data'!$D$8:$D$10</c:f>
              <c:numCache>
                <c:ptCount val="3"/>
                <c:pt idx="0">
                  <c:v>12.828853675173319</c:v>
                </c:pt>
                <c:pt idx="1">
                  <c:v>11.061893536286378</c:v>
                </c:pt>
                <c:pt idx="2">
                  <c:v>7.5011558419550735</c:v>
                </c:pt>
              </c:numCache>
            </c:numRef>
          </c:val>
        </c:ser>
        <c:ser>
          <c:idx val="3"/>
          <c:order val="3"/>
          <c:tx>
            <c:strRef>
              <c:f>'chart data'!$E$7</c:f>
              <c:strCache>
                <c:ptCount val="1"/>
                <c:pt idx="0">
                  <c:v>fair to poor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data'!$A$8:$A$10</c:f>
              <c:strCache>
                <c:ptCount val="3"/>
                <c:pt idx="0">
                  <c:v>arterial</c:v>
                </c:pt>
                <c:pt idx="1">
                  <c:v>collector</c:v>
                </c:pt>
                <c:pt idx="2">
                  <c:v>residential</c:v>
                </c:pt>
              </c:strCache>
            </c:strRef>
          </c:cat>
          <c:val>
            <c:numRef>
              <c:f>'chart data'!$E$8:$E$10</c:f>
              <c:numCache>
                <c:ptCount val="3"/>
                <c:pt idx="0">
                  <c:v>13.851695897575556</c:v>
                </c:pt>
                <c:pt idx="1">
                  <c:v>12.475670849706976</c:v>
                </c:pt>
                <c:pt idx="2">
                  <c:v>9.626829899641269</c:v>
                </c:pt>
              </c:numCache>
            </c:numRef>
          </c:val>
        </c:ser>
        <c:axId val="64230567"/>
        <c:axId val="41204192"/>
      </c:barChart>
      <c:catAx>
        <c:axId val="6423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functional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1204192"/>
        <c:crosses val="autoZero"/>
        <c:auto val="1"/>
        <c:lblOffset val="100"/>
        <c:noMultiLvlLbl val="0"/>
      </c:catAx>
      <c:valAx>
        <c:axId val="4120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Present Value (2000$/square yard)
4% real discount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423056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15"/>
          <c:y val="0.4405"/>
          <c:w val="0.2425"/>
          <c:h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925"/>
          <c:w val="0.94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data'!$A$14</c:f>
              <c:strCache>
                <c:ptCount val="1"/>
                <c:pt idx="0">
                  <c:v>arterial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data'!$B$13:$G$13</c:f>
              <c:strCache>
                <c:ptCount val="6"/>
                <c:pt idx="0">
                  <c:v>total reconstruction</c:v>
                </c:pt>
                <c:pt idx="1">
                  <c:v>total reconstruction</c:v>
                </c:pt>
                <c:pt idx="2">
                  <c:v>total reconstruction</c:v>
                </c:pt>
                <c:pt idx="3">
                  <c:v>surface reconstruction</c:v>
                </c:pt>
                <c:pt idx="4">
                  <c:v>surface reconstruction</c:v>
                </c:pt>
                <c:pt idx="5">
                  <c:v>surface reconstruction</c:v>
                </c:pt>
              </c:strCache>
            </c:strRef>
          </c:cat>
          <c:val>
            <c:numRef>
              <c:f>'chart data'!$B$14:$G$14</c:f>
              <c:numCache>
                <c:ptCount val="6"/>
                <c:pt idx="0">
                  <c:v>58.32507102420979</c:v>
                </c:pt>
                <c:pt idx="1">
                  <c:v>56.796647054876935</c:v>
                </c:pt>
                <c:pt idx="2">
                  <c:v>55.78619490191512</c:v>
                </c:pt>
                <c:pt idx="3">
                  <c:v>23.941638290290513</c:v>
                </c:pt>
                <c:pt idx="4">
                  <c:v>23.441534171069396</c:v>
                </c:pt>
                <c:pt idx="5">
                  <c:v>21.74122441667256</c:v>
                </c:pt>
              </c:numCache>
            </c:numRef>
          </c:val>
        </c:ser>
        <c:ser>
          <c:idx val="1"/>
          <c:order val="1"/>
          <c:tx>
            <c:strRef>
              <c:f>'chart data'!$A$15</c:f>
              <c:strCache>
                <c:ptCount val="1"/>
                <c:pt idx="0">
                  <c:v>collector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data'!$B$13:$G$13</c:f>
              <c:strCache>
                <c:ptCount val="6"/>
                <c:pt idx="0">
                  <c:v>total reconstruction</c:v>
                </c:pt>
                <c:pt idx="1">
                  <c:v>total reconstruction</c:v>
                </c:pt>
                <c:pt idx="2">
                  <c:v>total reconstruction</c:v>
                </c:pt>
                <c:pt idx="3">
                  <c:v>surface reconstruction</c:v>
                </c:pt>
                <c:pt idx="4">
                  <c:v>surface reconstruction</c:v>
                </c:pt>
                <c:pt idx="5">
                  <c:v>surface reconstruction</c:v>
                </c:pt>
              </c:strCache>
            </c:strRef>
          </c:cat>
          <c:val>
            <c:numRef>
              <c:f>'chart data'!$B$15:$G$15</c:f>
              <c:numCache>
                <c:ptCount val="6"/>
                <c:pt idx="0">
                  <c:v>50.08628167796281</c:v>
                </c:pt>
                <c:pt idx="1">
                  <c:v>48.0041352434796</c:v>
                </c:pt>
                <c:pt idx="2">
                  <c:v>47.547405555668135</c:v>
                </c:pt>
                <c:pt idx="3">
                  <c:v>20.148030542106497</c:v>
                </c:pt>
                <c:pt idx="4">
                  <c:v>18.6513903237322</c:v>
                </c:pt>
                <c:pt idx="5">
                  <c:v>17.947616668488543</c:v>
                </c:pt>
              </c:numCache>
            </c:numRef>
          </c:val>
        </c:ser>
        <c:ser>
          <c:idx val="2"/>
          <c:order val="2"/>
          <c:tx>
            <c:strRef>
              <c:f>'chart data'!$A$16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data'!$B$13:$G$13</c:f>
              <c:strCache>
                <c:ptCount val="6"/>
                <c:pt idx="0">
                  <c:v>total reconstruction</c:v>
                </c:pt>
                <c:pt idx="1">
                  <c:v>total reconstruction</c:v>
                </c:pt>
                <c:pt idx="2">
                  <c:v>total reconstruction</c:v>
                </c:pt>
                <c:pt idx="3">
                  <c:v>surface reconstruction</c:v>
                </c:pt>
                <c:pt idx="4">
                  <c:v>surface reconstruction</c:v>
                </c:pt>
                <c:pt idx="5">
                  <c:v>surface reconstruction</c:v>
                </c:pt>
              </c:strCache>
            </c:strRef>
          </c:cat>
          <c:val>
            <c:numRef>
              <c:f>'chart data'!$B$16:$G$16</c:f>
              <c:numCache>
                <c:ptCount val="6"/>
                <c:pt idx="0">
                  <c:v>39.58343454206961</c:v>
                </c:pt>
                <c:pt idx="1">
                  <c:v>39.61582816932982</c:v>
                </c:pt>
                <c:pt idx="2">
                  <c:v>39.23609122760913</c:v>
                </c:pt>
                <c:pt idx="3">
                  <c:v>13.990384826539884</c:v>
                </c:pt>
                <c:pt idx="4">
                  <c:v>14.84330315666198</c:v>
                </c:pt>
                <c:pt idx="5">
                  <c:v>13.656842332609992</c:v>
                </c:pt>
              </c:numCache>
            </c:numRef>
          </c:val>
        </c:ser>
        <c:gapWidth val="70"/>
        <c:axId val="35293409"/>
        <c:axId val="49205226"/>
      </c:barChart>
      <c:catAx>
        <c:axId val="35293409"/>
        <c:scaling>
          <c:orientation val="minMax"/>
        </c:scaling>
        <c:axPos val="b"/>
        <c:delete val="1"/>
        <c:majorTickMark val="out"/>
        <c:minorTickMark val="none"/>
        <c:tickLblPos val="nextTo"/>
        <c:crossAx val="49205226"/>
        <c:crosses val="autoZero"/>
        <c:auto val="1"/>
        <c:lblOffset val="100"/>
        <c:noMultiLvlLbl val="0"/>
      </c:catAx>
      <c:valAx>
        <c:axId val="492052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Present Value (2000$/square yard)
4% real discount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2934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98"/>
          <c:y val="0.1135"/>
          <c:w val="0.298"/>
          <c:h val="0.09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</xdr:row>
      <xdr:rowOff>0</xdr:rowOff>
    </xdr:from>
    <xdr:to>
      <xdr:col>11</xdr:col>
      <xdr:colOff>695325</xdr:colOff>
      <xdr:row>22</xdr:row>
      <xdr:rowOff>85725</xdr:rowOff>
    </xdr:to>
    <xdr:graphicFrame>
      <xdr:nvGraphicFramePr>
        <xdr:cNvPr id="1" name="Chart 3"/>
        <xdr:cNvGraphicFramePr/>
      </xdr:nvGraphicFramePr>
      <xdr:xfrm>
        <a:off x="4838700" y="152400"/>
        <a:ext cx="4972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24</xdr:row>
      <xdr:rowOff>57150</xdr:rowOff>
    </xdr:from>
    <xdr:to>
      <xdr:col>9</xdr:col>
      <xdr:colOff>228600</xdr:colOff>
      <xdr:row>48</xdr:row>
      <xdr:rowOff>66675</xdr:rowOff>
    </xdr:to>
    <xdr:graphicFrame>
      <xdr:nvGraphicFramePr>
        <xdr:cNvPr id="2" name="Chart 7"/>
        <xdr:cNvGraphicFramePr/>
      </xdr:nvGraphicFramePr>
      <xdr:xfrm>
        <a:off x="3000375" y="3714750"/>
        <a:ext cx="46863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0.80225</cdr:y>
    </cdr:from>
    <cdr:to>
      <cdr:x>0.69125</cdr:x>
      <cdr:y>0.83675</cdr:y>
    </cdr:to>
    <cdr:sp>
      <cdr:nvSpPr>
        <cdr:cNvPr id="1" name="TextBox 5"/>
        <cdr:cNvSpPr txBox="1">
          <a:spLocks noChangeArrowheads="1"/>
        </cdr:cNvSpPr>
      </cdr:nvSpPr>
      <cdr:spPr>
        <a:xfrm>
          <a:off x="1276350" y="4514850"/>
          <a:ext cx="5438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Geneva"/>
              <a:ea typeface="Geneva"/>
              <a:cs typeface="Geneva"/>
            </a:rPr>
            <a:t>terminal PCI = 70</a:t>
          </a:r>
        </a:p>
      </cdr:txBody>
    </cdr:sp>
  </cdr:relSizeAnchor>
  <cdr:relSizeAnchor xmlns:cdr="http://schemas.openxmlformats.org/drawingml/2006/chartDrawing">
    <cdr:from>
      <cdr:x>0.7515</cdr:x>
      <cdr:y>0.391</cdr:y>
    </cdr:from>
    <cdr:to>
      <cdr:x>0.912</cdr:x>
      <cdr:y>0.4255</cdr:y>
    </cdr:to>
    <cdr:sp>
      <cdr:nvSpPr>
        <cdr:cNvPr id="2" name="TextBox 6"/>
        <cdr:cNvSpPr txBox="1">
          <a:spLocks noChangeArrowheads="1"/>
        </cdr:cNvSpPr>
      </cdr:nvSpPr>
      <cdr:spPr>
        <a:xfrm>
          <a:off x="7296150" y="2200275"/>
          <a:ext cx="1562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starting pavement condition: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0.401</cdr:y>
    </cdr:from>
    <cdr:to>
      <cdr:x>0.912</cdr:x>
      <cdr:y>0.4355</cdr:y>
    </cdr:to>
    <cdr:sp>
      <cdr:nvSpPr>
        <cdr:cNvPr id="1" name="TextBox 3"/>
        <cdr:cNvSpPr txBox="1">
          <a:spLocks noChangeArrowheads="1"/>
        </cdr:cNvSpPr>
      </cdr:nvSpPr>
      <cdr:spPr>
        <a:xfrm>
          <a:off x="7296150" y="2247900"/>
          <a:ext cx="1562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starting pavement condition:</a:t>
          </a:r>
        </a:p>
      </cdr:txBody>
    </cdr:sp>
  </cdr:relSizeAnchor>
  <cdr:relSizeAnchor xmlns:cdr="http://schemas.openxmlformats.org/drawingml/2006/chartDrawing">
    <cdr:from>
      <cdr:x>0.139</cdr:x>
      <cdr:y>0.82375</cdr:y>
    </cdr:from>
    <cdr:to>
      <cdr:x>0.6905</cdr:x>
      <cdr:y>0.85825</cdr:y>
    </cdr:to>
    <cdr:sp>
      <cdr:nvSpPr>
        <cdr:cNvPr id="2" name="TextBox 4"/>
        <cdr:cNvSpPr txBox="1">
          <a:spLocks noChangeArrowheads="1"/>
        </cdr:cNvSpPr>
      </cdr:nvSpPr>
      <cdr:spPr>
        <a:xfrm>
          <a:off x="1343025" y="4629150"/>
          <a:ext cx="53625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Geneva"/>
              <a:ea typeface="Geneva"/>
              <a:cs typeface="Geneva"/>
            </a:rPr>
            <a:t>terminal PCI = 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0.93</cdr:y>
    </cdr:from>
    <cdr:to>
      <cdr:x>0.36525</cdr:x>
      <cdr:y>0.96625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5229225"/>
          <a:ext cx="1323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Total Reconstruction</a:t>
          </a:r>
        </a:p>
      </cdr:txBody>
    </cdr:sp>
  </cdr:relSizeAnchor>
  <cdr:relSizeAnchor xmlns:cdr="http://schemas.openxmlformats.org/drawingml/2006/chartDrawing">
    <cdr:from>
      <cdr:x>0.67275</cdr:x>
      <cdr:y>0.93</cdr:y>
    </cdr:from>
    <cdr:to>
      <cdr:x>0.82625</cdr:x>
      <cdr:y>0.96625</cdr:y>
    </cdr:to>
    <cdr:sp>
      <cdr:nvSpPr>
        <cdr:cNvPr id="2" name="TextBox 2"/>
        <cdr:cNvSpPr txBox="1">
          <a:spLocks noChangeArrowheads="1"/>
        </cdr:cNvSpPr>
      </cdr:nvSpPr>
      <cdr:spPr>
        <a:xfrm>
          <a:off x="6534150" y="5229225"/>
          <a:ext cx="1495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Surface Reconstruction</a:t>
          </a:r>
        </a:p>
      </cdr:txBody>
    </cdr:sp>
  </cdr:relSizeAnchor>
  <cdr:relSizeAnchor xmlns:cdr="http://schemas.openxmlformats.org/drawingml/2006/chartDrawing">
    <cdr:from>
      <cdr:x>0.09975</cdr:x>
      <cdr:y>0.8225</cdr:y>
    </cdr:from>
    <cdr:to>
      <cdr:x>0.20075</cdr:x>
      <cdr:y>0.85525</cdr:y>
    </cdr:to>
    <cdr:sp>
      <cdr:nvSpPr>
        <cdr:cNvPr id="3" name="TextBox 3"/>
        <cdr:cNvSpPr txBox="1">
          <a:spLocks noChangeArrowheads="1"/>
        </cdr:cNvSpPr>
      </cdr:nvSpPr>
      <cdr:spPr>
        <a:xfrm>
          <a:off x="962025" y="462915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terminal PCI = 70</a:t>
          </a:r>
        </a:p>
      </cdr:txBody>
    </cdr:sp>
  </cdr:relSizeAnchor>
  <cdr:relSizeAnchor xmlns:cdr="http://schemas.openxmlformats.org/drawingml/2006/chartDrawing">
    <cdr:from>
      <cdr:x>0.24925</cdr:x>
      <cdr:y>0.7955</cdr:y>
    </cdr:from>
    <cdr:to>
      <cdr:x>0.35025</cdr:x>
      <cdr:y>0.88325</cdr:y>
    </cdr:to>
    <cdr:sp>
      <cdr:nvSpPr>
        <cdr:cNvPr id="4" name="TextBox 4"/>
        <cdr:cNvSpPr txBox="1">
          <a:spLocks noChangeArrowheads="1"/>
        </cdr:cNvSpPr>
      </cdr:nvSpPr>
      <cdr:spPr>
        <a:xfrm>
          <a:off x="2419350" y="4476750"/>
          <a:ext cx="981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terminal PCI = 50
w/load-related
distress</a:t>
          </a:r>
        </a:p>
      </cdr:txBody>
    </cdr:sp>
  </cdr:relSizeAnchor>
  <cdr:relSizeAnchor xmlns:cdr="http://schemas.openxmlformats.org/drawingml/2006/chartDrawing">
    <cdr:from>
      <cdr:x>0.4015</cdr:x>
      <cdr:y>0.8225</cdr:y>
    </cdr:from>
    <cdr:to>
      <cdr:x>0.5025</cdr:x>
      <cdr:y>0.85525</cdr:y>
    </cdr:to>
    <cdr:sp>
      <cdr:nvSpPr>
        <cdr:cNvPr id="5" name="TextBox 5"/>
        <cdr:cNvSpPr txBox="1">
          <a:spLocks noChangeArrowheads="1"/>
        </cdr:cNvSpPr>
      </cdr:nvSpPr>
      <cdr:spPr>
        <a:xfrm>
          <a:off x="3895725" y="462915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terminal PCI = 50</a:t>
          </a:r>
        </a:p>
      </cdr:txBody>
    </cdr:sp>
  </cdr:relSizeAnchor>
  <cdr:relSizeAnchor xmlns:cdr="http://schemas.openxmlformats.org/drawingml/2006/chartDrawing">
    <cdr:from>
      <cdr:x>0.55125</cdr:x>
      <cdr:y>0.8225</cdr:y>
    </cdr:from>
    <cdr:to>
      <cdr:x>0.65225</cdr:x>
      <cdr:y>0.85525</cdr:y>
    </cdr:to>
    <cdr:sp>
      <cdr:nvSpPr>
        <cdr:cNvPr id="6" name="TextBox 6"/>
        <cdr:cNvSpPr txBox="1">
          <a:spLocks noChangeArrowheads="1"/>
        </cdr:cNvSpPr>
      </cdr:nvSpPr>
      <cdr:spPr>
        <a:xfrm>
          <a:off x="5353050" y="462915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terminal PCI = 70</a:t>
          </a:r>
        </a:p>
      </cdr:txBody>
    </cdr:sp>
  </cdr:relSizeAnchor>
  <cdr:relSizeAnchor xmlns:cdr="http://schemas.openxmlformats.org/drawingml/2006/chartDrawing">
    <cdr:from>
      <cdr:x>0.85025</cdr:x>
      <cdr:y>0.8235</cdr:y>
    </cdr:from>
    <cdr:to>
      <cdr:x>0.95125</cdr:x>
      <cdr:y>0.85625</cdr:y>
    </cdr:to>
    <cdr:sp>
      <cdr:nvSpPr>
        <cdr:cNvPr id="7" name="TextBox 8"/>
        <cdr:cNvSpPr txBox="1">
          <a:spLocks noChangeArrowheads="1"/>
        </cdr:cNvSpPr>
      </cdr:nvSpPr>
      <cdr:spPr>
        <a:xfrm>
          <a:off x="8258175" y="462915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terminal PCI = 50</a:t>
          </a:r>
        </a:p>
      </cdr:txBody>
    </cdr:sp>
  </cdr:relSizeAnchor>
  <cdr:relSizeAnchor xmlns:cdr="http://schemas.openxmlformats.org/drawingml/2006/chartDrawing">
    <cdr:from>
      <cdr:x>0.70075</cdr:x>
      <cdr:y>0.7955</cdr:y>
    </cdr:from>
    <cdr:to>
      <cdr:x>0.80175</cdr:x>
      <cdr:y>0.88325</cdr:y>
    </cdr:to>
    <cdr:sp>
      <cdr:nvSpPr>
        <cdr:cNvPr id="8" name="TextBox 9"/>
        <cdr:cNvSpPr txBox="1">
          <a:spLocks noChangeArrowheads="1"/>
        </cdr:cNvSpPr>
      </cdr:nvSpPr>
      <cdr:spPr>
        <a:xfrm>
          <a:off x="6800850" y="4476750"/>
          <a:ext cx="9810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terminal PCI = 50
w/load-related
distress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125" zoomScaleNormal="125" workbookViewId="0" topLeftCell="A1">
      <selection activeCell="A2" sqref="A2"/>
    </sheetView>
  </sheetViews>
  <sheetFormatPr defaultColWidth="9.00390625" defaultRowHeight="12"/>
  <cols>
    <col min="1" max="1" width="2.25390625" style="1" customWidth="1"/>
    <col min="2" max="2" width="24.375" style="13" customWidth="1"/>
    <col min="3" max="6" width="7.125" style="1" customWidth="1"/>
    <col min="7" max="7" width="13.00390625" style="1" customWidth="1"/>
    <col min="8" max="16384" width="10.875" style="1" customWidth="1"/>
  </cols>
  <sheetData>
    <row r="1" spans="1:3" ht="15.75">
      <c r="A1" s="408" t="s">
        <v>760</v>
      </c>
      <c r="B1" s="407"/>
      <c r="C1" s="377"/>
    </row>
    <row r="2" spans="1:3" ht="12.75" thickBot="1">
      <c r="A2" s="406"/>
      <c r="B2" s="406"/>
      <c r="C2" s="406"/>
    </row>
    <row r="3" spans="1:14" s="13" customFormat="1" ht="12.75" customHeight="1">
      <c r="A3" s="500" t="s">
        <v>112</v>
      </c>
      <c r="B3" s="501"/>
      <c r="C3" s="518" t="s">
        <v>147</v>
      </c>
      <c r="D3" s="519"/>
      <c r="E3" s="519"/>
      <c r="F3" s="520"/>
      <c r="G3" s="521" t="s">
        <v>278</v>
      </c>
      <c r="H3" s="521" t="s">
        <v>148</v>
      </c>
      <c r="I3" s="514" t="s">
        <v>149</v>
      </c>
      <c r="J3" s="524"/>
      <c r="K3" s="514" t="s">
        <v>150</v>
      </c>
      <c r="L3" s="515"/>
      <c r="M3" s="514" t="s">
        <v>728</v>
      </c>
      <c r="N3" s="526"/>
    </row>
    <row r="4" spans="1:14" s="13" customFormat="1" ht="24" customHeight="1" thickBot="1">
      <c r="A4" s="502"/>
      <c r="B4" s="503"/>
      <c r="C4" s="384" t="s">
        <v>727</v>
      </c>
      <c r="D4" s="384" t="s">
        <v>726</v>
      </c>
      <c r="E4" s="384" t="s">
        <v>725</v>
      </c>
      <c r="F4" s="384" t="s">
        <v>146</v>
      </c>
      <c r="G4" s="523"/>
      <c r="H4" s="522"/>
      <c r="I4" s="516"/>
      <c r="J4" s="525"/>
      <c r="K4" s="516"/>
      <c r="L4" s="517"/>
      <c r="M4" s="516"/>
      <c r="N4" s="527"/>
    </row>
    <row r="5" spans="1:14" ht="12">
      <c r="A5" s="497" t="s">
        <v>110</v>
      </c>
      <c r="B5" s="495" t="s">
        <v>277</v>
      </c>
      <c r="C5" s="505" t="s">
        <v>279</v>
      </c>
      <c r="D5" s="505" t="s">
        <v>279</v>
      </c>
      <c r="E5" s="505" t="s">
        <v>279</v>
      </c>
      <c r="F5" s="505" t="s">
        <v>279</v>
      </c>
      <c r="G5" s="509" t="s">
        <v>276</v>
      </c>
      <c r="H5" s="509" t="s">
        <v>659</v>
      </c>
      <c r="I5" s="509" t="s">
        <v>759</v>
      </c>
      <c r="J5" s="509"/>
      <c r="K5" s="509" t="s">
        <v>782</v>
      </c>
      <c r="L5" s="510"/>
      <c r="M5" s="528" t="s">
        <v>44</v>
      </c>
      <c r="N5" s="529"/>
    </row>
    <row r="6" spans="1:14" ht="12">
      <c r="A6" s="498"/>
      <c r="B6" s="496"/>
      <c r="C6" s="494"/>
      <c r="D6" s="494"/>
      <c r="E6" s="494"/>
      <c r="F6" s="494"/>
      <c r="G6" s="507"/>
      <c r="H6" s="507"/>
      <c r="I6" s="507"/>
      <c r="J6" s="507"/>
      <c r="K6" s="507"/>
      <c r="L6" s="511"/>
      <c r="M6" s="530"/>
      <c r="N6" s="531"/>
    </row>
    <row r="7" spans="1:14" ht="22.5" customHeight="1">
      <c r="A7" s="498"/>
      <c r="B7" s="496"/>
      <c r="C7" s="494"/>
      <c r="D7" s="494"/>
      <c r="E7" s="494"/>
      <c r="F7" s="494"/>
      <c r="G7" s="507"/>
      <c r="H7" s="507"/>
      <c r="I7" s="507"/>
      <c r="J7" s="507"/>
      <c r="K7" s="507"/>
      <c r="L7" s="511"/>
      <c r="M7" s="513"/>
      <c r="N7" s="532"/>
    </row>
    <row r="8" spans="1:14" ht="12">
      <c r="A8" s="498"/>
      <c r="B8" s="496" t="s">
        <v>381</v>
      </c>
      <c r="C8" s="494" t="s">
        <v>279</v>
      </c>
      <c r="D8" s="494" t="s">
        <v>279</v>
      </c>
      <c r="E8" s="494" t="s">
        <v>279</v>
      </c>
      <c r="F8" s="494" t="s">
        <v>279</v>
      </c>
      <c r="G8" s="507" t="s">
        <v>276</v>
      </c>
      <c r="H8" s="507" t="s">
        <v>660</v>
      </c>
      <c r="I8" s="507" t="s">
        <v>236</v>
      </c>
      <c r="J8" s="507"/>
      <c r="K8" s="507" t="s">
        <v>783</v>
      </c>
      <c r="L8" s="511"/>
      <c r="M8" s="533" t="s">
        <v>1</v>
      </c>
      <c r="N8" s="534"/>
    </row>
    <row r="9" spans="1:14" ht="12">
      <c r="A9" s="498"/>
      <c r="B9" s="496"/>
      <c r="C9" s="494"/>
      <c r="D9" s="494"/>
      <c r="E9" s="494"/>
      <c r="F9" s="494"/>
      <c r="G9" s="507"/>
      <c r="H9" s="507"/>
      <c r="I9" s="507"/>
      <c r="J9" s="507"/>
      <c r="K9" s="507"/>
      <c r="L9" s="511"/>
      <c r="M9" s="530"/>
      <c r="N9" s="531"/>
    </row>
    <row r="10" spans="1:14" ht="15.75" customHeight="1">
      <c r="A10" s="498"/>
      <c r="B10" s="496"/>
      <c r="C10" s="494"/>
      <c r="D10" s="494"/>
      <c r="E10" s="494"/>
      <c r="F10" s="494"/>
      <c r="G10" s="507"/>
      <c r="H10" s="507"/>
      <c r="I10" s="507"/>
      <c r="J10" s="507"/>
      <c r="K10" s="507"/>
      <c r="L10" s="511"/>
      <c r="M10" s="513"/>
      <c r="N10" s="532"/>
    </row>
    <row r="11" spans="1:14" ht="12">
      <c r="A11" s="498"/>
      <c r="B11" s="496" t="s">
        <v>200</v>
      </c>
      <c r="C11" s="494"/>
      <c r="D11" s="494"/>
      <c r="E11" s="494"/>
      <c r="F11" s="494" t="s">
        <v>279</v>
      </c>
      <c r="G11" s="507" t="s">
        <v>480</v>
      </c>
      <c r="H11" s="507" t="s">
        <v>152</v>
      </c>
      <c r="I11" s="507" t="s">
        <v>571</v>
      </c>
      <c r="J11" s="507"/>
      <c r="K11" s="507" t="s">
        <v>98</v>
      </c>
      <c r="L11" s="511"/>
      <c r="M11" s="533" t="s">
        <v>162</v>
      </c>
      <c r="N11" s="534"/>
    </row>
    <row r="12" spans="1:14" ht="12">
      <c r="A12" s="498"/>
      <c r="B12" s="496"/>
      <c r="C12" s="494"/>
      <c r="D12" s="494"/>
      <c r="E12" s="494"/>
      <c r="F12" s="494"/>
      <c r="G12" s="507"/>
      <c r="H12" s="507"/>
      <c r="I12" s="507"/>
      <c r="J12" s="507"/>
      <c r="K12" s="507"/>
      <c r="L12" s="511"/>
      <c r="M12" s="530"/>
      <c r="N12" s="531"/>
    </row>
    <row r="13" spans="1:14" ht="22.5" customHeight="1">
      <c r="A13" s="498"/>
      <c r="B13" s="496"/>
      <c r="C13" s="494"/>
      <c r="D13" s="494"/>
      <c r="E13" s="494"/>
      <c r="F13" s="494"/>
      <c r="G13" s="507"/>
      <c r="H13" s="507"/>
      <c r="I13" s="507"/>
      <c r="J13" s="507"/>
      <c r="K13" s="507"/>
      <c r="L13" s="511"/>
      <c r="M13" s="513"/>
      <c r="N13" s="532"/>
    </row>
    <row r="14" spans="1:14" ht="12">
      <c r="A14" s="498"/>
      <c r="B14" s="496" t="s">
        <v>153</v>
      </c>
      <c r="C14" s="494"/>
      <c r="D14" s="494"/>
      <c r="E14" s="494"/>
      <c r="F14" s="494" t="s">
        <v>279</v>
      </c>
      <c r="G14" s="507" t="s">
        <v>480</v>
      </c>
      <c r="H14" s="507" t="s">
        <v>151</v>
      </c>
      <c r="I14" s="507" t="s">
        <v>572</v>
      </c>
      <c r="J14" s="507"/>
      <c r="K14" s="507" t="s">
        <v>43</v>
      </c>
      <c r="L14" s="511"/>
      <c r="M14" s="533" t="s">
        <v>163</v>
      </c>
      <c r="N14" s="534"/>
    </row>
    <row r="15" spans="1:14" ht="12">
      <c r="A15" s="498"/>
      <c r="B15" s="496"/>
      <c r="C15" s="494"/>
      <c r="D15" s="494"/>
      <c r="E15" s="494"/>
      <c r="F15" s="494"/>
      <c r="G15" s="507"/>
      <c r="H15" s="507"/>
      <c r="I15" s="507"/>
      <c r="J15" s="507"/>
      <c r="K15" s="507"/>
      <c r="L15" s="511"/>
      <c r="M15" s="530"/>
      <c r="N15" s="531"/>
    </row>
    <row r="16" spans="1:14" ht="30" customHeight="1" thickBot="1">
      <c r="A16" s="499"/>
      <c r="B16" s="492"/>
      <c r="C16" s="491"/>
      <c r="D16" s="491"/>
      <c r="E16" s="491"/>
      <c r="F16" s="491"/>
      <c r="G16" s="508"/>
      <c r="H16" s="508"/>
      <c r="I16" s="508"/>
      <c r="J16" s="508"/>
      <c r="K16" s="508"/>
      <c r="L16" s="512"/>
      <c r="M16" s="535"/>
      <c r="N16" s="536"/>
    </row>
    <row r="17" spans="1:14" ht="12">
      <c r="A17" s="497" t="s">
        <v>111</v>
      </c>
      <c r="B17" s="493" t="s">
        <v>201</v>
      </c>
      <c r="C17" s="504"/>
      <c r="D17" s="504"/>
      <c r="E17" s="504"/>
      <c r="F17" s="504" t="s">
        <v>279</v>
      </c>
      <c r="G17" s="506" t="s">
        <v>480</v>
      </c>
      <c r="H17" s="506" t="s">
        <v>567</v>
      </c>
      <c r="I17" s="506" t="s">
        <v>573</v>
      </c>
      <c r="J17" s="506"/>
      <c r="K17" s="506" t="s">
        <v>784</v>
      </c>
      <c r="L17" s="513"/>
      <c r="M17" s="528" t="s">
        <v>2</v>
      </c>
      <c r="N17" s="529"/>
    </row>
    <row r="18" spans="1:14" ht="12">
      <c r="A18" s="498"/>
      <c r="B18" s="496"/>
      <c r="C18" s="494"/>
      <c r="D18" s="494"/>
      <c r="E18" s="494"/>
      <c r="F18" s="494"/>
      <c r="G18" s="507"/>
      <c r="H18" s="507"/>
      <c r="I18" s="507"/>
      <c r="J18" s="507"/>
      <c r="K18" s="507"/>
      <c r="L18" s="511"/>
      <c r="M18" s="530"/>
      <c r="N18" s="531"/>
    </row>
    <row r="19" spans="1:14" ht="16.5" customHeight="1">
      <c r="A19" s="498"/>
      <c r="B19" s="496"/>
      <c r="C19" s="494"/>
      <c r="D19" s="494"/>
      <c r="E19" s="494"/>
      <c r="F19" s="494"/>
      <c r="G19" s="507"/>
      <c r="H19" s="507"/>
      <c r="I19" s="507"/>
      <c r="J19" s="507"/>
      <c r="K19" s="507"/>
      <c r="L19" s="511"/>
      <c r="M19" s="513"/>
      <c r="N19" s="532"/>
    </row>
    <row r="20" spans="1:14" ht="12">
      <c r="A20" s="498"/>
      <c r="B20" s="496" t="s">
        <v>202</v>
      </c>
      <c r="C20" s="494" t="s">
        <v>279</v>
      </c>
      <c r="D20" s="494" t="s">
        <v>279</v>
      </c>
      <c r="E20" s="494" t="s">
        <v>279</v>
      </c>
      <c r="F20" s="494"/>
      <c r="G20" s="507" t="s">
        <v>145</v>
      </c>
      <c r="H20" s="507" t="s">
        <v>568</v>
      </c>
      <c r="I20" s="507" t="s">
        <v>574</v>
      </c>
      <c r="J20" s="507"/>
      <c r="K20" s="507" t="s">
        <v>17</v>
      </c>
      <c r="L20" s="511"/>
      <c r="M20" s="533" t="s">
        <v>37</v>
      </c>
      <c r="N20" s="534"/>
    </row>
    <row r="21" spans="1:14" ht="12">
      <c r="A21" s="498"/>
      <c r="B21" s="496"/>
      <c r="C21" s="494"/>
      <c r="D21" s="494"/>
      <c r="E21" s="494"/>
      <c r="F21" s="494"/>
      <c r="G21" s="507"/>
      <c r="H21" s="507"/>
      <c r="I21" s="507"/>
      <c r="J21" s="507"/>
      <c r="K21" s="507"/>
      <c r="L21" s="511"/>
      <c r="M21" s="530"/>
      <c r="N21" s="531"/>
    </row>
    <row r="22" spans="1:14" ht="30" customHeight="1">
      <c r="A22" s="498"/>
      <c r="B22" s="496"/>
      <c r="C22" s="494"/>
      <c r="D22" s="494"/>
      <c r="E22" s="494"/>
      <c r="F22" s="494"/>
      <c r="G22" s="507"/>
      <c r="H22" s="507"/>
      <c r="I22" s="507"/>
      <c r="J22" s="507"/>
      <c r="K22" s="507"/>
      <c r="L22" s="511"/>
      <c r="M22" s="513"/>
      <c r="N22" s="532"/>
    </row>
    <row r="23" spans="1:14" ht="10.5" customHeight="1">
      <c r="A23" s="498"/>
      <c r="B23" s="496" t="s">
        <v>203</v>
      </c>
      <c r="C23" s="494"/>
      <c r="D23" s="494" t="s">
        <v>279</v>
      </c>
      <c r="E23" s="494" t="s">
        <v>279</v>
      </c>
      <c r="F23" s="494"/>
      <c r="G23" s="507" t="s">
        <v>145</v>
      </c>
      <c r="H23" s="507" t="s">
        <v>568</v>
      </c>
      <c r="I23" s="507" t="s">
        <v>767</v>
      </c>
      <c r="J23" s="507"/>
      <c r="K23" s="507" t="s">
        <v>3</v>
      </c>
      <c r="L23" s="511"/>
      <c r="M23" s="533" t="s">
        <v>37</v>
      </c>
      <c r="N23" s="534"/>
    </row>
    <row r="24" spans="1:14" ht="12">
      <c r="A24" s="498"/>
      <c r="B24" s="496"/>
      <c r="C24" s="494"/>
      <c r="D24" s="494"/>
      <c r="E24" s="494"/>
      <c r="F24" s="494"/>
      <c r="G24" s="507"/>
      <c r="H24" s="507"/>
      <c r="I24" s="507"/>
      <c r="J24" s="507"/>
      <c r="K24" s="507"/>
      <c r="L24" s="511"/>
      <c r="M24" s="530"/>
      <c r="N24" s="531"/>
    </row>
    <row r="25" spans="1:14" ht="30" customHeight="1">
      <c r="A25" s="498"/>
      <c r="B25" s="496"/>
      <c r="C25" s="494"/>
      <c r="D25" s="494"/>
      <c r="E25" s="494"/>
      <c r="F25" s="494"/>
      <c r="G25" s="507"/>
      <c r="H25" s="507"/>
      <c r="I25" s="507"/>
      <c r="J25" s="507"/>
      <c r="K25" s="507"/>
      <c r="L25" s="511"/>
      <c r="M25" s="513"/>
      <c r="N25" s="532"/>
    </row>
    <row r="26" spans="1:14" ht="10.5" customHeight="1">
      <c r="A26" s="498"/>
      <c r="B26" s="496" t="s">
        <v>177</v>
      </c>
      <c r="C26" s="494" t="s">
        <v>279</v>
      </c>
      <c r="D26" s="494" t="s">
        <v>279</v>
      </c>
      <c r="E26" s="494" t="s">
        <v>279</v>
      </c>
      <c r="F26" s="494"/>
      <c r="G26" s="507" t="s">
        <v>145</v>
      </c>
      <c r="H26" s="507" t="s">
        <v>758</v>
      </c>
      <c r="I26" s="507" t="s">
        <v>585</v>
      </c>
      <c r="J26" s="507"/>
      <c r="K26" s="507" t="s">
        <v>99</v>
      </c>
      <c r="L26" s="511"/>
      <c r="M26" s="530" t="s">
        <v>37</v>
      </c>
      <c r="N26" s="531"/>
    </row>
    <row r="27" spans="1:14" ht="12">
      <c r="A27" s="498"/>
      <c r="B27" s="496"/>
      <c r="C27" s="494"/>
      <c r="D27" s="494"/>
      <c r="E27" s="494"/>
      <c r="F27" s="494"/>
      <c r="G27" s="507"/>
      <c r="H27" s="507"/>
      <c r="I27" s="507"/>
      <c r="J27" s="507"/>
      <c r="K27" s="507"/>
      <c r="L27" s="511"/>
      <c r="M27" s="530"/>
      <c r="N27" s="531"/>
    </row>
    <row r="28" spans="1:14" ht="30" customHeight="1" thickBot="1">
      <c r="A28" s="499"/>
      <c r="B28" s="492"/>
      <c r="C28" s="491"/>
      <c r="D28" s="491"/>
      <c r="E28" s="491"/>
      <c r="F28" s="491"/>
      <c r="G28" s="508"/>
      <c r="H28" s="508"/>
      <c r="I28" s="508"/>
      <c r="J28" s="508"/>
      <c r="K28" s="508"/>
      <c r="L28" s="512"/>
      <c r="M28" s="535"/>
      <c r="N28" s="536"/>
    </row>
  </sheetData>
  <mergeCells count="89">
    <mergeCell ref="M26:N28"/>
    <mergeCell ref="M14:N16"/>
    <mergeCell ref="M17:N19"/>
    <mergeCell ref="M20:N22"/>
    <mergeCell ref="M23:N25"/>
    <mergeCell ref="M3:N4"/>
    <mergeCell ref="M5:N7"/>
    <mergeCell ref="M8:N10"/>
    <mergeCell ref="M11:N13"/>
    <mergeCell ref="C3:F3"/>
    <mergeCell ref="H3:H4"/>
    <mergeCell ref="G3:G4"/>
    <mergeCell ref="I3:J4"/>
    <mergeCell ref="I17:J19"/>
    <mergeCell ref="I20:J22"/>
    <mergeCell ref="I23:J25"/>
    <mergeCell ref="K3:L4"/>
    <mergeCell ref="I5:J7"/>
    <mergeCell ref="I8:J10"/>
    <mergeCell ref="I11:J13"/>
    <mergeCell ref="I26:J28"/>
    <mergeCell ref="K5:L7"/>
    <mergeCell ref="K8:L10"/>
    <mergeCell ref="K11:L13"/>
    <mergeCell ref="K14:L16"/>
    <mergeCell ref="K17:L19"/>
    <mergeCell ref="K20:L22"/>
    <mergeCell ref="K23:L25"/>
    <mergeCell ref="K26:L28"/>
    <mergeCell ref="I14:J16"/>
    <mergeCell ref="H5:H7"/>
    <mergeCell ref="H8:H10"/>
    <mergeCell ref="H11:H13"/>
    <mergeCell ref="H14:H16"/>
    <mergeCell ref="H17:H19"/>
    <mergeCell ref="H20:H22"/>
    <mergeCell ref="H23:H25"/>
    <mergeCell ref="H26:H28"/>
    <mergeCell ref="G5:G7"/>
    <mergeCell ref="G8:G10"/>
    <mergeCell ref="G11:G13"/>
    <mergeCell ref="G14:G16"/>
    <mergeCell ref="G17:G19"/>
    <mergeCell ref="G20:G22"/>
    <mergeCell ref="G23:G25"/>
    <mergeCell ref="G26:G28"/>
    <mergeCell ref="F8:F10"/>
    <mergeCell ref="C5:C7"/>
    <mergeCell ref="D5:D7"/>
    <mergeCell ref="E5:E7"/>
    <mergeCell ref="F5:F7"/>
    <mergeCell ref="D23:D25"/>
    <mergeCell ref="C8:C10"/>
    <mergeCell ref="D8:D10"/>
    <mergeCell ref="E8:E10"/>
    <mergeCell ref="C11:C13"/>
    <mergeCell ref="D11:D13"/>
    <mergeCell ref="E11:E13"/>
    <mergeCell ref="D20:D22"/>
    <mergeCell ref="F11:F13"/>
    <mergeCell ref="F26:F28"/>
    <mergeCell ref="E14:E16"/>
    <mergeCell ref="E17:E19"/>
    <mergeCell ref="E20:E22"/>
    <mergeCell ref="E23:E25"/>
    <mergeCell ref="E26:E28"/>
    <mergeCell ref="F14:F16"/>
    <mergeCell ref="F17:F19"/>
    <mergeCell ref="F20:F22"/>
    <mergeCell ref="F23:F25"/>
    <mergeCell ref="B26:B28"/>
    <mergeCell ref="D26:D28"/>
    <mergeCell ref="C14:C16"/>
    <mergeCell ref="C17:C19"/>
    <mergeCell ref="C20:C22"/>
    <mergeCell ref="C23:C25"/>
    <mergeCell ref="C26:C28"/>
    <mergeCell ref="D14:D16"/>
    <mergeCell ref="D17:D19"/>
    <mergeCell ref="A5:A16"/>
    <mergeCell ref="A17:A28"/>
    <mergeCell ref="A3:B4"/>
    <mergeCell ref="B5:B7"/>
    <mergeCell ref="B8:B10"/>
    <mergeCell ref="B11:B13"/>
    <mergeCell ref="B14:B16"/>
    <mergeCell ref="B17:B19"/>
    <mergeCell ref="B20:B22"/>
    <mergeCell ref="B23:B25"/>
  </mergeCells>
  <printOptions/>
  <pageMargins left="0.75" right="0.75" top="1" bottom="1" header="0.5" footer="0.5"/>
  <pageSetup fitToHeight="1" fitToWidth="1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125" zoomScaleNormal="125" workbookViewId="0" topLeftCell="A25">
      <selection activeCell="K29" sqref="K29"/>
    </sheetView>
  </sheetViews>
  <sheetFormatPr defaultColWidth="10.875" defaultRowHeight="12"/>
  <cols>
    <col min="1" max="16384" width="10.875" style="1" customWidth="1"/>
  </cols>
  <sheetData>
    <row r="1" spans="1:5" ht="12">
      <c r="A1" s="541" t="s">
        <v>558</v>
      </c>
      <c r="B1" s="541"/>
      <c r="D1" s="541" t="s">
        <v>561</v>
      </c>
      <c r="E1" s="541"/>
    </row>
    <row r="2" spans="1:5" ht="12">
      <c r="A2" s="2" t="s">
        <v>559</v>
      </c>
      <c r="B2" s="2" t="s">
        <v>560</v>
      </c>
      <c r="D2" s="2" t="s">
        <v>559</v>
      </c>
      <c r="E2" s="2" t="s">
        <v>560</v>
      </c>
    </row>
    <row r="3" spans="1:4" ht="12">
      <c r="A3" s="1">
        <v>0.066</v>
      </c>
      <c r="B3" s="1">
        <v>18</v>
      </c>
      <c r="D3" s="1">
        <v>0.274</v>
      </c>
    </row>
    <row r="4" spans="1:4" ht="12">
      <c r="A4" s="1">
        <v>0.089</v>
      </c>
      <c r="B4" s="1">
        <v>18</v>
      </c>
      <c r="D4" s="1">
        <v>0.201</v>
      </c>
    </row>
    <row r="5" spans="1:5" ht="12">
      <c r="A5" s="1">
        <v>0.11</v>
      </c>
      <c r="B5" s="1">
        <v>13</v>
      </c>
      <c r="D5" s="1">
        <v>0.266</v>
      </c>
      <c r="E5" s="1">
        <v>9</v>
      </c>
    </row>
    <row r="6" spans="1:4" ht="12">
      <c r="A6" s="1">
        <v>0.129</v>
      </c>
      <c r="B6" s="1">
        <v>12</v>
      </c>
      <c r="D6" s="1">
        <v>0.248</v>
      </c>
    </row>
    <row r="7" spans="1:4" ht="12">
      <c r="A7" s="1">
        <v>0.144</v>
      </c>
      <c r="B7" s="1">
        <v>11</v>
      </c>
      <c r="D7" s="1">
        <v>0.203</v>
      </c>
    </row>
    <row r="8" spans="1:4" ht="12">
      <c r="A8" s="1">
        <v>0.108</v>
      </c>
      <c r="B8" s="1">
        <v>11</v>
      </c>
      <c r="D8" s="1">
        <v>0.238</v>
      </c>
    </row>
    <row r="9" spans="1:5" ht="12">
      <c r="A9" s="1">
        <v>0.138</v>
      </c>
      <c r="B9" s="1">
        <v>11</v>
      </c>
      <c r="D9" s="1">
        <v>0.291</v>
      </c>
      <c r="E9" s="1">
        <v>11</v>
      </c>
    </row>
    <row r="10" spans="1:4" ht="12">
      <c r="A10" s="1">
        <v>0.118</v>
      </c>
      <c r="B10" s="1">
        <v>10</v>
      </c>
      <c r="D10" s="168">
        <v>0.2</v>
      </c>
    </row>
    <row r="11" spans="1:4" ht="12">
      <c r="A11" s="1">
        <v>0.107</v>
      </c>
      <c r="B11" s="1">
        <v>10</v>
      </c>
      <c r="D11" s="1">
        <v>0.238</v>
      </c>
    </row>
    <row r="12" spans="1:4" ht="12">
      <c r="A12" s="1">
        <v>0.114</v>
      </c>
      <c r="B12" s="1">
        <v>10</v>
      </c>
      <c r="D12" s="1">
        <v>0.193</v>
      </c>
    </row>
    <row r="13" spans="1:4" ht="12">
      <c r="A13" s="1">
        <v>0.086</v>
      </c>
      <c r="B13" s="1">
        <v>9</v>
      </c>
      <c r="D13" s="1">
        <v>0.222</v>
      </c>
    </row>
    <row r="14" spans="1:4" ht="12">
      <c r="A14" s="1">
        <v>0.106</v>
      </c>
      <c r="B14" s="1">
        <v>9</v>
      </c>
      <c r="D14" s="1">
        <v>0.423</v>
      </c>
    </row>
    <row r="15" spans="1:4" ht="12">
      <c r="A15" s="1">
        <v>0.124</v>
      </c>
      <c r="B15" s="1">
        <v>9</v>
      </c>
      <c r="D15" s="1">
        <v>0.319</v>
      </c>
    </row>
    <row r="16" spans="1:4" ht="12">
      <c r="A16" s="1">
        <v>0.119</v>
      </c>
      <c r="B16" s="1">
        <v>9</v>
      </c>
      <c r="D16" s="1">
        <v>0.268</v>
      </c>
    </row>
    <row r="17" spans="1:4" ht="12">
      <c r="A17" s="1">
        <v>0.104</v>
      </c>
      <c r="B17" s="1">
        <v>8</v>
      </c>
      <c r="D17" s="1">
        <v>0.252</v>
      </c>
    </row>
    <row r="18" spans="1:2" ht="12">
      <c r="A18" s="1">
        <v>0.148</v>
      </c>
      <c r="B18" s="1">
        <v>8</v>
      </c>
    </row>
    <row r="19" spans="1:5" ht="12">
      <c r="A19" s="1">
        <v>0.148</v>
      </c>
      <c r="B19" s="1">
        <v>8</v>
      </c>
      <c r="D19" s="1">
        <v>0.344</v>
      </c>
      <c r="E19" s="1">
        <v>0</v>
      </c>
    </row>
    <row r="20" spans="1:5" ht="12">
      <c r="A20" s="1">
        <v>0.104</v>
      </c>
      <c r="B20" s="1">
        <v>7</v>
      </c>
      <c r="D20" s="1">
        <v>0.292</v>
      </c>
      <c r="E20" s="1">
        <v>4</v>
      </c>
    </row>
    <row r="21" spans="1:5" ht="12">
      <c r="A21" s="1">
        <v>0.116</v>
      </c>
      <c r="B21" s="1">
        <v>7</v>
      </c>
      <c r="D21" s="168">
        <v>0.21</v>
      </c>
      <c r="E21" s="1">
        <v>8</v>
      </c>
    </row>
    <row r="22" spans="1:2" ht="12">
      <c r="A22" s="1">
        <v>0.132</v>
      </c>
      <c r="B22" s="1">
        <v>7</v>
      </c>
    </row>
    <row r="23" spans="1:2" ht="12">
      <c r="A23" s="1">
        <v>0.155</v>
      </c>
      <c r="B23" s="1">
        <v>7</v>
      </c>
    </row>
    <row r="24" spans="1:2" ht="12">
      <c r="A24" s="1">
        <v>0.106</v>
      </c>
      <c r="B24" s="1">
        <v>7</v>
      </c>
    </row>
    <row r="25" spans="1:2" ht="12">
      <c r="A25" s="1">
        <v>0.145</v>
      </c>
      <c r="B25" s="1">
        <v>6</v>
      </c>
    </row>
    <row r="26" spans="1:2" ht="12">
      <c r="A26" s="1">
        <v>0.119</v>
      </c>
      <c r="B26" s="1">
        <v>6</v>
      </c>
    </row>
    <row r="27" spans="1:2" ht="12">
      <c r="A27" s="1">
        <v>0.136</v>
      </c>
      <c r="B27" s="1">
        <v>6</v>
      </c>
    </row>
    <row r="28" spans="1:2" ht="12">
      <c r="A28" s="1">
        <v>0.116</v>
      </c>
      <c r="B28" s="1">
        <v>5</v>
      </c>
    </row>
    <row r="29" spans="1:2" ht="12">
      <c r="A29" s="1">
        <v>0.12</v>
      </c>
      <c r="B29" s="1">
        <v>5</v>
      </c>
    </row>
    <row r="30" spans="1:2" ht="12">
      <c r="A30" s="1">
        <v>0.104</v>
      </c>
      <c r="B30" s="1">
        <v>5</v>
      </c>
    </row>
    <row r="31" spans="1:2" ht="12">
      <c r="A31" s="1">
        <v>0.153</v>
      </c>
      <c r="B31" s="1">
        <v>5</v>
      </c>
    </row>
    <row r="32" spans="1:2" ht="12">
      <c r="A32" s="1">
        <v>0.119</v>
      </c>
      <c r="B32" s="1">
        <v>4</v>
      </c>
    </row>
    <row r="34" spans="1:2" ht="12">
      <c r="A34" s="1">
        <v>0.121</v>
      </c>
      <c r="B34" s="1">
        <v>4</v>
      </c>
    </row>
    <row r="36" spans="1:2" ht="12">
      <c r="A36" s="1">
        <v>0.082</v>
      </c>
      <c r="B36" s="1">
        <v>3</v>
      </c>
    </row>
    <row r="37" spans="1:2" ht="12">
      <c r="A37" s="1">
        <v>0.094</v>
      </c>
      <c r="B37" s="1">
        <v>3</v>
      </c>
    </row>
    <row r="38" spans="1:2" ht="12">
      <c r="A38" s="1">
        <v>0.081</v>
      </c>
      <c r="B38" s="1">
        <v>1</v>
      </c>
    </row>
    <row r="39" spans="1:2" ht="12">
      <c r="A39" s="1">
        <v>0.041</v>
      </c>
      <c r="B39" s="1">
        <v>0</v>
      </c>
    </row>
    <row r="40" spans="1:2" ht="12">
      <c r="A40" s="1">
        <v>0.036</v>
      </c>
      <c r="B40" s="1">
        <v>0</v>
      </c>
    </row>
  </sheetData>
  <mergeCells count="2">
    <mergeCell ref="D1:E1"/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125" zoomScaleNormal="125" workbookViewId="0" topLeftCell="A1">
      <selection activeCell="I22" sqref="I22"/>
    </sheetView>
  </sheetViews>
  <sheetFormatPr defaultColWidth="10.875" defaultRowHeight="12"/>
  <cols>
    <col min="1" max="16384" width="10.875" style="1" customWidth="1"/>
  </cols>
  <sheetData>
    <row r="1" s="133" customFormat="1" ht="12">
      <c r="A1" s="113" t="s">
        <v>102</v>
      </c>
    </row>
    <row r="2" s="170" customFormat="1" ht="12">
      <c r="A2" s="169"/>
    </row>
    <row r="3" spans="2:7" ht="12">
      <c r="B3" s="645" t="s">
        <v>415</v>
      </c>
      <c r="C3" s="646"/>
      <c r="D3" s="646"/>
      <c r="E3" s="646"/>
      <c r="F3" s="646"/>
      <c r="G3" s="647"/>
    </row>
    <row r="4" spans="2:7" s="7" customFormat="1" ht="10.5" customHeight="1" thickBot="1">
      <c r="B4" s="174" t="s">
        <v>86</v>
      </c>
      <c r="C4" s="178" t="s">
        <v>88</v>
      </c>
      <c r="D4" s="179" t="s">
        <v>89</v>
      </c>
      <c r="E4" s="174" t="s">
        <v>90</v>
      </c>
      <c r="F4" s="178" t="s">
        <v>91</v>
      </c>
      <c r="G4" s="179" t="s">
        <v>92</v>
      </c>
    </row>
    <row r="5" spans="1:7" ht="12.75" thickTop="1">
      <c r="A5" s="1" t="s">
        <v>78</v>
      </c>
      <c r="B5" s="5">
        <v>1917</v>
      </c>
      <c r="C5" s="5">
        <v>1564</v>
      </c>
      <c r="D5" s="172">
        <v>1148</v>
      </c>
      <c r="E5" s="8">
        <v>329</v>
      </c>
      <c r="F5" s="5">
        <v>208</v>
      </c>
      <c r="G5" s="4">
        <v>99</v>
      </c>
    </row>
    <row r="6" spans="1:7" ht="12">
      <c r="A6" s="1" t="s">
        <v>79</v>
      </c>
      <c r="B6" s="5">
        <v>198</v>
      </c>
      <c r="C6" s="5">
        <v>45</v>
      </c>
      <c r="D6" s="172">
        <v>21</v>
      </c>
      <c r="E6" s="8">
        <v>11</v>
      </c>
      <c r="F6" s="5">
        <v>4</v>
      </c>
      <c r="G6" s="4">
        <v>2</v>
      </c>
    </row>
    <row r="7" spans="1:7" ht="12">
      <c r="A7" s="1" t="s">
        <v>80</v>
      </c>
      <c r="B7" s="5">
        <v>1757</v>
      </c>
      <c r="C7" s="5">
        <v>1121</v>
      </c>
      <c r="D7" s="172">
        <v>237</v>
      </c>
      <c r="E7" s="8">
        <v>159</v>
      </c>
      <c r="F7" s="5">
        <v>58</v>
      </c>
      <c r="G7" s="4">
        <v>4</v>
      </c>
    </row>
    <row r="8" spans="1:7" ht="12">
      <c r="A8" s="1" t="s">
        <v>81</v>
      </c>
      <c r="B8" s="5">
        <v>1161</v>
      </c>
      <c r="C8" s="5">
        <v>706</v>
      </c>
      <c r="D8" s="172">
        <v>319</v>
      </c>
      <c r="E8" s="8">
        <v>119</v>
      </c>
      <c r="F8" s="5">
        <v>54</v>
      </c>
      <c r="G8" s="4">
        <v>13</v>
      </c>
    </row>
    <row r="9" spans="1:7" ht="12">
      <c r="A9" s="1" t="s">
        <v>82</v>
      </c>
      <c r="B9" s="5">
        <v>1706</v>
      </c>
      <c r="C9" s="5">
        <v>952</v>
      </c>
      <c r="D9" s="172">
        <v>140</v>
      </c>
      <c r="E9" s="8">
        <v>131</v>
      </c>
      <c r="F9" s="5">
        <v>39</v>
      </c>
      <c r="G9" s="4">
        <v>1</v>
      </c>
    </row>
    <row r="10" spans="1:7" ht="12">
      <c r="A10" s="1" t="s">
        <v>83</v>
      </c>
      <c r="B10" s="5">
        <v>1016</v>
      </c>
      <c r="C10" s="5">
        <v>673</v>
      </c>
      <c r="D10" s="172">
        <v>192</v>
      </c>
      <c r="E10" s="8">
        <v>99</v>
      </c>
      <c r="F10" s="5">
        <v>39</v>
      </c>
      <c r="G10" s="4">
        <v>5</v>
      </c>
    </row>
    <row r="11" spans="1:7" ht="12">
      <c r="A11" s="1" t="s">
        <v>84</v>
      </c>
      <c r="B11" s="5">
        <v>1154</v>
      </c>
      <c r="C11" s="5">
        <v>475</v>
      </c>
      <c r="D11" s="172">
        <v>17</v>
      </c>
      <c r="E11" s="8">
        <v>73</v>
      </c>
      <c r="F11" s="5">
        <v>14</v>
      </c>
      <c r="G11" s="4">
        <v>0</v>
      </c>
    </row>
    <row r="12" spans="1:7" ht="12">
      <c r="A12" s="1" t="s">
        <v>85</v>
      </c>
      <c r="B12" s="61">
        <v>2544</v>
      </c>
      <c r="C12" s="61">
        <v>1320</v>
      </c>
      <c r="D12" s="173">
        <v>185</v>
      </c>
      <c r="E12" s="171">
        <v>185</v>
      </c>
      <c r="F12" s="61">
        <v>47</v>
      </c>
      <c r="G12" s="74">
        <v>0</v>
      </c>
    </row>
    <row r="13" spans="2:7" ht="12">
      <c r="B13" s="147" t="s">
        <v>414</v>
      </c>
      <c r="C13" s="9"/>
      <c r="D13" s="9"/>
      <c r="E13" s="9"/>
      <c r="F13" s="9"/>
      <c r="G13" s="9"/>
    </row>
    <row r="14" ht="12">
      <c r="B14" s="1" t="s">
        <v>242</v>
      </c>
    </row>
    <row r="15" ht="12">
      <c r="B15" s="1" t="s">
        <v>243</v>
      </c>
    </row>
    <row r="16" spans="1:7" s="112" customFormat="1" ht="12">
      <c r="A16" s="113" t="s">
        <v>109</v>
      </c>
      <c r="B16" s="175"/>
      <c r="C16" s="175"/>
      <c r="D16" s="175"/>
      <c r="E16" s="175"/>
      <c r="F16" s="175"/>
      <c r="G16" s="175"/>
    </row>
    <row r="18" spans="2:7" ht="12">
      <c r="B18" s="645" t="s">
        <v>93</v>
      </c>
      <c r="C18" s="646"/>
      <c r="D18" s="647"/>
      <c r="E18" s="645" t="s">
        <v>94</v>
      </c>
      <c r="F18" s="646"/>
      <c r="G18" s="647"/>
    </row>
    <row r="19" spans="2:7" ht="12">
      <c r="B19" s="642" t="s">
        <v>95</v>
      </c>
      <c r="C19" s="643"/>
      <c r="D19" s="644"/>
      <c r="E19" s="642" t="s">
        <v>96</v>
      </c>
      <c r="F19" s="643"/>
      <c r="G19" s="644"/>
    </row>
    <row r="20" spans="1:7" ht="12">
      <c r="A20" s="1" t="s">
        <v>78</v>
      </c>
      <c r="B20" s="72"/>
      <c r="C20" s="176">
        <f aca="true" t="shared" si="0" ref="C20:C27">(B5-C5)/B5</f>
        <v>0.1841418883672405</v>
      </c>
      <c r="D20" s="231"/>
      <c r="E20" s="72"/>
      <c r="F20" s="176">
        <f aca="true" t="shared" si="1" ref="F20:F27">(B5-D5)/B5</f>
        <v>0.4011476264997392</v>
      </c>
      <c r="G20" s="177"/>
    </row>
    <row r="21" spans="1:7" ht="10.5" customHeight="1">
      <c r="A21" s="1" t="s">
        <v>79</v>
      </c>
      <c r="B21" s="184"/>
      <c r="C21" s="182">
        <f t="shared" si="0"/>
        <v>0.7727272727272727</v>
      </c>
      <c r="D21" s="232"/>
      <c r="E21" s="184"/>
      <c r="F21" s="182">
        <f t="shared" si="1"/>
        <v>0.8939393939393939</v>
      </c>
      <c r="G21" s="183"/>
    </row>
    <row r="22" spans="1:7" ht="10.5" customHeight="1">
      <c r="A22" s="1" t="s">
        <v>80</v>
      </c>
      <c r="B22" s="184"/>
      <c r="C22" s="182">
        <f t="shared" si="0"/>
        <v>0.3619806488332385</v>
      </c>
      <c r="D22" s="232"/>
      <c r="E22" s="184"/>
      <c r="F22" s="182">
        <f t="shared" si="1"/>
        <v>0.8651109846328969</v>
      </c>
      <c r="G22" s="183"/>
    </row>
    <row r="23" spans="1:7" ht="10.5" customHeight="1">
      <c r="A23" s="1" t="s">
        <v>81</v>
      </c>
      <c r="B23" s="184"/>
      <c r="C23" s="182">
        <f t="shared" si="0"/>
        <v>0.39190353143841516</v>
      </c>
      <c r="D23" s="232"/>
      <c r="E23" s="184"/>
      <c r="F23" s="182">
        <f t="shared" si="1"/>
        <v>0.7252368647717485</v>
      </c>
      <c r="G23" s="183"/>
    </row>
    <row r="24" spans="1:7" ht="10.5" customHeight="1">
      <c r="A24" s="1" t="s">
        <v>82</v>
      </c>
      <c r="B24" s="184"/>
      <c r="C24" s="182">
        <f t="shared" si="0"/>
        <v>0.44196951934349354</v>
      </c>
      <c r="D24" s="232"/>
      <c r="E24" s="184"/>
      <c r="F24" s="182">
        <f t="shared" si="1"/>
        <v>0.917936694021102</v>
      </c>
      <c r="G24" s="183"/>
    </row>
    <row r="25" spans="1:7" ht="10.5" customHeight="1">
      <c r="A25" s="1" t="s">
        <v>83</v>
      </c>
      <c r="B25" s="184"/>
      <c r="C25" s="182">
        <f t="shared" si="0"/>
        <v>0.3375984251968504</v>
      </c>
      <c r="D25" s="232"/>
      <c r="E25" s="184"/>
      <c r="F25" s="182">
        <f t="shared" si="1"/>
        <v>0.8110236220472441</v>
      </c>
      <c r="G25" s="183"/>
    </row>
    <row r="26" spans="1:7" ht="10.5" customHeight="1">
      <c r="A26" s="1" t="s">
        <v>84</v>
      </c>
      <c r="B26" s="184"/>
      <c r="C26" s="182">
        <f t="shared" si="0"/>
        <v>0.5883882149046794</v>
      </c>
      <c r="D26" s="232"/>
      <c r="E26" s="184"/>
      <c r="F26" s="182">
        <f t="shared" si="1"/>
        <v>0.9852686308492201</v>
      </c>
      <c r="G26" s="183"/>
    </row>
    <row r="27" spans="1:7" ht="10.5" customHeight="1">
      <c r="A27" s="1" t="s">
        <v>85</v>
      </c>
      <c r="B27" s="73"/>
      <c r="C27" s="180">
        <f t="shared" si="0"/>
        <v>0.4811320754716981</v>
      </c>
      <c r="D27" s="233"/>
      <c r="E27" s="73"/>
      <c r="F27" s="180">
        <f t="shared" si="1"/>
        <v>0.9272798742138365</v>
      </c>
      <c r="G27" s="181"/>
    </row>
    <row r="29" spans="2:7" ht="12">
      <c r="B29" s="645" t="s">
        <v>93</v>
      </c>
      <c r="C29" s="646"/>
      <c r="D29" s="646"/>
      <c r="E29" s="645" t="s">
        <v>94</v>
      </c>
      <c r="F29" s="646"/>
      <c r="G29" s="647"/>
    </row>
    <row r="30" spans="2:7" ht="12">
      <c r="B30" s="642" t="s">
        <v>478</v>
      </c>
      <c r="C30" s="643"/>
      <c r="D30" s="643"/>
      <c r="E30" s="642" t="s">
        <v>479</v>
      </c>
      <c r="F30" s="643"/>
      <c r="G30" s="644"/>
    </row>
    <row r="31" spans="1:7" ht="12">
      <c r="A31" s="1" t="s">
        <v>78</v>
      </c>
      <c r="B31" s="72"/>
      <c r="C31" s="176">
        <f aca="true" t="shared" si="2" ref="C31:C38">(E5-F5)/E5</f>
        <v>0.3677811550151976</v>
      </c>
      <c r="D31" s="177"/>
      <c r="E31" s="72"/>
      <c r="F31" s="176">
        <f aca="true" t="shared" si="3" ref="F31:F38">(E5-G5)/E5</f>
        <v>0.6990881458966566</v>
      </c>
      <c r="G31" s="177"/>
    </row>
    <row r="32" spans="1:7" ht="12">
      <c r="A32" s="13" t="s">
        <v>79</v>
      </c>
      <c r="B32" s="184"/>
      <c r="C32" s="273">
        <f t="shared" si="2"/>
        <v>0.6363636363636364</v>
      </c>
      <c r="D32" s="183"/>
      <c r="E32" s="184"/>
      <c r="F32" s="273">
        <f t="shared" si="3"/>
        <v>0.8181818181818182</v>
      </c>
      <c r="G32" s="183"/>
    </row>
    <row r="33" spans="1:7" ht="12">
      <c r="A33" s="1" t="s">
        <v>80</v>
      </c>
      <c r="B33" s="184"/>
      <c r="C33" s="182">
        <f t="shared" si="2"/>
        <v>0.6352201257861635</v>
      </c>
      <c r="D33" s="183"/>
      <c r="E33" s="184"/>
      <c r="F33" s="182">
        <f t="shared" si="3"/>
        <v>0.9748427672955975</v>
      </c>
      <c r="G33" s="183"/>
    </row>
    <row r="34" spans="1:7" ht="12">
      <c r="A34" s="1" t="s">
        <v>81</v>
      </c>
      <c r="B34" s="184"/>
      <c r="C34" s="182">
        <f t="shared" si="2"/>
        <v>0.5462184873949579</v>
      </c>
      <c r="D34" s="183"/>
      <c r="E34" s="184"/>
      <c r="F34" s="182">
        <f t="shared" si="3"/>
        <v>0.8907563025210085</v>
      </c>
      <c r="G34" s="183"/>
    </row>
    <row r="35" spans="1:7" ht="12">
      <c r="A35" s="1" t="s">
        <v>82</v>
      </c>
      <c r="B35" s="184"/>
      <c r="C35" s="182">
        <f t="shared" si="2"/>
        <v>0.7022900763358778</v>
      </c>
      <c r="D35" s="183"/>
      <c r="E35" s="184"/>
      <c r="F35" s="182">
        <f t="shared" si="3"/>
        <v>0.9923664122137404</v>
      </c>
      <c r="G35" s="183"/>
    </row>
    <row r="36" spans="1:7" ht="12">
      <c r="A36" s="1" t="s">
        <v>83</v>
      </c>
      <c r="B36" s="184"/>
      <c r="C36" s="182">
        <f t="shared" si="2"/>
        <v>0.6060606060606061</v>
      </c>
      <c r="D36" s="183"/>
      <c r="E36" s="184"/>
      <c r="F36" s="182">
        <f t="shared" si="3"/>
        <v>0.9494949494949495</v>
      </c>
      <c r="G36" s="183"/>
    </row>
    <row r="37" spans="1:7" ht="12">
      <c r="A37" s="1" t="s">
        <v>84</v>
      </c>
      <c r="B37" s="184"/>
      <c r="C37" s="182">
        <f t="shared" si="2"/>
        <v>0.8082191780821918</v>
      </c>
      <c r="D37" s="183"/>
      <c r="E37" s="184"/>
      <c r="F37" s="182">
        <f t="shared" si="3"/>
        <v>1</v>
      </c>
      <c r="G37" s="183"/>
    </row>
    <row r="38" spans="1:7" ht="12">
      <c r="A38" s="1" t="s">
        <v>85</v>
      </c>
      <c r="B38" s="73"/>
      <c r="C38" s="180">
        <f t="shared" si="2"/>
        <v>0.745945945945946</v>
      </c>
      <c r="D38" s="181"/>
      <c r="E38" s="73"/>
      <c r="F38" s="180">
        <f t="shared" si="3"/>
        <v>1</v>
      </c>
      <c r="G38" s="181"/>
    </row>
    <row r="39" ht="12">
      <c r="B39" s="1" t="s">
        <v>416</v>
      </c>
    </row>
    <row r="40" ht="12">
      <c r="B40" s="1" t="s">
        <v>97</v>
      </c>
    </row>
    <row r="41" ht="12">
      <c r="B41" s="1" t="s">
        <v>225</v>
      </c>
    </row>
    <row r="42" ht="12">
      <c r="B42" s="1" t="s">
        <v>226</v>
      </c>
    </row>
    <row r="43" ht="12">
      <c r="B43" s="1" t="s">
        <v>227</v>
      </c>
    </row>
  </sheetData>
  <mergeCells count="9">
    <mergeCell ref="B3:G3"/>
    <mergeCell ref="B19:D19"/>
    <mergeCell ref="B18:D18"/>
    <mergeCell ref="E18:G18"/>
    <mergeCell ref="E19:G19"/>
    <mergeCell ref="B30:D30"/>
    <mergeCell ref="E30:G30"/>
    <mergeCell ref="B29:D29"/>
    <mergeCell ref="E29:G29"/>
  </mergeCells>
  <printOptions/>
  <pageMargins left="0.75" right="0.75" top="1" bottom="1" header="0.5" footer="0.5"/>
  <pageSetup fitToHeight="1" fitToWidth="1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="125" zoomScaleNormal="125" workbookViewId="0" topLeftCell="A1">
      <selection activeCell="G16" sqref="G16"/>
    </sheetView>
  </sheetViews>
  <sheetFormatPr defaultColWidth="9.00390625" defaultRowHeight="12"/>
  <cols>
    <col min="1" max="1" width="24.75390625" style="1" customWidth="1"/>
    <col min="2" max="2" width="7.375" style="1" customWidth="1"/>
    <col min="3" max="6" width="10.875" style="1" customWidth="1"/>
    <col min="7" max="8" width="11.875" style="1" customWidth="1"/>
    <col min="9" max="16384" width="10.875" style="1" customWidth="1"/>
  </cols>
  <sheetData>
    <row r="1" s="112" customFormat="1" ht="12">
      <c r="A1" s="113" t="s">
        <v>562</v>
      </c>
    </row>
    <row r="2" ht="12">
      <c r="A2" s="1" t="s">
        <v>769</v>
      </c>
    </row>
    <row r="3" ht="12">
      <c r="A3" s="1" t="s">
        <v>74</v>
      </c>
    </row>
    <row r="4" spans="7:8" ht="12.75" thickBot="1">
      <c r="G4" s="643"/>
      <c r="H4" s="643"/>
    </row>
    <row r="5" spans="1:8" ht="12.75" thickBot="1">
      <c r="A5" s="70" t="s">
        <v>722</v>
      </c>
      <c r="B5" s="68" t="s">
        <v>723</v>
      </c>
      <c r="C5" s="68" t="s">
        <v>766</v>
      </c>
      <c r="D5" s="68">
        <v>1985</v>
      </c>
      <c r="E5" s="68">
        <v>1997</v>
      </c>
      <c r="F5" s="68" t="s">
        <v>768</v>
      </c>
      <c r="G5" s="114" t="s">
        <v>370</v>
      </c>
      <c r="H5" s="114" t="s">
        <v>371</v>
      </c>
    </row>
    <row r="6" spans="1:8" ht="12">
      <c r="A6" s="72" t="s">
        <v>724</v>
      </c>
      <c r="B6" s="6">
        <v>3273</v>
      </c>
      <c r="C6" s="6">
        <v>1981</v>
      </c>
      <c r="D6" s="6">
        <v>108.1</v>
      </c>
      <c r="E6" s="6">
        <v>136.8</v>
      </c>
      <c r="F6" s="6">
        <v>146.5</v>
      </c>
      <c r="G6" s="115">
        <f>F6/D6</f>
        <v>1.35522664199815</v>
      </c>
      <c r="H6" s="115">
        <f>F6/E6</f>
        <v>1.070906432748538</v>
      </c>
    </row>
    <row r="7" spans="1:8" ht="12.75" thickBot="1">
      <c r="A7" s="73" t="s">
        <v>523</v>
      </c>
      <c r="B7" s="61">
        <v>2951</v>
      </c>
      <c r="C7" s="61">
        <v>1981</v>
      </c>
      <c r="D7" s="61">
        <v>109.4</v>
      </c>
      <c r="E7" s="61">
        <v>114.1</v>
      </c>
      <c r="F7" s="61">
        <v>130.9</v>
      </c>
      <c r="G7" s="116">
        <f>F7/D7</f>
        <v>1.196526508226691</v>
      </c>
      <c r="H7" s="116">
        <f>F7/E7</f>
        <v>1.147239263803681</v>
      </c>
    </row>
    <row r="8" ht="12.75" thickBot="1"/>
    <row r="9" spans="1:2" ht="12.75" thickBot="1">
      <c r="A9" s="117" t="s">
        <v>69</v>
      </c>
      <c r="B9" s="118">
        <v>0.04</v>
      </c>
    </row>
    <row r="10" spans="7:8" ht="12.75" thickBot="1">
      <c r="G10" s="648" t="s">
        <v>372</v>
      </c>
      <c r="H10" s="649"/>
    </row>
    <row r="11" spans="3:8" ht="12.75" thickBot="1">
      <c r="C11" s="71" t="s">
        <v>766</v>
      </c>
      <c r="D11" s="71">
        <v>1985</v>
      </c>
      <c r="E11" s="71">
        <v>1997</v>
      </c>
      <c r="F11" s="71" t="s">
        <v>140</v>
      </c>
      <c r="G11" s="135" t="s">
        <v>370</v>
      </c>
      <c r="H11" s="135" t="s">
        <v>371</v>
      </c>
    </row>
    <row r="12" spans="1:8" ht="12.75" thickBot="1">
      <c r="A12" s="70" t="s">
        <v>139</v>
      </c>
      <c r="B12" s="134"/>
      <c r="C12" s="71">
        <v>1993</v>
      </c>
      <c r="D12" s="71">
        <v>82.6</v>
      </c>
      <c r="E12" s="71">
        <v>112.8</v>
      </c>
      <c r="F12" s="68">
        <v>119.6</v>
      </c>
      <c r="G12" s="138">
        <f>F12/D12</f>
        <v>1.4479418886198547</v>
      </c>
      <c r="H12" s="138">
        <f>F12/E12</f>
        <v>1.0602836879432624</v>
      </c>
    </row>
    <row r="13" ht="12.75" thickBot="1"/>
    <row r="14" spans="3:11" ht="12.75" thickBot="1">
      <c r="C14" s="114" t="s">
        <v>141</v>
      </c>
      <c r="D14" s="114" t="s">
        <v>142</v>
      </c>
      <c r="E14" s="114" t="s">
        <v>79</v>
      </c>
      <c r="F14" s="114" t="s">
        <v>657</v>
      </c>
      <c r="G14" s="114" t="s">
        <v>357</v>
      </c>
      <c r="H14" s="114" t="s">
        <v>80</v>
      </c>
      <c r="I14" s="114" t="s">
        <v>707</v>
      </c>
      <c r="J14" s="114" t="s">
        <v>388</v>
      </c>
      <c r="K14" s="114" t="s">
        <v>275</v>
      </c>
    </row>
    <row r="15" spans="1:11" ht="12.75" thickBot="1">
      <c r="A15" s="70" t="s">
        <v>319</v>
      </c>
      <c r="B15" s="84"/>
      <c r="C15" s="136">
        <v>116</v>
      </c>
      <c r="D15" s="137">
        <v>110.5</v>
      </c>
      <c r="E15" s="137">
        <v>104.2</v>
      </c>
      <c r="F15" s="380">
        <v>103.5</v>
      </c>
      <c r="G15" s="381">
        <f>E15/C15</f>
        <v>0.8982758620689656</v>
      </c>
      <c r="H15" s="137">
        <f>82.6</f>
        <v>82.6</v>
      </c>
      <c r="I15" s="137">
        <v>105.9</v>
      </c>
      <c r="J15" s="382">
        <v>99.8</v>
      </c>
      <c r="K15" s="137">
        <v>93.8</v>
      </c>
    </row>
    <row r="16" ht="12">
      <c r="A16" s="1" t="s">
        <v>474</v>
      </c>
    </row>
    <row r="18" s="151" customFormat="1" ht="12"/>
  </sheetData>
  <mergeCells count="2">
    <mergeCell ref="G4:H4"/>
    <mergeCell ref="G10:H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="125" zoomScaleNormal="125" workbookViewId="0" topLeftCell="A1">
      <selection activeCell="F35" sqref="F35"/>
    </sheetView>
  </sheetViews>
  <sheetFormatPr defaultColWidth="10.875" defaultRowHeight="12"/>
  <cols>
    <col min="1" max="16384" width="10.875" style="1" customWidth="1"/>
  </cols>
  <sheetData>
    <row r="1" s="133" customFormat="1" ht="12">
      <c r="A1" s="113" t="s">
        <v>13</v>
      </c>
    </row>
    <row r="2" spans="2:5" ht="12">
      <c r="B2" s="7"/>
      <c r="C2" s="7"/>
      <c r="D2" s="7"/>
      <c r="E2" s="7"/>
    </row>
    <row r="3" spans="2:6" ht="12">
      <c r="B3" s="71" t="s">
        <v>61</v>
      </c>
      <c r="C3" s="71" t="s">
        <v>62</v>
      </c>
      <c r="D3" s="71" t="s">
        <v>63</v>
      </c>
      <c r="E3" s="71" t="s">
        <v>64</v>
      </c>
      <c r="F3" s="1" t="s">
        <v>440</v>
      </c>
    </row>
    <row r="4" spans="1:9" ht="12">
      <c r="A4" s="1" t="s">
        <v>335</v>
      </c>
      <c r="B4" s="119">
        <f>'scenarios - existing roads'!B44</f>
        <v>6.0143867187709565</v>
      </c>
      <c r="C4" s="119">
        <f>'scenarios - existing roads'!C44</f>
        <v>11.591329687060654</v>
      </c>
      <c r="D4" s="119">
        <f>'scenarios - existing roads'!D44</f>
        <v>13.556699494186507</v>
      </c>
      <c r="E4" s="119">
        <f>'scenarios - existing roads'!E44</f>
        <v>16.01402741213616</v>
      </c>
      <c r="F4" s="438"/>
      <c r="G4" s="438"/>
      <c r="H4" s="438"/>
      <c r="I4" s="438"/>
    </row>
    <row r="5" spans="1:9" ht="12">
      <c r="A5" s="1" t="s">
        <v>336</v>
      </c>
      <c r="B5" s="119">
        <f>'scenarios - existing roads'!J44</f>
        <v>6.0143867187709565</v>
      </c>
      <c r="C5" s="119">
        <f>'scenarios - existing roads'!K44</f>
        <v>11.591329687060654</v>
      </c>
      <c r="D5" s="119">
        <f>'scenarios - existing roads'!L44</f>
        <v>13.082709832339104</v>
      </c>
      <c r="E5" s="119">
        <f>'scenarios - existing roads'!M44</f>
        <v>15.511421043823312</v>
      </c>
      <c r="F5" s="438"/>
      <c r="G5" s="438"/>
      <c r="H5" s="438"/>
      <c r="I5" s="438"/>
    </row>
    <row r="6" spans="1:9" ht="12">
      <c r="A6" s="1" t="s">
        <v>337</v>
      </c>
      <c r="B6" s="119">
        <f>'scenarios - existing roads'!R44</f>
        <v>1.9494780655863932</v>
      </c>
      <c r="C6" s="119">
        <f>'scenarios - existing roads'!S44</f>
        <v>3.557272772925951</v>
      </c>
      <c r="D6" s="119">
        <f>'scenarios - existing roads'!T44</f>
        <v>7.508596738824777</v>
      </c>
      <c r="E6" s="119">
        <f>'scenarios - existing roads'!U44</f>
        <v>10.12326481834339</v>
      </c>
      <c r="F6" s="438"/>
      <c r="G6" s="438"/>
      <c r="H6" s="438"/>
      <c r="I6" s="438"/>
    </row>
    <row r="7" spans="2:6" ht="12">
      <c r="B7" s="71" t="s">
        <v>61</v>
      </c>
      <c r="C7" s="71" t="s">
        <v>63</v>
      </c>
      <c r="D7" s="71" t="s">
        <v>62</v>
      </c>
      <c r="E7" s="71" t="s">
        <v>64</v>
      </c>
      <c r="F7" s="1" t="s">
        <v>441</v>
      </c>
    </row>
    <row r="8" spans="1:9" ht="12">
      <c r="A8" s="1" t="s">
        <v>335</v>
      </c>
      <c r="B8" s="119">
        <f>'scenarios - existing roads'!I57</f>
        <v>2.7240845057318097</v>
      </c>
      <c r="C8" s="119">
        <f>'scenarios - existing roads'!I71</f>
        <v>9.546448812692383</v>
      </c>
      <c r="D8" s="119">
        <f>'scenarios - existing roads'!I85</f>
        <v>12.828853675173319</v>
      </c>
      <c r="E8" s="119">
        <f>'scenarios - existing roads'!I99</f>
        <v>13.851695897575556</v>
      </c>
      <c r="F8" s="438"/>
      <c r="G8" s="438"/>
      <c r="H8" s="438"/>
      <c r="I8" s="438"/>
    </row>
    <row r="9" spans="1:9" ht="12">
      <c r="A9" s="1" t="s">
        <v>336</v>
      </c>
      <c r="B9" s="119">
        <f>'scenarios - existing roads'!I113</f>
        <v>2.7240845057318097</v>
      </c>
      <c r="C9" s="119">
        <f>'scenarios - existing roads'!I127</f>
        <v>8.694742992348287</v>
      </c>
      <c r="D9" s="119">
        <f>'scenarios - existing roads'!I141</f>
        <v>11.061893536286378</v>
      </c>
      <c r="E9" s="119">
        <f>'scenarios - existing roads'!I155</f>
        <v>12.475670849706976</v>
      </c>
      <c r="F9" s="438"/>
      <c r="G9" s="438"/>
      <c r="H9" s="438"/>
      <c r="I9" s="438"/>
    </row>
    <row r="10" spans="1:9" ht="12">
      <c r="A10" s="1" t="s">
        <v>337</v>
      </c>
      <c r="B10" s="119">
        <f>'scenarios - existing roads'!I169</f>
        <v>1.4146551803435423</v>
      </c>
      <c r="C10" s="119">
        <f>'scenarios - existing roads'!I183</f>
        <v>3.579216847113763</v>
      </c>
      <c r="D10" s="119">
        <f>'scenarios - existing roads'!I196</f>
        <v>7.5011558419550735</v>
      </c>
      <c r="E10" s="119">
        <f>'scenarios - existing roads'!I210</f>
        <v>9.626829899641269</v>
      </c>
      <c r="F10" s="438"/>
      <c r="G10" s="438"/>
      <c r="H10" s="438"/>
      <c r="I10" s="438"/>
    </row>
    <row r="12" s="75" customFormat="1" ht="12">
      <c r="A12" s="54" t="s">
        <v>14</v>
      </c>
    </row>
    <row r="13" spans="2:7" ht="12">
      <c r="B13" s="84" t="s">
        <v>11</v>
      </c>
      <c r="C13" s="84" t="s">
        <v>11</v>
      </c>
      <c r="D13" s="84" t="s">
        <v>11</v>
      </c>
      <c r="E13" s="84" t="s">
        <v>12</v>
      </c>
      <c r="F13" s="84" t="s">
        <v>12</v>
      </c>
      <c r="G13" s="84" t="s">
        <v>12</v>
      </c>
    </row>
    <row r="14" spans="1:7" ht="10.5" customHeight="1">
      <c r="A14" s="1" t="s">
        <v>335</v>
      </c>
      <c r="B14" s="119">
        <f>'scenarios - new roads'!E56</f>
        <v>58.32507102420979</v>
      </c>
      <c r="C14" s="119">
        <f>'scenarios - new roads'!M56</f>
        <v>56.796647054876935</v>
      </c>
      <c r="D14" s="119">
        <f>'scenarios - new roads'!I56</f>
        <v>55.78619490191512</v>
      </c>
      <c r="E14" s="119">
        <f>'scenarios - new roads'!E69</f>
        <v>23.941638290290513</v>
      </c>
      <c r="F14" s="119">
        <f>'scenarios - new roads'!M69</f>
        <v>23.441534171069396</v>
      </c>
      <c r="G14" s="119">
        <f>'scenarios - new roads'!I69</f>
        <v>21.74122441667256</v>
      </c>
    </row>
    <row r="15" spans="1:7" ht="10.5" customHeight="1">
      <c r="A15" s="1" t="s">
        <v>336</v>
      </c>
      <c r="B15" s="119">
        <f>'scenarios - new roads'!E83</f>
        <v>50.08628167796281</v>
      </c>
      <c r="C15" s="119">
        <f>'scenarios - new roads'!M83</f>
        <v>48.0041352434796</v>
      </c>
      <c r="D15" s="119">
        <f>'scenarios - new roads'!I83</f>
        <v>47.547405555668135</v>
      </c>
      <c r="E15" s="119">
        <f>'scenarios - new roads'!E96</f>
        <v>20.148030542106497</v>
      </c>
      <c r="F15" s="119">
        <f>'scenarios - new roads'!M96</f>
        <v>18.6513903237322</v>
      </c>
      <c r="G15" s="119">
        <f>'scenarios - new roads'!I96</f>
        <v>17.947616668488543</v>
      </c>
    </row>
    <row r="16" spans="1:7" ht="10.5" customHeight="1">
      <c r="A16" s="1" t="s">
        <v>337</v>
      </c>
      <c r="B16" s="119">
        <f>'scenarios - new roads'!E111</f>
        <v>39.58343454206961</v>
      </c>
      <c r="C16" s="119">
        <f>'scenarios - new roads'!M111</f>
        <v>39.61582816932982</v>
      </c>
      <c r="D16" s="119">
        <f>'scenarios - new roads'!I111</f>
        <v>39.23609122760913</v>
      </c>
      <c r="E16" s="119">
        <f>'scenarios - new roads'!E124</f>
        <v>13.990384826539884</v>
      </c>
      <c r="F16" s="119">
        <f>'scenarios - new roads'!M124</f>
        <v>14.84330315666198</v>
      </c>
      <c r="G16" s="119">
        <f>'scenarios - new roads'!I124</f>
        <v>13.656842332609992</v>
      </c>
    </row>
    <row r="17" spans="2:7" ht="10.5" customHeight="1">
      <c r="B17" s="1">
        <v>70</v>
      </c>
      <c r="C17" s="1" t="s">
        <v>15</v>
      </c>
      <c r="D17" s="1" t="s">
        <v>16</v>
      </c>
      <c r="E17" s="1">
        <v>70</v>
      </c>
      <c r="F17" s="1" t="s">
        <v>15</v>
      </c>
      <c r="G17" s="1" t="s">
        <v>16</v>
      </c>
    </row>
    <row r="18" ht="10.5" customHeight="1">
      <c r="A18" s="1" t="s">
        <v>335</v>
      </c>
    </row>
    <row r="19" ht="10.5" customHeight="1">
      <c r="A19" s="1" t="s">
        <v>336</v>
      </c>
    </row>
    <row r="20" ht="10.5" customHeight="1">
      <c r="A20" s="1" t="s">
        <v>337</v>
      </c>
    </row>
    <row r="21" ht="10.5" customHeight="1"/>
    <row r="22" ht="10.5" customHeight="1">
      <c r="A22" s="1" t="s">
        <v>335</v>
      </c>
    </row>
    <row r="23" ht="10.5" customHeight="1">
      <c r="A23" s="1" t="s">
        <v>336</v>
      </c>
    </row>
    <row r="24" ht="10.5" customHeight="1">
      <c r="A24" s="1" t="s">
        <v>337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125" zoomScaleNormal="125" workbookViewId="0" topLeftCell="A1">
      <selection activeCell="I12" sqref="I12"/>
    </sheetView>
  </sheetViews>
  <sheetFormatPr defaultColWidth="9.00390625" defaultRowHeight="12"/>
  <cols>
    <col min="1" max="1" width="29.25390625" style="14" customWidth="1"/>
    <col min="2" max="2" width="7.25390625" style="2" customWidth="1"/>
    <col min="3" max="4" width="7.375" style="1" customWidth="1"/>
    <col min="5" max="5" width="11.125" style="13" customWidth="1"/>
    <col min="6" max="6" width="7.25390625" style="1" customWidth="1"/>
    <col min="7" max="16384" width="10.875" style="1" customWidth="1"/>
  </cols>
  <sheetData>
    <row r="1" spans="1:6" ht="12.75" thickBot="1">
      <c r="A1" s="542" t="s">
        <v>46</v>
      </c>
      <c r="B1" s="542"/>
      <c r="C1" s="542"/>
      <c r="D1" s="542"/>
      <c r="E1" s="542"/>
      <c r="F1" s="437"/>
    </row>
    <row r="2" spans="1:9" ht="12">
      <c r="A2" s="413"/>
      <c r="B2" s="543" t="s">
        <v>455</v>
      </c>
      <c r="C2" s="543" t="s">
        <v>710</v>
      </c>
      <c r="D2" s="543" t="s">
        <v>588</v>
      </c>
      <c r="E2" s="515" t="s">
        <v>454</v>
      </c>
      <c r="F2" s="537" t="s">
        <v>104</v>
      </c>
      <c r="G2" s="1" t="s">
        <v>105</v>
      </c>
      <c r="H2" s="439" t="s">
        <v>38</v>
      </c>
      <c r="I2" s="134">
        <v>1.195</v>
      </c>
    </row>
    <row r="3" spans="1:6" ht="12">
      <c r="A3" s="63"/>
      <c r="B3" s="544"/>
      <c r="C3" s="544"/>
      <c r="D3" s="544"/>
      <c r="E3" s="538"/>
      <c r="F3" s="538"/>
    </row>
    <row r="4" spans="1:6" ht="12">
      <c r="A4" s="409" t="s">
        <v>663</v>
      </c>
      <c r="B4" s="414">
        <f>'scenarios - parking lots'!D113</f>
        <v>17.001335151515153</v>
      </c>
      <c r="C4" s="415">
        <f>'scenarios - parking lots'!D114</f>
        <v>14.036737409500198</v>
      </c>
      <c r="D4" s="415">
        <f>'scenarios - parking lots'!D115</f>
        <v>0</v>
      </c>
      <c r="E4" s="416">
        <f>'scenarios - parking lots'!D116</f>
        <v>31.03807256101535</v>
      </c>
      <c r="F4" s="14"/>
    </row>
    <row r="5" spans="1:6" ht="12">
      <c r="A5" s="410" t="s">
        <v>664</v>
      </c>
      <c r="B5" s="417">
        <f>'scenarios - parking lots'!G113</f>
        <v>17.001335151515153</v>
      </c>
      <c r="C5" s="418">
        <f>'scenarios - parking lots'!G114</f>
        <v>7.889950622116505</v>
      </c>
      <c r="D5" s="418">
        <f>'scenarios - parking lots'!G115</f>
        <v>0</v>
      </c>
      <c r="E5" s="419">
        <f>'scenarios - parking lots'!G116</f>
        <v>24.891285773631658</v>
      </c>
      <c r="F5" s="14"/>
    </row>
    <row r="6" spans="1:6" ht="12">
      <c r="A6" s="63" t="s">
        <v>665</v>
      </c>
      <c r="B6" s="420">
        <f>'scenarios - parking lots'!J113</f>
        <v>17.001335151515153</v>
      </c>
      <c r="C6" s="421">
        <f>'scenarios - parking lots'!J114</f>
        <v>7.7836429429864635</v>
      </c>
      <c r="D6" s="421">
        <f>'scenarios - parking lots'!J115</f>
        <v>0</v>
      </c>
      <c r="E6" s="422">
        <f>'scenarios - parking lots'!J116</f>
        <v>24.784978094501618</v>
      </c>
      <c r="F6" s="14"/>
    </row>
    <row r="7" spans="1:6" ht="12">
      <c r="A7" s="409" t="s">
        <v>666</v>
      </c>
      <c r="B7" s="414">
        <f>'scenarios - parking lots'!D134</f>
        <v>17.73247181818182</v>
      </c>
      <c r="C7" s="415">
        <f>'scenarios - parking lots'!D135</f>
        <v>6.187383256403935</v>
      </c>
      <c r="D7" s="415">
        <f>'scenarios - parking lots'!D136</f>
        <v>0</v>
      </c>
      <c r="E7" s="416">
        <f>'scenarios - parking lots'!D137</f>
        <v>23.919855074585755</v>
      </c>
      <c r="F7" s="415">
        <f>E7-E4</f>
        <v>-7.118217486429597</v>
      </c>
    </row>
    <row r="8" spans="1:6" ht="12">
      <c r="A8" s="410" t="s">
        <v>667</v>
      </c>
      <c r="B8" s="417">
        <f>'scenarios - parking lots'!G134</f>
        <v>17.73247181818182</v>
      </c>
      <c r="C8" s="418">
        <f>'scenarios - parking lots'!G135</f>
        <v>5.081454171180556</v>
      </c>
      <c r="D8" s="418">
        <f>'scenarios - parking lots'!G136</f>
        <v>0</v>
      </c>
      <c r="E8" s="419">
        <f>'scenarios - parking lots'!G137</f>
        <v>22.813925989362378</v>
      </c>
      <c r="F8" s="418">
        <f>E8-E5</f>
        <v>-2.07735978426928</v>
      </c>
    </row>
    <row r="9" spans="1:6" ht="12">
      <c r="A9" s="63" t="s">
        <v>668</v>
      </c>
      <c r="B9" s="420">
        <f>'scenarios - parking lots'!J134</f>
        <v>17.73247181818182</v>
      </c>
      <c r="C9" s="421">
        <f>'scenarios - parking lots'!J135</f>
        <v>4.391215982573457</v>
      </c>
      <c r="D9" s="421">
        <f>'scenarios - parking lots'!J136</f>
        <v>0</v>
      </c>
      <c r="E9" s="422">
        <f>'scenarios - parking lots'!J137</f>
        <v>22.123687800755278</v>
      </c>
      <c r="F9" s="421">
        <f>E9-E6</f>
        <v>-2.6612902937463403</v>
      </c>
    </row>
    <row r="10" spans="1:6" ht="12">
      <c r="A10" s="409" t="s">
        <v>34</v>
      </c>
      <c r="B10" s="414">
        <f>'scenarios - parking lots'!D179</f>
        <v>34.757994</v>
      </c>
      <c r="C10" s="415">
        <f>'scenarios - parking lots'!D180</f>
        <v>6.224306577096798</v>
      </c>
      <c r="D10" s="415">
        <f>'scenarios - parking lots'!D181</f>
        <v>0</v>
      </c>
      <c r="E10" s="416">
        <f>'scenarios - parking lots'!D182</f>
        <v>40.982300577096794</v>
      </c>
      <c r="F10" s="436">
        <f>E10-$E5</f>
        <v>16.091014803465136</v>
      </c>
    </row>
    <row r="11" spans="1:6" ht="12">
      <c r="A11" s="410" t="s">
        <v>35</v>
      </c>
      <c r="B11" s="417">
        <f>'scenarios - parking lots'!G179</f>
        <v>42.49547826086957</v>
      </c>
      <c r="C11" s="418">
        <f>'scenarios - parking lots'!G180</f>
        <v>6.224306577096798</v>
      </c>
      <c r="D11" s="418">
        <f>'scenarios - parking lots'!G181</f>
        <v>0</v>
      </c>
      <c r="E11" s="419">
        <f>'scenarios - parking lots'!G182</f>
        <v>48.719784837966365</v>
      </c>
      <c r="F11" s="436">
        <f>E11-$E6</f>
        <v>23.934806743464748</v>
      </c>
    </row>
    <row r="12" spans="1:6" ht="12">
      <c r="A12" s="63" t="s">
        <v>36</v>
      </c>
      <c r="B12" s="417">
        <f>'scenarios - parking lots'!J179</f>
        <v>34.789254</v>
      </c>
      <c r="C12" s="421">
        <f>'scenarios - parking lots'!J180</f>
        <v>6.224306577096798</v>
      </c>
      <c r="D12" s="421">
        <f>'scenarios - parking lots'!J181</f>
        <v>0</v>
      </c>
      <c r="E12" s="422">
        <f>'scenarios - parking lots'!J182</f>
        <v>41.0135605770968</v>
      </c>
      <c r="F12" s="436">
        <f>E12-$E7</f>
        <v>17.093705502511042</v>
      </c>
    </row>
    <row r="13" spans="1:6" ht="12">
      <c r="A13" s="411" t="s">
        <v>645</v>
      </c>
      <c r="B13" s="423">
        <f>'scenarios - parking lots'!D196</f>
        <v>27.092000000000002</v>
      </c>
      <c r="C13" s="424">
        <f>'scenarios - parking lots'!D197</f>
        <v>5.027015559164865</v>
      </c>
      <c r="D13" s="424">
        <f>'scenarios - parking lots'!D198</f>
        <v>0</v>
      </c>
      <c r="E13" s="425">
        <f>'scenarios - parking lots'!D199</f>
        <v>32.119015559164865</v>
      </c>
      <c r="F13" s="424">
        <f>E13-E5</f>
        <v>7.2277297855332066</v>
      </c>
    </row>
    <row r="14" spans="1:6" ht="12">
      <c r="A14" s="409" t="s">
        <v>646</v>
      </c>
      <c r="B14" s="414">
        <f>'scenarios - parking lots'!K218</f>
        <v>23.169975151515153</v>
      </c>
      <c r="C14" s="415">
        <f>'scenarios - parking lots'!K219</f>
        <v>15.1548517414472</v>
      </c>
      <c r="D14" s="415">
        <f>'scenarios - parking lots'!K220</f>
        <v>0</v>
      </c>
      <c r="E14" s="416">
        <f>'scenarios - parking lots'!K221</f>
        <v>38.32482689296235</v>
      </c>
      <c r="F14" s="436">
        <f>E14-E$4</f>
        <v>7.286754331946998</v>
      </c>
    </row>
    <row r="15" spans="1:6" ht="12">
      <c r="A15" s="410" t="s">
        <v>647</v>
      </c>
      <c r="B15" s="417">
        <f>'scenarios - parking lots'!J218</f>
        <v>23.169975151515153</v>
      </c>
      <c r="C15" s="418">
        <f>'scenarios - parking lots'!J219</f>
        <v>13.022457633566237</v>
      </c>
      <c r="D15" s="418">
        <f>'scenarios - parking lots'!J220</f>
        <v>0</v>
      </c>
      <c r="E15" s="419">
        <f>'scenarios - parking lots'!J221</f>
        <v>36.192432785081394</v>
      </c>
      <c r="F15" s="436">
        <f>E15-E$4</f>
        <v>5.154360224066043</v>
      </c>
    </row>
    <row r="16" spans="1:6" ht="12">
      <c r="A16" s="410" t="s">
        <v>45</v>
      </c>
      <c r="B16" s="417">
        <f>'scenarios - parking lots'!K240</f>
        <v>23.169975151515153</v>
      </c>
      <c r="C16" s="418">
        <f>'scenarios - parking lots'!K241</f>
        <v>12.453731303057396</v>
      </c>
      <c r="D16" s="418">
        <f>'scenarios - parking lots'!K242</f>
        <v>0</v>
      </c>
      <c r="E16" s="419">
        <f>'scenarios - parking lots'!K243</f>
        <v>35.62370645457255</v>
      </c>
      <c r="F16" s="436">
        <f>E16-E$5</f>
        <v>10.73242068094089</v>
      </c>
    </row>
    <row r="17" spans="1:6" ht="12">
      <c r="A17" s="410" t="s">
        <v>658</v>
      </c>
      <c r="B17" s="417">
        <f>'scenarios - parking lots'!J240</f>
        <v>23.169975151515153</v>
      </c>
      <c r="C17" s="418">
        <f>'scenarios - parking lots'!J241</f>
        <v>12.052544986650483</v>
      </c>
      <c r="D17" s="418">
        <f>'scenarios - parking lots'!J242</f>
        <v>0</v>
      </c>
      <c r="E17" s="419">
        <f>'scenarios - parking lots'!J243</f>
        <v>35.222520138165635</v>
      </c>
      <c r="F17" s="436">
        <f>E17-E$5</f>
        <v>10.331234364533977</v>
      </c>
    </row>
    <row r="18" spans="1:6" ht="12">
      <c r="A18" s="410" t="s">
        <v>662</v>
      </c>
      <c r="B18" s="417">
        <f>'scenarios - parking lots'!K262</f>
        <v>23.169975151515153</v>
      </c>
      <c r="C18" s="418">
        <f>'scenarios - parking lots'!K263</f>
        <v>11.164703996552458</v>
      </c>
      <c r="D18" s="418">
        <f>'scenarios - parking lots'!K264</f>
        <v>0</v>
      </c>
      <c r="E18" s="419">
        <f>'scenarios - parking lots'!K265</f>
        <v>34.33467914806761</v>
      </c>
      <c r="F18" s="436">
        <f>E18-E$6</f>
        <v>9.54970105356599</v>
      </c>
    </row>
    <row r="19" spans="1:6" ht="12.75" thickBot="1">
      <c r="A19" s="412" t="s">
        <v>661</v>
      </c>
      <c r="B19" s="426">
        <f>'scenarios - parking lots'!J262</f>
        <v>23.169975151515153</v>
      </c>
      <c r="C19" s="427">
        <f>'scenarios - parking lots'!J263</f>
        <v>11.164703996552458</v>
      </c>
      <c r="D19" s="427">
        <f>'scenarios - parking lots'!J264</f>
        <v>0</v>
      </c>
      <c r="E19" s="428">
        <f>'scenarios - parking lots'!J265</f>
        <v>34.33467914806761</v>
      </c>
      <c r="F19" s="427">
        <f>E19-E$6</f>
        <v>9.54970105356599</v>
      </c>
    </row>
    <row r="21" spans="1:5" ht="12.75" thickBot="1">
      <c r="A21" s="542" t="s">
        <v>47</v>
      </c>
      <c r="B21" s="542"/>
      <c r="C21" s="542"/>
      <c r="D21" s="542"/>
      <c r="E21" s="542"/>
    </row>
    <row r="22" spans="1:7" ht="12">
      <c r="A22" s="413"/>
      <c r="B22" s="543" t="s">
        <v>455</v>
      </c>
      <c r="C22" s="543" t="s">
        <v>710</v>
      </c>
      <c r="D22" s="543" t="s">
        <v>588</v>
      </c>
      <c r="E22" s="515" t="s">
        <v>454</v>
      </c>
      <c r="G22" s="1" t="s">
        <v>105</v>
      </c>
    </row>
    <row r="23" spans="1:5" ht="12">
      <c r="A23" s="63"/>
      <c r="B23" s="544"/>
      <c r="C23" s="544"/>
      <c r="D23" s="544"/>
      <c r="E23" s="538"/>
    </row>
    <row r="24" spans="1:5" ht="12">
      <c r="A24" s="409" t="s">
        <v>670</v>
      </c>
      <c r="B24" s="414">
        <f>'scenarios - parking lots'!D305</f>
        <v>23.565935151515156</v>
      </c>
      <c r="C24" s="415">
        <f>'scenarios - parking lots'!D306</f>
        <v>7.703026361771202</v>
      </c>
      <c r="D24" s="415">
        <f>'scenarios - parking lots'!D307</f>
        <v>0</v>
      </c>
      <c r="E24" s="416">
        <f>'scenarios - parking lots'!D308</f>
        <v>31.268961513286357</v>
      </c>
    </row>
    <row r="25" spans="1:5" ht="12">
      <c r="A25" s="410" t="s">
        <v>671</v>
      </c>
      <c r="B25" s="417">
        <f>'scenarios - parking lots'!G305</f>
        <v>23.565935151515156</v>
      </c>
      <c r="C25" s="418">
        <f>'scenarios - parking lots'!G306</f>
        <v>4.442654914860046</v>
      </c>
      <c r="D25" s="418">
        <f>'scenarios - parking lots'!G307</f>
        <v>0</v>
      </c>
      <c r="E25" s="419">
        <f>'scenarios - parking lots'!G308</f>
        <v>28.008590066375202</v>
      </c>
    </row>
    <row r="26" spans="1:5" ht="12">
      <c r="A26" s="63" t="s">
        <v>672</v>
      </c>
      <c r="B26" s="420">
        <f>'scenarios - parking lots'!J305</f>
        <v>23.565935151515156</v>
      </c>
      <c r="C26" s="421">
        <f>'scenarios - parking lots'!J306</f>
        <v>4.210063498905498</v>
      </c>
      <c r="D26" s="421">
        <f>'scenarios - parking lots'!J307</f>
        <v>0</v>
      </c>
      <c r="E26" s="422">
        <f>'scenarios - parking lots'!J308</f>
        <v>27.775998650420654</v>
      </c>
    </row>
    <row r="27" spans="1:5" ht="12.75" thickBot="1">
      <c r="A27" s="412" t="s">
        <v>392</v>
      </c>
      <c r="B27" s="426">
        <f>'scenarios - parking lots'!N305</f>
        <v>15.898038316633267</v>
      </c>
      <c r="C27" s="427">
        <f>'scenarios - parking lots'!N306</f>
        <v>2.3550570674229174</v>
      </c>
      <c r="D27" s="427">
        <f>'scenarios - parking lots'!N307</f>
        <v>0</v>
      </c>
      <c r="E27" s="428">
        <f>'scenarios - parking lots'!N308</f>
        <v>18.253095384056184</v>
      </c>
    </row>
    <row r="29" spans="1:6" ht="12.75" thickBot="1">
      <c r="A29" s="542" t="s">
        <v>49</v>
      </c>
      <c r="B29" s="542"/>
      <c r="C29" s="542"/>
      <c r="D29" s="542"/>
      <c r="E29" s="542"/>
      <c r="F29" s="437"/>
    </row>
    <row r="30" spans="1:7" ht="12">
      <c r="A30" s="413"/>
      <c r="B30" s="543" t="s">
        <v>455</v>
      </c>
      <c r="C30" s="543" t="s">
        <v>710</v>
      </c>
      <c r="D30" s="543" t="s">
        <v>588</v>
      </c>
      <c r="E30" s="515" t="s">
        <v>454</v>
      </c>
      <c r="F30" s="539" t="s">
        <v>104</v>
      </c>
      <c r="G30" s="1" t="s">
        <v>105</v>
      </c>
    </row>
    <row r="31" spans="1:6" ht="12">
      <c r="A31" s="63"/>
      <c r="B31" s="544"/>
      <c r="C31" s="544"/>
      <c r="D31" s="544"/>
      <c r="E31" s="538"/>
      <c r="F31" s="539"/>
    </row>
    <row r="32" spans="1:6" ht="12">
      <c r="A32" s="409" t="s">
        <v>393</v>
      </c>
      <c r="B32" s="414">
        <f>'scenarios - existing roads'!E222</f>
        <v>6.529269266093347</v>
      </c>
      <c r="C32" s="417">
        <f>'scenarios - existing roads'!E223</f>
        <v>6.070461239303379</v>
      </c>
      <c r="D32" s="415">
        <f>'scenarios - existing roads'!E224</f>
        <v>1.075880910973796</v>
      </c>
      <c r="E32" s="416">
        <f>'scenarios - existing roads'!E225</f>
        <v>11.523849594422929</v>
      </c>
      <c r="F32" s="278"/>
    </row>
    <row r="33" spans="1:6" ht="12">
      <c r="A33" s="410" t="s">
        <v>18</v>
      </c>
      <c r="B33" s="418">
        <f>'scenarios - existing roads'!E235</f>
        <v>6.529269266093347</v>
      </c>
      <c r="C33" s="418">
        <f>'scenarios - existing roads'!E236</f>
        <v>3.7070585217629297</v>
      </c>
      <c r="D33" s="418">
        <f>'scenarios - existing roads'!E237</f>
        <v>0.2996958354335123</v>
      </c>
      <c r="E33" s="419">
        <f>'scenarios - existing roads'!E238</f>
        <v>9.936631952422763</v>
      </c>
      <c r="F33" s="7"/>
    </row>
    <row r="34" spans="1:6" ht="12">
      <c r="A34" s="63" t="s">
        <v>19</v>
      </c>
      <c r="B34" s="420">
        <f>'scenarios - existing roads'!E248</f>
        <v>5.189598480420807</v>
      </c>
      <c r="C34" s="421">
        <f>'scenarios - existing roads'!E249</f>
        <v>1.5485087500250443</v>
      </c>
      <c r="D34" s="421">
        <f>'scenarios - existing roads'!E250</f>
        <v>0</v>
      </c>
      <c r="E34" s="422">
        <f>'scenarios - existing roads'!E251</f>
        <v>6.738107230445852</v>
      </c>
      <c r="F34" s="11"/>
    </row>
    <row r="35" spans="1:10" ht="12">
      <c r="A35" s="409" t="s">
        <v>704</v>
      </c>
      <c r="B35" s="414">
        <f>'scenarios - existing roads'!L222</f>
        <v>6.529269266093347</v>
      </c>
      <c r="C35" s="415">
        <f>'scenarios - existing roads'!L223</f>
        <v>3.4836742542719317</v>
      </c>
      <c r="D35" s="415">
        <f>'scenarios - existing roads'!L224</f>
        <v>0.20104533083342738</v>
      </c>
      <c r="E35" s="416">
        <f>'scenarios - existing roads'!L225</f>
        <v>9.811898189531851</v>
      </c>
      <c r="F35" s="415">
        <f>E35-E$32</f>
        <v>-1.711951404891078</v>
      </c>
      <c r="I35" s="541" t="s">
        <v>65</v>
      </c>
      <c r="J35" s="541"/>
    </row>
    <row r="36" spans="1:10" ht="12">
      <c r="A36" s="410" t="s">
        <v>705</v>
      </c>
      <c r="B36" s="417">
        <f>'scenarios - existing roads'!K222</f>
        <v>6.529269266093347</v>
      </c>
      <c r="C36" s="418">
        <f>'scenarios - existing roads'!K223</f>
        <v>3.314047611595679</v>
      </c>
      <c r="D36" s="418">
        <f>'scenarios - existing roads'!K224</f>
        <v>0.5355169569689417</v>
      </c>
      <c r="E36" s="419">
        <f>'scenarios - existing roads'!K225</f>
        <v>9.307799920720083</v>
      </c>
      <c r="F36" s="418">
        <f>E36-E$32</f>
        <v>-2.2160496737028463</v>
      </c>
      <c r="I36" s="2" t="s">
        <v>322</v>
      </c>
      <c r="J36" s="2" t="s">
        <v>68</v>
      </c>
    </row>
    <row r="37" spans="1:10" ht="12">
      <c r="A37" s="410" t="s">
        <v>536</v>
      </c>
      <c r="B37" s="417">
        <f>'scenarios - existing roads'!L235</f>
        <v>6.529269266093347</v>
      </c>
      <c r="C37" s="418">
        <f>'scenarios - existing roads'!L236</f>
        <v>2.615837970569857</v>
      </c>
      <c r="D37" s="418">
        <f>'scenarios - existing roads'!L237</f>
        <v>1.3268391326602118</v>
      </c>
      <c r="E37" s="419">
        <f>'scenarios - existing roads'!L238</f>
        <v>7.818268104002993</v>
      </c>
      <c r="F37" s="418">
        <f>E37-E$33</f>
        <v>-2.1183638484197704</v>
      </c>
      <c r="H37" s="540" t="s">
        <v>335</v>
      </c>
      <c r="I37" s="435">
        <f>(E$32-E35)/E$32</f>
        <v>0.14855724997656966</v>
      </c>
      <c r="J37" s="435">
        <f>(E$32-E41)/E$32</f>
        <v>0.19718064177111044</v>
      </c>
    </row>
    <row r="38" spans="1:10" ht="12">
      <c r="A38" s="410" t="s">
        <v>537</v>
      </c>
      <c r="B38" s="417">
        <f>'scenarios - existing roads'!K235</f>
        <v>6.529269266093347</v>
      </c>
      <c r="C38" s="418">
        <f>'scenarios - existing roads'!K236</f>
        <v>2.435797227084109</v>
      </c>
      <c r="D38" s="418">
        <f>'scenarios - existing roads'!K237</f>
        <v>1.4094040537004768</v>
      </c>
      <c r="E38" s="419">
        <f>'scenarios - existing roads'!K238</f>
        <v>7.555662439476979</v>
      </c>
      <c r="F38" s="418">
        <f>E38-E$33</f>
        <v>-2.380969512945784</v>
      </c>
      <c r="H38" s="540"/>
      <c r="I38" s="435">
        <f>(E$32-E36)/E$32</f>
        <v>0.19230116251910503</v>
      </c>
      <c r="J38" s="435">
        <f>(E$32-E42)/E$32</f>
        <v>0.2563982713334797</v>
      </c>
    </row>
    <row r="39" spans="1:10" ht="12">
      <c r="A39" s="410" t="s">
        <v>538</v>
      </c>
      <c r="B39" s="417">
        <f>'scenarios - existing roads'!L248</f>
        <v>5.189598480420807</v>
      </c>
      <c r="C39" s="418">
        <f>'scenarios - existing roads'!L249</f>
        <v>1.2369697642098587</v>
      </c>
      <c r="D39" s="418">
        <f>'scenarios - existing roads'!L250</f>
        <v>0.35374042002676853</v>
      </c>
      <c r="E39" s="419">
        <f>'scenarios - existing roads'!L251</f>
        <v>6.072827824603897</v>
      </c>
      <c r="F39" s="418">
        <f>E39-E$34</f>
        <v>-0.6652794058419547</v>
      </c>
      <c r="H39" s="540" t="s">
        <v>336</v>
      </c>
      <c r="I39" s="435">
        <f>(E$33-E37)/E$33</f>
        <v>0.2131873112099385</v>
      </c>
      <c r="J39" s="435">
        <f>(E$33-E43)/E$33</f>
        <v>0.20645060460266546</v>
      </c>
    </row>
    <row r="40" spans="1:10" ht="12">
      <c r="A40" s="63" t="s">
        <v>539</v>
      </c>
      <c r="B40" s="420">
        <f>'scenarios - existing roads'!K248</f>
        <v>5.189598480420807</v>
      </c>
      <c r="C40" s="421">
        <f>'scenarios - existing roads'!K249</f>
        <v>1.160075746249905</v>
      </c>
      <c r="D40" s="421">
        <f>'scenarios - existing roads'!K250</f>
        <v>0.3870425744297354</v>
      </c>
      <c r="E40" s="422">
        <f>'scenarios - existing roads'!K251</f>
        <v>5.962631652240978</v>
      </c>
      <c r="F40" s="421">
        <f>E40-E$34</f>
        <v>-0.7754755782048743</v>
      </c>
      <c r="H40" s="540"/>
      <c r="I40" s="435">
        <f>(E$33-E38)/E$33</f>
        <v>0.2396153469652514</v>
      </c>
      <c r="J40" s="435">
        <f>(E$33-E44)/E$33</f>
        <v>0.23958847610751713</v>
      </c>
    </row>
    <row r="41" spans="1:10" ht="12">
      <c r="A41" s="410" t="s">
        <v>739</v>
      </c>
      <c r="B41" s="417">
        <f>'scenarios - existing roads'!L263</f>
        <v>7.192601402688487</v>
      </c>
      <c r="C41" s="418">
        <f>'scenarios - existing roads'!L264</f>
        <v>3.2453500995502242</v>
      </c>
      <c r="D41" s="418">
        <f>'scenarios - existing roads'!L265</f>
        <v>1.186381966517847</v>
      </c>
      <c r="E41" s="419">
        <f>'scenarios - existing roads'!L266</f>
        <v>9.251569535720865</v>
      </c>
      <c r="F41" s="436">
        <f>E41-E$32</f>
        <v>-2.272280058702064</v>
      </c>
      <c r="H41" s="540" t="s">
        <v>67</v>
      </c>
      <c r="I41" s="435">
        <f>(E$34-E39)/E$34</f>
        <v>0.09873387037177411</v>
      </c>
      <c r="J41" s="435">
        <f>(E$34-E45)/E$34</f>
        <v>0.04865073858221044</v>
      </c>
    </row>
    <row r="42" spans="1:10" ht="12">
      <c r="A42" s="410" t="s">
        <v>740</v>
      </c>
      <c r="B42" s="417">
        <f>'scenarios - existing roads'!K263</f>
        <v>7.192601402688487</v>
      </c>
      <c r="C42" s="418">
        <f>'scenarios - existing roads'!K264</f>
        <v>2.9580188281809994</v>
      </c>
      <c r="D42" s="418">
        <f>'scenarios - existing roads'!K265</f>
        <v>1.5814657515636168</v>
      </c>
      <c r="E42" s="419">
        <f>'scenarios - existing roads'!K266</f>
        <v>8.569154479305869</v>
      </c>
      <c r="F42" s="436">
        <f>E42-E$32</f>
        <v>-2.95469511511706</v>
      </c>
      <c r="H42" s="540"/>
      <c r="I42" s="435">
        <f>(E$34-E40)/E$34</f>
        <v>0.11508804352369473</v>
      </c>
      <c r="J42" s="435">
        <f>(E$34-E46)/E$34</f>
        <v>0.07131707922289951</v>
      </c>
    </row>
    <row r="43" spans="1:6" ht="12">
      <c r="A43" s="410" t="s">
        <v>741</v>
      </c>
      <c r="B43" s="417">
        <f>'scenarios - existing roads'!L276</f>
        <v>7.192601402688487</v>
      </c>
      <c r="C43" s="418">
        <f>'scenarios - existing roads'!L277</f>
        <v>2.432555012105845</v>
      </c>
      <c r="D43" s="418">
        <f>'scenarios - existing roads'!L278</f>
        <v>1.7399481366634135</v>
      </c>
      <c r="E43" s="419">
        <f>'scenarios - existing roads'!L279</f>
        <v>7.88520827813092</v>
      </c>
      <c r="F43" s="436">
        <f>E43-E$33</f>
        <v>-2.0514236742918435</v>
      </c>
    </row>
    <row r="44" spans="1:6" ht="12">
      <c r="A44" s="410" t="s">
        <v>738</v>
      </c>
      <c r="B44" s="417">
        <f>'scenarios - existing roads'!K276</f>
        <v>7.192601402688487</v>
      </c>
      <c r="C44" s="418">
        <f>'scenarios - existing roads'!K277</f>
        <v>0.42388271638071756</v>
      </c>
      <c r="D44" s="418">
        <f>'scenarios - existing roads'!K278</f>
        <v>0.06055467376867394</v>
      </c>
      <c r="E44" s="419">
        <f>'scenarios - existing roads'!K279</f>
        <v>7.555929445300531</v>
      </c>
      <c r="F44" s="436">
        <f>E44-E$33</f>
        <v>-2.3807025071222325</v>
      </c>
    </row>
    <row r="45" spans="1:6" ht="12">
      <c r="A45" s="410" t="s">
        <v>742</v>
      </c>
      <c r="B45" s="417">
        <f>'scenarios - existing roads'!L289</f>
        <v>5.852930617015948</v>
      </c>
      <c r="C45" s="418">
        <f>'scenarios - existing roads'!L290</f>
        <v>1.0649340117206032</v>
      </c>
      <c r="D45" s="418">
        <f>'scenarios - existing roads'!L291</f>
        <v>0.5075712916980225</v>
      </c>
      <c r="E45" s="419">
        <f>'scenarios - existing roads'!L292</f>
        <v>6.410293337038529</v>
      </c>
      <c r="F45" s="436">
        <f>E45-E$34</f>
        <v>-0.32781389340732314</v>
      </c>
    </row>
    <row r="46" spans="1:6" ht="12.75" thickBot="1">
      <c r="A46" s="412" t="s">
        <v>743</v>
      </c>
      <c r="B46" s="426">
        <f>'scenarios - existing roads'!K289</f>
        <v>5.852930617015948</v>
      </c>
      <c r="C46" s="427">
        <f>'scenarios - existing roads'!K290</f>
        <v>0.45521379704677983</v>
      </c>
      <c r="D46" s="427">
        <f>'scenarios - existing roads'!K291</f>
        <v>0.050579310782975534</v>
      </c>
      <c r="E46" s="428">
        <f>'scenarios - existing roads'!K292</f>
        <v>6.257565103279753</v>
      </c>
      <c r="F46" s="427">
        <f>E46-E$34</f>
        <v>-0.4805421271660988</v>
      </c>
    </row>
    <row r="48" spans="1:5" ht="12.75" thickBot="1">
      <c r="A48" s="542" t="s">
        <v>50</v>
      </c>
      <c r="B48" s="542"/>
      <c r="C48" s="542"/>
      <c r="D48" s="542"/>
      <c r="E48" s="542"/>
    </row>
    <row r="49" spans="1:7" ht="12">
      <c r="A49" s="413"/>
      <c r="B49" s="543" t="s">
        <v>455</v>
      </c>
      <c r="C49" s="543" t="s">
        <v>710</v>
      </c>
      <c r="D49" s="543" t="s">
        <v>588</v>
      </c>
      <c r="E49" s="515" t="s">
        <v>454</v>
      </c>
      <c r="G49" s="1" t="s">
        <v>105</v>
      </c>
    </row>
    <row r="50" spans="1:5" ht="12">
      <c r="A50" s="63"/>
      <c r="B50" s="544"/>
      <c r="C50" s="544"/>
      <c r="D50" s="544"/>
      <c r="E50" s="538"/>
    </row>
    <row r="51" spans="1:5" ht="12">
      <c r="A51" s="410" t="s">
        <v>669</v>
      </c>
      <c r="B51" s="417">
        <f>'scenarios - existing roads'!E322</f>
        <v>9.610772203389832</v>
      </c>
      <c r="C51" s="418">
        <f>'scenarios - existing roads'!E323</f>
        <v>19.333913844247814</v>
      </c>
      <c r="D51" s="418">
        <f>'scenarios - existing roads'!E324</f>
        <v>0</v>
      </c>
      <c r="E51" s="419">
        <f>'scenarios - existing roads'!E325</f>
        <v>28.944686047637646</v>
      </c>
    </row>
    <row r="52" spans="1:5" ht="12.75" thickBot="1">
      <c r="A52" s="412" t="s">
        <v>392</v>
      </c>
      <c r="B52" s="426">
        <f>'scenarios - existing roads'!K322</f>
        <v>24.477416355051936</v>
      </c>
      <c r="C52" s="427">
        <f>'scenarios - existing roads'!K323</f>
        <v>3.3882984502867</v>
      </c>
      <c r="D52" s="427">
        <f>'scenarios - existing roads'!K324</f>
        <v>0</v>
      </c>
      <c r="E52" s="428">
        <f>'scenarios - existing roads'!K325</f>
        <v>27.865714805338637</v>
      </c>
    </row>
    <row r="54" spans="1:6" ht="12.75" thickBot="1">
      <c r="A54" s="542" t="s">
        <v>51</v>
      </c>
      <c r="B54" s="542"/>
      <c r="C54" s="542"/>
      <c r="D54" s="542"/>
      <c r="E54" s="542"/>
      <c r="F54" s="437"/>
    </row>
    <row r="55" spans="1:7" ht="12">
      <c r="A55" s="413"/>
      <c r="B55" s="543" t="s">
        <v>455</v>
      </c>
      <c r="C55" s="543" t="s">
        <v>710</v>
      </c>
      <c r="D55" s="543" t="s">
        <v>588</v>
      </c>
      <c r="E55" s="515" t="s">
        <v>454</v>
      </c>
      <c r="F55" s="539" t="s">
        <v>104</v>
      </c>
      <c r="G55" s="1" t="s">
        <v>105</v>
      </c>
    </row>
    <row r="56" spans="1:6" ht="12">
      <c r="A56" s="63"/>
      <c r="B56" s="544"/>
      <c r="C56" s="544"/>
      <c r="D56" s="544"/>
      <c r="E56" s="538"/>
      <c r="F56" s="539"/>
    </row>
    <row r="57" spans="1:6" ht="12">
      <c r="A57" s="409" t="s">
        <v>393</v>
      </c>
      <c r="B57" s="414">
        <f>'scenarios - new roads'!E235</f>
        <v>49.593832094848466</v>
      </c>
      <c r="C57" s="415">
        <f>'scenarios - new roads'!E236</f>
        <v>2.1816123166489048</v>
      </c>
      <c r="D57" s="415">
        <f>'scenarios - new roads'!E237</f>
        <v>0.7563873156510175</v>
      </c>
      <c r="E57" s="416">
        <f>'scenarios - new roads'!E238</f>
        <v>51.01905709584635</v>
      </c>
      <c r="F57" s="409"/>
    </row>
    <row r="58" spans="1:6" ht="12">
      <c r="A58" s="410" t="s">
        <v>18</v>
      </c>
      <c r="B58" s="417">
        <f>'scenarios - new roads'!E263</f>
        <v>42.19312649244385</v>
      </c>
      <c r="C58" s="418">
        <f>'scenarios - new roads'!E264</f>
        <v>2.0560699249091945</v>
      </c>
      <c r="D58" s="418">
        <f>'scenarios - new roads'!E265</f>
        <v>1.1282404486411874</v>
      </c>
      <c r="E58" s="419">
        <f>'scenarios - new roads'!E266</f>
        <v>43.12095596871186</v>
      </c>
      <c r="F58" s="410"/>
    </row>
    <row r="59" spans="1:6" ht="12">
      <c r="A59" s="63" t="s">
        <v>19</v>
      </c>
      <c r="B59" s="420">
        <f>'scenarios - new roads'!E292</f>
        <v>34.792420890039246</v>
      </c>
      <c r="C59" s="421">
        <f>'scenarios - new roads'!E293</f>
        <v>1.9769903124126866</v>
      </c>
      <c r="D59" s="421">
        <f>'scenarios - new roads'!E294</f>
        <v>1.1834690020711753</v>
      </c>
      <c r="E59" s="422">
        <f>'scenarios - new roads'!E295</f>
        <v>35.58594220038076</v>
      </c>
      <c r="F59" s="63"/>
    </row>
    <row r="60" spans="1:6" ht="12">
      <c r="A60" s="409" t="s">
        <v>20</v>
      </c>
      <c r="B60" s="414">
        <f>'scenarios - new roads'!E135</f>
        <v>43.90988</v>
      </c>
      <c r="C60" s="415">
        <f>'scenarios - new roads'!E136</f>
        <v>9.300302792752131</v>
      </c>
      <c r="D60" s="415">
        <f>'scenarios - new roads'!E137</f>
        <v>5.488735</v>
      </c>
      <c r="E60" s="416">
        <f>'scenarios - new roads'!E138</f>
        <v>47.72144779275214</v>
      </c>
      <c r="F60" s="436"/>
    </row>
    <row r="61" spans="1:6" ht="12">
      <c r="A61" s="410" t="s">
        <v>32</v>
      </c>
      <c r="B61" s="417">
        <f>'scenarios - new roads'!I135</f>
        <v>41.304880000000004</v>
      </c>
      <c r="C61" s="418">
        <f>'scenarios - new roads'!I136</f>
        <v>4.223691471906319</v>
      </c>
      <c r="D61" s="418">
        <f>'scenarios - new roads'!I137</f>
        <v>5.1631100000000005</v>
      </c>
      <c r="E61" s="419">
        <f>'scenarios - new roads'!I138</f>
        <v>40.36546147190632</v>
      </c>
      <c r="F61" s="436"/>
    </row>
    <row r="62" spans="1:6" ht="12">
      <c r="A62" s="63" t="s">
        <v>33</v>
      </c>
      <c r="B62" s="420">
        <f>'scenarios - new roads'!M135</f>
        <v>38.17888000000001</v>
      </c>
      <c r="C62" s="421">
        <f>'scenarios - new roads'!M136</f>
        <v>0</v>
      </c>
      <c r="D62" s="421">
        <f>'scenarios - new roads'!M137</f>
        <v>4.772360000000001</v>
      </c>
      <c r="E62" s="422">
        <f>'scenarios - new roads'!M138</f>
        <v>33.40652000000001</v>
      </c>
      <c r="F62" s="436"/>
    </row>
    <row r="63" spans="1:10" ht="12">
      <c r="A63" s="409" t="s">
        <v>704</v>
      </c>
      <c r="B63" s="414">
        <f>'scenarios - new roads'!L150</f>
        <v>49.593832094848466</v>
      </c>
      <c r="C63" s="415">
        <f>'scenarios - new roads'!L151</f>
        <v>0</v>
      </c>
      <c r="D63" s="415">
        <f>'scenarios - new roads'!L152</f>
        <v>0</v>
      </c>
      <c r="E63" s="416">
        <f>'scenarios - new roads'!L153</f>
        <v>49.593832094848466</v>
      </c>
      <c r="F63" s="415">
        <f>E63-E$57</f>
        <v>-1.4252250009978837</v>
      </c>
      <c r="I63" s="541" t="s">
        <v>65</v>
      </c>
      <c r="J63" s="541"/>
    </row>
    <row r="64" spans="1:10" ht="12">
      <c r="A64" s="410" t="s">
        <v>705</v>
      </c>
      <c r="B64" s="417">
        <f>'scenarios - new roads'!K150</f>
        <v>49.593832094848466</v>
      </c>
      <c r="C64" s="418">
        <f>'scenarios - new roads'!K151</f>
        <v>0</v>
      </c>
      <c r="D64" s="418">
        <f>'scenarios - new roads'!K152</f>
        <v>5.08654688152292</v>
      </c>
      <c r="E64" s="419">
        <f>'scenarios - new roads'!K153</f>
        <v>44.507285213325545</v>
      </c>
      <c r="F64" s="418">
        <f>E64-E$57</f>
        <v>-6.511771882520804</v>
      </c>
      <c r="I64" s="2" t="s">
        <v>322</v>
      </c>
      <c r="J64" s="2" t="s">
        <v>66</v>
      </c>
    </row>
    <row r="65" spans="1:10" ht="12">
      <c r="A65" s="410" t="s">
        <v>536</v>
      </c>
      <c r="B65" s="417">
        <f>'scenarios - new roads'!L178</f>
        <v>42.19312649244385</v>
      </c>
      <c r="C65" s="418">
        <f>'scenarios - new roads'!L179</f>
        <v>0</v>
      </c>
      <c r="D65" s="418">
        <f>'scenarios - new roads'!L180</f>
        <v>0</v>
      </c>
      <c r="E65" s="419">
        <f>'scenarios - new roads'!L181</f>
        <v>42.19312649244385</v>
      </c>
      <c r="F65" s="418">
        <f>E65-E$58</f>
        <v>-0.927829476268009</v>
      </c>
      <c r="H65" s="540" t="s">
        <v>335</v>
      </c>
      <c r="I65" s="435">
        <f>(E$57-E63)/E$57</f>
        <v>0.02793514976806415</v>
      </c>
      <c r="J65" s="435">
        <f>(E$57-E69)/E$57</f>
        <v>0.12099927770253982</v>
      </c>
    </row>
    <row r="66" spans="1:10" ht="12">
      <c r="A66" s="410" t="s">
        <v>537</v>
      </c>
      <c r="B66" s="417">
        <f>'scenarios - new roads'!K178</f>
        <v>42.19312649244385</v>
      </c>
      <c r="C66" s="418">
        <f>'scenarios - new roads'!K179</f>
        <v>0</v>
      </c>
      <c r="D66" s="418">
        <f>'scenarios - new roads'!K180</f>
        <v>4.327500153071164</v>
      </c>
      <c r="E66" s="419">
        <f>'scenarios - new roads'!K181</f>
        <v>37.86562633937269</v>
      </c>
      <c r="F66" s="418">
        <f>E66-E$58</f>
        <v>-5.2553296293391725</v>
      </c>
      <c r="H66" s="540"/>
      <c r="I66" s="435">
        <f>(E$57-E64)/E$57</f>
        <v>0.12763410876621142</v>
      </c>
      <c r="J66" s="435">
        <f>(E$57-E70)/E$57</f>
        <v>0.22088572341816026</v>
      </c>
    </row>
    <row r="67" spans="1:10" ht="12">
      <c r="A67" s="410" t="s">
        <v>538</v>
      </c>
      <c r="B67" s="417">
        <f>'scenarios - new roads'!L207</f>
        <v>34.792420890039246</v>
      </c>
      <c r="C67" s="418">
        <f>'scenarios - new roads'!L208</f>
        <v>0</v>
      </c>
      <c r="D67" s="418">
        <f>'scenarios - new roads'!L209</f>
        <v>1.880671399461581</v>
      </c>
      <c r="E67" s="419">
        <f>'scenarios - new roads'!L210</f>
        <v>32.91174949057766</v>
      </c>
      <c r="F67" s="418">
        <f>E67-E$59</f>
        <v>-2.674192709803094</v>
      </c>
      <c r="H67" s="540" t="s">
        <v>336</v>
      </c>
      <c r="I67" s="435">
        <f>(E$58-E65)/E$58</f>
        <v>0.021516904146124054</v>
      </c>
      <c r="J67" s="435">
        <f>(E$58-E71)/E$58</f>
        <v>0.1140240677420979</v>
      </c>
    </row>
    <row r="68" spans="1:10" ht="12">
      <c r="A68" s="63" t="s">
        <v>539</v>
      </c>
      <c r="B68" s="420">
        <f>'scenarios - new roads'!K207</f>
        <v>34.792420890039246</v>
      </c>
      <c r="C68" s="421">
        <f>'scenarios - new roads'!K208</f>
        <v>0</v>
      </c>
      <c r="D68" s="421">
        <f>'scenarios - new roads'!K209</f>
        <v>5.091573788786231</v>
      </c>
      <c r="E68" s="422">
        <f>'scenarios - new roads'!K210</f>
        <v>29.700847101253014</v>
      </c>
      <c r="F68" s="421">
        <f>E68-E$59</f>
        <v>-5.885095099127742</v>
      </c>
      <c r="H68" s="540"/>
      <c r="I68" s="435">
        <f>(E$58-E66)/E$58</f>
        <v>0.12187414474652157</v>
      </c>
      <c r="J68" s="435">
        <f>(E$58-E72)/E$58</f>
        <v>0.21470315095322312</v>
      </c>
    </row>
    <row r="69" spans="1:10" ht="12">
      <c r="A69" s="410" t="s">
        <v>744</v>
      </c>
      <c r="B69" s="417">
        <f>'scenarios - new roads'!L235</f>
        <v>49.97102095683394</v>
      </c>
      <c r="C69" s="418">
        <f>'scenarios - new roads'!L236</f>
        <v>0</v>
      </c>
      <c r="D69" s="418">
        <f>'scenarios - new roads'!L237</f>
        <v>5.125232918649635</v>
      </c>
      <c r="E69" s="419">
        <f>'scenarios - new roads'!L238</f>
        <v>44.8457880381843</v>
      </c>
      <c r="F69" s="436">
        <f>E69-E$57</f>
        <v>-6.173269057662047</v>
      </c>
      <c r="H69" s="540" t="s">
        <v>67</v>
      </c>
      <c r="I69" s="435">
        <f>(E$59-E67)/E$59</f>
        <v>0.07514744712237748</v>
      </c>
      <c r="J69" s="435">
        <f>(E$59-E73)/E$59</f>
        <v>0.15632871474538043</v>
      </c>
    </row>
    <row r="70" spans="1:10" ht="12">
      <c r="A70" s="410" t="s">
        <v>550</v>
      </c>
      <c r="B70" s="417">
        <f>'scenarios - new roads'!K235</f>
        <v>49.97102095683394</v>
      </c>
      <c r="C70" s="418">
        <f>'scenarios - new roads'!K236</f>
        <v>0</v>
      </c>
      <c r="D70" s="418">
        <f>'scenarios - new roads'!K237</f>
        <v>10.221345195716033</v>
      </c>
      <c r="E70" s="419">
        <f>'scenarios - new roads'!K238</f>
        <v>39.749675761117906</v>
      </c>
      <c r="F70" s="436">
        <f>E70-E$57</f>
        <v>-11.269381334728443</v>
      </c>
      <c r="H70" s="540"/>
      <c r="I70" s="435">
        <f>(E$59-E68)/E$59</f>
        <v>0.16537696447629183</v>
      </c>
      <c r="J70" s="435">
        <f>(E$59-E74)/E$59</f>
        <v>0.2313217178791243</v>
      </c>
    </row>
    <row r="71" spans="1:6" ht="12">
      <c r="A71" s="410" t="s">
        <v>566</v>
      </c>
      <c r="B71" s="417">
        <f>'scenarios - new roads'!L263</f>
        <v>42.57031535442932</v>
      </c>
      <c r="C71" s="418">
        <f>'scenarios - new roads'!L264</f>
        <v>0</v>
      </c>
      <c r="D71" s="418">
        <f>'scenarios - new roads'!L265</f>
        <v>4.366186190197879</v>
      </c>
      <c r="E71" s="419">
        <f>'scenarios - new roads'!L266</f>
        <v>38.20412916423144</v>
      </c>
      <c r="F71" s="436">
        <f>E71-E$58</f>
        <v>-4.916826804480422</v>
      </c>
    </row>
    <row r="72" spans="1:6" ht="12">
      <c r="A72" s="410" t="s">
        <v>563</v>
      </c>
      <c r="B72" s="417">
        <f>'scenarios - new roads'!K263</f>
        <v>42.57031535442932</v>
      </c>
      <c r="C72" s="418">
        <f>'scenarios - new roads'!K264</f>
        <v>0</v>
      </c>
      <c r="D72" s="418">
        <f>'scenarios - new roads'!K265</f>
        <v>8.707564504315087</v>
      </c>
      <c r="E72" s="419">
        <f>'scenarios - new roads'!K266</f>
        <v>33.86275085011423</v>
      </c>
      <c r="F72" s="436">
        <f>E72-E$58</f>
        <v>-9.25820511859763</v>
      </c>
    </row>
    <row r="73" spans="1:6" ht="12">
      <c r="A73" s="410" t="s">
        <v>382</v>
      </c>
      <c r="B73" s="417">
        <f>'scenarios - new roads'!L292</f>
        <v>35.169609752024726</v>
      </c>
      <c r="C73" s="418">
        <f>'scenarios - new roads'!L293</f>
        <v>0</v>
      </c>
      <c r="D73" s="418">
        <f>'scenarios - new roads'!L294</f>
        <v>5.146772158832887</v>
      </c>
      <c r="E73" s="419">
        <f>'scenarios - new roads'!L295</f>
        <v>30.022837593191838</v>
      </c>
      <c r="F73" s="436">
        <f>E73-E$59</f>
        <v>-5.563104607188919</v>
      </c>
    </row>
    <row r="74" spans="1:6" ht="12.75" thickBot="1">
      <c r="A74" s="412" t="s">
        <v>383</v>
      </c>
      <c r="B74" s="426">
        <f>'scenarios - new roads'!K292</f>
        <v>35.169609752024726</v>
      </c>
      <c r="C74" s="427">
        <f>'scenarios - new roads'!K293</f>
        <v>0</v>
      </c>
      <c r="D74" s="427">
        <f>'scenarios - new roads'!K294</f>
        <v>7.815468833783273</v>
      </c>
      <c r="E74" s="428">
        <f>'scenarios - new roads'!K295</f>
        <v>27.354140918241455</v>
      </c>
      <c r="F74" s="427">
        <f>E74-E$59</f>
        <v>-8.231801282139301</v>
      </c>
    </row>
    <row r="76" spans="1:6" ht="12.75" thickBot="1">
      <c r="A76" s="542" t="s">
        <v>52</v>
      </c>
      <c r="B76" s="542"/>
      <c r="C76" s="542"/>
      <c r="D76" s="542"/>
      <c r="E76" s="542"/>
      <c r="F76" s="437"/>
    </row>
    <row r="77" spans="1:7" ht="12">
      <c r="A77" s="413"/>
      <c r="B77" s="543" t="s">
        <v>455</v>
      </c>
      <c r="C77" s="543" t="s">
        <v>710</v>
      </c>
      <c r="D77" s="543" t="s">
        <v>588</v>
      </c>
      <c r="E77" s="515" t="s">
        <v>454</v>
      </c>
      <c r="F77" s="539" t="s">
        <v>104</v>
      </c>
      <c r="G77" s="1" t="s">
        <v>105</v>
      </c>
    </row>
    <row r="78" spans="1:6" ht="12">
      <c r="A78" s="63"/>
      <c r="B78" s="544"/>
      <c r="C78" s="544"/>
      <c r="D78" s="544"/>
      <c r="E78" s="538"/>
      <c r="F78" s="539"/>
    </row>
    <row r="79" spans="1:6" ht="12">
      <c r="A79" s="409" t="s">
        <v>393</v>
      </c>
      <c r="B79" s="414">
        <f>'scenarios - new roads'!E164</f>
        <v>18.209117475160724</v>
      </c>
      <c r="C79" s="415">
        <f>'scenarios - new roads'!E165</f>
        <v>3.1100806965800754</v>
      </c>
      <c r="D79" s="415">
        <f>'scenarios - new roads'!E166</f>
        <v>0.1165483804463659</v>
      </c>
      <c r="E79" s="416">
        <f>'scenarios - new roads'!E167</f>
        <v>21.202649791294434</v>
      </c>
      <c r="F79" s="278"/>
    </row>
    <row r="80" spans="1:6" ht="12">
      <c r="A80" s="410" t="s">
        <v>18</v>
      </c>
      <c r="B80" s="417">
        <f>'scenarios - new roads'!E192</f>
        <v>14.801411204809222</v>
      </c>
      <c r="C80" s="418">
        <f>'scenarios - new roads'!E193</f>
        <v>2.6015843793452467</v>
      </c>
      <c r="D80" s="418">
        <f>'scenarios - new roads'!E194</f>
        <v>0.6489018623191609</v>
      </c>
      <c r="E80" s="419">
        <f>'scenarios - new roads'!E195</f>
        <v>16.754093721835307</v>
      </c>
      <c r="F80" s="7"/>
    </row>
    <row r="81" spans="1:6" ht="12">
      <c r="A81" s="63" t="s">
        <v>19</v>
      </c>
      <c r="B81" s="420">
        <f>'scenarios - new roads'!E221</f>
        <v>11.380698421975454</v>
      </c>
      <c r="C81" s="421">
        <f>'scenarios - new roads'!E222</f>
        <v>2.6015843793452467</v>
      </c>
      <c r="D81" s="421">
        <f>'scenarios - new roads'!E223</f>
        <v>0.6489018623191609</v>
      </c>
      <c r="E81" s="422">
        <f>'scenarios - new roads'!E224</f>
        <v>13.33338093900154</v>
      </c>
      <c r="F81" s="11"/>
    </row>
    <row r="82" spans="1:10" ht="12">
      <c r="A82" s="409" t="s">
        <v>704</v>
      </c>
      <c r="B82" s="414">
        <f>'scenarios - new roads'!L164</f>
        <v>18.209117475160724</v>
      </c>
      <c r="C82" s="415">
        <f>'scenarios - new roads'!L165</f>
        <v>2.0459962801767344</v>
      </c>
      <c r="D82" s="415">
        <f>'scenarios - new roads'!L166</f>
        <v>1.1147209039735786</v>
      </c>
      <c r="E82" s="416">
        <f>'scenarios - new roads'!L167</f>
        <v>19.14039285136388</v>
      </c>
      <c r="F82" s="415">
        <f>E82-E$79</f>
        <v>-2.0622569399305526</v>
      </c>
      <c r="I82" s="541" t="s">
        <v>65</v>
      </c>
      <c r="J82" s="541"/>
    </row>
    <row r="83" spans="1:10" ht="12">
      <c r="A83" s="410" t="s">
        <v>705</v>
      </c>
      <c r="B83" s="417">
        <f>'scenarios - new roads'!K164</f>
        <v>18.209117475160724</v>
      </c>
      <c r="C83" s="418">
        <f>'scenarios - new roads'!K165</f>
        <v>1.8781972070853632</v>
      </c>
      <c r="D83" s="418">
        <f>'scenarios - new roads'!K166</f>
        <v>1.241602633080848</v>
      </c>
      <c r="E83" s="419">
        <f>'scenarios - new roads'!K167</f>
        <v>18.84571204916524</v>
      </c>
      <c r="F83" s="418">
        <f>E83-E$79</f>
        <v>-2.356937742129194</v>
      </c>
      <c r="I83" s="2" t="s">
        <v>322</v>
      </c>
      <c r="J83" s="2" t="s">
        <v>66</v>
      </c>
    </row>
    <row r="84" spans="1:10" ht="12">
      <c r="A84" s="410" t="s">
        <v>536</v>
      </c>
      <c r="B84" s="417">
        <f>'scenarios - new roads'!L192</f>
        <v>14.801411204809222</v>
      </c>
      <c r="C84" s="418">
        <f>'scenarios - new roads'!L193</f>
        <v>1.928258007183075</v>
      </c>
      <c r="D84" s="418">
        <f>'scenarios - new roads'!L194</f>
        <v>1.3054547075627458</v>
      </c>
      <c r="E84" s="419">
        <f>'scenarios - new roads'!L195</f>
        <v>15.42421450442955</v>
      </c>
      <c r="F84" s="418">
        <f>E84-E$80</f>
        <v>-1.3298792174057574</v>
      </c>
      <c r="H84" s="540" t="s">
        <v>335</v>
      </c>
      <c r="I84" s="435">
        <f>(E$79-E82)/E$79</f>
        <v>0.09726411369475582</v>
      </c>
      <c r="J84" s="435">
        <f>(E$79-E88)/E$79</f>
        <v>0.10016771267823182</v>
      </c>
    </row>
    <row r="85" spans="1:10" ht="12">
      <c r="A85" s="410" t="s">
        <v>537</v>
      </c>
      <c r="B85" s="417">
        <f>'scenarios - new roads'!K192</f>
        <v>14.801411204809222</v>
      </c>
      <c r="C85" s="418">
        <f>'scenarios - new roads'!K193</f>
        <v>0.44557878429976927</v>
      </c>
      <c r="D85" s="418">
        <f>'scenarios - new roads'!K194</f>
        <v>0</v>
      </c>
      <c r="E85" s="419">
        <f>'scenarios - new roads'!K195</f>
        <v>15.246989989108991</v>
      </c>
      <c r="F85" s="418">
        <f>E85-E$80</f>
        <v>-1.507103732726316</v>
      </c>
      <c r="H85" s="540"/>
      <c r="I85" s="435">
        <f>(E$79-E83)/E$79</f>
        <v>0.11116241438355151</v>
      </c>
      <c r="J85" s="435">
        <f>(E$79-E89)/E$79</f>
        <v>0.11646312649684509</v>
      </c>
    </row>
    <row r="86" spans="1:10" ht="12">
      <c r="A86" s="410" t="s">
        <v>538</v>
      </c>
      <c r="B86" s="417">
        <f>'scenarios - new roads'!L221</f>
        <v>11.380698421975454</v>
      </c>
      <c r="C86" s="418">
        <f>'scenarios - new roads'!L222</f>
        <v>1.928258007183075</v>
      </c>
      <c r="D86" s="418">
        <f>'scenarios - new roads'!L223</f>
        <v>1.3054547075627458</v>
      </c>
      <c r="E86" s="419">
        <f>'scenarios - new roads'!L224</f>
        <v>12.003501721595784</v>
      </c>
      <c r="F86" s="418">
        <f>E86-E$81</f>
        <v>-1.3298792174057557</v>
      </c>
      <c r="H86" s="540" t="s">
        <v>336</v>
      </c>
      <c r="I86" s="435">
        <f>(E$80-E84)/E$80</f>
        <v>0.07937637448407907</v>
      </c>
      <c r="J86" s="435">
        <f>(E$80-E90)/E$80</f>
        <v>0.07265750500637606</v>
      </c>
    </row>
    <row r="87" spans="1:10" ht="12">
      <c r="A87" s="63" t="s">
        <v>539</v>
      </c>
      <c r="B87" s="420">
        <f>'scenarios - new roads'!K221</f>
        <v>11.380698421975454</v>
      </c>
      <c r="C87" s="421">
        <f>'scenarios - new roads'!K222</f>
        <v>0.44557878429976927</v>
      </c>
      <c r="D87" s="421">
        <f>'scenarios - new roads'!K223</f>
        <v>0</v>
      </c>
      <c r="E87" s="422">
        <f>'scenarios - new roads'!K224</f>
        <v>11.826277206275224</v>
      </c>
      <c r="F87" s="421">
        <f>E87-E$81</f>
        <v>-1.507103732726316</v>
      </c>
      <c r="H87" s="540"/>
      <c r="I87" s="435">
        <f>(E$80-E85)/E$80</f>
        <v>0.08995435729013113</v>
      </c>
      <c r="J87" s="435">
        <f>(E$80-E91)/E$80</f>
        <v>0.0877685086488709</v>
      </c>
    </row>
    <row r="88" spans="1:10" ht="12">
      <c r="A88" s="410" t="s">
        <v>744</v>
      </c>
      <c r="B88" s="417">
        <f>'scenarios - new roads'!L249</f>
        <v>18.586306337146198</v>
      </c>
      <c r="C88" s="418">
        <f>'scenarios - new roads'!L250</f>
        <v>1.7614424294403261</v>
      </c>
      <c r="D88" s="418">
        <f>'scenarios - new roads'!L251</f>
        <v>1.2689199076036428</v>
      </c>
      <c r="E88" s="419">
        <f>'scenarios - new roads'!L252</f>
        <v>19.07882885898288</v>
      </c>
      <c r="F88" s="436">
        <f>E88-E$79</f>
        <v>-2.1238209323115527</v>
      </c>
      <c r="H88" s="540" t="s">
        <v>67</v>
      </c>
      <c r="I88" s="435">
        <f>(E$81-E86)/E$81</f>
        <v>0.09974058518914128</v>
      </c>
      <c r="J88" s="435">
        <f>(E$81-E92)/E$81</f>
        <v>0.09129797266279098</v>
      </c>
    </row>
    <row r="89" spans="1:10" ht="12">
      <c r="A89" s="410" t="s">
        <v>550</v>
      </c>
      <c r="B89" s="417">
        <f>'scenarios - new roads'!K249</f>
        <v>18.586306337146198</v>
      </c>
      <c r="C89" s="418">
        <f>'scenarios - new roads'!K250</f>
        <v>0.3675414235910169</v>
      </c>
      <c r="D89" s="418">
        <f>'scenarios - new roads'!K251</f>
        <v>0.22052485415461015</v>
      </c>
      <c r="E89" s="419">
        <f>'scenarios - new roads'!K252</f>
        <v>18.733322906582604</v>
      </c>
      <c r="F89" s="436">
        <f>E89-E$79</f>
        <v>-2.4693268847118297</v>
      </c>
      <c r="H89" s="540"/>
      <c r="I89" s="435">
        <f>(E$81-E87)/E$81</f>
        <v>0.1130323763808382</v>
      </c>
      <c r="J89" s="435">
        <f>(E$81-E93)/E$81</f>
        <v>0.11028574271268139</v>
      </c>
    </row>
    <row r="90" spans="1:6" ht="12">
      <c r="A90" s="410" t="s">
        <v>566</v>
      </c>
      <c r="B90" s="417">
        <f>'scenarios - new roads'!L277</f>
        <v>15.178600066794692</v>
      </c>
      <c r="C90" s="418">
        <f>'scenarios - new roads'!L278</f>
        <v>0.4178801743305866</v>
      </c>
      <c r="D90" s="418">
        <f>'scenarios - new roads'!L279</f>
        <v>0.05969716776151237</v>
      </c>
      <c r="E90" s="419">
        <f>'scenarios - new roads'!L280</f>
        <v>15.536783073363765</v>
      </c>
      <c r="F90" s="436">
        <f>E90-E$80</f>
        <v>-1.2173106484715426</v>
      </c>
    </row>
    <row r="91" spans="1:6" ht="12">
      <c r="A91" s="410" t="s">
        <v>563</v>
      </c>
      <c r="B91" s="417">
        <f>'scenarios - new roads'!K277</f>
        <v>15.178600066794692</v>
      </c>
      <c r="C91" s="418">
        <f>'scenarios - new roads'!K278</f>
        <v>0.3675414235910169</v>
      </c>
      <c r="D91" s="418">
        <f>'scenarios - new roads'!K279</f>
        <v>0.2625295882792978</v>
      </c>
      <c r="E91" s="419">
        <f>'scenarios - new roads'!K280</f>
        <v>15.283611902106411</v>
      </c>
      <c r="F91" s="436">
        <f>E91-E$80</f>
        <v>-1.4704818197288958</v>
      </c>
    </row>
    <row r="92" spans="1:6" ht="12">
      <c r="A92" s="410" t="s">
        <v>382</v>
      </c>
      <c r="B92" s="417">
        <f>'scenarios - new roads'!L306</f>
        <v>11.757887283960926</v>
      </c>
      <c r="C92" s="418">
        <f>'scenarios - new roads'!L307</f>
        <v>0.4178801743305866</v>
      </c>
      <c r="D92" s="418">
        <f>'scenarios - new roads'!L308</f>
        <v>0.05969716776151237</v>
      </c>
      <c r="E92" s="419">
        <f>'scenarios - new roads'!L309</f>
        <v>12.116070290529999</v>
      </c>
      <c r="F92" s="436">
        <f>E92-E$81</f>
        <v>-1.2173106484715408</v>
      </c>
    </row>
    <row r="93" spans="1:6" ht="12.75" thickBot="1">
      <c r="A93" s="412" t="s">
        <v>383</v>
      </c>
      <c r="B93" s="426">
        <f>'scenarios - new roads'!K306</f>
        <v>11.757887283960926</v>
      </c>
      <c r="C93" s="427">
        <f>'scenarios - new roads'!K307</f>
        <v>0.3675414235910169</v>
      </c>
      <c r="D93" s="427">
        <f>'scenarios - new roads'!K308</f>
        <v>0.2625295882792978</v>
      </c>
      <c r="E93" s="428">
        <f>'scenarios - new roads'!K309</f>
        <v>11.862899119272646</v>
      </c>
      <c r="F93" s="427">
        <f>E93-E$81</f>
        <v>-1.470481819728894</v>
      </c>
    </row>
    <row r="95" spans="1:5" ht="12.75" thickBot="1">
      <c r="A95" s="542" t="s">
        <v>53</v>
      </c>
      <c r="B95" s="542"/>
      <c r="C95" s="542"/>
      <c r="D95" s="542"/>
      <c r="E95" s="542"/>
    </row>
    <row r="96" spans="1:7" ht="12">
      <c r="A96" s="413"/>
      <c r="B96" s="543" t="s">
        <v>455</v>
      </c>
      <c r="C96" s="543" t="s">
        <v>710</v>
      </c>
      <c r="D96" s="543" t="s">
        <v>588</v>
      </c>
      <c r="E96" s="515" t="s">
        <v>454</v>
      </c>
      <c r="G96" s="1" t="s">
        <v>105</v>
      </c>
    </row>
    <row r="97" spans="1:5" ht="12">
      <c r="A97" s="63"/>
      <c r="B97" s="544"/>
      <c r="C97" s="544"/>
      <c r="D97" s="544"/>
      <c r="E97" s="538"/>
    </row>
    <row r="98" spans="1:5" ht="12">
      <c r="A98" s="409" t="s">
        <v>546</v>
      </c>
      <c r="B98" s="429">
        <f>'scenarios - new roads'!L322</f>
        <v>49.593832094848466</v>
      </c>
      <c r="C98" s="429">
        <f>'scenarios - new roads'!L323</f>
        <v>0</v>
      </c>
      <c r="D98" s="429">
        <f>'scenarios - new roads'!L324</f>
        <v>7.347234384421995</v>
      </c>
      <c r="E98" s="432">
        <f>'scenarios - new roads'!L325</f>
        <v>42.24659771042647</v>
      </c>
    </row>
    <row r="99" spans="1:5" ht="12">
      <c r="A99" s="410" t="s">
        <v>376</v>
      </c>
      <c r="B99" s="429">
        <f>'scenarios - new roads'!L336</f>
        <v>42.19312649244385</v>
      </c>
      <c r="C99" s="429">
        <f>'scenarios - new roads'!L337</f>
        <v>0</v>
      </c>
      <c r="D99" s="429">
        <f>'scenarios - new roads'!L338</f>
        <v>7.032187748740642</v>
      </c>
      <c r="E99" s="432">
        <f>'scenarios - new roads'!L339</f>
        <v>35.16093874370321</v>
      </c>
    </row>
    <row r="100" spans="1:5" ht="12">
      <c r="A100" s="63" t="s">
        <v>377</v>
      </c>
      <c r="B100" s="429">
        <f>'scenarios - new roads'!L350</f>
        <v>34.792420890039246</v>
      </c>
      <c r="C100" s="429">
        <f>'scenarios - new roads'!L351</f>
        <v>0</v>
      </c>
      <c r="D100" s="429">
        <f>'scenarios - new roads'!L352</f>
        <v>6.958484178007849</v>
      </c>
      <c r="E100" s="432">
        <f>'scenarios - new roads'!L353</f>
        <v>27.833936712031395</v>
      </c>
    </row>
    <row r="101" spans="1:5" ht="12">
      <c r="A101" s="409" t="s">
        <v>378</v>
      </c>
      <c r="B101" s="414">
        <f>'scenarios - new roads'!E322</f>
        <v>18.209117475160724</v>
      </c>
      <c r="C101" s="415">
        <f>'scenarios - new roads'!E323</f>
        <v>0.6548787923877637</v>
      </c>
      <c r="D101" s="415">
        <f>'scenarios - new roads'!E324</f>
        <v>0.39292727543265826</v>
      </c>
      <c r="E101" s="416">
        <f>'scenarios - new roads'!E325</f>
        <v>18.47106899211583</v>
      </c>
    </row>
    <row r="102" spans="1:5" ht="12">
      <c r="A102" s="410" t="s">
        <v>379</v>
      </c>
      <c r="B102" s="417">
        <f>'scenarios - new roads'!E336</f>
        <v>14.801411204809222</v>
      </c>
      <c r="C102" s="418">
        <f>'scenarios - new roads'!E337</f>
        <v>0.6548787923877637</v>
      </c>
      <c r="D102" s="418">
        <f>'scenarios - new roads'!E338</f>
        <v>0.46777056599125977</v>
      </c>
      <c r="E102" s="419">
        <f>'scenarios - new roads'!E339</f>
        <v>14.988519431205727</v>
      </c>
    </row>
    <row r="103" spans="1:5" ht="12">
      <c r="A103" s="63" t="s">
        <v>380</v>
      </c>
      <c r="B103" s="420">
        <f>'scenarios - new roads'!E350</f>
        <v>11.380698421975454</v>
      </c>
      <c r="C103" s="421">
        <f>'scenarios - new roads'!E351</f>
        <v>0.6548787923877637</v>
      </c>
      <c r="D103" s="421">
        <f>'scenarios - new roads'!E352</f>
        <v>0.46777056599125977</v>
      </c>
      <c r="E103" s="422">
        <f>'scenarios - new roads'!E353</f>
        <v>11.56780664837196</v>
      </c>
    </row>
    <row r="104" spans="1:5" ht="12.75" thickBot="1">
      <c r="A104" s="433" t="s">
        <v>392</v>
      </c>
      <c r="B104" s="430">
        <f>'scenarios - new roads'!E361</f>
        <v>20.891766647780926</v>
      </c>
      <c r="C104" s="431">
        <f>'scenarios - new roads'!E362</f>
        <v>0.22765844611244265</v>
      </c>
      <c r="D104" s="431">
        <f>'scenarios - new roads'!E363</f>
        <v>0</v>
      </c>
      <c r="E104" s="434">
        <f>'scenarios - new roads'!E364</f>
        <v>21.11942509389337</v>
      </c>
    </row>
  </sheetData>
  <mergeCells count="51">
    <mergeCell ref="I82:J82"/>
    <mergeCell ref="H84:H85"/>
    <mergeCell ref="H86:H87"/>
    <mergeCell ref="H88:H89"/>
    <mergeCell ref="A76:E76"/>
    <mergeCell ref="A95:E95"/>
    <mergeCell ref="B96:B97"/>
    <mergeCell ref="C96:C97"/>
    <mergeCell ref="D96:D97"/>
    <mergeCell ref="E96:E97"/>
    <mergeCell ref="B77:B78"/>
    <mergeCell ref="C77:C78"/>
    <mergeCell ref="D77:D78"/>
    <mergeCell ref="E77:E78"/>
    <mergeCell ref="A21:E21"/>
    <mergeCell ref="A29:E29"/>
    <mergeCell ref="A48:E48"/>
    <mergeCell ref="A54:E54"/>
    <mergeCell ref="B49:B50"/>
    <mergeCell ref="C49:C50"/>
    <mergeCell ref="D49:D50"/>
    <mergeCell ref="E49:E50"/>
    <mergeCell ref="B30:B31"/>
    <mergeCell ref="C30:C31"/>
    <mergeCell ref="B55:B56"/>
    <mergeCell ref="C55:C56"/>
    <mergeCell ref="D55:D56"/>
    <mergeCell ref="E55:E56"/>
    <mergeCell ref="D30:D31"/>
    <mergeCell ref="E30:E31"/>
    <mergeCell ref="B22:B23"/>
    <mergeCell ref="C22:C23"/>
    <mergeCell ref="D22:D23"/>
    <mergeCell ref="E22:E23"/>
    <mergeCell ref="A1:E1"/>
    <mergeCell ref="B2:B3"/>
    <mergeCell ref="C2:C3"/>
    <mergeCell ref="D2:D3"/>
    <mergeCell ref="E2:E3"/>
    <mergeCell ref="I35:J35"/>
    <mergeCell ref="H37:H38"/>
    <mergeCell ref="H39:H40"/>
    <mergeCell ref="H41:H42"/>
    <mergeCell ref="H65:H66"/>
    <mergeCell ref="H67:H68"/>
    <mergeCell ref="H69:H70"/>
    <mergeCell ref="I63:J63"/>
    <mergeCell ref="F2:F3"/>
    <mergeCell ref="F30:F31"/>
    <mergeCell ref="F55:F56"/>
    <mergeCell ref="F77:F7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="125" zoomScaleNormal="125" workbookViewId="0" topLeftCell="A72">
      <selection activeCell="K1" sqref="K1:K3"/>
    </sheetView>
  </sheetViews>
  <sheetFormatPr defaultColWidth="9.00390625" defaultRowHeight="12"/>
  <cols>
    <col min="1" max="1" width="39.00390625" style="1" customWidth="1"/>
    <col min="2" max="2" width="0" style="8" hidden="1" customWidth="1"/>
    <col min="3" max="3" width="0" style="9" hidden="1" customWidth="1"/>
    <col min="4" max="4" width="17.375" style="9" hidden="1" customWidth="1"/>
    <col min="5" max="5" width="10.875" style="4" customWidth="1"/>
    <col min="6" max="6" width="0" style="5" hidden="1" customWidth="1"/>
    <col min="7" max="8" width="0" style="9" hidden="1" customWidth="1"/>
    <col min="9" max="9" width="10.875" style="4" customWidth="1"/>
    <col min="10" max="10" width="10.875" style="5" customWidth="1"/>
    <col min="11" max="11" width="10.875" style="8" customWidth="1"/>
    <col min="12" max="12" width="10.875" style="27" customWidth="1"/>
    <col min="13" max="13" width="9.75390625" style="441" customWidth="1"/>
    <col min="14" max="14" width="12.625" style="441" customWidth="1"/>
    <col min="15" max="15" width="10.875" style="441" customWidth="1"/>
    <col min="16" max="19" width="10.875" style="1" customWidth="1"/>
    <col min="20" max="20" width="10.00390625" style="1" customWidth="1"/>
    <col min="21" max="16384" width="10.875" style="1" customWidth="1"/>
  </cols>
  <sheetData>
    <row r="1" spans="1:15" s="457" customFormat="1" ht="12.75" customHeight="1">
      <c r="A1" s="454" t="s">
        <v>127</v>
      </c>
      <c r="B1" s="458"/>
      <c r="C1" s="456"/>
      <c r="D1" s="456"/>
      <c r="E1" s="545" t="s">
        <v>237</v>
      </c>
      <c r="F1" s="472"/>
      <c r="G1" s="472"/>
      <c r="H1" s="472"/>
      <c r="I1" s="545" t="s">
        <v>238</v>
      </c>
      <c r="J1" s="545" t="s">
        <v>404</v>
      </c>
      <c r="K1" s="549" t="s">
        <v>239</v>
      </c>
      <c r="L1" s="547" t="s">
        <v>240</v>
      </c>
      <c r="M1" s="441"/>
      <c r="N1" s="441"/>
      <c r="O1" s="441"/>
    </row>
    <row r="2" spans="2:15" s="457" customFormat="1" ht="12.75" customHeight="1">
      <c r="B2" s="458" t="s">
        <v>159</v>
      </c>
      <c r="C2" s="456"/>
      <c r="D2" s="456"/>
      <c r="E2" s="546"/>
      <c r="F2" s="473" t="s">
        <v>160</v>
      </c>
      <c r="G2" s="473"/>
      <c r="H2" s="473"/>
      <c r="I2" s="546"/>
      <c r="J2" s="546"/>
      <c r="K2" s="550"/>
      <c r="L2" s="548"/>
      <c r="M2" s="441"/>
      <c r="N2" s="441"/>
      <c r="O2" s="441"/>
    </row>
    <row r="3" spans="2:15" s="457" customFormat="1" ht="10.5" customHeight="1">
      <c r="B3" s="459" t="s">
        <v>322</v>
      </c>
      <c r="C3" s="460" t="s">
        <v>323</v>
      </c>
      <c r="D3" s="461" t="s">
        <v>324</v>
      </c>
      <c r="E3" s="546"/>
      <c r="F3" s="474" t="s">
        <v>579</v>
      </c>
      <c r="G3" s="475" t="s">
        <v>161</v>
      </c>
      <c r="H3" s="476" t="s">
        <v>511</v>
      </c>
      <c r="I3" s="546"/>
      <c r="J3" s="546"/>
      <c r="K3" s="550"/>
      <c r="L3" s="548"/>
      <c r="M3" s="441"/>
      <c r="N3" s="441"/>
      <c r="O3" s="441"/>
    </row>
    <row r="4" spans="1:15" s="457" customFormat="1" ht="12.75" thickBot="1">
      <c r="A4" s="463"/>
      <c r="B4" s="464" t="s">
        <v>641</v>
      </c>
      <c r="C4" s="465" t="s">
        <v>641</v>
      </c>
      <c r="D4" s="466" t="s">
        <v>641</v>
      </c>
      <c r="E4" s="477" t="s">
        <v>641</v>
      </c>
      <c r="F4" s="478" t="s">
        <v>641</v>
      </c>
      <c r="G4" s="477" t="s">
        <v>641</v>
      </c>
      <c r="H4" s="479" t="s">
        <v>641</v>
      </c>
      <c r="I4" s="477" t="s">
        <v>641</v>
      </c>
      <c r="J4" s="477" t="s">
        <v>641</v>
      </c>
      <c r="K4" s="480" t="s">
        <v>641</v>
      </c>
      <c r="L4" s="481" t="s">
        <v>641</v>
      </c>
      <c r="M4" s="441"/>
      <c r="N4" s="441"/>
      <c r="O4" s="441"/>
    </row>
    <row r="5" spans="1:15" s="45" customFormat="1" ht="12.75" thickTop="1">
      <c r="A5" s="46" t="s">
        <v>325</v>
      </c>
      <c r="B5" s="41"/>
      <c r="C5" s="42"/>
      <c r="D5" s="42"/>
      <c r="E5" s="386"/>
      <c r="F5" s="43"/>
      <c r="G5" s="42"/>
      <c r="H5" s="42"/>
      <c r="I5" s="386"/>
      <c r="J5" s="385"/>
      <c r="K5" s="41"/>
      <c r="L5" s="44"/>
      <c r="M5" s="442"/>
      <c r="N5" s="442"/>
      <c r="O5" s="442"/>
    </row>
    <row r="6" spans="1:15" s="19" customFormat="1" ht="12">
      <c r="A6" s="15" t="s">
        <v>125</v>
      </c>
      <c r="B6" s="16"/>
      <c r="C6" s="17"/>
      <c r="D6" s="17"/>
      <c r="E6" s="387"/>
      <c r="F6" s="18"/>
      <c r="G6" s="17"/>
      <c r="H6" s="17"/>
      <c r="I6" s="387"/>
      <c r="J6" s="18"/>
      <c r="K6" s="16"/>
      <c r="L6" s="25"/>
      <c r="M6" s="443" t="s">
        <v>56</v>
      </c>
      <c r="N6" s="443"/>
      <c r="O6" s="443"/>
    </row>
    <row r="7" spans="1:15" s="21" customFormat="1" ht="12">
      <c r="A7" s="20" t="s">
        <v>642</v>
      </c>
      <c r="B7" s="16"/>
      <c r="C7" s="17"/>
      <c r="D7" s="17"/>
      <c r="E7" s="387">
        <f>B7+C7+D7</f>
        <v>0</v>
      </c>
      <c r="F7" s="18">
        <v>0.62</v>
      </c>
      <c r="G7" s="17"/>
      <c r="H7" s="17"/>
      <c r="I7" s="387">
        <f aca="true" t="shared" si="0" ref="I7:I17">SUM(F7:H7)</f>
        <v>0.62</v>
      </c>
      <c r="J7" s="18">
        <v>0.77</v>
      </c>
      <c r="K7" s="25">
        <f aca="true" t="shared" si="1" ref="K7:K17">J7+I7+E7</f>
        <v>1.3900000000000001</v>
      </c>
      <c r="L7" s="25">
        <v>1.81</v>
      </c>
      <c r="M7" s="444" t="s">
        <v>699</v>
      </c>
      <c r="N7" s="445" t="s">
        <v>581</v>
      </c>
      <c r="O7" s="445"/>
    </row>
    <row r="8" spans="1:15" s="21" customFormat="1" ht="12">
      <c r="A8" s="20" t="s">
        <v>580</v>
      </c>
      <c r="B8" s="16"/>
      <c r="C8" s="17"/>
      <c r="D8" s="17"/>
      <c r="E8" s="387">
        <f>B8+C8+D8</f>
        <v>0</v>
      </c>
      <c r="F8" s="18">
        <v>0.25</v>
      </c>
      <c r="G8" s="17"/>
      <c r="H8" s="17"/>
      <c r="I8" s="387">
        <f t="shared" si="0"/>
        <v>0.25</v>
      </c>
      <c r="J8" s="18">
        <v>0.31</v>
      </c>
      <c r="K8" s="25">
        <f t="shared" si="1"/>
        <v>0.56</v>
      </c>
      <c r="L8" s="25">
        <v>0.72</v>
      </c>
      <c r="M8" s="444" t="s">
        <v>699</v>
      </c>
      <c r="N8" s="445" t="s">
        <v>285</v>
      </c>
      <c r="O8" s="445"/>
    </row>
    <row r="9" spans="1:15" s="21" customFormat="1" ht="12">
      <c r="A9" s="20" t="s">
        <v>291</v>
      </c>
      <c r="B9" s="16"/>
      <c r="C9" s="17"/>
      <c r="D9" s="17"/>
      <c r="E9" s="387">
        <f>B9+C9+D9</f>
        <v>0</v>
      </c>
      <c r="F9" s="18">
        <v>0.12</v>
      </c>
      <c r="G9" s="17"/>
      <c r="H9" s="17"/>
      <c r="I9" s="387">
        <f t="shared" si="0"/>
        <v>0.12</v>
      </c>
      <c r="J9" s="18">
        <v>0.15</v>
      </c>
      <c r="K9" s="25">
        <f t="shared" si="1"/>
        <v>0.27</v>
      </c>
      <c r="L9" s="26">
        <v>0.34</v>
      </c>
      <c r="M9" s="444" t="s">
        <v>699</v>
      </c>
      <c r="N9" s="445" t="s">
        <v>248</v>
      </c>
      <c r="O9" s="445"/>
    </row>
    <row r="10" spans="1:15" s="21" customFormat="1" ht="12">
      <c r="A10" s="20" t="s">
        <v>292</v>
      </c>
      <c r="B10" s="16"/>
      <c r="C10" s="17"/>
      <c r="D10" s="17"/>
      <c r="E10" s="387">
        <v>2.95</v>
      </c>
      <c r="F10" s="18">
        <v>0.32</v>
      </c>
      <c r="G10" s="17"/>
      <c r="H10" s="17"/>
      <c r="I10" s="387">
        <f t="shared" si="0"/>
        <v>0.32</v>
      </c>
      <c r="J10" s="18">
        <v>0.61</v>
      </c>
      <c r="K10" s="25">
        <f t="shared" si="1"/>
        <v>3.88</v>
      </c>
      <c r="L10" s="25">
        <v>4.41</v>
      </c>
      <c r="M10" s="444" t="s">
        <v>699</v>
      </c>
      <c r="N10" s="445" t="s">
        <v>596</v>
      </c>
      <c r="O10" s="445"/>
    </row>
    <row r="11" spans="1:15" s="21" customFormat="1" ht="12">
      <c r="A11" s="20" t="s">
        <v>293</v>
      </c>
      <c r="B11" s="16"/>
      <c r="C11" s="17"/>
      <c r="D11" s="17"/>
      <c r="E11" s="387">
        <v>5.95</v>
      </c>
      <c r="F11" s="18">
        <v>0.33</v>
      </c>
      <c r="G11" s="17"/>
      <c r="H11" s="17"/>
      <c r="I11" s="387">
        <f t="shared" si="0"/>
        <v>0.33</v>
      </c>
      <c r="J11" s="18">
        <v>0.63</v>
      </c>
      <c r="K11" s="25">
        <f t="shared" si="1"/>
        <v>6.91</v>
      </c>
      <c r="L11" s="25">
        <v>7.7</v>
      </c>
      <c r="M11" s="444" t="s">
        <v>699</v>
      </c>
      <c r="N11" s="445" t="s">
        <v>597</v>
      </c>
      <c r="O11" s="445"/>
    </row>
    <row r="12" spans="1:15" s="21" customFormat="1" ht="12">
      <c r="A12" s="20" t="s">
        <v>132</v>
      </c>
      <c r="B12" s="16"/>
      <c r="C12" s="17"/>
      <c r="D12" s="17"/>
      <c r="E12" s="387">
        <v>8.9</v>
      </c>
      <c r="F12" s="18">
        <v>0.36</v>
      </c>
      <c r="G12" s="17"/>
      <c r="H12" s="17"/>
      <c r="I12" s="387">
        <f t="shared" si="0"/>
        <v>0.36</v>
      </c>
      <c r="J12" s="18">
        <v>0.69</v>
      </c>
      <c r="K12" s="25">
        <f t="shared" si="1"/>
        <v>9.95</v>
      </c>
      <c r="L12" s="25">
        <v>11.1</v>
      </c>
      <c r="M12" s="444" t="s">
        <v>699</v>
      </c>
      <c r="N12" s="445" t="s">
        <v>328</v>
      </c>
      <c r="O12" s="445"/>
    </row>
    <row r="13" spans="1:15" s="21" customFormat="1" ht="12">
      <c r="A13" s="20" t="s">
        <v>736</v>
      </c>
      <c r="B13" s="16"/>
      <c r="C13" s="17"/>
      <c r="D13" s="17"/>
      <c r="E13" s="387">
        <v>12.1</v>
      </c>
      <c r="F13" s="18">
        <v>0.39</v>
      </c>
      <c r="G13" s="17"/>
      <c r="H13" s="17"/>
      <c r="I13" s="387">
        <f t="shared" si="0"/>
        <v>0.39</v>
      </c>
      <c r="J13" s="18">
        <v>0.75</v>
      </c>
      <c r="K13" s="25">
        <f t="shared" si="1"/>
        <v>13.24</v>
      </c>
      <c r="L13" s="25">
        <v>14.75</v>
      </c>
      <c r="M13" s="444" t="s">
        <v>699</v>
      </c>
      <c r="N13" s="445" t="s">
        <v>329</v>
      </c>
      <c r="O13" s="445"/>
    </row>
    <row r="14" spans="1:15" s="21" customFormat="1" ht="12">
      <c r="A14" s="20" t="s">
        <v>519</v>
      </c>
      <c r="B14" s="16"/>
      <c r="C14" s="17"/>
      <c r="D14" s="17"/>
      <c r="E14" s="387">
        <v>3.14</v>
      </c>
      <c r="F14" s="18">
        <v>0.28</v>
      </c>
      <c r="G14" s="17"/>
      <c r="H14" s="17"/>
      <c r="I14" s="387">
        <f t="shared" si="0"/>
        <v>0.28</v>
      </c>
      <c r="J14" s="18">
        <v>0.53</v>
      </c>
      <c r="K14" s="25">
        <f t="shared" si="1"/>
        <v>3.95</v>
      </c>
      <c r="L14" s="25">
        <v>4.45</v>
      </c>
      <c r="M14" s="444" t="s">
        <v>699</v>
      </c>
      <c r="N14" s="445" t="s">
        <v>330</v>
      </c>
      <c r="O14" s="445"/>
    </row>
    <row r="15" spans="1:15" s="21" customFormat="1" ht="12">
      <c r="A15" s="20" t="s">
        <v>352</v>
      </c>
      <c r="B15" s="16"/>
      <c r="C15" s="17"/>
      <c r="D15" s="17"/>
      <c r="E15" s="387">
        <v>4.81</v>
      </c>
      <c r="F15" s="18">
        <v>0.31</v>
      </c>
      <c r="G15" s="17"/>
      <c r="H15" s="17"/>
      <c r="I15" s="387">
        <f t="shared" si="0"/>
        <v>0.31</v>
      </c>
      <c r="J15" s="18">
        <v>0.59</v>
      </c>
      <c r="K15" s="25">
        <f t="shared" si="1"/>
        <v>5.709999999999999</v>
      </c>
      <c r="L15" s="25">
        <v>6.4</v>
      </c>
      <c r="M15" s="444" t="s">
        <v>699</v>
      </c>
      <c r="N15" s="445" t="s">
        <v>331</v>
      </c>
      <c r="O15" s="445"/>
    </row>
    <row r="16" spans="1:15" s="21" customFormat="1" ht="12">
      <c r="A16" s="20" t="s">
        <v>250</v>
      </c>
      <c r="B16" s="16"/>
      <c r="C16" s="17"/>
      <c r="D16" s="17"/>
      <c r="E16" s="387">
        <v>6.3</v>
      </c>
      <c r="F16" s="18">
        <v>0.37</v>
      </c>
      <c r="G16" s="17"/>
      <c r="H16" s="17"/>
      <c r="I16" s="387">
        <f t="shared" si="0"/>
        <v>0.37</v>
      </c>
      <c r="J16" s="18">
        <v>0.7</v>
      </c>
      <c r="K16" s="25">
        <f t="shared" si="1"/>
        <v>7.369999999999999</v>
      </c>
      <c r="L16" s="25">
        <v>8.25</v>
      </c>
      <c r="M16" s="444" t="s">
        <v>699</v>
      </c>
      <c r="N16" s="445" t="s">
        <v>692</v>
      </c>
      <c r="O16" s="445"/>
    </row>
    <row r="17" spans="1:15" s="21" customFormat="1" ht="12">
      <c r="A17" s="20" t="s">
        <v>595</v>
      </c>
      <c r="B17" s="16"/>
      <c r="C17" s="17"/>
      <c r="D17" s="17"/>
      <c r="E17" s="387">
        <v>9.6</v>
      </c>
      <c r="F17" s="18">
        <v>0.44</v>
      </c>
      <c r="G17" s="17"/>
      <c r="H17" s="17"/>
      <c r="I17" s="387">
        <f t="shared" si="0"/>
        <v>0.44</v>
      </c>
      <c r="J17" s="18">
        <v>0.83</v>
      </c>
      <c r="K17" s="25">
        <f t="shared" si="1"/>
        <v>10.87</v>
      </c>
      <c r="L17" s="25">
        <v>12.2</v>
      </c>
      <c r="M17" s="444" t="s">
        <v>699</v>
      </c>
      <c r="N17" s="445" t="s">
        <v>693</v>
      </c>
      <c r="O17" s="445"/>
    </row>
    <row r="18" spans="1:15" s="19" customFormat="1" ht="12">
      <c r="A18" s="15"/>
      <c r="B18" s="16"/>
      <c r="C18" s="17"/>
      <c r="D18" s="17"/>
      <c r="E18" s="387"/>
      <c r="F18" s="18"/>
      <c r="G18" s="17"/>
      <c r="H18" s="17"/>
      <c r="I18" s="387"/>
      <c r="J18" s="18"/>
      <c r="K18" s="25"/>
      <c r="L18" s="25"/>
      <c r="M18" s="443"/>
      <c r="N18" s="443"/>
      <c r="O18" s="443"/>
    </row>
    <row r="19" spans="1:15" s="21" customFormat="1" ht="12">
      <c r="A19" s="22" t="s">
        <v>126</v>
      </c>
      <c r="B19" s="16"/>
      <c r="C19" s="17"/>
      <c r="D19" s="17"/>
      <c r="E19" s="387"/>
      <c r="F19" s="18"/>
      <c r="G19" s="17"/>
      <c r="H19" s="17"/>
      <c r="I19" s="387"/>
      <c r="J19" s="18"/>
      <c r="K19" s="25"/>
      <c r="L19" s="25"/>
      <c r="M19" s="443" t="s">
        <v>56</v>
      </c>
      <c r="N19" s="445"/>
      <c r="O19" s="445"/>
    </row>
    <row r="20" spans="1:15" s="21" customFormat="1" ht="12">
      <c r="A20" s="20" t="s">
        <v>431</v>
      </c>
      <c r="B20" s="16"/>
      <c r="C20" s="17"/>
      <c r="D20" s="17"/>
      <c r="E20" s="387">
        <v>1.87</v>
      </c>
      <c r="F20" s="18">
        <v>0.28</v>
      </c>
      <c r="G20" s="17"/>
      <c r="H20" s="17"/>
      <c r="I20" s="387">
        <f aca="true" t="shared" si="2" ref="I20:I29">SUM(F20:H20)</f>
        <v>0.28</v>
      </c>
      <c r="J20" s="18">
        <v>0.23</v>
      </c>
      <c r="K20" s="25">
        <f aca="true" t="shared" si="3" ref="K20:K29">J20+I20+E20</f>
        <v>2.38</v>
      </c>
      <c r="L20" s="25">
        <v>2.74</v>
      </c>
      <c r="M20" s="444" t="s">
        <v>699</v>
      </c>
      <c r="N20" s="445" t="s">
        <v>582</v>
      </c>
      <c r="O20" s="445"/>
    </row>
    <row r="21" spans="1:15" s="21" customFormat="1" ht="12">
      <c r="A21" s="20" t="s">
        <v>359</v>
      </c>
      <c r="B21" s="16"/>
      <c r="C21" s="17"/>
      <c r="D21" s="17"/>
      <c r="E21" s="387">
        <v>2.49</v>
      </c>
      <c r="F21" s="18">
        <v>0.34</v>
      </c>
      <c r="G21" s="17"/>
      <c r="H21" s="17"/>
      <c r="I21" s="387">
        <f t="shared" si="2"/>
        <v>0.34</v>
      </c>
      <c r="J21" s="18">
        <v>0.28</v>
      </c>
      <c r="K21" s="25">
        <f t="shared" si="3"/>
        <v>3.1100000000000003</v>
      </c>
      <c r="L21" s="25">
        <v>3.57</v>
      </c>
      <c r="M21" s="444" t="s">
        <v>699</v>
      </c>
      <c r="N21" s="445" t="s">
        <v>158</v>
      </c>
      <c r="O21" s="445"/>
    </row>
    <row r="22" spans="1:15" s="21" customFormat="1" ht="12">
      <c r="A22" s="20" t="s">
        <v>360</v>
      </c>
      <c r="B22" s="16"/>
      <c r="C22" s="17"/>
      <c r="D22" s="17"/>
      <c r="E22" s="387">
        <v>3.7</v>
      </c>
      <c r="F22" s="18">
        <v>0.43</v>
      </c>
      <c r="G22" s="17"/>
      <c r="H22" s="17"/>
      <c r="I22" s="387">
        <f t="shared" si="2"/>
        <v>0.43</v>
      </c>
      <c r="J22" s="18">
        <v>0.36</v>
      </c>
      <c r="K22" s="25">
        <f t="shared" si="3"/>
        <v>4.49</v>
      </c>
      <c r="L22" s="25">
        <v>5.15</v>
      </c>
      <c r="M22" s="444" t="s">
        <v>699</v>
      </c>
      <c r="N22" s="445" t="s">
        <v>583</v>
      </c>
      <c r="O22" s="445"/>
    </row>
    <row r="23" spans="1:15" s="21" customFormat="1" ht="12">
      <c r="A23" s="20" t="s">
        <v>540</v>
      </c>
      <c r="B23" s="16"/>
      <c r="C23" s="17"/>
      <c r="D23" s="17"/>
      <c r="E23" s="387">
        <v>4.95</v>
      </c>
      <c r="F23" s="18">
        <v>0.52</v>
      </c>
      <c r="G23" s="17"/>
      <c r="H23" s="17"/>
      <c r="I23" s="387">
        <f t="shared" si="2"/>
        <v>0.52</v>
      </c>
      <c r="J23" s="18">
        <v>0.43</v>
      </c>
      <c r="K23" s="25">
        <f t="shared" si="3"/>
        <v>5.9</v>
      </c>
      <c r="L23" s="25">
        <v>6.7</v>
      </c>
      <c r="M23" s="444" t="s">
        <v>699</v>
      </c>
      <c r="N23" s="445" t="s">
        <v>584</v>
      </c>
      <c r="O23" s="445"/>
    </row>
    <row r="24" spans="1:15" s="21" customFormat="1" ht="12">
      <c r="A24" s="20" t="s">
        <v>542</v>
      </c>
      <c r="B24" s="16"/>
      <c r="C24" s="17"/>
      <c r="D24" s="17"/>
      <c r="E24" s="387">
        <v>1.47</v>
      </c>
      <c r="F24" s="18">
        <v>0.22</v>
      </c>
      <c r="G24" s="17"/>
      <c r="H24" s="17"/>
      <c r="I24" s="387">
        <f t="shared" si="2"/>
        <v>0.22</v>
      </c>
      <c r="J24" s="18">
        <v>0.19</v>
      </c>
      <c r="K24" s="25">
        <f t="shared" si="3"/>
        <v>1.88</v>
      </c>
      <c r="L24" s="25">
        <v>2.17</v>
      </c>
      <c r="M24" s="444" t="s">
        <v>699</v>
      </c>
      <c r="N24" s="445" t="s">
        <v>417</v>
      </c>
      <c r="O24" s="445"/>
    </row>
    <row r="25" spans="1:15" s="21" customFormat="1" ht="12">
      <c r="A25" s="20" t="s">
        <v>541</v>
      </c>
      <c r="B25" s="16"/>
      <c r="C25" s="17"/>
      <c r="D25" s="17"/>
      <c r="E25" s="387">
        <v>2.23</v>
      </c>
      <c r="F25" s="18">
        <v>0.31</v>
      </c>
      <c r="G25" s="17"/>
      <c r="H25" s="17"/>
      <c r="I25" s="387">
        <f t="shared" si="2"/>
        <v>0.31</v>
      </c>
      <c r="J25" s="18">
        <v>0.26</v>
      </c>
      <c r="K25" s="25">
        <f t="shared" si="3"/>
        <v>2.8</v>
      </c>
      <c r="L25" s="25">
        <v>3.2</v>
      </c>
      <c r="M25" s="444" t="s">
        <v>699</v>
      </c>
      <c r="N25" s="445" t="s">
        <v>418</v>
      </c>
      <c r="O25" s="445"/>
    </row>
    <row r="26" spans="1:15" s="21" customFormat="1" ht="12">
      <c r="A26" s="20" t="s">
        <v>543</v>
      </c>
      <c r="B26" s="16"/>
      <c r="C26" s="17"/>
      <c r="D26" s="17"/>
      <c r="E26" s="387">
        <v>3</v>
      </c>
      <c r="F26" s="18">
        <v>0.37</v>
      </c>
      <c r="G26" s="17"/>
      <c r="H26" s="17"/>
      <c r="I26" s="387">
        <f t="shared" si="2"/>
        <v>0.37</v>
      </c>
      <c r="J26" s="18">
        <v>0.31</v>
      </c>
      <c r="K26" s="25">
        <f t="shared" si="3"/>
        <v>3.6799999999999997</v>
      </c>
      <c r="L26" s="25">
        <v>4.23</v>
      </c>
      <c r="M26" s="444" t="s">
        <v>699</v>
      </c>
      <c r="N26" s="445" t="s">
        <v>621</v>
      </c>
      <c r="O26" s="445"/>
    </row>
    <row r="27" spans="1:15" s="21" customFormat="1" ht="12">
      <c r="A27" s="20" t="s">
        <v>639</v>
      </c>
      <c r="B27" s="16"/>
      <c r="C27" s="17"/>
      <c r="D27" s="17"/>
      <c r="E27" s="387">
        <v>3.7</v>
      </c>
      <c r="F27" s="18">
        <v>0.43</v>
      </c>
      <c r="G27" s="17"/>
      <c r="H27" s="17"/>
      <c r="I27" s="387">
        <f t="shared" si="2"/>
        <v>0.43</v>
      </c>
      <c r="J27" s="18">
        <v>0.36</v>
      </c>
      <c r="K27" s="25">
        <f t="shared" si="3"/>
        <v>4.49</v>
      </c>
      <c r="L27" s="25">
        <v>5.15</v>
      </c>
      <c r="M27" s="444" t="s">
        <v>699</v>
      </c>
      <c r="N27" s="445" t="s">
        <v>622</v>
      </c>
      <c r="O27" s="445"/>
    </row>
    <row r="28" spans="1:15" s="21" customFormat="1" ht="12">
      <c r="A28" s="20" t="s">
        <v>640</v>
      </c>
      <c r="B28" s="16"/>
      <c r="C28" s="17"/>
      <c r="D28" s="17"/>
      <c r="E28" s="387">
        <v>4.41</v>
      </c>
      <c r="F28" s="18">
        <v>0.48</v>
      </c>
      <c r="G28" s="17"/>
      <c r="H28" s="17"/>
      <c r="I28" s="387">
        <f t="shared" si="2"/>
        <v>0.48</v>
      </c>
      <c r="J28" s="18">
        <v>0.41</v>
      </c>
      <c r="K28" s="25">
        <f t="shared" si="3"/>
        <v>5.3</v>
      </c>
      <c r="L28" s="25">
        <v>6.05</v>
      </c>
      <c r="M28" s="444" t="s">
        <v>699</v>
      </c>
      <c r="N28" s="445" t="s">
        <v>623</v>
      </c>
      <c r="O28" s="445"/>
    </row>
    <row r="29" spans="1:15" s="37" customFormat="1" ht="12">
      <c r="A29" s="29" t="s">
        <v>505</v>
      </c>
      <c r="B29" s="38"/>
      <c r="C29" s="32"/>
      <c r="D29" s="32"/>
      <c r="E29" s="388">
        <v>1.07</v>
      </c>
      <c r="F29" s="34">
        <v>0.13</v>
      </c>
      <c r="G29" s="32"/>
      <c r="H29" s="32"/>
      <c r="I29" s="388">
        <f t="shared" si="2"/>
        <v>0.13</v>
      </c>
      <c r="J29" s="34">
        <v>0.17</v>
      </c>
      <c r="K29" s="35">
        <f t="shared" si="3"/>
        <v>1.37</v>
      </c>
      <c r="L29" s="35">
        <v>1.58</v>
      </c>
      <c r="M29" s="444" t="s">
        <v>699</v>
      </c>
      <c r="N29" s="446" t="s">
        <v>286</v>
      </c>
      <c r="O29" s="446" t="s">
        <v>326</v>
      </c>
    </row>
    <row r="30" spans="1:15" s="21" customFormat="1" ht="12">
      <c r="A30" s="20"/>
      <c r="B30" s="16"/>
      <c r="C30" s="17"/>
      <c r="D30" s="17"/>
      <c r="E30" s="387"/>
      <c r="F30" s="18"/>
      <c r="G30" s="17"/>
      <c r="H30" s="17"/>
      <c r="I30" s="387"/>
      <c r="J30" s="18"/>
      <c r="K30" s="25"/>
      <c r="L30" s="25"/>
      <c r="M30" s="445"/>
      <c r="N30" s="445"/>
      <c r="O30" s="445"/>
    </row>
    <row r="31" spans="1:15" s="21" customFormat="1" ht="12">
      <c r="A31" s="22" t="s">
        <v>419</v>
      </c>
      <c r="B31" s="16"/>
      <c r="C31" s="17"/>
      <c r="D31" s="17"/>
      <c r="E31" s="387"/>
      <c r="F31" s="18"/>
      <c r="G31" s="17"/>
      <c r="H31" s="17"/>
      <c r="I31" s="387"/>
      <c r="J31" s="18"/>
      <c r="K31" s="25"/>
      <c r="L31" s="25"/>
      <c r="M31" s="445" t="s">
        <v>257</v>
      </c>
      <c r="N31" s="445"/>
      <c r="O31" s="445"/>
    </row>
    <row r="32" spans="1:15" s="21" customFormat="1" ht="12">
      <c r="A32" s="20" t="s">
        <v>420</v>
      </c>
      <c r="B32" s="16"/>
      <c r="C32" s="17"/>
      <c r="D32" s="17"/>
      <c r="E32" s="387"/>
      <c r="F32" s="18"/>
      <c r="G32" s="17"/>
      <c r="H32" s="17"/>
      <c r="I32" s="387"/>
      <c r="J32" s="18"/>
      <c r="K32" s="25"/>
      <c r="L32" s="25">
        <f>4893.8/1111.1</f>
        <v>4.404464044640447</v>
      </c>
      <c r="M32" s="445" t="s">
        <v>421</v>
      </c>
      <c r="N32" s="445"/>
      <c r="O32" s="445"/>
    </row>
    <row r="33" spans="1:15" s="21" customFormat="1" ht="12">
      <c r="A33" s="20" t="s">
        <v>422</v>
      </c>
      <c r="B33" s="16"/>
      <c r="C33" s="17"/>
      <c r="D33" s="17"/>
      <c r="E33" s="387"/>
      <c r="F33" s="18"/>
      <c r="G33" s="17"/>
      <c r="H33" s="17"/>
      <c r="I33" s="387"/>
      <c r="J33" s="18"/>
      <c r="K33" s="25"/>
      <c r="L33" s="25">
        <f>2083.5/1111.1</f>
        <v>1.875168751687517</v>
      </c>
      <c r="M33" s="445" t="s">
        <v>629</v>
      </c>
      <c r="N33" s="445"/>
      <c r="O33" s="445"/>
    </row>
    <row r="34" spans="1:15" s="21" customFormat="1" ht="12">
      <c r="A34" s="20" t="s">
        <v>535</v>
      </c>
      <c r="B34" s="16"/>
      <c r="C34" s="17"/>
      <c r="D34" s="17"/>
      <c r="E34" s="387"/>
      <c r="F34" s="18"/>
      <c r="G34" s="17"/>
      <c r="H34" s="17"/>
      <c r="I34" s="387"/>
      <c r="J34" s="18"/>
      <c r="K34" s="25"/>
      <c r="L34" s="25">
        <f>432.3/1111.1</f>
        <v>0.3890738907389074</v>
      </c>
      <c r="M34" s="445" t="s">
        <v>353</v>
      </c>
      <c r="N34" s="445"/>
      <c r="O34" s="445"/>
    </row>
    <row r="35" spans="1:15" s="21" customFormat="1" ht="12">
      <c r="A35" s="20" t="s">
        <v>423</v>
      </c>
      <c r="B35" s="16"/>
      <c r="C35" s="17"/>
      <c r="D35" s="17"/>
      <c r="E35" s="387"/>
      <c r="F35" s="18"/>
      <c r="G35" s="17"/>
      <c r="H35" s="17"/>
      <c r="I35" s="387"/>
      <c r="J35" s="18"/>
      <c r="K35" s="25"/>
      <c r="L35" s="25">
        <f>188.9/1111.1</f>
        <v>0.1700117001170012</v>
      </c>
      <c r="M35" s="445"/>
      <c r="N35" s="445"/>
      <c r="O35" s="445"/>
    </row>
    <row r="36" spans="1:15" s="21" customFormat="1" ht="12">
      <c r="A36" s="20" t="s">
        <v>424</v>
      </c>
      <c r="B36" s="16"/>
      <c r="C36" s="17"/>
      <c r="D36" s="17"/>
      <c r="E36" s="387"/>
      <c r="F36" s="18"/>
      <c r="G36" s="17"/>
      <c r="H36" s="17"/>
      <c r="I36" s="387"/>
      <c r="J36" s="18"/>
      <c r="K36" s="25"/>
      <c r="L36" s="25">
        <f>1944.6/1111.1</f>
        <v>1.7501575015750157</v>
      </c>
      <c r="M36" s="445" t="s">
        <v>432</v>
      </c>
      <c r="N36" s="445"/>
      <c r="O36" s="445"/>
    </row>
    <row r="37" spans="1:15" s="21" customFormat="1" ht="12">
      <c r="A37" s="20"/>
      <c r="B37" s="16"/>
      <c r="C37" s="17"/>
      <c r="D37" s="17"/>
      <c r="E37" s="387"/>
      <c r="F37" s="18"/>
      <c r="G37" s="17"/>
      <c r="H37" s="17"/>
      <c r="I37" s="387"/>
      <c r="J37" s="18"/>
      <c r="K37" s="25"/>
      <c r="L37" s="25"/>
      <c r="M37" s="445"/>
      <c r="N37" s="445"/>
      <c r="O37" s="445"/>
    </row>
    <row r="38" spans="1:15" s="21" customFormat="1" ht="12">
      <c r="A38" s="22" t="s">
        <v>166</v>
      </c>
      <c r="B38" s="16"/>
      <c r="C38" s="17"/>
      <c r="D38" s="17"/>
      <c r="E38" s="387"/>
      <c r="F38" s="18"/>
      <c r="G38" s="17"/>
      <c r="H38" s="17"/>
      <c r="I38" s="387"/>
      <c r="J38" s="18"/>
      <c r="K38" s="25"/>
      <c r="L38" s="25"/>
      <c r="M38" s="445" t="s">
        <v>180</v>
      </c>
      <c r="N38" s="445"/>
      <c r="O38" s="445"/>
    </row>
    <row r="39" spans="1:15" s="21" customFormat="1" ht="12">
      <c r="A39" s="20" t="s">
        <v>167</v>
      </c>
      <c r="B39" s="16"/>
      <c r="C39" s="17"/>
      <c r="D39" s="17"/>
      <c r="E39" s="387"/>
      <c r="F39" s="18"/>
      <c r="G39" s="17"/>
      <c r="H39" s="17"/>
      <c r="I39" s="387"/>
      <c r="J39" s="18"/>
      <c r="K39" s="25"/>
      <c r="L39" s="25">
        <f>1.1*9</f>
        <v>9.9</v>
      </c>
      <c r="M39" s="445"/>
      <c r="N39" s="445"/>
      <c r="O39" s="445"/>
    </row>
    <row r="40" spans="1:15" s="21" customFormat="1" ht="12">
      <c r="A40" s="20"/>
      <c r="B40" s="16"/>
      <c r="C40" s="17"/>
      <c r="D40" s="17"/>
      <c r="E40" s="387"/>
      <c r="F40" s="18"/>
      <c r="G40" s="17"/>
      <c r="H40" s="17"/>
      <c r="I40" s="387"/>
      <c r="J40" s="18"/>
      <c r="K40" s="25"/>
      <c r="L40" s="25"/>
      <c r="M40" s="445"/>
      <c r="N40" s="445"/>
      <c r="O40" s="445"/>
    </row>
    <row r="41" spans="1:15" s="21" customFormat="1" ht="12">
      <c r="A41" s="22" t="s">
        <v>466</v>
      </c>
      <c r="B41" s="16"/>
      <c r="C41" s="17"/>
      <c r="D41" s="17"/>
      <c r="E41" s="387"/>
      <c r="F41" s="18"/>
      <c r="G41" s="17"/>
      <c r="H41" s="17"/>
      <c r="I41" s="387"/>
      <c r="J41" s="18"/>
      <c r="K41" s="25"/>
      <c r="L41" s="25"/>
      <c r="M41" s="445" t="s">
        <v>450</v>
      </c>
      <c r="N41" s="445"/>
      <c r="O41" s="445"/>
    </row>
    <row r="42" spans="1:15" s="21" customFormat="1" ht="12">
      <c r="A42" s="20" t="s">
        <v>640</v>
      </c>
      <c r="B42" s="16"/>
      <c r="C42" s="17"/>
      <c r="D42" s="17"/>
      <c r="E42" s="387"/>
      <c r="F42" s="18"/>
      <c r="G42" s="17"/>
      <c r="H42" s="17"/>
      <c r="I42" s="387"/>
      <c r="J42" s="18"/>
      <c r="K42" s="25"/>
      <c r="L42" s="25">
        <f>1.95*3</f>
        <v>5.85</v>
      </c>
      <c r="M42" s="445"/>
      <c r="N42" s="445"/>
      <c r="O42" s="445"/>
    </row>
    <row r="43" spans="1:15" s="21" customFormat="1" ht="12">
      <c r="A43" s="20" t="s">
        <v>465</v>
      </c>
      <c r="B43" s="16"/>
      <c r="C43" s="17"/>
      <c r="D43" s="17"/>
      <c r="E43" s="387"/>
      <c r="F43" s="18"/>
      <c r="G43" s="17"/>
      <c r="H43" s="17"/>
      <c r="I43" s="387"/>
      <c r="J43" s="18"/>
      <c r="K43" s="25"/>
      <c r="L43" s="25">
        <f>0.68*8</f>
        <v>5.44</v>
      </c>
      <c r="M43" s="445"/>
      <c r="N43" s="445"/>
      <c r="O43" s="445"/>
    </row>
    <row r="44" spans="1:15" s="21" customFormat="1" ht="12">
      <c r="A44" s="20"/>
      <c r="B44" s="16"/>
      <c r="C44" s="17"/>
      <c r="D44" s="17"/>
      <c r="E44" s="387"/>
      <c r="F44" s="18"/>
      <c r="G44" s="17"/>
      <c r="H44" s="17"/>
      <c r="I44" s="387"/>
      <c r="J44" s="18"/>
      <c r="K44" s="53"/>
      <c r="L44" s="25"/>
      <c r="M44" s="445"/>
      <c r="N44" s="445"/>
      <c r="O44" s="445"/>
    </row>
    <row r="45" spans="1:15" s="60" customFormat="1" ht="12">
      <c r="A45" s="54" t="s">
        <v>143</v>
      </c>
      <c r="B45" s="55"/>
      <c r="C45" s="56"/>
      <c r="D45" s="56"/>
      <c r="E45" s="440"/>
      <c r="F45" s="57"/>
      <c r="G45" s="56"/>
      <c r="H45" s="56"/>
      <c r="I45" s="389"/>
      <c r="J45" s="58"/>
      <c r="K45" s="55"/>
      <c r="L45" s="59"/>
      <c r="M45" s="447"/>
      <c r="N45" s="447"/>
      <c r="O45" s="447"/>
    </row>
    <row r="46" spans="1:15" s="21" customFormat="1" ht="12">
      <c r="A46" s="22" t="s">
        <v>467</v>
      </c>
      <c r="B46" s="16"/>
      <c r="C46" s="17"/>
      <c r="D46" s="17"/>
      <c r="E46" s="387"/>
      <c r="F46" s="18"/>
      <c r="G46" s="17"/>
      <c r="H46" s="17"/>
      <c r="I46" s="387"/>
      <c r="J46" s="18"/>
      <c r="K46" s="25"/>
      <c r="L46" s="25"/>
      <c r="M46" s="445" t="s">
        <v>450</v>
      </c>
      <c r="N46" s="445"/>
      <c r="O46" s="445"/>
    </row>
    <row r="47" spans="1:15" s="21" customFormat="1" ht="12">
      <c r="A47" s="20" t="s">
        <v>261</v>
      </c>
      <c r="B47" s="16"/>
      <c r="C47" s="17"/>
      <c r="D47" s="17"/>
      <c r="E47" s="387"/>
      <c r="F47" s="18"/>
      <c r="G47" s="17"/>
      <c r="H47" s="17"/>
      <c r="I47" s="387"/>
      <c r="J47" s="18"/>
      <c r="K47" s="25"/>
      <c r="L47" s="25">
        <f>1.53*5</f>
        <v>7.65</v>
      </c>
      <c r="M47" s="445"/>
      <c r="N47" s="445"/>
      <c r="O47" s="445"/>
    </row>
    <row r="48" spans="1:15" s="21" customFormat="1" ht="12">
      <c r="A48" s="20" t="s">
        <v>649</v>
      </c>
      <c r="B48" s="16"/>
      <c r="C48" s="17"/>
      <c r="D48" s="17"/>
      <c r="E48" s="387"/>
      <c r="F48" s="18"/>
      <c r="G48" s="17"/>
      <c r="H48" s="17"/>
      <c r="I48" s="387"/>
      <c r="J48" s="18"/>
      <c r="K48" s="25"/>
      <c r="L48" s="25">
        <v>6.5</v>
      </c>
      <c r="M48" s="445"/>
      <c r="N48" s="445"/>
      <c r="O48" s="445"/>
    </row>
    <row r="49" spans="1:15" s="21" customFormat="1" ht="12">
      <c r="A49" s="20"/>
      <c r="B49" s="16"/>
      <c r="C49" s="17"/>
      <c r="D49" s="17"/>
      <c r="E49" s="387"/>
      <c r="F49" s="18"/>
      <c r="G49" s="17"/>
      <c r="H49" s="17"/>
      <c r="I49" s="387"/>
      <c r="J49" s="18"/>
      <c r="K49" s="25"/>
      <c r="L49" s="25"/>
      <c r="M49" s="445"/>
      <c r="N49" s="445"/>
      <c r="O49" s="445"/>
    </row>
    <row r="50" spans="1:15" s="21" customFormat="1" ht="12">
      <c r="A50" s="22" t="s">
        <v>168</v>
      </c>
      <c r="B50" s="16"/>
      <c r="C50" s="17"/>
      <c r="D50" s="17"/>
      <c r="E50" s="387"/>
      <c r="F50" s="18"/>
      <c r="G50" s="17"/>
      <c r="H50" s="17"/>
      <c r="I50" s="387"/>
      <c r="J50" s="18"/>
      <c r="K50" s="25"/>
      <c r="L50" s="25"/>
      <c r="M50" s="445" t="s">
        <v>180</v>
      </c>
      <c r="N50" s="445"/>
      <c r="O50" s="445"/>
    </row>
    <row r="51" spans="1:15" s="21" customFormat="1" ht="12">
      <c r="A51" s="20" t="s">
        <v>512</v>
      </c>
      <c r="B51" s="16"/>
      <c r="C51" s="17"/>
      <c r="D51" s="17"/>
      <c r="E51" s="387"/>
      <c r="F51" s="18"/>
      <c r="G51" s="17"/>
      <c r="H51" s="17"/>
      <c r="I51" s="387"/>
      <c r="J51" s="18"/>
      <c r="K51" s="25"/>
      <c r="L51" s="25">
        <f>1.5*9</f>
        <v>13.5</v>
      </c>
      <c r="M51" s="445" t="s">
        <v>688</v>
      </c>
      <c r="N51" s="445"/>
      <c r="O51" s="445"/>
    </row>
    <row r="52" spans="1:15" s="21" customFormat="1" ht="12">
      <c r="A52" s="20"/>
      <c r="B52" s="16"/>
      <c r="C52" s="17"/>
      <c r="D52" s="17"/>
      <c r="E52" s="387"/>
      <c r="F52" s="18"/>
      <c r="G52" s="17"/>
      <c r="H52" s="17"/>
      <c r="I52" s="387"/>
      <c r="J52" s="18"/>
      <c r="K52" s="25"/>
      <c r="L52" s="25"/>
      <c r="M52" s="445"/>
      <c r="N52" s="445"/>
      <c r="O52" s="445"/>
    </row>
    <row r="53" spans="1:15" s="21" customFormat="1" ht="12">
      <c r="A53" s="22" t="s">
        <v>259</v>
      </c>
      <c r="B53" s="16"/>
      <c r="C53" s="17"/>
      <c r="D53" s="17"/>
      <c r="E53" s="387"/>
      <c r="F53" s="18"/>
      <c r="G53" s="17"/>
      <c r="H53" s="17"/>
      <c r="I53" s="387"/>
      <c r="J53" s="18"/>
      <c r="K53" s="25"/>
      <c r="L53" s="25"/>
      <c r="M53" s="445" t="s">
        <v>257</v>
      </c>
      <c r="N53" s="445"/>
      <c r="O53" s="445"/>
    </row>
    <row r="54" spans="1:15" s="21" customFormat="1" ht="12">
      <c r="A54" s="20" t="s">
        <v>261</v>
      </c>
      <c r="B54" s="16"/>
      <c r="C54" s="17"/>
      <c r="D54" s="17"/>
      <c r="E54" s="387"/>
      <c r="F54" s="18"/>
      <c r="G54" s="17"/>
      <c r="H54" s="17"/>
      <c r="I54" s="387"/>
      <c r="J54" s="18"/>
      <c r="K54" s="25"/>
      <c r="L54" s="25">
        <f>10385/1111</f>
        <v>9.347434743474347</v>
      </c>
      <c r="M54" s="445" t="s">
        <v>462</v>
      </c>
      <c r="N54" s="445"/>
      <c r="O54" s="445"/>
    </row>
    <row r="55" spans="1:15" s="21" customFormat="1" ht="12">
      <c r="A55" s="20" t="s">
        <v>260</v>
      </c>
      <c r="B55" s="16"/>
      <c r="C55" s="17"/>
      <c r="D55" s="17"/>
      <c r="E55" s="387"/>
      <c r="F55" s="18"/>
      <c r="G55" s="17"/>
      <c r="H55" s="17"/>
      <c r="I55" s="387"/>
      <c r="J55" s="18"/>
      <c r="K55" s="25"/>
      <c r="L55" s="25">
        <f>8308/1111</f>
        <v>7.477947794779478</v>
      </c>
      <c r="M55" s="445" t="s">
        <v>354</v>
      </c>
      <c r="N55" s="445"/>
      <c r="O55" s="445"/>
    </row>
    <row r="56" spans="1:15" s="21" customFormat="1" ht="12">
      <c r="A56" s="20" t="s">
        <v>262</v>
      </c>
      <c r="B56" s="16"/>
      <c r="C56" s="17"/>
      <c r="D56" s="17"/>
      <c r="E56" s="387"/>
      <c r="F56" s="18"/>
      <c r="G56" s="17"/>
      <c r="H56" s="17"/>
      <c r="I56" s="387"/>
      <c r="J56" s="18"/>
      <c r="K56" s="25"/>
      <c r="L56" s="25">
        <f>926.3/1111</f>
        <v>0.8337533753375337</v>
      </c>
      <c r="M56" s="445" t="s">
        <v>534</v>
      </c>
      <c r="N56" s="445"/>
      <c r="O56" s="445"/>
    </row>
    <row r="57" spans="1:15" s="21" customFormat="1" ht="12">
      <c r="A57" s="20" t="s">
        <v>355</v>
      </c>
      <c r="B57" s="16"/>
      <c r="C57" s="17"/>
      <c r="D57" s="17"/>
      <c r="E57" s="387"/>
      <c r="F57" s="18"/>
      <c r="G57" s="17"/>
      <c r="H57" s="17"/>
      <c r="I57" s="387"/>
      <c r="J57" s="18"/>
      <c r="K57" s="25"/>
      <c r="L57" s="25">
        <f>470.4/1111</f>
        <v>0.4234023402340234</v>
      </c>
      <c r="M57" s="445" t="s">
        <v>434</v>
      </c>
      <c r="N57" s="445"/>
      <c r="O57" s="445"/>
    </row>
    <row r="58" spans="1:15" s="21" customFormat="1" ht="12">
      <c r="A58" s="20" t="s">
        <v>263</v>
      </c>
      <c r="B58" s="16"/>
      <c r="C58" s="17"/>
      <c r="D58" s="17"/>
      <c r="E58" s="387"/>
      <c r="F58" s="18"/>
      <c r="G58" s="17"/>
      <c r="H58" s="17"/>
      <c r="I58" s="387"/>
      <c r="J58" s="18"/>
      <c r="K58" s="25"/>
      <c r="L58" s="25">
        <f>1000/1111</f>
        <v>0.9000900090009001</v>
      </c>
      <c r="M58" s="445"/>
      <c r="N58" s="445"/>
      <c r="O58" s="445"/>
    </row>
    <row r="59" spans="1:15" s="21" customFormat="1" ht="12">
      <c r="A59" s="20" t="s">
        <v>264</v>
      </c>
      <c r="B59" s="16"/>
      <c r="C59" s="17"/>
      <c r="D59" s="17"/>
      <c r="E59" s="387"/>
      <c r="F59" s="18"/>
      <c r="G59" s="17"/>
      <c r="H59" s="17"/>
      <c r="I59" s="387"/>
      <c r="J59" s="18"/>
      <c r="K59" s="25"/>
      <c r="L59" s="25">
        <f>2.52</f>
        <v>2.52</v>
      </c>
      <c r="M59" s="445"/>
      <c r="N59" s="445"/>
      <c r="O59" s="445"/>
    </row>
    <row r="60" spans="1:15" s="21" customFormat="1" ht="12">
      <c r="A60" s="20"/>
      <c r="B60" s="16"/>
      <c r="C60" s="17"/>
      <c r="D60" s="17"/>
      <c r="E60" s="387"/>
      <c r="F60" s="18"/>
      <c r="G60" s="17"/>
      <c r="H60" s="17"/>
      <c r="I60" s="387"/>
      <c r="J60" s="18"/>
      <c r="K60" s="25"/>
      <c r="L60" s="25"/>
      <c r="M60" s="445"/>
      <c r="N60" s="445"/>
      <c r="O60" s="445"/>
    </row>
    <row r="61" spans="1:15" s="21" customFormat="1" ht="12">
      <c r="A61" s="39" t="s">
        <v>133</v>
      </c>
      <c r="B61" s="16"/>
      <c r="C61" s="17"/>
      <c r="D61" s="17"/>
      <c r="E61" s="387"/>
      <c r="F61" s="18"/>
      <c r="G61" s="17"/>
      <c r="H61" s="17"/>
      <c r="I61" s="387"/>
      <c r="J61" s="18"/>
      <c r="K61" s="25"/>
      <c r="L61" s="25"/>
      <c r="M61" s="443" t="s">
        <v>56</v>
      </c>
      <c r="N61" s="445"/>
      <c r="O61" s="445"/>
    </row>
    <row r="62" spans="1:15" s="21" customFormat="1" ht="12">
      <c r="A62" s="20" t="s">
        <v>648</v>
      </c>
      <c r="B62" s="16"/>
      <c r="C62" s="17"/>
      <c r="D62" s="17"/>
      <c r="E62" s="387">
        <v>15.85</v>
      </c>
      <c r="F62" s="18">
        <v>0.73</v>
      </c>
      <c r="G62" s="17"/>
      <c r="H62" s="17"/>
      <c r="I62" s="387">
        <f aca="true" t="shared" si="4" ref="I62:I73">SUM(F62:H62)</f>
        <v>0.73</v>
      </c>
      <c r="J62" s="18">
        <v>0.61</v>
      </c>
      <c r="K62" s="25">
        <f aca="true" t="shared" si="5" ref="K62:K68">J62+I62+E62</f>
        <v>17.189999999999998</v>
      </c>
      <c r="L62" s="25">
        <v>19.25</v>
      </c>
      <c r="M62" s="444" t="s">
        <v>699</v>
      </c>
      <c r="N62" s="445" t="s">
        <v>613</v>
      </c>
      <c r="O62" s="445" t="s">
        <v>703</v>
      </c>
    </row>
    <row r="63" spans="1:15" s="20" customFormat="1" ht="12">
      <c r="A63" s="20" t="s">
        <v>39</v>
      </c>
      <c r="B63" s="23"/>
      <c r="C63" s="24"/>
      <c r="D63" s="24"/>
      <c r="E63" s="387">
        <v>20</v>
      </c>
      <c r="F63" s="28">
        <v>0.77</v>
      </c>
      <c r="G63" s="24"/>
      <c r="H63" s="24"/>
      <c r="I63" s="387">
        <f t="shared" si="4"/>
        <v>0.77</v>
      </c>
      <c r="J63" s="18">
        <v>0.65</v>
      </c>
      <c r="K63" s="25">
        <f t="shared" si="5"/>
        <v>21.42</v>
      </c>
      <c r="L63" s="25">
        <v>24</v>
      </c>
      <c r="M63" s="444" t="s">
        <v>699</v>
      </c>
      <c r="N63" s="445" t="s">
        <v>614</v>
      </c>
      <c r="O63" s="445" t="s">
        <v>703</v>
      </c>
    </row>
    <row r="64" spans="1:15" s="20" customFormat="1" ht="12">
      <c r="A64" s="20" t="s">
        <v>41</v>
      </c>
      <c r="B64" s="23"/>
      <c r="C64" s="24"/>
      <c r="D64" s="24"/>
      <c r="E64" s="387">
        <v>22</v>
      </c>
      <c r="F64" s="28">
        <v>0.8</v>
      </c>
      <c r="G64" s="24"/>
      <c r="H64" s="24"/>
      <c r="I64" s="387">
        <f t="shared" si="4"/>
        <v>0.8</v>
      </c>
      <c r="J64" s="18">
        <v>0.67</v>
      </c>
      <c r="K64" s="25">
        <f t="shared" si="5"/>
        <v>23.47</v>
      </c>
      <c r="L64" s="25">
        <v>26.5</v>
      </c>
      <c r="M64" s="444" t="s">
        <v>699</v>
      </c>
      <c r="N64" s="445" t="s">
        <v>698</v>
      </c>
      <c r="O64" s="445" t="s">
        <v>703</v>
      </c>
    </row>
    <row r="65" spans="1:15" s="20" customFormat="1" ht="12">
      <c r="A65" s="20" t="s">
        <v>42</v>
      </c>
      <c r="B65" s="23"/>
      <c r="C65" s="24"/>
      <c r="D65" s="24"/>
      <c r="E65" s="387">
        <v>25.5</v>
      </c>
      <c r="F65" s="28">
        <v>0.88</v>
      </c>
      <c r="G65" s="24"/>
      <c r="H65" s="24"/>
      <c r="I65" s="387">
        <f t="shared" si="4"/>
        <v>0.88</v>
      </c>
      <c r="J65" s="18">
        <v>0.74</v>
      </c>
      <c r="K65" s="25">
        <f t="shared" si="5"/>
        <v>27.12</v>
      </c>
      <c r="L65" s="25">
        <v>30</v>
      </c>
      <c r="M65" s="444" t="s">
        <v>699</v>
      </c>
      <c r="N65" s="445" t="s">
        <v>615</v>
      </c>
      <c r="O65" s="445" t="s">
        <v>703</v>
      </c>
    </row>
    <row r="66" spans="1:15" s="20" customFormat="1" ht="12">
      <c r="A66" s="20" t="s">
        <v>475</v>
      </c>
      <c r="B66" s="23"/>
      <c r="C66" s="24"/>
      <c r="D66" s="24"/>
      <c r="E66" s="387">
        <v>27.5</v>
      </c>
      <c r="F66" s="28">
        <v>1.04</v>
      </c>
      <c r="G66" s="24"/>
      <c r="H66" s="24"/>
      <c r="I66" s="387">
        <f t="shared" si="4"/>
        <v>1.04</v>
      </c>
      <c r="J66" s="18">
        <v>0.88</v>
      </c>
      <c r="K66" s="25">
        <f t="shared" si="5"/>
        <v>29.42</v>
      </c>
      <c r="L66" s="25">
        <v>33</v>
      </c>
      <c r="M66" s="444" t="s">
        <v>699</v>
      </c>
      <c r="N66" s="445" t="s">
        <v>4</v>
      </c>
      <c r="O66" s="445" t="s">
        <v>703</v>
      </c>
    </row>
    <row r="67" spans="1:15" s="20" customFormat="1" ht="12">
      <c r="A67" s="20" t="s">
        <v>476</v>
      </c>
      <c r="B67" s="23"/>
      <c r="C67" s="24"/>
      <c r="D67" s="24"/>
      <c r="E67" s="387">
        <v>29.5</v>
      </c>
      <c r="F67" s="28">
        <v>1.22</v>
      </c>
      <c r="G67" s="24"/>
      <c r="H67" s="24"/>
      <c r="I67" s="387">
        <f t="shared" si="4"/>
        <v>1.22</v>
      </c>
      <c r="J67" s="18">
        <v>1.02</v>
      </c>
      <c r="K67" s="25">
        <f t="shared" si="5"/>
        <v>31.740000000000002</v>
      </c>
      <c r="L67" s="25">
        <v>35.5</v>
      </c>
      <c r="M67" s="444" t="s">
        <v>699</v>
      </c>
      <c r="N67" s="445" t="s">
        <v>5</v>
      </c>
      <c r="O67" s="445" t="s">
        <v>703</v>
      </c>
    </row>
    <row r="68" spans="1:15" s="20" customFormat="1" ht="12">
      <c r="A68" s="20" t="s">
        <v>297</v>
      </c>
      <c r="B68" s="23"/>
      <c r="C68" s="24"/>
      <c r="D68" s="24"/>
      <c r="E68" s="387">
        <v>33</v>
      </c>
      <c r="F68" s="28">
        <v>1.46</v>
      </c>
      <c r="G68" s="24"/>
      <c r="H68" s="24"/>
      <c r="I68" s="387">
        <f t="shared" si="4"/>
        <v>1.46</v>
      </c>
      <c r="J68" s="18">
        <v>1.23</v>
      </c>
      <c r="K68" s="25">
        <f t="shared" si="5"/>
        <v>35.69</v>
      </c>
      <c r="L68" s="25">
        <v>40</v>
      </c>
      <c r="M68" s="444" t="s">
        <v>699</v>
      </c>
      <c r="N68" s="445" t="s">
        <v>6</v>
      </c>
      <c r="O68" s="445" t="s">
        <v>703</v>
      </c>
    </row>
    <row r="69" spans="1:15" s="29" customFormat="1" ht="12">
      <c r="A69" s="29" t="s">
        <v>317</v>
      </c>
      <c r="B69" s="30"/>
      <c r="C69" s="31"/>
      <c r="D69" s="31"/>
      <c r="E69" s="388">
        <f>B69+C69+D69</f>
        <v>0</v>
      </c>
      <c r="F69" s="33">
        <v>0</v>
      </c>
      <c r="G69" s="31"/>
      <c r="H69" s="31"/>
      <c r="I69" s="388">
        <f t="shared" si="4"/>
        <v>0</v>
      </c>
      <c r="J69" s="34">
        <v>0</v>
      </c>
      <c r="K69" s="35">
        <v>3.59</v>
      </c>
      <c r="L69" s="35">
        <v>3.59</v>
      </c>
      <c r="M69" s="444" t="s">
        <v>699</v>
      </c>
      <c r="N69" s="446" t="s">
        <v>575</v>
      </c>
      <c r="O69" s="446" t="s">
        <v>694</v>
      </c>
    </row>
    <row r="70" spans="1:15" s="29" customFormat="1" ht="12">
      <c r="A70" s="29" t="s">
        <v>309</v>
      </c>
      <c r="B70" s="30"/>
      <c r="C70" s="31"/>
      <c r="D70" s="31"/>
      <c r="E70" s="388">
        <f>B70+C70+D70</f>
        <v>0</v>
      </c>
      <c r="F70" s="33">
        <v>0</v>
      </c>
      <c r="G70" s="31"/>
      <c r="H70" s="31"/>
      <c r="I70" s="388">
        <f t="shared" si="4"/>
        <v>0</v>
      </c>
      <c r="J70" s="34">
        <v>0</v>
      </c>
      <c r="K70" s="35">
        <v>6.8</v>
      </c>
      <c r="L70" s="35">
        <v>6.8</v>
      </c>
      <c r="M70" s="444" t="s">
        <v>699</v>
      </c>
      <c r="N70" s="446" t="s">
        <v>576</v>
      </c>
      <c r="O70" s="446" t="s">
        <v>694</v>
      </c>
    </row>
    <row r="71" spans="1:15" s="29" customFormat="1" ht="12">
      <c r="A71" s="29" t="s">
        <v>609</v>
      </c>
      <c r="B71" s="30"/>
      <c r="C71" s="31"/>
      <c r="D71" s="31"/>
      <c r="E71" s="388">
        <v>1.2</v>
      </c>
      <c r="F71" s="33">
        <v>5.7</v>
      </c>
      <c r="G71" s="31"/>
      <c r="H71" s="31"/>
      <c r="I71" s="388">
        <f t="shared" si="4"/>
        <v>5.7</v>
      </c>
      <c r="J71" s="34">
        <v>0</v>
      </c>
      <c r="K71" s="35">
        <f>J71+I71+E71</f>
        <v>6.9</v>
      </c>
      <c r="L71" s="35">
        <v>10.25</v>
      </c>
      <c r="M71" s="444" t="s">
        <v>699</v>
      </c>
      <c r="N71" s="446" t="s">
        <v>700</v>
      </c>
      <c r="O71" s="446" t="s">
        <v>611</v>
      </c>
    </row>
    <row r="72" spans="1:15" s="29" customFormat="1" ht="12">
      <c r="A72" s="29" t="s">
        <v>406</v>
      </c>
      <c r="B72" s="30"/>
      <c r="C72" s="31"/>
      <c r="D72" s="31"/>
      <c r="E72" s="388">
        <v>1.74</v>
      </c>
      <c r="F72" s="36">
        <v>11.7</v>
      </c>
      <c r="G72" s="31"/>
      <c r="H72" s="31"/>
      <c r="I72" s="388">
        <f t="shared" si="4"/>
        <v>11.7</v>
      </c>
      <c r="J72" s="34">
        <v>0</v>
      </c>
      <c r="K72" s="35">
        <f>J72+I72+E72</f>
        <v>13.44</v>
      </c>
      <c r="L72" s="35">
        <v>20.5</v>
      </c>
      <c r="M72" s="444" t="s">
        <v>699</v>
      </c>
      <c r="N72" s="446" t="s">
        <v>701</v>
      </c>
      <c r="O72" s="446" t="s">
        <v>611</v>
      </c>
    </row>
    <row r="73" spans="1:15" s="29" customFormat="1" ht="12">
      <c r="A73" s="29" t="s">
        <v>407</v>
      </c>
      <c r="B73" s="30"/>
      <c r="C73" s="31"/>
      <c r="D73" s="31"/>
      <c r="E73" s="388">
        <v>2.7</v>
      </c>
      <c r="F73" s="36">
        <v>12.95</v>
      </c>
      <c r="G73" s="31"/>
      <c r="H73" s="31"/>
      <c r="I73" s="388">
        <f t="shared" si="4"/>
        <v>12.95</v>
      </c>
      <c r="J73" s="34">
        <v>0</v>
      </c>
      <c r="K73" s="35">
        <f>J73+I73+E73</f>
        <v>15.649999999999999</v>
      </c>
      <c r="L73" s="35">
        <v>54.5</v>
      </c>
      <c r="M73" s="444" t="s">
        <v>699</v>
      </c>
      <c r="N73" s="446" t="s">
        <v>702</v>
      </c>
      <c r="O73" s="446" t="s">
        <v>612</v>
      </c>
    </row>
    <row r="74" spans="2:15" s="29" customFormat="1" ht="12">
      <c r="B74" s="30"/>
      <c r="C74" s="31"/>
      <c r="D74" s="31"/>
      <c r="E74" s="388"/>
      <c r="F74" s="36"/>
      <c r="G74" s="31"/>
      <c r="H74" s="31"/>
      <c r="I74" s="388"/>
      <c r="J74" s="34"/>
      <c r="K74" s="40"/>
      <c r="L74" s="35"/>
      <c r="M74" s="446"/>
      <c r="N74" s="446"/>
      <c r="O74" s="446"/>
    </row>
    <row r="75" spans="1:15" s="29" customFormat="1" ht="12">
      <c r="A75" s="22" t="s">
        <v>214</v>
      </c>
      <c r="B75" s="30"/>
      <c r="C75" s="31"/>
      <c r="D75" s="31"/>
      <c r="E75" s="388"/>
      <c r="F75" s="36"/>
      <c r="G75" s="31"/>
      <c r="H75" s="31"/>
      <c r="I75" s="388"/>
      <c r="J75" s="34"/>
      <c r="K75" s="40"/>
      <c r="L75" s="35"/>
      <c r="M75" s="445" t="s">
        <v>258</v>
      </c>
      <c r="N75" s="446"/>
      <c r="O75" s="446"/>
    </row>
    <row r="76" spans="1:15" s="20" customFormat="1" ht="12">
      <c r="A76" s="20" t="s">
        <v>134</v>
      </c>
      <c r="B76" s="23"/>
      <c r="C76" s="24"/>
      <c r="D76" s="24"/>
      <c r="E76" s="387"/>
      <c r="F76" s="52"/>
      <c r="G76" s="24"/>
      <c r="H76" s="24"/>
      <c r="I76" s="387"/>
      <c r="J76" s="18"/>
      <c r="K76" s="53"/>
      <c r="L76" s="25">
        <v>14.06</v>
      </c>
      <c r="M76" s="445" t="s">
        <v>137</v>
      </c>
      <c r="N76" s="445"/>
      <c r="O76" s="445"/>
    </row>
    <row r="77" spans="1:15" s="20" customFormat="1" ht="12">
      <c r="A77" s="20" t="s">
        <v>135</v>
      </c>
      <c r="B77" s="23"/>
      <c r="C77" s="24"/>
      <c r="D77" s="24"/>
      <c r="E77" s="387"/>
      <c r="F77" s="52"/>
      <c r="G77" s="24"/>
      <c r="H77" s="24"/>
      <c r="I77" s="387"/>
      <c r="J77" s="18"/>
      <c r="K77" s="53"/>
      <c r="L77" s="25">
        <v>0.45</v>
      </c>
      <c r="M77" s="445" t="s">
        <v>137</v>
      </c>
      <c r="N77" s="445"/>
      <c r="O77" s="445"/>
    </row>
    <row r="78" spans="1:15" s="20" customFormat="1" ht="12">
      <c r="A78" s="20" t="s">
        <v>136</v>
      </c>
      <c r="B78" s="23"/>
      <c r="C78" s="24"/>
      <c r="D78" s="24"/>
      <c r="E78" s="387"/>
      <c r="F78" s="52"/>
      <c r="G78" s="24"/>
      <c r="H78" s="24"/>
      <c r="I78" s="387"/>
      <c r="J78" s="18"/>
      <c r="K78" s="53"/>
      <c r="L78" s="25">
        <v>25</v>
      </c>
      <c r="M78" s="445" t="s">
        <v>137</v>
      </c>
      <c r="N78" s="445"/>
      <c r="O78" s="445"/>
    </row>
    <row r="79" spans="2:15" s="20" customFormat="1" ht="12">
      <c r="B79" s="23"/>
      <c r="C79" s="24"/>
      <c r="D79" s="24"/>
      <c r="E79" s="387"/>
      <c r="F79" s="52"/>
      <c r="G79" s="24"/>
      <c r="H79" s="24"/>
      <c r="I79" s="387"/>
      <c r="J79" s="18"/>
      <c r="K79" s="53"/>
      <c r="L79" s="25"/>
      <c r="M79" s="445"/>
      <c r="N79" s="445"/>
      <c r="O79" s="445"/>
    </row>
    <row r="80" spans="1:15" s="159" customFormat="1" ht="12">
      <c r="A80" s="152" t="s">
        <v>513</v>
      </c>
      <c r="B80" s="153"/>
      <c r="C80" s="154"/>
      <c r="D80" s="154"/>
      <c r="E80" s="394"/>
      <c r="F80" s="156"/>
      <c r="G80" s="154"/>
      <c r="H80" s="154"/>
      <c r="I80" s="390"/>
      <c r="J80" s="157"/>
      <c r="K80" s="153"/>
      <c r="L80" s="158"/>
      <c r="M80" s="448" t="s">
        <v>57</v>
      </c>
      <c r="N80" s="448"/>
      <c r="O80" s="448"/>
    </row>
    <row r="81" spans="1:15" s="165" customFormat="1" ht="12">
      <c r="A81" s="160" t="s">
        <v>508</v>
      </c>
      <c r="B81" s="161"/>
      <c r="C81" s="162"/>
      <c r="D81" s="162"/>
      <c r="E81" s="391">
        <v>1.95</v>
      </c>
      <c r="F81" s="163">
        <v>0.08</v>
      </c>
      <c r="G81" s="162"/>
      <c r="H81" s="162"/>
      <c r="I81" s="391">
        <f>SUM(F81:H81)</f>
        <v>0.08</v>
      </c>
      <c r="J81" s="163">
        <v>0</v>
      </c>
      <c r="K81" s="161">
        <f>J81+I81+E81</f>
        <v>2.03</v>
      </c>
      <c r="L81" s="164">
        <v>2.42</v>
      </c>
      <c r="M81" s="449"/>
      <c r="N81" s="449" t="s">
        <v>326</v>
      </c>
      <c r="O81" s="449"/>
    </row>
    <row r="82" spans="1:15" s="165" customFormat="1" ht="12">
      <c r="A82" s="160" t="s">
        <v>509</v>
      </c>
      <c r="B82" s="161"/>
      <c r="C82" s="162"/>
      <c r="D82" s="162"/>
      <c r="E82" s="391">
        <v>0.85</v>
      </c>
      <c r="F82" s="163">
        <v>0.08</v>
      </c>
      <c r="G82" s="162"/>
      <c r="H82" s="162"/>
      <c r="I82" s="391">
        <f>SUM(F82:H82)</f>
        <v>0.08</v>
      </c>
      <c r="J82" s="163">
        <v>0</v>
      </c>
      <c r="K82" s="161">
        <f>J82+I82+E82</f>
        <v>0.9299999999999999</v>
      </c>
      <c r="L82" s="164">
        <v>1.11</v>
      </c>
      <c r="M82" s="449"/>
      <c r="N82" s="449" t="s">
        <v>326</v>
      </c>
      <c r="O82" s="449"/>
    </row>
    <row r="83" spans="1:15" s="165" customFormat="1" ht="12">
      <c r="A83" s="160" t="s">
        <v>510</v>
      </c>
      <c r="B83" s="161"/>
      <c r="C83" s="162"/>
      <c r="D83" s="162"/>
      <c r="E83" s="391">
        <v>18</v>
      </c>
      <c r="F83" s="163">
        <v>16.5</v>
      </c>
      <c r="G83" s="162"/>
      <c r="H83" s="162"/>
      <c r="I83" s="391">
        <f>SUM(F83:H83)</f>
        <v>16.5</v>
      </c>
      <c r="J83" s="163">
        <v>6.7</v>
      </c>
      <c r="K83" s="161">
        <f>J83+I83+E83</f>
        <v>41.2</v>
      </c>
      <c r="L83" s="164">
        <v>53</v>
      </c>
      <c r="M83" s="449"/>
      <c r="N83" s="449" t="s">
        <v>341</v>
      </c>
      <c r="O83" s="449"/>
    </row>
    <row r="84" spans="1:15" s="159" customFormat="1" ht="12">
      <c r="A84" s="166" t="s">
        <v>746</v>
      </c>
      <c r="B84" s="153"/>
      <c r="C84" s="154"/>
      <c r="D84" s="154"/>
      <c r="E84" s="390"/>
      <c r="F84" s="157"/>
      <c r="G84" s="154"/>
      <c r="H84" s="154"/>
      <c r="I84" s="390"/>
      <c r="J84" s="157"/>
      <c r="K84" s="153"/>
      <c r="L84" s="158">
        <v>1.04</v>
      </c>
      <c r="M84" s="448" t="s">
        <v>747</v>
      </c>
      <c r="N84" s="448" t="s">
        <v>748</v>
      </c>
      <c r="O84" s="448"/>
    </row>
    <row r="85" spans="1:15" s="159" customFormat="1" ht="12">
      <c r="A85" s="166"/>
      <c r="B85" s="153"/>
      <c r="C85" s="154"/>
      <c r="D85" s="154"/>
      <c r="E85" s="390"/>
      <c r="F85" s="157"/>
      <c r="G85" s="154"/>
      <c r="H85" s="154"/>
      <c r="I85" s="390"/>
      <c r="J85" s="157"/>
      <c r="K85" s="153"/>
      <c r="L85" s="158"/>
      <c r="M85" s="448"/>
      <c r="N85" s="448"/>
      <c r="O85" s="448"/>
    </row>
    <row r="86" spans="1:15" s="159" customFormat="1" ht="12">
      <c r="A86" s="152" t="s">
        <v>753</v>
      </c>
      <c r="B86" s="153"/>
      <c r="C86" s="154"/>
      <c r="D86" s="154"/>
      <c r="E86" s="390"/>
      <c r="F86" s="157"/>
      <c r="G86" s="154"/>
      <c r="H86" s="154"/>
      <c r="I86" s="390"/>
      <c r="J86" s="157"/>
      <c r="K86" s="153"/>
      <c r="L86" s="158"/>
      <c r="M86" s="448" t="s">
        <v>732</v>
      </c>
      <c r="N86" s="448"/>
      <c r="O86" s="448"/>
    </row>
    <row r="87" spans="1:15" s="159" customFormat="1" ht="12">
      <c r="A87" s="166" t="s">
        <v>754</v>
      </c>
      <c r="B87" s="153"/>
      <c r="C87" s="154"/>
      <c r="D87" s="154"/>
      <c r="E87" s="390"/>
      <c r="F87" s="157"/>
      <c r="G87" s="154"/>
      <c r="H87" s="154"/>
      <c r="I87" s="390"/>
      <c r="J87" s="157"/>
      <c r="K87" s="153"/>
      <c r="L87" s="158">
        <f>(2.6+0.15)*9</f>
        <v>24.75</v>
      </c>
      <c r="M87" s="448"/>
      <c r="N87" s="448"/>
      <c r="O87" s="448"/>
    </row>
    <row r="88" spans="1:15" s="159" customFormat="1" ht="12">
      <c r="A88" s="166"/>
      <c r="B88" s="153"/>
      <c r="C88" s="154"/>
      <c r="D88" s="154"/>
      <c r="E88" s="390"/>
      <c r="F88" s="157"/>
      <c r="G88" s="154"/>
      <c r="H88" s="154"/>
      <c r="I88" s="390"/>
      <c r="J88" s="157"/>
      <c r="K88" s="153"/>
      <c r="L88" s="158"/>
      <c r="M88" s="448"/>
      <c r="N88" s="448"/>
      <c r="O88" s="448"/>
    </row>
    <row r="89" spans="1:15" s="159" customFormat="1" ht="12">
      <c r="A89" s="152" t="s">
        <v>487</v>
      </c>
      <c r="B89" s="153"/>
      <c r="C89" s="154"/>
      <c r="D89" s="154"/>
      <c r="E89" s="390"/>
      <c r="F89" s="157"/>
      <c r="G89" s="154"/>
      <c r="H89" s="154"/>
      <c r="I89" s="390"/>
      <c r="J89" s="157"/>
      <c r="K89" s="153"/>
      <c r="L89" s="158"/>
      <c r="M89" s="448" t="s">
        <v>656</v>
      </c>
      <c r="N89" s="448"/>
      <c r="O89" s="448"/>
    </row>
    <row r="90" spans="1:15" s="165" customFormat="1" ht="12">
      <c r="A90" s="160" t="s">
        <v>488</v>
      </c>
      <c r="B90" s="161"/>
      <c r="C90" s="162"/>
      <c r="D90" s="162"/>
      <c r="E90" s="391"/>
      <c r="F90" s="163"/>
      <c r="G90" s="162"/>
      <c r="H90" s="162"/>
      <c r="I90" s="391"/>
      <c r="J90" s="163"/>
      <c r="K90" s="161"/>
      <c r="L90" s="164">
        <v>4.69</v>
      </c>
      <c r="M90" s="449"/>
      <c r="N90" s="449" t="s">
        <v>326</v>
      </c>
      <c r="O90" s="449"/>
    </row>
    <row r="91" spans="1:15" s="159" customFormat="1" ht="12">
      <c r="A91" s="166"/>
      <c r="B91" s="153"/>
      <c r="C91" s="154"/>
      <c r="D91" s="154"/>
      <c r="E91" s="390"/>
      <c r="F91" s="157"/>
      <c r="G91" s="154"/>
      <c r="H91" s="154"/>
      <c r="I91" s="390"/>
      <c r="J91" s="157"/>
      <c r="K91" s="153"/>
      <c r="L91" s="158"/>
      <c r="M91" s="448"/>
      <c r="N91" s="448"/>
      <c r="O91" s="448"/>
    </row>
    <row r="92" spans="1:15" s="21" customFormat="1" ht="12">
      <c r="A92" s="22" t="s">
        <v>308</v>
      </c>
      <c r="B92" s="16"/>
      <c r="C92" s="17"/>
      <c r="D92" s="17"/>
      <c r="E92" s="387"/>
      <c r="F92" s="18"/>
      <c r="G92" s="17"/>
      <c r="H92" s="17"/>
      <c r="I92" s="387"/>
      <c r="J92" s="18"/>
      <c r="K92" s="16"/>
      <c r="L92" s="25"/>
      <c r="M92" s="445" t="s">
        <v>484</v>
      </c>
      <c r="N92" s="445"/>
      <c r="O92" s="445"/>
    </row>
    <row r="93" spans="1:15" s="21" customFormat="1" ht="12">
      <c r="A93" s="20" t="s">
        <v>485</v>
      </c>
      <c r="B93" s="282"/>
      <c r="C93" s="283"/>
      <c r="D93" s="283"/>
      <c r="E93" s="392"/>
      <c r="F93" s="284"/>
      <c r="G93" s="283"/>
      <c r="H93" s="283"/>
      <c r="I93" s="392"/>
      <c r="J93" s="284"/>
      <c r="K93" s="282"/>
      <c r="L93" s="25">
        <v>26</v>
      </c>
      <c r="M93" s="445"/>
      <c r="N93" s="445"/>
      <c r="O93" s="445"/>
    </row>
    <row r="94" spans="1:15" s="21" customFormat="1" ht="12">
      <c r="A94" s="20" t="s">
        <v>486</v>
      </c>
      <c r="B94" s="282"/>
      <c r="C94" s="283"/>
      <c r="D94" s="283"/>
      <c r="E94" s="392"/>
      <c r="F94" s="284"/>
      <c r="G94" s="283"/>
      <c r="H94" s="283"/>
      <c r="I94" s="392"/>
      <c r="J94" s="284"/>
      <c r="K94" s="282"/>
      <c r="L94" s="25">
        <v>1.4</v>
      </c>
      <c r="M94" s="445"/>
      <c r="N94" s="445"/>
      <c r="O94" s="445"/>
    </row>
    <row r="95" ht="12">
      <c r="A95" s="14"/>
    </row>
    <row r="96" ht="12">
      <c r="A96" s="14"/>
    </row>
    <row r="97" ht="12">
      <c r="A97" s="14"/>
    </row>
    <row r="98" ht="12">
      <c r="A98" s="14"/>
    </row>
    <row r="99" ht="12">
      <c r="A99" s="14"/>
    </row>
    <row r="100" ht="12">
      <c r="A100" s="14"/>
    </row>
    <row r="101" ht="12">
      <c r="A101" s="14"/>
    </row>
    <row r="102" ht="12">
      <c r="A102" s="14"/>
    </row>
    <row r="103" ht="12">
      <c r="A103" s="14"/>
    </row>
  </sheetData>
  <mergeCells count="5">
    <mergeCell ref="E1:E3"/>
    <mergeCell ref="I1:I3"/>
    <mergeCell ref="J1:J3"/>
    <mergeCell ref="L1:L3"/>
    <mergeCell ref="K1:K3"/>
  </mergeCells>
  <printOptions/>
  <pageMargins left="0.75" right="0.75" top="1" bottom="1" header="0.5" footer="0.5"/>
  <pageSetup fitToHeight="0" orientation="landscape" scale="79" r:id="rId3"/>
  <headerFooter alignWithMargins="0">
    <oddFooter>&amp;CPage G-&amp;P</oddFooter>
  </headerFooter>
  <rowBreaks count="1" manualBreakCount="1">
    <brk id="47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125" zoomScaleNormal="125" workbookViewId="0" topLeftCell="A103">
      <selection activeCell="K1" sqref="K1:L3"/>
    </sheetView>
  </sheetViews>
  <sheetFormatPr defaultColWidth="9.00390625" defaultRowHeight="12"/>
  <cols>
    <col min="1" max="1" width="45.625" style="1" customWidth="1"/>
    <col min="2" max="2" width="0" style="8" hidden="1" customWidth="1"/>
    <col min="3" max="4" width="0" style="9" hidden="1" customWidth="1"/>
    <col min="5" max="5" width="10.875" style="5" customWidth="1"/>
    <col min="6" max="6" width="0" style="5" hidden="1" customWidth="1"/>
    <col min="7" max="8" width="0" style="9" hidden="1" customWidth="1"/>
    <col min="9" max="9" width="10.875" style="4" customWidth="1"/>
    <col min="10" max="10" width="10.875" style="5" customWidth="1"/>
    <col min="11" max="11" width="10.875" style="8" customWidth="1"/>
    <col min="12" max="12" width="10.875" style="27" customWidth="1"/>
    <col min="13" max="13" width="9.75390625" style="441" customWidth="1"/>
    <col min="14" max="14" width="12.625" style="441" customWidth="1"/>
    <col min="15" max="15" width="10.875" style="441" customWidth="1"/>
    <col min="16" max="19" width="10.875" style="1" customWidth="1"/>
    <col min="20" max="20" width="10.00390625" style="1" customWidth="1"/>
    <col min="21" max="16384" width="10.875" style="1" customWidth="1"/>
  </cols>
  <sheetData>
    <row r="1" spans="1:15" s="457" customFormat="1" ht="12.75" customHeight="1">
      <c r="A1" s="454" t="s">
        <v>128</v>
      </c>
      <c r="B1" s="455"/>
      <c r="C1" s="456"/>
      <c r="D1" s="456"/>
      <c r="E1" s="553" t="s">
        <v>237</v>
      </c>
      <c r="F1" s="456"/>
      <c r="G1" s="456"/>
      <c r="H1" s="456"/>
      <c r="I1" s="545" t="s">
        <v>238</v>
      </c>
      <c r="J1" s="551" t="s">
        <v>404</v>
      </c>
      <c r="K1" s="555" t="s">
        <v>506</v>
      </c>
      <c r="L1" s="547" t="s">
        <v>507</v>
      </c>
      <c r="M1" s="441"/>
      <c r="N1" s="441"/>
      <c r="O1" s="441"/>
    </row>
    <row r="2" spans="2:15" s="457" customFormat="1" ht="12.75" customHeight="1">
      <c r="B2" s="458" t="s">
        <v>159</v>
      </c>
      <c r="C2" s="456"/>
      <c r="D2" s="456"/>
      <c r="E2" s="554"/>
      <c r="F2" s="455" t="s">
        <v>160</v>
      </c>
      <c r="G2" s="456"/>
      <c r="H2" s="456"/>
      <c r="I2" s="546"/>
      <c r="J2" s="552"/>
      <c r="K2" s="556"/>
      <c r="L2" s="548"/>
      <c r="M2" s="441"/>
      <c r="N2" s="441"/>
      <c r="O2" s="441"/>
    </row>
    <row r="3" spans="2:15" s="457" customFormat="1" ht="10.5" customHeight="1">
      <c r="B3" s="459" t="s">
        <v>322</v>
      </c>
      <c r="C3" s="460" t="s">
        <v>323</v>
      </c>
      <c r="D3" s="461" t="s">
        <v>324</v>
      </c>
      <c r="E3" s="554"/>
      <c r="F3" s="460" t="s">
        <v>579</v>
      </c>
      <c r="G3" s="462" t="s">
        <v>161</v>
      </c>
      <c r="H3" s="461" t="s">
        <v>511</v>
      </c>
      <c r="I3" s="546"/>
      <c r="J3" s="552"/>
      <c r="K3" s="556"/>
      <c r="L3" s="548"/>
      <c r="M3" s="441"/>
      <c r="N3" s="441"/>
      <c r="O3" s="441"/>
    </row>
    <row r="4" spans="1:15" s="457" customFormat="1" ht="12.75" thickBot="1">
      <c r="A4" s="463"/>
      <c r="B4" s="464" t="s">
        <v>641</v>
      </c>
      <c r="C4" s="465" t="s">
        <v>641</v>
      </c>
      <c r="D4" s="466" t="s">
        <v>641</v>
      </c>
      <c r="E4" s="466" t="s">
        <v>641</v>
      </c>
      <c r="F4" s="466" t="s">
        <v>641</v>
      </c>
      <c r="G4" s="467" t="s">
        <v>641</v>
      </c>
      <c r="H4" s="466" t="s">
        <v>641</v>
      </c>
      <c r="I4" s="465" t="s">
        <v>641</v>
      </c>
      <c r="J4" s="471" t="s">
        <v>641</v>
      </c>
      <c r="K4" s="469" t="s">
        <v>641</v>
      </c>
      <c r="L4" s="470" t="s">
        <v>641</v>
      </c>
      <c r="M4" s="441"/>
      <c r="N4" s="441"/>
      <c r="O4" s="441"/>
    </row>
    <row r="5" spans="1:15" s="51" customFormat="1" ht="12.75" thickTop="1">
      <c r="A5" s="46" t="s">
        <v>325</v>
      </c>
      <c r="B5" s="47"/>
      <c r="C5" s="48"/>
      <c r="D5" s="48"/>
      <c r="E5" s="49"/>
      <c r="F5" s="49"/>
      <c r="G5" s="48"/>
      <c r="H5" s="48"/>
      <c r="I5" s="393"/>
      <c r="J5" s="49"/>
      <c r="K5" s="47"/>
      <c r="L5" s="50"/>
      <c r="M5" s="450"/>
      <c r="N5" s="450"/>
      <c r="O5" s="450"/>
    </row>
    <row r="6" spans="1:15" s="21" customFormat="1" ht="12">
      <c r="A6" s="22" t="s">
        <v>412</v>
      </c>
      <c r="B6" s="16"/>
      <c r="C6" s="17"/>
      <c r="D6" s="17"/>
      <c r="E6" s="18"/>
      <c r="F6" s="18"/>
      <c r="G6" s="17"/>
      <c r="H6" s="17"/>
      <c r="I6" s="387"/>
      <c r="J6" s="18"/>
      <c r="K6" s="25"/>
      <c r="L6" s="25"/>
      <c r="M6" s="443" t="s">
        <v>56</v>
      </c>
      <c r="N6" s="445"/>
      <c r="O6" s="445"/>
    </row>
    <row r="7" spans="1:15" s="21" customFormat="1" ht="12">
      <c r="A7" s="20" t="s">
        <v>477</v>
      </c>
      <c r="B7" s="16"/>
      <c r="C7" s="17"/>
      <c r="D7" s="17"/>
      <c r="E7" s="18">
        <v>0</v>
      </c>
      <c r="F7" s="18">
        <v>1.45</v>
      </c>
      <c r="G7" s="17"/>
      <c r="H7" s="17"/>
      <c r="I7" s="387">
        <f aca="true" t="shared" si="0" ref="I7:I17">H7+G7+F7</f>
        <v>1.45</v>
      </c>
      <c r="J7" s="18">
        <v>1.46</v>
      </c>
      <c r="K7" s="25">
        <v>2.91</v>
      </c>
      <c r="L7" s="25">
        <v>3.85</v>
      </c>
      <c r="M7" s="444" t="s">
        <v>699</v>
      </c>
      <c r="N7" s="444" t="s">
        <v>295</v>
      </c>
      <c r="O7" s="445"/>
    </row>
    <row r="8" spans="1:15" s="21" customFormat="1" ht="12">
      <c r="A8" s="20" t="s">
        <v>294</v>
      </c>
      <c r="B8" s="16"/>
      <c r="C8" s="17"/>
      <c r="D8" s="17"/>
      <c r="E8" s="18">
        <v>0</v>
      </c>
      <c r="F8" s="18">
        <v>2.39</v>
      </c>
      <c r="G8" s="17"/>
      <c r="H8" s="17"/>
      <c r="I8" s="387">
        <f t="shared" si="0"/>
        <v>2.39</v>
      </c>
      <c r="J8" s="18">
        <v>2.39</v>
      </c>
      <c r="K8" s="25">
        <v>4.78</v>
      </c>
      <c r="L8" s="25">
        <v>6.3</v>
      </c>
      <c r="M8" s="444" t="s">
        <v>699</v>
      </c>
      <c r="N8" s="444" t="s">
        <v>296</v>
      </c>
      <c r="O8" s="445"/>
    </row>
    <row r="9" spans="1:15" s="21" customFormat="1" ht="12">
      <c r="A9" s="20" t="s">
        <v>60</v>
      </c>
      <c r="B9" s="16"/>
      <c r="C9" s="17"/>
      <c r="D9" s="17"/>
      <c r="E9" s="18">
        <v>0</v>
      </c>
      <c r="F9" s="18">
        <v>0.71</v>
      </c>
      <c r="G9" s="17"/>
      <c r="H9" s="17"/>
      <c r="I9" s="387">
        <f t="shared" si="0"/>
        <v>0.71</v>
      </c>
      <c r="J9" s="18">
        <v>1.39</v>
      </c>
      <c r="K9" s="25">
        <f aca="true" t="shared" si="1" ref="K9:K18">J9+I9+E9</f>
        <v>2.0999999999999996</v>
      </c>
      <c r="L9" s="25">
        <v>2.62</v>
      </c>
      <c r="M9" s="444" t="s">
        <v>699</v>
      </c>
      <c r="N9" s="444" t="s">
        <v>408</v>
      </c>
      <c r="O9" s="445"/>
    </row>
    <row r="10" spans="1:15" s="21" customFormat="1" ht="12">
      <c r="A10" s="20" t="s">
        <v>367</v>
      </c>
      <c r="B10" s="16"/>
      <c r="C10" s="17"/>
      <c r="D10" s="17"/>
      <c r="E10" s="18">
        <v>0</v>
      </c>
      <c r="F10" s="18">
        <v>0.77</v>
      </c>
      <c r="G10" s="17"/>
      <c r="H10" s="17"/>
      <c r="I10" s="387">
        <f t="shared" si="0"/>
        <v>0.77</v>
      </c>
      <c r="J10" s="18">
        <v>1.52</v>
      </c>
      <c r="K10" s="25">
        <f t="shared" si="1"/>
        <v>2.29</v>
      </c>
      <c r="L10" s="25">
        <v>2.86</v>
      </c>
      <c r="M10" s="444" t="s">
        <v>699</v>
      </c>
      <c r="N10" s="444" t="s">
        <v>409</v>
      </c>
      <c r="O10" s="445"/>
    </row>
    <row r="11" spans="1:15" s="21" customFormat="1" ht="12">
      <c r="A11" s="20" t="s">
        <v>187</v>
      </c>
      <c r="B11" s="16"/>
      <c r="C11" s="17"/>
      <c r="D11" s="17"/>
      <c r="E11" s="18">
        <v>0</v>
      </c>
      <c r="F11" s="18">
        <v>0.77</v>
      </c>
      <c r="G11" s="17"/>
      <c r="H11" s="17"/>
      <c r="I11" s="387">
        <f t="shared" si="0"/>
        <v>0.77</v>
      </c>
      <c r="J11" s="18">
        <v>1.52</v>
      </c>
      <c r="K11" s="25">
        <f t="shared" si="1"/>
        <v>2.29</v>
      </c>
      <c r="L11" s="25">
        <v>2.86</v>
      </c>
      <c r="M11" s="444" t="s">
        <v>699</v>
      </c>
      <c r="N11" s="444" t="s">
        <v>410</v>
      </c>
      <c r="O11" s="445"/>
    </row>
    <row r="12" spans="1:15" s="21" customFormat="1" ht="12">
      <c r="A12" s="20" t="s">
        <v>188</v>
      </c>
      <c r="B12" s="16"/>
      <c r="C12" s="17"/>
      <c r="D12" s="17"/>
      <c r="E12" s="18">
        <v>0</v>
      </c>
      <c r="F12" s="18">
        <v>0.85</v>
      </c>
      <c r="G12" s="17"/>
      <c r="H12" s="17"/>
      <c r="I12" s="387">
        <f t="shared" si="0"/>
        <v>0.85</v>
      </c>
      <c r="J12" s="18">
        <v>1.67</v>
      </c>
      <c r="K12" s="25">
        <f t="shared" si="1"/>
        <v>2.52</v>
      </c>
      <c r="L12" s="25">
        <v>3.15</v>
      </c>
      <c r="M12" s="444" t="s">
        <v>699</v>
      </c>
      <c r="N12" s="444" t="s">
        <v>411</v>
      </c>
      <c r="O12" s="445"/>
    </row>
    <row r="13" spans="1:15" s="21" customFormat="1" ht="12">
      <c r="A13" s="20" t="s">
        <v>749</v>
      </c>
      <c r="B13" s="16"/>
      <c r="C13" s="17"/>
      <c r="D13" s="17"/>
      <c r="E13" s="18">
        <v>0</v>
      </c>
      <c r="F13" s="18">
        <v>0.24</v>
      </c>
      <c r="G13" s="17"/>
      <c r="H13" s="17"/>
      <c r="I13" s="387">
        <f t="shared" si="0"/>
        <v>0.24</v>
      </c>
      <c r="J13" s="18">
        <v>0.66</v>
      </c>
      <c r="K13" s="25">
        <f t="shared" si="1"/>
        <v>0.9</v>
      </c>
      <c r="L13" s="25">
        <v>1.1</v>
      </c>
      <c r="M13" s="444" t="s">
        <v>699</v>
      </c>
      <c r="N13" s="445" t="s">
        <v>205</v>
      </c>
      <c r="O13" s="445"/>
    </row>
    <row r="14" spans="1:15" s="21" customFormat="1" ht="12">
      <c r="A14" s="20" t="s">
        <v>204</v>
      </c>
      <c r="B14" s="16"/>
      <c r="C14" s="17"/>
      <c r="D14" s="17"/>
      <c r="E14" s="18">
        <v>0</v>
      </c>
      <c r="F14" s="18">
        <v>0.36</v>
      </c>
      <c r="G14" s="17"/>
      <c r="H14" s="17"/>
      <c r="I14" s="387">
        <f t="shared" si="0"/>
        <v>0.36</v>
      </c>
      <c r="J14" s="18">
        <v>0.99</v>
      </c>
      <c r="K14" s="25">
        <f t="shared" si="1"/>
        <v>1.35</v>
      </c>
      <c r="L14" s="25">
        <v>1.64</v>
      </c>
      <c r="M14" s="444" t="s">
        <v>699</v>
      </c>
      <c r="N14" s="445" t="s">
        <v>206</v>
      </c>
      <c r="O14" s="445"/>
    </row>
    <row r="15" spans="1:15" s="21" customFormat="1" ht="12">
      <c r="A15" s="20" t="s">
        <v>207</v>
      </c>
      <c r="B15" s="16"/>
      <c r="C15" s="17"/>
      <c r="D15" s="17"/>
      <c r="E15" s="18">
        <v>0</v>
      </c>
      <c r="F15" s="18">
        <v>0.11</v>
      </c>
      <c r="G15" s="17"/>
      <c r="H15" s="17"/>
      <c r="I15" s="387">
        <f t="shared" si="0"/>
        <v>0.11</v>
      </c>
      <c r="J15" s="18">
        <v>0.32</v>
      </c>
      <c r="K15" s="25">
        <f t="shared" si="1"/>
        <v>0.43</v>
      </c>
      <c r="L15" s="25">
        <v>0.53</v>
      </c>
      <c r="M15" s="444" t="s">
        <v>699</v>
      </c>
      <c r="N15" s="445" t="s">
        <v>394</v>
      </c>
      <c r="O15" s="445"/>
    </row>
    <row r="16" spans="1:15" s="20" customFormat="1" ht="12">
      <c r="A16" s="20" t="s">
        <v>209</v>
      </c>
      <c r="B16" s="23"/>
      <c r="C16" s="24"/>
      <c r="D16" s="24"/>
      <c r="E16" s="18">
        <v>0</v>
      </c>
      <c r="F16" s="28">
        <v>0.16</v>
      </c>
      <c r="G16" s="24"/>
      <c r="H16" s="24"/>
      <c r="I16" s="387">
        <f t="shared" si="0"/>
        <v>0.16</v>
      </c>
      <c r="J16" s="18">
        <v>0.44</v>
      </c>
      <c r="K16" s="25">
        <f t="shared" si="1"/>
        <v>0.6</v>
      </c>
      <c r="L16" s="25">
        <v>0.72</v>
      </c>
      <c r="M16" s="444" t="s">
        <v>699</v>
      </c>
      <c r="N16" s="445" t="s">
        <v>395</v>
      </c>
      <c r="O16" s="445"/>
    </row>
    <row r="17" spans="1:15" s="20" customFormat="1" ht="12">
      <c r="A17" s="20" t="s">
        <v>208</v>
      </c>
      <c r="B17" s="23"/>
      <c r="C17" s="24"/>
      <c r="D17" s="24"/>
      <c r="E17" s="18">
        <v>0</v>
      </c>
      <c r="F17" s="28">
        <v>0.28</v>
      </c>
      <c r="G17" s="24"/>
      <c r="H17" s="24"/>
      <c r="I17" s="387">
        <f t="shared" si="0"/>
        <v>0.28</v>
      </c>
      <c r="J17" s="18">
        <v>0.79</v>
      </c>
      <c r="K17" s="25">
        <f t="shared" si="1"/>
        <v>1.07</v>
      </c>
      <c r="L17" s="25">
        <v>1.31</v>
      </c>
      <c r="M17" s="444" t="s">
        <v>699</v>
      </c>
      <c r="N17" s="445" t="s">
        <v>87</v>
      </c>
      <c r="O17" s="445"/>
    </row>
    <row r="18" spans="1:15" s="21" customFormat="1" ht="12">
      <c r="A18" s="20" t="s">
        <v>249</v>
      </c>
      <c r="B18" s="16"/>
      <c r="C18" s="17"/>
      <c r="D18" s="17"/>
      <c r="E18" s="18">
        <v>0.15</v>
      </c>
      <c r="F18" s="18">
        <v>0.17</v>
      </c>
      <c r="G18" s="17"/>
      <c r="H18" s="17"/>
      <c r="I18" s="387">
        <f aca="true" t="shared" si="2" ref="I18:I23">F18+G18+H18</f>
        <v>0.17</v>
      </c>
      <c r="J18" s="18">
        <v>0.3</v>
      </c>
      <c r="K18" s="25">
        <f t="shared" si="1"/>
        <v>0.62</v>
      </c>
      <c r="L18" s="26">
        <v>0.75</v>
      </c>
      <c r="M18" s="444" t="s">
        <v>699</v>
      </c>
      <c r="N18" s="445" t="s">
        <v>413</v>
      </c>
      <c r="O18" s="445"/>
    </row>
    <row r="19" spans="1:15" s="21" customFormat="1" ht="12">
      <c r="A19" s="20" t="s">
        <v>514</v>
      </c>
      <c r="B19" s="16"/>
      <c r="C19" s="17"/>
      <c r="D19" s="17"/>
      <c r="E19" s="18">
        <v>0.12</v>
      </c>
      <c r="F19" s="18">
        <v>0.04</v>
      </c>
      <c r="G19" s="17"/>
      <c r="H19" s="17"/>
      <c r="I19" s="387">
        <f t="shared" si="2"/>
        <v>0.04</v>
      </c>
      <c r="J19" s="18">
        <v>0.08</v>
      </c>
      <c r="K19" s="25">
        <f aca="true" t="shared" si="3" ref="K19:K32">J19+I19+E19</f>
        <v>0.24</v>
      </c>
      <c r="L19" s="25">
        <v>0.27</v>
      </c>
      <c r="M19" s="444" t="s">
        <v>699</v>
      </c>
      <c r="N19" s="445" t="s">
        <v>224</v>
      </c>
      <c r="O19" s="445"/>
    </row>
    <row r="20" spans="1:15" s="21" customFormat="1" ht="12">
      <c r="A20" s="20" t="s">
        <v>75</v>
      </c>
      <c r="B20" s="16"/>
      <c r="C20" s="17"/>
      <c r="D20" s="17"/>
      <c r="E20" s="18">
        <v>0.41</v>
      </c>
      <c r="F20" s="18">
        <v>0.17</v>
      </c>
      <c r="G20" s="17"/>
      <c r="H20" s="17"/>
      <c r="I20" s="387">
        <f t="shared" si="2"/>
        <v>0.17</v>
      </c>
      <c r="J20" s="18">
        <v>0.3</v>
      </c>
      <c r="K20" s="25">
        <f t="shared" si="3"/>
        <v>0.8799999999999999</v>
      </c>
      <c r="L20" s="25">
        <v>1.03</v>
      </c>
      <c r="M20" s="444" t="s">
        <v>699</v>
      </c>
      <c r="N20" s="445" t="s">
        <v>342</v>
      </c>
      <c r="O20" s="445"/>
    </row>
    <row r="21" spans="1:15" s="21" customFormat="1" ht="12">
      <c r="A21" s="20" t="s">
        <v>251</v>
      </c>
      <c r="B21" s="16"/>
      <c r="C21" s="17"/>
      <c r="D21" s="17"/>
      <c r="E21" s="18">
        <v>0.33</v>
      </c>
      <c r="F21" s="18">
        <v>0.04</v>
      </c>
      <c r="G21" s="17"/>
      <c r="H21" s="17"/>
      <c r="I21" s="387">
        <f t="shared" si="2"/>
        <v>0.04</v>
      </c>
      <c r="J21" s="18">
        <v>0.08</v>
      </c>
      <c r="K21" s="25">
        <f t="shared" si="3"/>
        <v>0.45</v>
      </c>
      <c r="L21" s="25">
        <v>0.5</v>
      </c>
      <c r="M21" s="444" t="s">
        <v>699</v>
      </c>
      <c r="N21" s="445" t="s">
        <v>343</v>
      </c>
      <c r="O21" s="445"/>
    </row>
    <row r="22" spans="1:15" s="21" customFormat="1" ht="12">
      <c r="A22" s="20" t="s">
        <v>252</v>
      </c>
      <c r="B22" s="16"/>
      <c r="C22" s="17"/>
      <c r="D22" s="17"/>
      <c r="E22" s="18">
        <v>1</v>
      </c>
      <c r="F22" s="18">
        <v>0.09</v>
      </c>
      <c r="G22" s="17"/>
      <c r="H22" s="17"/>
      <c r="I22" s="387">
        <f t="shared" si="2"/>
        <v>0.09</v>
      </c>
      <c r="J22" s="18">
        <v>0.01</v>
      </c>
      <c r="K22" s="25">
        <f t="shared" si="3"/>
        <v>1.1</v>
      </c>
      <c r="L22" s="25">
        <v>1.26</v>
      </c>
      <c r="M22" s="444" t="s">
        <v>699</v>
      </c>
      <c r="N22" s="445" t="s">
        <v>344</v>
      </c>
      <c r="O22" s="445"/>
    </row>
    <row r="23" spans="1:15" s="21" customFormat="1" ht="12">
      <c r="A23" s="20" t="s">
        <v>430</v>
      </c>
      <c r="B23" s="16"/>
      <c r="C23" s="17"/>
      <c r="D23" s="17"/>
      <c r="E23" s="18">
        <v>0.7</v>
      </c>
      <c r="F23" s="18">
        <v>0.09</v>
      </c>
      <c r="G23" s="17"/>
      <c r="H23" s="17"/>
      <c r="I23" s="387">
        <f t="shared" si="2"/>
        <v>0.09</v>
      </c>
      <c r="J23" s="18">
        <v>0.01</v>
      </c>
      <c r="K23" s="25">
        <f t="shared" si="3"/>
        <v>0.7999999999999999</v>
      </c>
      <c r="L23" s="25">
        <v>0.93</v>
      </c>
      <c r="M23" s="444" t="s">
        <v>699</v>
      </c>
      <c r="N23" s="445" t="s">
        <v>345</v>
      </c>
      <c r="O23" s="445"/>
    </row>
    <row r="24" spans="1:15" s="21" customFormat="1" ht="12">
      <c r="A24" s="20" t="s">
        <v>431</v>
      </c>
      <c r="B24" s="16"/>
      <c r="C24" s="17"/>
      <c r="D24" s="17"/>
      <c r="E24" s="18">
        <v>1.87</v>
      </c>
      <c r="F24" s="18">
        <v>0.28</v>
      </c>
      <c r="G24" s="17"/>
      <c r="H24" s="17"/>
      <c r="I24" s="387">
        <f aca="true" t="shared" si="4" ref="I24:I32">SUM(F24:H24)</f>
        <v>0.28</v>
      </c>
      <c r="J24" s="18">
        <v>0.23</v>
      </c>
      <c r="K24" s="25">
        <f t="shared" si="3"/>
        <v>2.38</v>
      </c>
      <c r="L24" s="25">
        <v>2.74</v>
      </c>
      <c r="M24" s="444" t="s">
        <v>699</v>
      </c>
      <c r="N24" s="445" t="s">
        <v>582</v>
      </c>
      <c r="O24" s="445"/>
    </row>
    <row r="25" spans="1:15" s="21" customFormat="1" ht="12">
      <c r="A25" s="20" t="s">
        <v>359</v>
      </c>
      <c r="B25" s="16"/>
      <c r="C25" s="17"/>
      <c r="D25" s="17"/>
      <c r="E25" s="18">
        <v>2.49</v>
      </c>
      <c r="F25" s="18">
        <v>0.34</v>
      </c>
      <c r="G25" s="17"/>
      <c r="H25" s="17"/>
      <c r="I25" s="387">
        <f t="shared" si="4"/>
        <v>0.34</v>
      </c>
      <c r="J25" s="18">
        <v>0.28</v>
      </c>
      <c r="K25" s="25">
        <f t="shared" si="3"/>
        <v>3.1100000000000003</v>
      </c>
      <c r="L25" s="25">
        <v>3.57</v>
      </c>
      <c r="M25" s="444" t="s">
        <v>699</v>
      </c>
      <c r="N25" s="445" t="s">
        <v>158</v>
      </c>
      <c r="O25" s="445"/>
    </row>
    <row r="26" spans="1:15" s="21" customFormat="1" ht="12">
      <c r="A26" s="20" t="s">
        <v>360</v>
      </c>
      <c r="B26" s="16"/>
      <c r="C26" s="17"/>
      <c r="D26" s="17"/>
      <c r="E26" s="18">
        <v>3.7</v>
      </c>
      <c r="F26" s="18">
        <v>0.43</v>
      </c>
      <c r="G26" s="17"/>
      <c r="H26" s="17"/>
      <c r="I26" s="387">
        <f t="shared" si="4"/>
        <v>0.43</v>
      </c>
      <c r="J26" s="18">
        <v>0.36</v>
      </c>
      <c r="K26" s="25">
        <f t="shared" si="3"/>
        <v>4.49</v>
      </c>
      <c r="L26" s="25">
        <v>5.15</v>
      </c>
      <c r="M26" s="444" t="s">
        <v>699</v>
      </c>
      <c r="N26" s="445" t="s">
        <v>583</v>
      </c>
      <c r="O26" s="445"/>
    </row>
    <row r="27" spans="1:15" s="21" customFormat="1" ht="12">
      <c r="A27" s="20" t="s">
        <v>540</v>
      </c>
      <c r="B27" s="16"/>
      <c r="C27" s="17"/>
      <c r="D27" s="17"/>
      <c r="E27" s="18">
        <v>4.95</v>
      </c>
      <c r="F27" s="18">
        <v>0.52</v>
      </c>
      <c r="G27" s="17"/>
      <c r="H27" s="17"/>
      <c r="I27" s="387">
        <f t="shared" si="4"/>
        <v>0.52</v>
      </c>
      <c r="J27" s="18">
        <v>0.43</v>
      </c>
      <c r="K27" s="25">
        <f t="shared" si="3"/>
        <v>5.9</v>
      </c>
      <c r="L27" s="25">
        <v>6.7</v>
      </c>
      <c r="M27" s="444" t="s">
        <v>699</v>
      </c>
      <c r="N27" s="445" t="s">
        <v>584</v>
      </c>
      <c r="O27" s="445"/>
    </row>
    <row r="28" spans="1:15" s="21" customFormat="1" ht="12">
      <c r="A28" s="20" t="s">
        <v>542</v>
      </c>
      <c r="B28" s="16"/>
      <c r="C28" s="17"/>
      <c r="D28" s="17"/>
      <c r="E28" s="18">
        <v>1.47</v>
      </c>
      <c r="F28" s="18">
        <v>0.22</v>
      </c>
      <c r="G28" s="17"/>
      <c r="H28" s="17"/>
      <c r="I28" s="387">
        <f t="shared" si="4"/>
        <v>0.22</v>
      </c>
      <c r="J28" s="18">
        <v>0.19</v>
      </c>
      <c r="K28" s="25">
        <f t="shared" si="3"/>
        <v>1.88</v>
      </c>
      <c r="L28" s="25">
        <v>2.17</v>
      </c>
      <c r="M28" s="444" t="s">
        <v>699</v>
      </c>
      <c r="N28" s="445" t="s">
        <v>417</v>
      </c>
      <c r="O28" s="445"/>
    </row>
    <row r="29" spans="1:15" s="21" customFormat="1" ht="12">
      <c r="A29" s="20" t="s">
        <v>541</v>
      </c>
      <c r="B29" s="16"/>
      <c r="C29" s="17"/>
      <c r="D29" s="17"/>
      <c r="E29" s="18">
        <v>2.23</v>
      </c>
      <c r="F29" s="18">
        <v>0.31</v>
      </c>
      <c r="G29" s="17"/>
      <c r="H29" s="17"/>
      <c r="I29" s="387">
        <f t="shared" si="4"/>
        <v>0.31</v>
      </c>
      <c r="J29" s="18">
        <v>0.26</v>
      </c>
      <c r="K29" s="25">
        <f t="shared" si="3"/>
        <v>2.8</v>
      </c>
      <c r="L29" s="25">
        <v>3.2</v>
      </c>
      <c r="M29" s="444" t="s">
        <v>699</v>
      </c>
      <c r="N29" s="445" t="s">
        <v>418</v>
      </c>
      <c r="O29" s="445"/>
    </row>
    <row r="30" spans="1:15" s="21" customFormat="1" ht="12">
      <c r="A30" s="20" t="s">
        <v>543</v>
      </c>
      <c r="B30" s="16"/>
      <c r="C30" s="17"/>
      <c r="D30" s="17"/>
      <c r="E30" s="18">
        <v>3</v>
      </c>
      <c r="F30" s="18">
        <v>0.37</v>
      </c>
      <c r="G30" s="17"/>
      <c r="H30" s="17"/>
      <c r="I30" s="387">
        <f t="shared" si="4"/>
        <v>0.37</v>
      </c>
      <c r="J30" s="18">
        <v>0.31</v>
      </c>
      <c r="K30" s="25">
        <f t="shared" si="3"/>
        <v>3.6799999999999997</v>
      </c>
      <c r="L30" s="25">
        <v>4.23</v>
      </c>
      <c r="M30" s="444" t="s">
        <v>699</v>
      </c>
      <c r="N30" s="445" t="s">
        <v>621</v>
      </c>
      <c r="O30" s="445"/>
    </row>
    <row r="31" spans="1:15" s="21" customFormat="1" ht="12">
      <c r="A31" s="20" t="s">
        <v>639</v>
      </c>
      <c r="B31" s="16"/>
      <c r="C31" s="17"/>
      <c r="D31" s="17"/>
      <c r="E31" s="18">
        <v>3.7</v>
      </c>
      <c r="F31" s="18">
        <v>0.43</v>
      </c>
      <c r="G31" s="17"/>
      <c r="H31" s="17"/>
      <c r="I31" s="387">
        <f t="shared" si="4"/>
        <v>0.43</v>
      </c>
      <c r="J31" s="18">
        <v>0.36</v>
      </c>
      <c r="K31" s="25">
        <f t="shared" si="3"/>
        <v>4.49</v>
      </c>
      <c r="L31" s="25">
        <v>5.15</v>
      </c>
      <c r="M31" s="444" t="s">
        <v>699</v>
      </c>
      <c r="N31" s="445" t="s">
        <v>622</v>
      </c>
      <c r="O31" s="445"/>
    </row>
    <row r="32" spans="1:15" s="21" customFormat="1" ht="12">
      <c r="A32" s="20" t="s">
        <v>640</v>
      </c>
      <c r="B32" s="16"/>
      <c r="C32" s="17"/>
      <c r="D32" s="17"/>
      <c r="E32" s="18">
        <v>4.41</v>
      </c>
      <c r="F32" s="18">
        <v>0.48</v>
      </c>
      <c r="G32" s="17"/>
      <c r="H32" s="17"/>
      <c r="I32" s="387">
        <f t="shared" si="4"/>
        <v>0.48</v>
      </c>
      <c r="J32" s="18">
        <v>0.41</v>
      </c>
      <c r="K32" s="25">
        <f t="shared" si="3"/>
        <v>5.3</v>
      </c>
      <c r="L32" s="25">
        <v>6.05</v>
      </c>
      <c r="M32" s="444" t="s">
        <v>699</v>
      </c>
      <c r="N32" s="445" t="s">
        <v>623</v>
      </c>
      <c r="O32" s="445"/>
    </row>
    <row r="33" spans="2:15" s="29" customFormat="1" ht="12">
      <c r="B33" s="30"/>
      <c r="C33" s="31"/>
      <c r="D33" s="31"/>
      <c r="E33" s="34"/>
      <c r="F33" s="33"/>
      <c r="G33" s="31"/>
      <c r="H33" s="31"/>
      <c r="I33" s="388"/>
      <c r="J33" s="34"/>
      <c r="K33" s="35"/>
      <c r="L33" s="35"/>
      <c r="M33" s="446"/>
      <c r="N33" s="446"/>
      <c r="O33" s="446"/>
    </row>
    <row r="34" spans="1:15" s="29" customFormat="1" ht="12">
      <c r="A34" s="22" t="s">
        <v>185</v>
      </c>
      <c r="B34" s="30"/>
      <c r="C34" s="31"/>
      <c r="D34" s="31"/>
      <c r="E34" s="34"/>
      <c r="F34" s="36"/>
      <c r="G34" s="31"/>
      <c r="H34" s="31"/>
      <c r="I34" s="388"/>
      <c r="J34" s="34"/>
      <c r="K34" s="35"/>
      <c r="L34" s="35"/>
      <c r="M34" s="445" t="s">
        <v>59</v>
      </c>
      <c r="N34" s="446"/>
      <c r="O34" s="446"/>
    </row>
    <row r="35" spans="1:15" s="29" customFormat="1" ht="12">
      <c r="A35" s="20" t="s">
        <v>332</v>
      </c>
      <c r="B35" s="30"/>
      <c r="C35" s="31"/>
      <c r="D35" s="31"/>
      <c r="E35" s="34"/>
      <c r="F35" s="36"/>
      <c r="G35" s="31"/>
      <c r="H35" s="31"/>
      <c r="I35" s="388"/>
      <c r="J35" s="34"/>
      <c r="K35" s="35"/>
      <c r="L35" s="25">
        <v>38.13</v>
      </c>
      <c r="M35" s="445" t="s">
        <v>554</v>
      </c>
      <c r="N35" s="446"/>
      <c r="O35" s="446"/>
    </row>
    <row r="36" spans="1:15" s="29" customFormat="1" ht="12">
      <c r="A36" s="20" t="s">
        <v>195</v>
      </c>
      <c r="B36" s="30"/>
      <c r="C36" s="31"/>
      <c r="D36" s="31"/>
      <c r="E36" s="34"/>
      <c r="F36" s="36"/>
      <c r="G36" s="31"/>
      <c r="H36" s="31"/>
      <c r="I36" s="388"/>
      <c r="J36" s="34"/>
      <c r="K36" s="35"/>
      <c r="L36" s="25">
        <v>32.44</v>
      </c>
      <c r="M36" s="445" t="s">
        <v>554</v>
      </c>
      <c r="N36" s="446"/>
      <c r="O36" s="446"/>
    </row>
    <row r="37" spans="1:15" s="29" customFormat="1" ht="12">
      <c r="A37" s="20" t="s">
        <v>196</v>
      </c>
      <c r="B37" s="30"/>
      <c r="C37" s="31"/>
      <c r="D37" s="31"/>
      <c r="E37" s="34"/>
      <c r="F37" s="36"/>
      <c r="G37" s="31"/>
      <c r="H37" s="31"/>
      <c r="I37" s="388"/>
      <c r="J37" s="34"/>
      <c r="K37" s="35"/>
      <c r="L37" s="25">
        <v>26.75</v>
      </c>
      <c r="M37" s="445" t="s">
        <v>554</v>
      </c>
      <c r="N37" s="446"/>
      <c r="O37" s="446"/>
    </row>
    <row r="38" spans="1:15" s="29" customFormat="1" ht="12">
      <c r="A38" s="20" t="s">
        <v>197</v>
      </c>
      <c r="B38" s="30"/>
      <c r="C38" s="31"/>
      <c r="D38" s="31"/>
      <c r="E38" s="34"/>
      <c r="F38" s="36"/>
      <c r="G38" s="31"/>
      <c r="H38" s="31"/>
      <c r="I38" s="388"/>
      <c r="J38" s="34"/>
      <c r="K38" s="35"/>
      <c r="L38" s="25">
        <v>14</v>
      </c>
      <c r="M38" s="445" t="s">
        <v>554</v>
      </c>
      <c r="N38" s="446"/>
      <c r="O38" s="446"/>
    </row>
    <row r="39" spans="1:15" s="29" customFormat="1" ht="12">
      <c r="A39" s="20" t="s">
        <v>425</v>
      </c>
      <c r="B39" s="30"/>
      <c r="C39" s="31"/>
      <c r="D39" s="31"/>
      <c r="E39" s="34"/>
      <c r="F39" s="36"/>
      <c r="G39" s="31"/>
      <c r="H39" s="31"/>
      <c r="I39" s="388"/>
      <c r="J39" s="34"/>
      <c r="K39" s="35"/>
      <c r="L39" s="25">
        <v>11.38</v>
      </c>
      <c r="M39" s="445" t="s">
        <v>554</v>
      </c>
      <c r="N39" s="446"/>
      <c r="O39" s="446"/>
    </row>
    <row r="40" spans="1:15" s="29" customFormat="1" ht="12">
      <c r="A40" s="20" t="s">
        <v>644</v>
      </c>
      <c r="B40" s="30"/>
      <c r="C40" s="31"/>
      <c r="D40" s="31"/>
      <c r="E40" s="34"/>
      <c r="F40" s="36"/>
      <c r="G40" s="31"/>
      <c r="H40" s="31"/>
      <c r="I40" s="388"/>
      <c r="J40" s="34"/>
      <c r="K40" s="35"/>
      <c r="L40" s="25">
        <v>8.75</v>
      </c>
      <c r="M40" s="445" t="s">
        <v>554</v>
      </c>
      <c r="N40" s="446"/>
      <c r="O40" s="446"/>
    </row>
    <row r="41" spans="1:15" s="29" customFormat="1" ht="12">
      <c r="A41" s="20" t="s">
        <v>314</v>
      </c>
      <c r="B41" s="30"/>
      <c r="C41" s="31"/>
      <c r="D41" s="31"/>
      <c r="E41" s="34"/>
      <c r="F41" s="36"/>
      <c r="G41" s="31"/>
      <c r="H41" s="31"/>
      <c r="I41" s="388"/>
      <c r="J41" s="34"/>
      <c r="K41" s="35"/>
      <c r="L41" s="25">
        <v>0.86</v>
      </c>
      <c r="M41" s="445" t="s">
        <v>554</v>
      </c>
      <c r="N41" s="446" t="s">
        <v>316</v>
      </c>
      <c r="O41" s="446"/>
    </row>
    <row r="42" spans="1:15" s="29" customFormat="1" ht="12">
      <c r="A42" s="20" t="s">
        <v>315</v>
      </c>
      <c r="B42" s="30"/>
      <c r="C42" s="31"/>
      <c r="D42" s="31"/>
      <c r="E42" s="34"/>
      <c r="F42" s="36"/>
      <c r="G42" s="31"/>
      <c r="H42" s="31"/>
      <c r="I42" s="388"/>
      <c r="J42" s="34"/>
      <c r="K42" s="35"/>
      <c r="L42" s="25">
        <v>1.03</v>
      </c>
      <c r="M42" s="445" t="s">
        <v>554</v>
      </c>
      <c r="N42" s="446" t="s">
        <v>316</v>
      </c>
      <c r="O42" s="446"/>
    </row>
    <row r="43" spans="1:15" s="29" customFormat="1" ht="12">
      <c r="A43" s="20" t="s">
        <v>463</v>
      </c>
      <c r="B43" s="30"/>
      <c r="C43" s="31"/>
      <c r="D43" s="31"/>
      <c r="E43" s="34"/>
      <c r="F43" s="36"/>
      <c r="G43" s="31"/>
      <c r="H43" s="31"/>
      <c r="I43" s="388"/>
      <c r="J43" s="34"/>
      <c r="K43" s="35"/>
      <c r="L43" s="25">
        <v>5.93</v>
      </c>
      <c r="M43" s="445" t="s">
        <v>554</v>
      </c>
      <c r="N43" s="446"/>
      <c r="O43" s="446"/>
    </row>
    <row r="44" spans="1:15" s="29" customFormat="1" ht="12">
      <c r="A44" s="20" t="s">
        <v>426</v>
      </c>
      <c r="B44" s="30"/>
      <c r="C44" s="31"/>
      <c r="D44" s="31"/>
      <c r="E44" s="34"/>
      <c r="F44" s="36"/>
      <c r="G44" s="31"/>
      <c r="H44" s="31"/>
      <c r="I44" s="388"/>
      <c r="J44" s="34"/>
      <c r="K44" s="35"/>
      <c r="L44" s="25">
        <v>5.73</v>
      </c>
      <c r="M44" s="445" t="s">
        <v>554</v>
      </c>
      <c r="N44" s="446"/>
      <c r="O44" s="446"/>
    </row>
    <row r="45" spans="1:15" s="29" customFormat="1" ht="12">
      <c r="A45" s="20" t="s">
        <v>472</v>
      </c>
      <c r="B45" s="30"/>
      <c r="C45" s="31"/>
      <c r="D45" s="31"/>
      <c r="E45" s="34"/>
      <c r="F45" s="36"/>
      <c r="G45" s="31"/>
      <c r="H45" s="31"/>
      <c r="I45" s="388"/>
      <c r="J45" s="34"/>
      <c r="K45" s="35"/>
      <c r="L45" s="25">
        <v>5.53</v>
      </c>
      <c r="M45" s="445" t="s">
        <v>554</v>
      </c>
      <c r="N45" s="446"/>
      <c r="O45" s="446"/>
    </row>
    <row r="46" spans="1:15" s="29" customFormat="1" ht="12">
      <c r="A46" s="20" t="s">
        <v>428</v>
      </c>
      <c r="B46" s="30"/>
      <c r="C46" s="31"/>
      <c r="D46" s="31"/>
      <c r="E46" s="34"/>
      <c r="F46" s="36"/>
      <c r="G46" s="31"/>
      <c r="H46" s="31"/>
      <c r="I46" s="388"/>
      <c r="J46" s="34"/>
      <c r="K46" s="35"/>
      <c r="L46" s="25">
        <v>0.05</v>
      </c>
      <c r="M46" s="445" t="s">
        <v>554</v>
      </c>
      <c r="N46" s="446"/>
      <c r="O46" s="446"/>
    </row>
    <row r="47" spans="1:15" s="29" customFormat="1" ht="12">
      <c r="A47" s="20" t="s">
        <v>405</v>
      </c>
      <c r="B47" s="30"/>
      <c r="C47" s="31"/>
      <c r="D47" s="31"/>
      <c r="E47" s="34"/>
      <c r="F47" s="36"/>
      <c r="G47" s="31"/>
      <c r="H47" s="31"/>
      <c r="I47" s="388"/>
      <c r="J47" s="34"/>
      <c r="K47" s="35"/>
      <c r="L47" s="25">
        <v>0.25</v>
      </c>
      <c r="M47" s="445" t="s">
        <v>554</v>
      </c>
      <c r="N47" s="446"/>
      <c r="O47" s="446"/>
    </row>
    <row r="48" spans="1:15" s="29" customFormat="1" ht="12">
      <c r="A48" s="20" t="s">
        <v>244</v>
      </c>
      <c r="B48" s="30"/>
      <c r="C48" s="31"/>
      <c r="D48" s="31"/>
      <c r="E48" s="34"/>
      <c r="F48" s="36"/>
      <c r="G48" s="31"/>
      <c r="H48" s="31"/>
      <c r="I48" s="388"/>
      <c r="J48" s="34"/>
      <c r="K48" s="35"/>
      <c r="L48" s="25">
        <v>0.44</v>
      </c>
      <c r="M48" s="445" t="s">
        <v>554</v>
      </c>
      <c r="N48" s="446"/>
      <c r="O48" s="446"/>
    </row>
    <row r="49" spans="1:15" s="29" customFormat="1" ht="12">
      <c r="A49" s="20" t="s">
        <v>245</v>
      </c>
      <c r="B49" s="30"/>
      <c r="C49" s="31"/>
      <c r="D49" s="31"/>
      <c r="E49" s="34"/>
      <c r="F49" s="36"/>
      <c r="G49" s="31"/>
      <c r="H49" s="31"/>
      <c r="I49" s="388"/>
      <c r="J49" s="34"/>
      <c r="K49" s="35"/>
      <c r="L49" s="25">
        <v>1.74</v>
      </c>
      <c r="M49" s="445" t="s">
        <v>554</v>
      </c>
      <c r="N49" s="446"/>
      <c r="O49" s="446"/>
    </row>
    <row r="50" spans="1:15" s="29" customFormat="1" ht="12">
      <c r="A50" s="20" t="s">
        <v>427</v>
      </c>
      <c r="B50" s="30"/>
      <c r="C50" s="31"/>
      <c r="D50" s="31"/>
      <c r="E50" s="34"/>
      <c r="F50" s="36"/>
      <c r="G50" s="31"/>
      <c r="H50" s="31"/>
      <c r="I50" s="388"/>
      <c r="J50" s="34"/>
      <c r="K50" s="35"/>
      <c r="L50" s="25">
        <v>3.45</v>
      </c>
      <c r="M50" s="445" t="s">
        <v>554</v>
      </c>
      <c r="N50" s="446"/>
      <c r="O50" s="446"/>
    </row>
    <row r="51" spans="1:15" s="29" customFormat="1" ht="12">
      <c r="A51" s="20" t="s">
        <v>246</v>
      </c>
      <c r="B51" s="30"/>
      <c r="C51" s="31"/>
      <c r="D51" s="31"/>
      <c r="E51" s="34"/>
      <c r="F51" s="36"/>
      <c r="G51" s="31"/>
      <c r="H51" s="31"/>
      <c r="I51" s="388"/>
      <c r="J51" s="34"/>
      <c r="K51" s="35"/>
      <c r="L51" s="25">
        <v>0.19</v>
      </c>
      <c r="M51" s="445" t="s">
        <v>554</v>
      </c>
      <c r="N51" s="446"/>
      <c r="O51" s="446"/>
    </row>
    <row r="52" spans="1:15" s="29" customFormat="1" ht="12">
      <c r="A52" s="20" t="s">
        <v>247</v>
      </c>
      <c r="B52" s="30"/>
      <c r="C52" s="31"/>
      <c r="D52" s="31"/>
      <c r="E52" s="34"/>
      <c r="F52" s="36"/>
      <c r="G52" s="31"/>
      <c r="H52" s="31"/>
      <c r="I52" s="388"/>
      <c r="J52" s="34"/>
      <c r="K52" s="35"/>
      <c r="L52" s="25">
        <v>0.54</v>
      </c>
      <c r="M52" s="445" t="s">
        <v>554</v>
      </c>
      <c r="N52" s="446"/>
      <c r="O52" s="446"/>
    </row>
    <row r="53" spans="1:15" s="29" customFormat="1" ht="12">
      <c r="A53" s="20" t="s">
        <v>473</v>
      </c>
      <c r="B53" s="30"/>
      <c r="C53" s="31"/>
      <c r="D53" s="31"/>
      <c r="E53" s="34"/>
      <c r="F53" s="36"/>
      <c r="G53" s="31"/>
      <c r="H53" s="31"/>
      <c r="I53" s="388"/>
      <c r="J53" s="34"/>
      <c r="K53" s="35"/>
      <c r="L53" s="25">
        <v>1.19</v>
      </c>
      <c r="M53" s="445" t="s">
        <v>554</v>
      </c>
      <c r="N53" s="446"/>
      <c r="O53" s="446"/>
    </row>
    <row r="54" spans="1:15" s="29" customFormat="1" ht="12">
      <c r="A54" s="20" t="s">
        <v>320</v>
      </c>
      <c r="B54" s="30"/>
      <c r="C54" s="31"/>
      <c r="D54" s="31"/>
      <c r="E54" s="34"/>
      <c r="F54" s="36"/>
      <c r="G54" s="31"/>
      <c r="H54" s="31"/>
      <c r="I54" s="388"/>
      <c r="J54" s="34"/>
      <c r="K54" s="35"/>
      <c r="L54" s="25">
        <v>5.56</v>
      </c>
      <c r="M54" s="445" t="s">
        <v>554</v>
      </c>
      <c r="N54" s="446"/>
      <c r="O54" s="446"/>
    </row>
    <row r="55" spans="1:15" s="29" customFormat="1" ht="12">
      <c r="A55" s="20" t="s">
        <v>194</v>
      </c>
      <c r="B55" s="30"/>
      <c r="C55" s="31"/>
      <c r="D55" s="31"/>
      <c r="E55" s="34"/>
      <c r="F55" s="36"/>
      <c r="G55" s="31"/>
      <c r="H55" s="31"/>
      <c r="I55" s="388"/>
      <c r="J55" s="34"/>
      <c r="K55" s="35"/>
      <c r="L55" s="25">
        <v>4.58</v>
      </c>
      <c r="M55" s="445" t="s">
        <v>554</v>
      </c>
      <c r="N55" s="446"/>
      <c r="O55" s="446"/>
    </row>
    <row r="56" spans="1:15" s="29" customFormat="1" ht="12">
      <c r="A56" s="20" t="s">
        <v>321</v>
      </c>
      <c r="B56" s="30"/>
      <c r="C56" s="31"/>
      <c r="D56" s="31"/>
      <c r="E56" s="34"/>
      <c r="F56" s="36"/>
      <c r="G56" s="31"/>
      <c r="H56" s="31"/>
      <c r="I56" s="388"/>
      <c r="J56" s="34"/>
      <c r="K56" s="35"/>
      <c r="L56" s="25">
        <v>0.12</v>
      </c>
      <c r="M56" s="445" t="s">
        <v>554</v>
      </c>
      <c r="N56" s="446"/>
      <c r="O56" s="446"/>
    </row>
    <row r="57" spans="1:15" s="29" customFormat="1" ht="12">
      <c r="A57" s="20" t="s">
        <v>737</v>
      </c>
      <c r="B57" s="30"/>
      <c r="C57" s="31"/>
      <c r="D57" s="31"/>
      <c r="E57" s="34"/>
      <c r="F57" s="36"/>
      <c r="G57" s="31"/>
      <c r="H57" s="31"/>
      <c r="I57" s="388"/>
      <c r="J57" s="34"/>
      <c r="K57" s="35"/>
      <c r="L57" s="25">
        <v>0.44</v>
      </c>
      <c r="M57" s="445" t="s">
        <v>554</v>
      </c>
      <c r="N57" s="446"/>
      <c r="O57" s="446"/>
    </row>
    <row r="58" spans="1:15" s="29" customFormat="1" ht="12">
      <c r="A58" s="20" t="s">
        <v>750</v>
      </c>
      <c r="B58" s="30"/>
      <c r="C58" s="31"/>
      <c r="D58" s="31"/>
      <c r="E58" s="34"/>
      <c r="F58" s="36"/>
      <c r="G58" s="31"/>
      <c r="H58" s="31"/>
      <c r="I58" s="388"/>
      <c r="J58" s="34"/>
      <c r="K58" s="35"/>
      <c r="L58" s="25">
        <v>0.78</v>
      </c>
      <c r="M58" s="445" t="s">
        <v>554</v>
      </c>
      <c r="N58" s="446"/>
      <c r="O58" s="446"/>
    </row>
    <row r="59" spans="1:15" s="29" customFormat="1" ht="12">
      <c r="A59" s="20" t="s">
        <v>751</v>
      </c>
      <c r="B59" s="30"/>
      <c r="C59" s="31"/>
      <c r="D59" s="31"/>
      <c r="E59" s="34"/>
      <c r="F59" s="36"/>
      <c r="G59" s="31"/>
      <c r="H59" s="31"/>
      <c r="I59" s="388"/>
      <c r="J59" s="34"/>
      <c r="K59" s="35"/>
      <c r="L59" s="25">
        <v>4.21</v>
      </c>
      <c r="M59" s="445" t="s">
        <v>554</v>
      </c>
      <c r="N59" s="446"/>
      <c r="O59" s="446"/>
    </row>
    <row r="60" spans="1:15" s="29" customFormat="1" ht="12">
      <c r="A60" s="20" t="s">
        <v>436</v>
      </c>
      <c r="B60" s="30"/>
      <c r="C60" s="31"/>
      <c r="D60" s="31"/>
      <c r="E60" s="34"/>
      <c r="F60" s="36"/>
      <c r="G60" s="31"/>
      <c r="H60" s="31"/>
      <c r="I60" s="388"/>
      <c r="J60" s="34"/>
      <c r="K60" s="35"/>
      <c r="L60" s="25">
        <v>5.5</v>
      </c>
      <c r="M60" s="445" t="s">
        <v>554</v>
      </c>
      <c r="N60" s="446"/>
      <c r="O60" s="446"/>
    </row>
    <row r="61" spans="1:15" s="29" customFormat="1" ht="12">
      <c r="A61" s="20" t="s">
        <v>752</v>
      </c>
      <c r="B61" s="30"/>
      <c r="C61" s="31"/>
      <c r="D61" s="31"/>
      <c r="E61" s="34"/>
      <c r="F61" s="36"/>
      <c r="G61" s="31"/>
      <c r="H61" s="31"/>
      <c r="I61" s="388"/>
      <c r="J61" s="34"/>
      <c r="K61" s="35"/>
      <c r="L61" s="25">
        <v>0.12</v>
      </c>
      <c r="M61" s="445" t="s">
        <v>554</v>
      </c>
      <c r="N61" s="446"/>
      <c r="O61" s="446"/>
    </row>
    <row r="62" spans="1:15" s="29" customFormat="1" ht="12">
      <c r="A62" s="20" t="s">
        <v>564</v>
      </c>
      <c r="B62" s="30"/>
      <c r="C62" s="31"/>
      <c r="D62" s="31"/>
      <c r="E62" s="34"/>
      <c r="F62" s="36"/>
      <c r="G62" s="31"/>
      <c r="H62" s="31"/>
      <c r="I62" s="388"/>
      <c r="J62" s="34"/>
      <c r="K62" s="35"/>
      <c r="L62" s="25">
        <v>0.44</v>
      </c>
      <c r="M62" s="445" t="s">
        <v>554</v>
      </c>
      <c r="N62" s="446"/>
      <c r="O62" s="446"/>
    </row>
    <row r="63" spans="1:15" s="29" customFormat="1" ht="12">
      <c r="A63" s="20" t="s">
        <v>565</v>
      </c>
      <c r="B63" s="30"/>
      <c r="C63" s="31"/>
      <c r="D63" s="31"/>
      <c r="E63" s="34"/>
      <c r="F63" s="36"/>
      <c r="G63" s="31"/>
      <c r="H63" s="31"/>
      <c r="I63" s="388"/>
      <c r="J63" s="34"/>
      <c r="K63" s="35"/>
      <c r="L63" s="25">
        <v>0.78</v>
      </c>
      <c r="M63" s="445" t="s">
        <v>554</v>
      </c>
      <c r="N63" s="446"/>
      <c r="O63" s="446"/>
    </row>
    <row r="64" spans="1:15" s="29" customFormat="1" ht="12">
      <c r="A64" s="20" t="s">
        <v>396</v>
      </c>
      <c r="B64" s="30"/>
      <c r="C64" s="31"/>
      <c r="D64" s="31"/>
      <c r="E64" s="34"/>
      <c r="F64" s="36"/>
      <c r="G64" s="31"/>
      <c r="H64" s="31"/>
      <c r="I64" s="388"/>
      <c r="J64" s="34"/>
      <c r="K64" s="35"/>
      <c r="L64" s="25">
        <v>4.01</v>
      </c>
      <c r="M64" s="445" t="s">
        <v>554</v>
      </c>
      <c r="N64" s="446"/>
      <c r="O64" s="446"/>
    </row>
    <row r="65" spans="1:15" s="29" customFormat="1" ht="12">
      <c r="A65" s="20" t="s">
        <v>218</v>
      </c>
      <c r="B65" s="30"/>
      <c r="C65" s="31"/>
      <c r="D65" s="31"/>
      <c r="E65" s="34"/>
      <c r="F65" s="36"/>
      <c r="G65" s="31"/>
      <c r="H65" s="31"/>
      <c r="I65" s="388"/>
      <c r="J65" s="34"/>
      <c r="K65" s="35"/>
      <c r="L65" s="25">
        <v>5.7</v>
      </c>
      <c r="M65" s="445" t="s">
        <v>554</v>
      </c>
      <c r="N65" s="446"/>
      <c r="O65" s="446"/>
    </row>
    <row r="66" spans="1:15" s="29" customFormat="1" ht="12">
      <c r="A66" s="20" t="s">
        <v>397</v>
      </c>
      <c r="B66" s="30"/>
      <c r="C66" s="31"/>
      <c r="D66" s="31"/>
      <c r="E66" s="34"/>
      <c r="F66" s="36"/>
      <c r="G66" s="31"/>
      <c r="H66" s="31"/>
      <c r="I66" s="388"/>
      <c r="J66" s="34"/>
      <c r="K66" s="40"/>
      <c r="L66" s="25">
        <v>0.05</v>
      </c>
      <c r="M66" s="445" t="s">
        <v>554</v>
      </c>
      <c r="N66" s="446"/>
      <c r="O66" s="446"/>
    </row>
    <row r="67" spans="1:15" s="29" customFormat="1" ht="12">
      <c r="A67" s="20" t="s">
        <v>398</v>
      </c>
      <c r="B67" s="30"/>
      <c r="C67" s="31"/>
      <c r="D67" s="31"/>
      <c r="E67" s="34"/>
      <c r="F67" s="36"/>
      <c r="G67" s="31"/>
      <c r="H67" s="31"/>
      <c r="I67" s="388"/>
      <c r="J67" s="34"/>
      <c r="K67" s="40"/>
      <c r="L67" s="25">
        <v>0.25</v>
      </c>
      <c r="M67" s="445" t="s">
        <v>554</v>
      </c>
      <c r="N67" s="446"/>
      <c r="O67" s="446"/>
    </row>
    <row r="68" spans="1:15" s="29" customFormat="1" ht="12">
      <c r="A68" s="20" t="s">
        <v>216</v>
      </c>
      <c r="B68" s="30"/>
      <c r="C68" s="31"/>
      <c r="D68" s="31"/>
      <c r="E68" s="34"/>
      <c r="F68" s="36"/>
      <c r="G68" s="31"/>
      <c r="H68" s="31"/>
      <c r="I68" s="388"/>
      <c r="J68" s="34"/>
      <c r="K68" s="40"/>
      <c r="L68" s="25">
        <v>0.44</v>
      </c>
      <c r="M68" s="445" t="s">
        <v>554</v>
      </c>
      <c r="N68" s="446"/>
      <c r="O68" s="446"/>
    </row>
    <row r="69" spans="1:15" s="29" customFormat="1" ht="12">
      <c r="A69" s="20" t="s">
        <v>217</v>
      </c>
      <c r="B69" s="30"/>
      <c r="C69" s="31"/>
      <c r="D69" s="31"/>
      <c r="E69" s="34"/>
      <c r="F69" s="36"/>
      <c r="G69" s="31"/>
      <c r="H69" s="31"/>
      <c r="I69" s="388"/>
      <c r="J69" s="34"/>
      <c r="K69" s="40"/>
      <c r="L69" s="25">
        <v>1.74</v>
      </c>
      <c r="M69" s="445" t="s">
        <v>554</v>
      </c>
      <c r="N69" s="446"/>
      <c r="O69" s="446"/>
    </row>
    <row r="70" spans="1:15" s="29" customFormat="1" ht="12">
      <c r="A70" s="20"/>
      <c r="B70" s="30"/>
      <c r="C70" s="31"/>
      <c r="D70" s="31"/>
      <c r="E70" s="34"/>
      <c r="F70" s="36"/>
      <c r="G70" s="31"/>
      <c r="H70" s="31"/>
      <c r="I70" s="388"/>
      <c r="J70" s="34"/>
      <c r="K70" s="40"/>
      <c r="L70" s="25"/>
      <c r="M70" s="446"/>
      <c r="N70" s="445"/>
      <c r="O70" s="446"/>
    </row>
    <row r="71" spans="1:15" s="29" customFormat="1" ht="12">
      <c r="A71" s="22" t="s">
        <v>374</v>
      </c>
      <c r="B71" s="30"/>
      <c r="C71" s="31"/>
      <c r="D71" s="31"/>
      <c r="E71" s="34"/>
      <c r="F71" s="36"/>
      <c r="G71" s="31"/>
      <c r="H71" s="31"/>
      <c r="I71" s="388"/>
      <c r="J71" s="34"/>
      <c r="K71" s="40"/>
      <c r="L71" s="25"/>
      <c r="M71" s="445" t="s">
        <v>258</v>
      </c>
      <c r="N71" s="446"/>
      <c r="O71" s="446"/>
    </row>
    <row r="72" spans="1:15" s="29" customFormat="1" ht="12">
      <c r="A72" s="20" t="s">
        <v>555</v>
      </c>
      <c r="B72" s="30"/>
      <c r="C72" s="31"/>
      <c r="D72" s="31"/>
      <c r="E72" s="34"/>
      <c r="F72" s="36"/>
      <c r="G72" s="31"/>
      <c r="H72" s="31"/>
      <c r="I72" s="388"/>
      <c r="J72" s="34"/>
      <c r="K72" s="40"/>
      <c r="L72" s="25">
        <v>1.5</v>
      </c>
      <c r="M72" s="445" t="s">
        <v>137</v>
      </c>
      <c r="N72" s="446"/>
      <c r="O72" s="446"/>
    </row>
    <row r="73" spans="1:15" s="29" customFormat="1" ht="12">
      <c r="A73" s="20" t="s">
        <v>556</v>
      </c>
      <c r="B73" s="30"/>
      <c r="C73" s="31"/>
      <c r="D73" s="31"/>
      <c r="E73" s="34"/>
      <c r="F73" s="36"/>
      <c r="G73" s="31"/>
      <c r="H73" s="31"/>
      <c r="I73" s="388"/>
      <c r="J73" s="34"/>
      <c r="K73" s="40"/>
      <c r="L73" s="25">
        <v>2.4</v>
      </c>
      <c r="M73" s="445" t="s">
        <v>137</v>
      </c>
      <c r="N73" s="446"/>
      <c r="O73" s="446"/>
    </row>
    <row r="74" spans="1:15" s="29" customFormat="1" ht="12">
      <c r="A74" s="20" t="s">
        <v>557</v>
      </c>
      <c r="B74" s="30"/>
      <c r="C74" s="31"/>
      <c r="D74" s="31"/>
      <c r="E74" s="34"/>
      <c r="F74" s="36"/>
      <c r="G74" s="31"/>
      <c r="H74" s="31"/>
      <c r="I74" s="388"/>
      <c r="J74" s="34"/>
      <c r="K74" s="40"/>
      <c r="L74" s="25">
        <v>0.63</v>
      </c>
      <c r="M74" s="445" t="s">
        <v>137</v>
      </c>
      <c r="N74" s="446"/>
      <c r="O74" s="446"/>
    </row>
    <row r="75" spans="1:15" s="29" customFormat="1" ht="12">
      <c r="A75" s="20" t="s">
        <v>549</v>
      </c>
      <c r="B75" s="30"/>
      <c r="C75" s="31"/>
      <c r="D75" s="31"/>
      <c r="E75" s="34"/>
      <c r="F75" s="36"/>
      <c r="G75" s="31"/>
      <c r="H75" s="31"/>
      <c r="I75" s="388"/>
      <c r="J75" s="34"/>
      <c r="K75" s="40"/>
      <c r="L75" s="25">
        <v>2.69</v>
      </c>
      <c r="M75" s="445" t="s">
        <v>137</v>
      </c>
      <c r="N75" s="446"/>
      <c r="O75" s="446"/>
    </row>
    <row r="76" spans="1:15" s="29" customFormat="1" ht="12">
      <c r="A76" s="20" t="s">
        <v>368</v>
      </c>
      <c r="B76" s="30"/>
      <c r="C76" s="31"/>
      <c r="D76" s="31"/>
      <c r="E76" s="34"/>
      <c r="F76" s="36"/>
      <c r="G76" s="31"/>
      <c r="H76" s="31"/>
      <c r="I76" s="388"/>
      <c r="J76" s="34"/>
      <c r="K76" s="40"/>
      <c r="L76" s="25">
        <v>0.4</v>
      </c>
      <c r="M76" s="445" t="s">
        <v>137</v>
      </c>
      <c r="N76" s="446"/>
      <c r="O76" s="446"/>
    </row>
    <row r="77" spans="1:15" s="29" customFormat="1" ht="12">
      <c r="A77" s="20"/>
      <c r="B77" s="30"/>
      <c r="C77" s="31"/>
      <c r="D77" s="31"/>
      <c r="E77" s="34"/>
      <c r="F77" s="36"/>
      <c r="G77" s="31"/>
      <c r="H77" s="31"/>
      <c r="I77" s="388"/>
      <c r="J77" s="34"/>
      <c r="K77" s="40"/>
      <c r="L77" s="25"/>
      <c r="M77" s="446"/>
      <c r="N77" s="445"/>
      <c r="O77" s="446"/>
    </row>
    <row r="78" spans="1:15" s="29" customFormat="1" ht="12">
      <c r="A78" s="22" t="s">
        <v>356</v>
      </c>
      <c r="B78" s="30"/>
      <c r="C78" s="31"/>
      <c r="D78" s="31"/>
      <c r="E78" s="34"/>
      <c r="F78" s="36"/>
      <c r="G78" s="31"/>
      <c r="H78" s="31"/>
      <c r="I78" s="388"/>
      <c r="J78" s="34"/>
      <c r="K78" s="40"/>
      <c r="L78" s="25"/>
      <c r="M78" s="445" t="s">
        <v>257</v>
      </c>
      <c r="N78" s="446"/>
      <c r="O78" s="446"/>
    </row>
    <row r="79" spans="1:15" s="29" customFormat="1" ht="12">
      <c r="A79" s="20" t="s">
        <v>346</v>
      </c>
      <c r="B79" s="30"/>
      <c r="C79" s="31"/>
      <c r="D79" s="31"/>
      <c r="E79" s="34"/>
      <c r="F79" s="36"/>
      <c r="G79" s="31"/>
      <c r="H79" s="31"/>
      <c r="I79" s="388"/>
      <c r="J79" s="34"/>
      <c r="K79" s="40"/>
      <c r="L79" s="25">
        <f>5000/1111</f>
        <v>4.5004500450045</v>
      </c>
      <c r="M79" s="445" t="s">
        <v>301</v>
      </c>
      <c r="N79" s="445"/>
      <c r="O79" s="446"/>
    </row>
    <row r="80" spans="1:15" s="29" customFormat="1" ht="12">
      <c r="A80" s="20"/>
      <c r="B80" s="30"/>
      <c r="C80" s="31"/>
      <c r="D80" s="31"/>
      <c r="E80" s="34"/>
      <c r="F80" s="36"/>
      <c r="G80" s="31"/>
      <c r="H80" s="31"/>
      <c r="I80" s="388"/>
      <c r="J80" s="34"/>
      <c r="K80" s="40"/>
      <c r="L80" s="25"/>
      <c r="M80" s="446"/>
      <c r="N80" s="445"/>
      <c r="O80" s="446"/>
    </row>
    <row r="81" spans="1:15" s="29" customFormat="1" ht="12">
      <c r="A81" s="22" t="s">
        <v>182</v>
      </c>
      <c r="B81" s="30"/>
      <c r="C81" s="31"/>
      <c r="D81" s="31"/>
      <c r="E81" s="34"/>
      <c r="F81" s="36"/>
      <c r="G81" s="31"/>
      <c r="H81" s="31"/>
      <c r="I81" s="388"/>
      <c r="J81" s="34"/>
      <c r="K81" s="40"/>
      <c r="L81" s="25"/>
      <c r="M81" s="445" t="s">
        <v>180</v>
      </c>
      <c r="N81" s="446"/>
      <c r="O81" s="446"/>
    </row>
    <row r="82" spans="1:15" s="29" customFormat="1" ht="12">
      <c r="A82" s="20" t="s">
        <v>347</v>
      </c>
      <c r="B82" s="30"/>
      <c r="C82" s="31"/>
      <c r="D82" s="31"/>
      <c r="E82" s="34"/>
      <c r="F82" s="36"/>
      <c r="G82" s="31"/>
      <c r="H82" s="31"/>
      <c r="I82" s="388"/>
      <c r="J82" s="34"/>
      <c r="K82" s="40"/>
      <c r="L82" s="25">
        <f>0.5*9</f>
        <v>4.5</v>
      </c>
      <c r="M82" s="445"/>
      <c r="N82" s="446"/>
      <c r="O82" s="446"/>
    </row>
    <row r="83" spans="1:15" s="29" customFormat="1" ht="12">
      <c r="A83" s="20"/>
      <c r="B83" s="30"/>
      <c r="C83" s="31"/>
      <c r="D83" s="31"/>
      <c r="E83" s="34"/>
      <c r="F83" s="36"/>
      <c r="G83" s="31"/>
      <c r="H83" s="31"/>
      <c r="I83" s="388"/>
      <c r="J83" s="34"/>
      <c r="K83" s="40"/>
      <c r="L83" s="25"/>
      <c r="M83" s="445"/>
      <c r="N83" s="446"/>
      <c r="O83" s="446"/>
    </row>
    <row r="84" spans="1:15" s="29" customFormat="1" ht="12">
      <c r="A84" s="22" t="s">
        <v>449</v>
      </c>
      <c r="B84" s="30"/>
      <c r="C84" s="31"/>
      <c r="D84" s="31"/>
      <c r="E84" s="34"/>
      <c r="F84" s="36"/>
      <c r="G84" s="31"/>
      <c r="H84" s="31"/>
      <c r="I84" s="388"/>
      <c r="J84" s="34"/>
      <c r="K84" s="40"/>
      <c r="L84" s="25"/>
      <c r="M84" s="445" t="s">
        <v>450</v>
      </c>
      <c r="N84" s="446"/>
      <c r="O84" s="446"/>
    </row>
    <row r="85" spans="1:15" s="29" customFormat="1" ht="12">
      <c r="A85" s="20" t="s">
        <v>346</v>
      </c>
      <c r="B85" s="30"/>
      <c r="C85" s="31"/>
      <c r="D85" s="31"/>
      <c r="E85" s="34"/>
      <c r="F85" s="36"/>
      <c r="G85" s="31"/>
      <c r="H85" s="31"/>
      <c r="I85" s="388"/>
      <c r="J85" s="34"/>
      <c r="K85" s="40"/>
      <c r="L85" s="25">
        <v>5</v>
      </c>
      <c r="M85" s="445"/>
      <c r="N85" s="445"/>
      <c r="O85" s="446"/>
    </row>
    <row r="86" spans="1:15" s="29" customFormat="1" ht="12">
      <c r="A86" s="20"/>
      <c r="B86" s="30"/>
      <c r="C86" s="31"/>
      <c r="D86" s="31"/>
      <c r="E86" s="34"/>
      <c r="F86" s="36"/>
      <c r="G86" s="31"/>
      <c r="H86" s="31"/>
      <c r="I86" s="388"/>
      <c r="J86" s="34"/>
      <c r="K86" s="40"/>
      <c r="L86" s="25"/>
      <c r="M86" s="446"/>
      <c r="N86" s="445"/>
      <c r="O86" s="446"/>
    </row>
    <row r="87" spans="1:15" s="60" customFormat="1" ht="12">
      <c r="A87" s="54" t="s">
        <v>144</v>
      </c>
      <c r="B87" s="55"/>
      <c r="C87" s="56"/>
      <c r="D87" s="56"/>
      <c r="E87" s="57"/>
      <c r="F87" s="57"/>
      <c r="G87" s="56"/>
      <c r="H87" s="56"/>
      <c r="I87" s="389"/>
      <c r="J87" s="58"/>
      <c r="K87" s="55"/>
      <c r="L87" s="59"/>
      <c r="M87" s="447"/>
      <c r="N87" s="447"/>
      <c r="O87" s="447"/>
    </row>
    <row r="88" spans="1:15" s="29" customFormat="1" ht="12">
      <c r="A88" s="22" t="s">
        <v>402</v>
      </c>
      <c r="B88" s="30"/>
      <c r="C88" s="31"/>
      <c r="D88" s="31"/>
      <c r="E88" s="34"/>
      <c r="F88" s="36"/>
      <c r="G88" s="31"/>
      <c r="H88" s="31"/>
      <c r="I88" s="388"/>
      <c r="J88" s="34"/>
      <c r="K88" s="40"/>
      <c r="L88" s="25"/>
      <c r="M88" s="445" t="s">
        <v>400</v>
      </c>
      <c r="N88" s="446"/>
      <c r="O88" s="446"/>
    </row>
    <row r="89" spans="1:15" s="29" customFormat="1" ht="12">
      <c r="A89" s="20" t="s">
        <v>172</v>
      </c>
      <c r="B89" s="30"/>
      <c r="C89" s="31"/>
      <c r="D89" s="31"/>
      <c r="E89" s="34"/>
      <c r="F89" s="36"/>
      <c r="G89" s="31"/>
      <c r="H89" s="31"/>
      <c r="I89" s="388"/>
      <c r="J89" s="34"/>
      <c r="K89" s="40"/>
      <c r="L89" s="25">
        <v>70</v>
      </c>
      <c r="M89" s="445" t="s">
        <v>401</v>
      </c>
      <c r="N89" s="445"/>
      <c r="O89" s="446"/>
    </row>
    <row r="90" spans="1:15" s="29" customFormat="1" ht="12">
      <c r="A90" s="29" t="s">
        <v>626</v>
      </c>
      <c r="B90" s="30"/>
      <c r="C90" s="31"/>
      <c r="D90" s="31"/>
      <c r="E90" s="34"/>
      <c r="F90" s="36"/>
      <c r="G90" s="31"/>
      <c r="H90" s="31"/>
      <c r="I90" s="388"/>
      <c r="J90" s="34"/>
      <c r="K90" s="40"/>
      <c r="L90" s="35">
        <v>1.18</v>
      </c>
      <c r="M90" s="446" t="s">
        <v>708</v>
      </c>
      <c r="N90" s="446"/>
      <c r="O90" s="446"/>
    </row>
    <row r="91" spans="1:15" s="29" customFormat="1" ht="12">
      <c r="A91" s="29" t="s">
        <v>627</v>
      </c>
      <c r="B91" s="30"/>
      <c r="C91" s="31"/>
      <c r="D91" s="31"/>
      <c r="E91" s="34"/>
      <c r="F91" s="36"/>
      <c r="G91" s="31"/>
      <c r="H91" s="31"/>
      <c r="I91" s="388"/>
      <c r="J91" s="34"/>
      <c r="K91" s="40"/>
      <c r="L91" s="35">
        <v>1.17</v>
      </c>
      <c r="M91" s="446" t="s">
        <v>708</v>
      </c>
      <c r="N91" s="446"/>
      <c r="O91" s="446"/>
    </row>
    <row r="92" spans="1:15" s="29" customFormat="1" ht="12">
      <c r="A92" s="20"/>
      <c r="B92" s="30"/>
      <c r="C92" s="31"/>
      <c r="D92" s="31"/>
      <c r="E92" s="34"/>
      <c r="F92" s="36"/>
      <c r="G92" s="31"/>
      <c r="H92" s="31"/>
      <c r="I92" s="388"/>
      <c r="J92" s="34"/>
      <c r="K92" s="40"/>
      <c r="L92" s="25"/>
      <c r="M92" s="445"/>
      <c r="N92" s="445"/>
      <c r="O92" s="446"/>
    </row>
    <row r="93" spans="1:15" s="29" customFormat="1" ht="12">
      <c r="A93" s="22" t="s">
        <v>302</v>
      </c>
      <c r="B93" s="30"/>
      <c r="C93" s="31"/>
      <c r="D93" s="31"/>
      <c r="E93" s="34"/>
      <c r="F93" s="36"/>
      <c r="G93" s="31"/>
      <c r="H93" s="31"/>
      <c r="I93" s="388"/>
      <c r="J93" s="34"/>
      <c r="K93" s="40"/>
      <c r="L93" s="25"/>
      <c r="M93" s="445" t="s">
        <v>257</v>
      </c>
      <c r="N93" s="446"/>
      <c r="O93" s="446"/>
    </row>
    <row r="94" spans="1:15" s="29" customFormat="1" ht="12">
      <c r="A94" s="20" t="s">
        <v>403</v>
      </c>
      <c r="B94" s="30"/>
      <c r="C94" s="31"/>
      <c r="D94" s="31"/>
      <c r="E94" s="34"/>
      <c r="F94" s="36"/>
      <c r="G94" s="31"/>
      <c r="H94" s="31"/>
      <c r="I94" s="388"/>
      <c r="J94" s="34"/>
      <c r="K94" s="40"/>
      <c r="L94" s="25">
        <v>65</v>
      </c>
      <c r="M94" s="446"/>
      <c r="N94" s="445"/>
      <c r="O94" s="446"/>
    </row>
    <row r="95" spans="1:15" s="29" customFormat="1" ht="12">
      <c r="A95" s="20" t="s">
        <v>303</v>
      </c>
      <c r="B95" s="30"/>
      <c r="C95" s="31"/>
      <c r="D95" s="31"/>
      <c r="E95" s="34"/>
      <c r="F95" s="36"/>
      <c r="G95" s="31"/>
      <c r="H95" s="31"/>
      <c r="I95" s="388"/>
      <c r="J95" s="34"/>
      <c r="K95" s="40"/>
      <c r="L95" s="25">
        <f>840/1111</f>
        <v>0.7560756075607561</v>
      </c>
      <c r="M95" s="445" t="s">
        <v>304</v>
      </c>
      <c r="N95" s="445"/>
      <c r="O95" s="446"/>
    </row>
    <row r="96" spans="1:15" s="29" customFormat="1" ht="12">
      <c r="A96" s="20"/>
      <c r="B96" s="30"/>
      <c r="C96" s="31"/>
      <c r="D96" s="31"/>
      <c r="E96" s="34"/>
      <c r="F96" s="36"/>
      <c r="G96" s="31"/>
      <c r="H96" s="31"/>
      <c r="I96" s="388"/>
      <c r="J96" s="34"/>
      <c r="K96" s="40"/>
      <c r="L96" s="25"/>
      <c r="M96" s="446"/>
      <c r="N96" s="445"/>
      <c r="O96" s="446"/>
    </row>
    <row r="97" spans="1:15" s="29" customFormat="1" ht="12">
      <c r="A97" s="22" t="s">
        <v>164</v>
      </c>
      <c r="B97" s="30"/>
      <c r="C97" s="31"/>
      <c r="D97" s="31"/>
      <c r="E97" s="34"/>
      <c r="F97" s="36"/>
      <c r="G97" s="31"/>
      <c r="H97" s="31"/>
      <c r="I97" s="388"/>
      <c r="J97" s="34"/>
      <c r="K97" s="40"/>
      <c r="L97" s="25"/>
      <c r="M97" s="445" t="s">
        <v>180</v>
      </c>
      <c r="N97" s="446"/>
      <c r="O97" s="446"/>
    </row>
    <row r="98" spans="1:15" s="29" customFormat="1" ht="12">
      <c r="A98" s="20" t="s">
        <v>165</v>
      </c>
      <c r="B98" s="30"/>
      <c r="C98" s="31"/>
      <c r="D98" s="31"/>
      <c r="E98" s="34"/>
      <c r="F98" s="36"/>
      <c r="G98" s="31"/>
      <c r="H98" s="31"/>
      <c r="I98" s="388"/>
      <c r="J98" s="34"/>
      <c r="K98" s="40"/>
      <c r="L98" s="25">
        <f>0.1*9</f>
        <v>0.9</v>
      </c>
      <c r="M98" s="445"/>
      <c r="N98" s="446"/>
      <c r="O98" s="446"/>
    </row>
    <row r="99" spans="1:15" s="29" customFormat="1" ht="12">
      <c r="A99" s="20"/>
      <c r="B99" s="30"/>
      <c r="C99" s="31"/>
      <c r="D99" s="31"/>
      <c r="E99" s="34"/>
      <c r="F99" s="36"/>
      <c r="G99" s="31"/>
      <c r="H99" s="31"/>
      <c r="I99" s="388"/>
      <c r="J99" s="34"/>
      <c r="K99" s="40"/>
      <c r="L99" s="25"/>
      <c r="M99" s="445"/>
      <c r="N99" s="446"/>
      <c r="O99" s="446"/>
    </row>
    <row r="100" spans="1:15" s="29" customFormat="1" ht="12">
      <c r="A100" s="22" t="s">
        <v>636</v>
      </c>
      <c r="B100" s="30"/>
      <c r="C100" s="31"/>
      <c r="D100" s="31"/>
      <c r="E100" s="34"/>
      <c r="F100" s="36"/>
      <c r="G100" s="31"/>
      <c r="H100" s="31"/>
      <c r="I100" s="388"/>
      <c r="J100" s="34"/>
      <c r="K100" s="40"/>
      <c r="L100" s="25"/>
      <c r="M100" s="445" t="s">
        <v>450</v>
      </c>
      <c r="N100" s="446"/>
      <c r="O100" s="446"/>
    </row>
    <row r="101" spans="1:15" s="29" customFormat="1" ht="12">
      <c r="A101" s="20" t="s">
        <v>637</v>
      </c>
      <c r="B101" s="30"/>
      <c r="C101" s="31"/>
      <c r="D101" s="31"/>
      <c r="E101" s="34"/>
      <c r="F101" s="36"/>
      <c r="G101" s="31"/>
      <c r="H101" s="31"/>
      <c r="I101" s="388"/>
      <c r="J101" s="34"/>
      <c r="K101" s="40"/>
      <c r="L101" s="25">
        <v>0.9</v>
      </c>
      <c r="M101" s="445" t="s">
        <v>638</v>
      </c>
      <c r="N101" s="445"/>
      <c r="O101" s="446"/>
    </row>
    <row r="102" spans="1:15" s="29" customFormat="1" ht="12">
      <c r="A102" s="20"/>
      <c r="B102" s="30"/>
      <c r="C102" s="31"/>
      <c r="D102" s="31"/>
      <c r="E102" s="34"/>
      <c r="F102" s="36"/>
      <c r="G102" s="31"/>
      <c r="H102" s="31"/>
      <c r="I102" s="388"/>
      <c r="J102" s="34"/>
      <c r="K102" s="40"/>
      <c r="L102" s="25"/>
      <c r="M102" s="446"/>
      <c r="N102" s="445"/>
      <c r="O102" s="446"/>
    </row>
    <row r="103" spans="1:15" s="29" customFormat="1" ht="12">
      <c r="A103" s="22" t="s">
        <v>183</v>
      </c>
      <c r="B103" s="30"/>
      <c r="C103" s="31"/>
      <c r="D103" s="31"/>
      <c r="E103" s="34"/>
      <c r="F103" s="36"/>
      <c r="G103" s="31"/>
      <c r="H103" s="31"/>
      <c r="I103" s="388"/>
      <c r="J103" s="34"/>
      <c r="K103" s="40"/>
      <c r="L103" s="25"/>
      <c r="M103" s="445" t="s">
        <v>258</v>
      </c>
      <c r="N103" s="446"/>
      <c r="O103" s="446"/>
    </row>
    <row r="104" spans="1:15" s="29" customFormat="1" ht="12">
      <c r="A104" s="20" t="s">
        <v>184</v>
      </c>
      <c r="B104" s="30"/>
      <c r="C104" s="31"/>
      <c r="D104" s="31"/>
      <c r="E104" s="34"/>
      <c r="F104" s="36"/>
      <c r="G104" s="31"/>
      <c r="H104" s="31"/>
      <c r="I104" s="388"/>
      <c r="J104" s="34"/>
      <c r="K104" s="40"/>
      <c r="L104" s="25">
        <v>2</v>
      </c>
      <c r="M104" s="445" t="s">
        <v>137</v>
      </c>
      <c r="N104" s="446"/>
      <c r="O104" s="446"/>
    </row>
    <row r="105" spans="1:15" s="29" customFormat="1" ht="12">
      <c r="A105" s="29" t="s">
        <v>553</v>
      </c>
      <c r="B105" s="30"/>
      <c r="C105" s="31"/>
      <c r="D105" s="31"/>
      <c r="E105" s="34"/>
      <c r="F105" s="36"/>
      <c r="G105" s="31"/>
      <c r="H105" s="31"/>
      <c r="I105" s="388"/>
      <c r="J105" s="34"/>
      <c r="K105" s="40"/>
      <c r="L105" s="35">
        <v>1.25</v>
      </c>
      <c r="M105" s="446" t="s">
        <v>138</v>
      </c>
      <c r="N105" s="446"/>
      <c r="O105" s="446"/>
    </row>
    <row r="106" spans="1:15" s="29" customFormat="1" ht="12">
      <c r="A106" s="29" t="s">
        <v>373</v>
      </c>
      <c r="B106" s="30"/>
      <c r="C106" s="31"/>
      <c r="D106" s="31"/>
      <c r="E106" s="34"/>
      <c r="F106" s="36"/>
      <c r="G106" s="31"/>
      <c r="H106" s="31"/>
      <c r="I106" s="388"/>
      <c r="J106" s="34"/>
      <c r="K106" s="40"/>
      <c r="L106" s="35">
        <v>1</v>
      </c>
      <c r="M106" s="446" t="s">
        <v>138</v>
      </c>
      <c r="N106" s="446"/>
      <c r="O106" s="446"/>
    </row>
    <row r="107" spans="1:15" s="29" customFormat="1" ht="12">
      <c r="A107" s="20" t="s">
        <v>123</v>
      </c>
      <c r="B107" s="30"/>
      <c r="C107" s="31"/>
      <c r="D107" s="31"/>
      <c r="E107" s="34"/>
      <c r="F107" s="36"/>
      <c r="G107" s="31"/>
      <c r="H107" s="31"/>
      <c r="I107" s="388"/>
      <c r="J107" s="34"/>
      <c r="K107" s="40"/>
      <c r="L107" s="25">
        <v>0.3</v>
      </c>
      <c r="M107" s="445" t="s">
        <v>137</v>
      </c>
      <c r="N107" s="446"/>
      <c r="O107" s="446"/>
    </row>
    <row r="108" spans="1:15" s="29" customFormat="1" ht="12">
      <c r="A108" s="20" t="s">
        <v>124</v>
      </c>
      <c r="B108" s="30"/>
      <c r="C108" s="31"/>
      <c r="D108" s="31"/>
      <c r="E108" s="34"/>
      <c r="F108" s="36"/>
      <c r="G108" s="31"/>
      <c r="H108" s="31"/>
      <c r="I108" s="388"/>
      <c r="J108" s="34"/>
      <c r="K108" s="40"/>
      <c r="L108" s="25">
        <v>3</v>
      </c>
      <c r="M108" s="445" t="s">
        <v>137</v>
      </c>
      <c r="N108" s="446"/>
      <c r="O108" s="446"/>
    </row>
    <row r="109" spans="1:15" s="29" customFormat="1" ht="12">
      <c r="A109" s="20"/>
      <c r="B109" s="30"/>
      <c r="C109" s="31"/>
      <c r="D109" s="31"/>
      <c r="E109" s="34"/>
      <c r="F109" s="36"/>
      <c r="G109" s="31"/>
      <c r="H109" s="31"/>
      <c r="I109" s="388"/>
      <c r="J109" s="34"/>
      <c r="K109" s="40"/>
      <c r="L109" s="25"/>
      <c r="M109" s="446"/>
      <c r="N109" s="445"/>
      <c r="O109" s="446"/>
    </row>
    <row r="110" spans="1:15" s="21" customFormat="1" ht="12">
      <c r="A110" s="22" t="s">
        <v>58</v>
      </c>
      <c r="B110" s="16"/>
      <c r="C110" s="17"/>
      <c r="D110" s="17"/>
      <c r="E110" s="284"/>
      <c r="F110" s="284"/>
      <c r="G110" s="17"/>
      <c r="H110" s="17"/>
      <c r="I110" s="387"/>
      <c r="J110" s="18"/>
      <c r="K110" s="16"/>
      <c r="L110" s="25"/>
      <c r="M110" s="445" t="s">
        <v>569</v>
      </c>
      <c r="N110" s="445"/>
      <c r="O110" s="445"/>
    </row>
    <row r="111" spans="1:15" s="21" customFormat="1" ht="12">
      <c r="A111" s="20" t="s">
        <v>683</v>
      </c>
      <c r="B111" s="16"/>
      <c r="C111" s="17"/>
      <c r="D111" s="17"/>
      <c r="E111" s="18"/>
      <c r="F111" s="18"/>
      <c r="G111" s="17"/>
      <c r="H111" s="17"/>
      <c r="I111" s="387"/>
      <c r="J111" s="18"/>
      <c r="K111" s="16"/>
      <c r="L111" s="25">
        <v>23.14</v>
      </c>
      <c r="M111" s="445" t="s">
        <v>733</v>
      </c>
      <c r="N111" s="445"/>
      <c r="O111" s="445"/>
    </row>
    <row r="112" spans="1:15" s="21" customFormat="1" ht="12">
      <c r="A112" s="20"/>
      <c r="B112" s="16"/>
      <c r="C112" s="17"/>
      <c r="D112" s="17"/>
      <c r="E112" s="18"/>
      <c r="F112" s="18"/>
      <c r="G112" s="17"/>
      <c r="H112" s="17"/>
      <c r="I112" s="387"/>
      <c r="J112" s="18"/>
      <c r="K112" s="16"/>
      <c r="L112" s="25"/>
      <c r="M112" s="445"/>
      <c r="N112" s="445"/>
      <c r="O112" s="445"/>
    </row>
    <row r="113" spans="1:15" s="21" customFormat="1" ht="12">
      <c r="A113" s="22" t="s">
        <v>570</v>
      </c>
      <c r="B113" s="16"/>
      <c r="C113" s="17"/>
      <c r="D113" s="17"/>
      <c r="E113" s="284"/>
      <c r="F113" s="284"/>
      <c r="G113" s="17"/>
      <c r="H113" s="17"/>
      <c r="I113" s="387"/>
      <c r="J113" s="18"/>
      <c r="K113" s="16"/>
      <c r="L113" s="25"/>
      <c r="M113" s="445" t="s">
        <v>400</v>
      </c>
      <c r="N113" s="445"/>
      <c r="O113" s="445"/>
    </row>
    <row r="114" spans="1:15" s="21" customFormat="1" ht="12">
      <c r="A114" s="20" t="s">
        <v>399</v>
      </c>
      <c r="B114" s="16"/>
      <c r="C114" s="17"/>
      <c r="D114" s="17"/>
      <c r="E114" s="18"/>
      <c r="F114" s="18"/>
      <c r="G114" s="17"/>
      <c r="H114" s="17"/>
      <c r="I114" s="387"/>
      <c r="J114" s="18"/>
      <c r="K114" s="16"/>
      <c r="L114" s="25">
        <v>20</v>
      </c>
      <c r="M114" s="445" t="s">
        <v>401</v>
      </c>
      <c r="N114" s="445"/>
      <c r="O114" s="445"/>
    </row>
    <row r="115" spans="1:15" s="21" customFormat="1" ht="12">
      <c r="A115" s="20" t="s">
        <v>625</v>
      </c>
      <c r="B115" s="16"/>
      <c r="C115" s="17"/>
      <c r="D115" s="17"/>
      <c r="E115" s="18"/>
      <c r="F115" s="18"/>
      <c r="G115" s="17"/>
      <c r="H115" s="17"/>
      <c r="I115" s="387"/>
      <c r="J115" s="18"/>
      <c r="K115" s="16"/>
      <c r="L115" s="25">
        <v>27</v>
      </c>
      <c r="M115" s="445"/>
      <c r="N115" s="445"/>
      <c r="O115" s="445"/>
    </row>
    <row r="116" spans="1:15" s="21" customFormat="1" ht="12">
      <c r="A116" s="20"/>
      <c r="B116" s="16"/>
      <c r="C116" s="17"/>
      <c r="D116" s="17"/>
      <c r="E116" s="18"/>
      <c r="F116" s="18"/>
      <c r="G116" s="17"/>
      <c r="H116" s="17"/>
      <c r="I116" s="387"/>
      <c r="J116" s="18"/>
      <c r="K116" s="16"/>
      <c r="L116" s="25"/>
      <c r="M116" s="445"/>
      <c r="N116" s="445"/>
      <c r="O116" s="445"/>
    </row>
    <row r="117" spans="1:15" s="21" customFormat="1" ht="12">
      <c r="A117" s="22" t="s">
        <v>490</v>
      </c>
      <c r="B117" s="16"/>
      <c r="C117" s="17"/>
      <c r="D117" s="17"/>
      <c r="E117" s="18"/>
      <c r="F117" s="18"/>
      <c r="G117" s="17"/>
      <c r="H117" s="17"/>
      <c r="I117" s="387"/>
      <c r="J117" s="18"/>
      <c r="K117" s="16"/>
      <c r="L117" s="25"/>
      <c r="M117" s="445" t="s">
        <v>489</v>
      </c>
      <c r="N117" s="445"/>
      <c r="O117" s="445"/>
    </row>
    <row r="118" spans="1:15" s="21" customFormat="1" ht="12">
      <c r="A118" s="20" t="s">
        <v>684</v>
      </c>
      <c r="B118" s="16"/>
      <c r="C118" s="17"/>
      <c r="D118" s="17"/>
      <c r="E118" s="18"/>
      <c r="F118" s="18"/>
      <c r="G118" s="17"/>
      <c r="H118" s="17"/>
      <c r="I118" s="387"/>
      <c r="J118" s="18"/>
      <c r="K118" s="16"/>
      <c r="L118" s="25">
        <f>1.51*9</f>
        <v>13.59</v>
      </c>
      <c r="M118" s="445" t="s">
        <v>55</v>
      </c>
      <c r="N118" s="445"/>
      <c r="O118" s="445"/>
    </row>
    <row r="119" spans="1:15" s="21" customFormat="1" ht="12">
      <c r="A119" s="20" t="s">
        <v>685</v>
      </c>
      <c r="B119" s="16"/>
      <c r="C119" s="17"/>
      <c r="D119" s="17"/>
      <c r="E119" s="18"/>
      <c r="F119" s="18"/>
      <c r="G119" s="17"/>
      <c r="H119" s="17"/>
      <c r="I119" s="387"/>
      <c r="J119" s="18"/>
      <c r="K119" s="16"/>
      <c r="L119" s="25">
        <f>0.8*9</f>
        <v>7.2</v>
      </c>
      <c r="M119" s="445" t="s">
        <v>54</v>
      </c>
      <c r="N119" s="445"/>
      <c r="O119" s="445"/>
    </row>
    <row r="120" spans="1:15" s="21" customFormat="1" ht="12">
      <c r="A120" s="20" t="s">
        <v>686</v>
      </c>
      <c r="B120" s="16"/>
      <c r="C120" s="17"/>
      <c r="D120" s="17"/>
      <c r="E120" s="18"/>
      <c r="F120" s="18"/>
      <c r="G120" s="17"/>
      <c r="H120" s="17"/>
      <c r="I120" s="387"/>
      <c r="J120" s="18"/>
      <c r="K120" s="16"/>
      <c r="L120" s="25">
        <v>17.4</v>
      </c>
      <c r="M120" s="445" t="s">
        <v>729</v>
      </c>
      <c r="N120" s="445"/>
      <c r="O120" s="445"/>
    </row>
    <row r="121" spans="1:15" s="21" customFormat="1" ht="12">
      <c r="A121" s="20" t="s">
        <v>687</v>
      </c>
      <c r="B121" s="16"/>
      <c r="C121" s="17"/>
      <c r="D121" s="17"/>
      <c r="E121" s="18"/>
      <c r="F121" s="18"/>
      <c r="G121" s="17"/>
      <c r="H121" s="17"/>
      <c r="I121" s="387"/>
      <c r="J121" s="18"/>
      <c r="K121" s="16"/>
      <c r="L121" s="25">
        <f>9.95+3.12</f>
        <v>13.07</v>
      </c>
      <c r="M121" s="445" t="s">
        <v>730</v>
      </c>
      <c r="N121" s="445"/>
      <c r="O121" s="445"/>
    </row>
    <row r="122" spans="1:15" s="21" customFormat="1" ht="12">
      <c r="A122" s="20"/>
      <c r="B122" s="16"/>
      <c r="C122" s="17"/>
      <c r="D122" s="17"/>
      <c r="E122" s="18"/>
      <c r="F122" s="18"/>
      <c r="G122" s="17"/>
      <c r="H122" s="17"/>
      <c r="I122" s="387"/>
      <c r="J122" s="18"/>
      <c r="K122" s="16"/>
      <c r="L122" s="25"/>
      <c r="M122" s="445"/>
      <c r="N122" s="445"/>
      <c r="O122" s="445"/>
    </row>
    <row r="123" spans="1:15" s="21" customFormat="1" ht="12">
      <c r="A123" s="22" t="s">
        <v>241</v>
      </c>
      <c r="B123" s="16"/>
      <c r="C123" s="17"/>
      <c r="D123" s="17"/>
      <c r="E123" s="284"/>
      <c r="F123" s="284"/>
      <c r="G123" s="17"/>
      <c r="H123" s="17"/>
      <c r="I123" s="387"/>
      <c r="J123" s="18"/>
      <c r="K123" s="16"/>
      <c r="L123" s="25"/>
      <c r="M123" s="445" t="s">
        <v>385</v>
      </c>
      <c r="N123" s="445"/>
      <c r="O123" s="445"/>
    </row>
    <row r="124" spans="1:15" s="21" customFormat="1" ht="12">
      <c r="A124" s="20" t="s">
        <v>384</v>
      </c>
      <c r="B124" s="16"/>
      <c r="C124" s="17"/>
      <c r="D124" s="17"/>
      <c r="E124" s="18"/>
      <c r="F124" s="18"/>
      <c r="G124" s="17"/>
      <c r="H124" s="17"/>
      <c r="I124" s="387"/>
      <c r="J124" s="18"/>
      <c r="K124" s="16"/>
      <c r="L124" s="25">
        <v>21.85</v>
      </c>
      <c r="M124" s="445" t="s">
        <v>273</v>
      </c>
      <c r="N124" s="445"/>
      <c r="O124" s="445"/>
    </row>
    <row r="125" ht="12">
      <c r="A125" s="14"/>
    </row>
    <row r="126" ht="12">
      <c r="A126" s="14"/>
    </row>
    <row r="127" ht="12">
      <c r="A127" s="14"/>
    </row>
    <row r="128" ht="12">
      <c r="A128" s="14"/>
    </row>
    <row r="129" ht="12">
      <c r="A129" s="14"/>
    </row>
    <row r="130" ht="12">
      <c r="A130" s="14"/>
    </row>
    <row r="131" ht="12">
      <c r="A131" s="14"/>
    </row>
    <row r="132" ht="12">
      <c r="A132" s="14"/>
    </row>
  </sheetData>
  <mergeCells count="5">
    <mergeCell ref="J1:J3"/>
    <mergeCell ref="I1:I3"/>
    <mergeCell ref="E1:E3"/>
    <mergeCell ref="L1:L3"/>
    <mergeCell ref="K1:K3"/>
  </mergeCells>
  <printOptions/>
  <pageMargins left="0.75" right="0.75" top="1" bottom="1" header="0.5" footer="0.5"/>
  <pageSetup fitToHeight="0" fitToWidth="1" orientation="landscape" scale="76" r:id="rId1"/>
  <headerFooter alignWithMargins="0">
    <oddFooter>&amp;CPage H-&amp;P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125" zoomScaleNormal="125" workbookViewId="0" topLeftCell="A1">
      <pane xSplit="1" ySplit="4" topLeftCell="B3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3" sqref="A3"/>
    </sheetView>
  </sheetViews>
  <sheetFormatPr defaultColWidth="9.00390625" defaultRowHeight="12"/>
  <cols>
    <col min="1" max="1" width="59.75390625" style="1" customWidth="1"/>
    <col min="2" max="2" width="4.875" style="8" hidden="1" customWidth="1"/>
    <col min="3" max="4" width="0" style="9" hidden="1" customWidth="1"/>
    <col min="5" max="5" width="10.875" style="5" customWidth="1"/>
    <col min="6" max="6" width="0" style="5" hidden="1" customWidth="1"/>
    <col min="7" max="8" width="0" style="9" hidden="1" customWidth="1"/>
    <col min="9" max="9" width="10.875" style="4" customWidth="1"/>
    <col min="10" max="10" width="10.875" style="172" customWidth="1"/>
    <col min="11" max="11" width="12.00390625" style="8" customWidth="1"/>
    <col min="12" max="12" width="12.00390625" style="27" customWidth="1"/>
    <col min="13" max="13" width="9.75390625" style="441" customWidth="1"/>
    <col min="14" max="14" width="12.625" style="441" customWidth="1"/>
    <col min="15" max="15" width="10.875" style="441" customWidth="1"/>
    <col min="16" max="19" width="10.875" style="1" customWidth="1"/>
    <col min="20" max="20" width="10.00390625" style="1" customWidth="1"/>
    <col min="21" max="16384" width="10.875" style="1" customWidth="1"/>
  </cols>
  <sheetData>
    <row r="1" spans="1:15" s="457" customFormat="1" ht="12.75" customHeight="1">
      <c r="A1" s="454" t="s">
        <v>129</v>
      </c>
      <c r="B1" s="455"/>
      <c r="C1" s="456"/>
      <c r="D1" s="456"/>
      <c r="E1" s="553" t="s">
        <v>237</v>
      </c>
      <c r="F1" s="456"/>
      <c r="G1" s="456"/>
      <c r="H1" s="456"/>
      <c r="I1" s="545" t="s">
        <v>238</v>
      </c>
      <c r="J1" s="551" t="s">
        <v>404</v>
      </c>
      <c r="K1" s="555" t="s">
        <v>696</v>
      </c>
      <c r="L1" s="547" t="s">
        <v>697</v>
      </c>
      <c r="M1" s="441"/>
      <c r="N1" s="441"/>
      <c r="O1" s="441"/>
    </row>
    <row r="2" spans="2:15" s="457" customFormat="1" ht="12.75" customHeight="1">
      <c r="B2" s="458" t="s">
        <v>159</v>
      </c>
      <c r="C2" s="456"/>
      <c r="D2" s="456"/>
      <c r="E2" s="554"/>
      <c r="F2" s="455" t="s">
        <v>160</v>
      </c>
      <c r="G2" s="456"/>
      <c r="H2" s="456"/>
      <c r="I2" s="546"/>
      <c r="J2" s="557"/>
      <c r="K2" s="556"/>
      <c r="L2" s="548"/>
      <c r="M2" s="441"/>
      <c r="N2" s="441"/>
      <c r="O2" s="441"/>
    </row>
    <row r="3" spans="2:15" s="457" customFormat="1" ht="10.5" customHeight="1">
      <c r="B3" s="459" t="s">
        <v>322</v>
      </c>
      <c r="C3" s="460" t="s">
        <v>323</v>
      </c>
      <c r="D3" s="461" t="s">
        <v>324</v>
      </c>
      <c r="E3" s="554"/>
      <c r="F3" s="460" t="s">
        <v>579</v>
      </c>
      <c r="G3" s="462" t="s">
        <v>161</v>
      </c>
      <c r="H3" s="461" t="s">
        <v>511</v>
      </c>
      <c r="I3" s="546"/>
      <c r="J3" s="557"/>
      <c r="K3" s="556"/>
      <c r="L3" s="548"/>
      <c r="M3" s="441"/>
      <c r="N3" s="441"/>
      <c r="O3" s="441"/>
    </row>
    <row r="4" spans="1:15" s="457" customFormat="1" ht="12.75" thickBot="1">
      <c r="A4" s="463"/>
      <c r="B4" s="464" t="s">
        <v>641</v>
      </c>
      <c r="C4" s="465" t="s">
        <v>641</v>
      </c>
      <c r="D4" s="466" t="s">
        <v>641</v>
      </c>
      <c r="E4" s="466" t="s">
        <v>641</v>
      </c>
      <c r="F4" s="466" t="s">
        <v>641</v>
      </c>
      <c r="G4" s="467" t="s">
        <v>641</v>
      </c>
      <c r="H4" s="466" t="s">
        <v>641</v>
      </c>
      <c r="I4" s="465" t="s">
        <v>641</v>
      </c>
      <c r="J4" s="468" t="s">
        <v>641</v>
      </c>
      <c r="K4" s="469" t="s">
        <v>641</v>
      </c>
      <c r="L4" s="470" t="s">
        <v>641</v>
      </c>
      <c r="M4" s="441"/>
      <c r="N4" s="441"/>
      <c r="O4" s="441"/>
    </row>
    <row r="5" spans="1:15" s="51" customFormat="1" ht="12.75" thickTop="1">
      <c r="A5" s="46" t="s">
        <v>325</v>
      </c>
      <c r="B5" s="47"/>
      <c r="C5" s="48"/>
      <c r="D5" s="48"/>
      <c r="E5" s="49"/>
      <c r="F5" s="49"/>
      <c r="G5" s="48"/>
      <c r="H5" s="48"/>
      <c r="I5" s="393"/>
      <c r="J5" s="396"/>
      <c r="K5" s="47"/>
      <c r="L5" s="50"/>
      <c r="M5" s="450"/>
      <c r="N5" s="450"/>
      <c r="O5" s="450"/>
    </row>
    <row r="6" spans="1:15" s="19" customFormat="1" ht="12">
      <c r="A6" s="15" t="s">
        <v>547</v>
      </c>
      <c r="B6" s="16"/>
      <c r="C6" s="17"/>
      <c r="D6" s="17"/>
      <c r="E6" s="18"/>
      <c r="F6" s="18"/>
      <c r="G6" s="17"/>
      <c r="H6" s="17"/>
      <c r="I6" s="387"/>
      <c r="J6" s="397"/>
      <c r="K6" s="16"/>
      <c r="L6" s="25"/>
      <c r="M6" s="443" t="s">
        <v>56</v>
      </c>
      <c r="N6" s="443"/>
      <c r="O6" s="443"/>
    </row>
    <row r="7" spans="1:15" s="21" customFormat="1" ht="12">
      <c r="A7" s="20" t="s">
        <v>249</v>
      </c>
      <c r="B7" s="16"/>
      <c r="C7" s="17"/>
      <c r="D7" s="17"/>
      <c r="E7" s="18">
        <v>0.15</v>
      </c>
      <c r="F7" s="18">
        <v>0.17</v>
      </c>
      <c r="G7" s="17"/>
      <c r="H7" s="17"/>
      <c r="I7" s="387">
        <f>F7+G7+H7</f>
        <v>0.17</v>
      </c>
      <c r="J7" s="397">
        <v>0.3</v>
      </c>
      <c r="K7" s="25">
        <f>J7+I7+E7</f>
        <v>0.62</v>
      </c>
      <c r="L7" s="26">
        <v>0.75</v>
      </c>
      <c r="M7" s="444" t="s">
        <v>699</v>
      </c>
      <c r="N7" s="445" t="s">
        <v>413</v>
      </c>
      <c r="O7" s="445"/>
    </row>
    <row r="8" spans="1:15" s="21" customFormat="1" ht="12">
      <c r="A8" s="20" t="s">
        <v>514</v>
      </c>
      <c r="B8" s="16"/>
      <c r="C8" s="17"/>
      <c r="D8" s="17"/>
      <c r="E8" s="18">
        <v>0.12</v>
      </c>
      <c r="F8" s="18">
        <v>0.04</v>
      </c>
      <c r="G8" s="17"/>
      <c r="H8" s="17"/>
      <c r="I8" s="387">
        <f aca="true" t="shared" si="0" ref="I8:I44">F8+G8+H8</f>
        <v>0.04</v>
      </c>
      <c r="J8" s="397">
        <v>0.08</v>
      </c>
      <c r="K8" s="25">
        <f aca="true" t="shared" si="1" ref="K8:K44">J8+I8+E8</f>
        <v>0.24</v>
      </c>
      <c r="L8" s="25">
        <v>0.27</v>
      </c>
      <c r="M8" s="444" t="s">
        <v>699</v>
      </c>
      <c r="N8" s="445" t="s">
        <v>224</v>
      </c>
      <c r="O8" s="445"/>
    </row>
    <row r="9" spans="1:15" s="21" customFormat="1" ht="12">
      <c r="A9" s="20" t="s">
        <v>75</v>
      </c>
      <c r="B9" s="16"/>
      <c r="C9" s="17"/>
      <c r="D9" s="17"/>
      <c r="E9" s="18">
        <v>0.41</v>
      </c>
      <c r="F9" s="18">
        <v>0.17</v>
      </c>
      <c r="G9" s="17"/>
      <c r="H9" s="17"/>
      <c r="I9" s="387">
        <f t="shared" si="0"/>
        <v>0.17</v>
      </c>
      <c r="J9" s="397">
        <v>0.3</v>
      </c>
      <c r="K9" s="25">
        <f t="shared" si="1"/>
        <v>0.8799999999999999</v>
      </c>
      <c r="L9" s="25">
        <v>1.03</v>
      </c>
      <c r="M9" s="444" t="s">
        <v>699</v>
      </c>
      <c r="N9" s="445" t="s">
        <v>342</v>
      </c>
      <c r="O9" s="445"/>
    </row>
    <row r="10" spans="1:15" s="21" customFormat="1" ht="12">
      <c r="A10" s="20" t="s">
        <v>251</v>
      </c>
      <c r="B10" s="16"/>
      <c r="C10" s="17"/>
      <c r="D10" s="17"/>
      <c r="E10" s="18">
        <v>0.33</v>
      </c>
      <c r="F10" s="18">
        <v>0.04</v>
      </c>
      <c r="G10" s="17"/>
      <c r="H10" s="17"/>
      <c r="I10" s="387">
        <f t="shared" si="0"/>
        <v>0.04</v>
      </c>
      <c r="J10" s="397">
        <v>0.08</v>
      </c>
      <c r="K10" s="25">
        <f t="shared" si="1"/>
        <v>0.45</v>
      </c>
      <c r="L10" s="25">
        <v>0.5</v>
      </c>
      <c r="M10" s="444" t="s">
        <v>699</v>
      </c>
      <c r="N10" s="445" t="s">
        <v>343</v>
      </c>
      <c r="O10" s="445"/>
    </row>
    <row r="11" spans="1:15" s="21" customFormat="1" ht="12">
      <c r="A11" s="20" t="s">
        <v>252</v>
      </c>
      <c r="B11" s="16"/>
      <c r="C11" s="17"/>
      <c r="D11" s="17"/>
      <c r="E11" s="18">
        <v>1</v>
      </c>
      <c r="F11" s="18">
        <v>0.09</v>
      </c>
      <c r="G11" s="17"/>
      <c r="H11" s="17"/>
      <c r="I11" s="387">
        <f t="shared" si="0"/>
        <v>0.09</v>
      </c>
      <c r="J11" s="397">
        <v>0.01</v>
      </c>
      <c r="K11" s="25">
        <f t="shared" si="1"/>
        <v>1.1</v>
      </c>
      <c r="L11" s="25">
        <v>1.26</v>
      </c>
      <c r="M11" s="444" t="s">
        <v>699</v>
      </c>
      <c r="N11" s="445" t="s">
        <v>344</v>
      </c>
      <c r="O11" s="445"/>
    </row>
    <row r="12" spans="1:15" s="21" customFormat="1" ht="12">
      <c r="A12" s="20" t="s">
        <v>430</v>
      </c>
      <c r="B12" s="16"/>
      <c r="C12" s="17"/>
      <c r="D12" s="17"/>
      <c r="E12" s="18">
        <v>0.7</v>
      </c>
      <c r="F12" s="18">
        <v>0.09</v>
      </c>
      <c r="G12" s="17"/>
      <c r="H12" s="17"/>
      <c r="I12" s="387">
        <f t="shared" si="0"/>
        <v>0.09</v>
      </c>
      <c r="J12" s="397">
        <v>0.01</v>
      </c>
      <c r="K12" s="25">
        <f t="shared" si="1"/>
        <v>0.7999999999999999</v>
      </c>
      <c r="L12" s="25">
        <v>0.93</v>
      </c>
      <c r="M12" s="444" t="s">
        <v>699</v>
      </c>
      <c r="N12" s="445" t="s">
        <v>345</v>
      </c>
      <c r="O12" s="445"/>
    </row>
    <row r="13" spans="1:15" s="21" customFormat="1" ht="12">
      <c r="A13" s="20" t="s">
        <v>483</v>
      </c>
      <c r="B13" s="16"/>
      <c r="C13" s="17"/>
      <c r="D13" s="17"/>
      <c r="E13" s="18">
        <v>0.43</v>
      </c>
      <c r="F13" s="18">
        <v>0.08</v>
      </c>
      <c r="G13" s="17"/>
      <c r="H13" s="17"/>
      <c r="I13" s="387">
        <f t="shared" si="0"/>
        <v>0.08</v>
      </c>
      <c r="J13" s="397">
        <v>0.15</v>
      </c>
      <c r="K13" s="25">
        <f t="shared" si="1"/>
        <v>0.6599999999999999</v>
      </c>
      <c r="L13" s="25">
        <v>0.77</v>
      </c>
      <c r="M13" s="444" t="s">
        <v>699</v>
      </c>
      <c r="N13" s="445" t="s">
        <v>518</v>
      </c>
      <c r="O13" s="445"/>
    </row>
    <row r="14" spans="1:15" s="21" customFormat="1" ht="12">
      <c r="A14" s="20" t="s">
        <v>481</v>
      </c>
      <c r="B14" s="16"/>
      <c r="C14" s="17"/>
      <c r="D14" s="17"/>
      <c r="E14" s="18">
        <v>0.43</v>
      </c>
      <c r="F14" s="18">
        <v>0.14</v>
      </c>
      <c r="G14" s="17"/>
      <c r="H14" s="17"/>
      <c r="I14" s="387">
        <f t="shared" si="0"/>
        <v>0.14</v>
      </c>
      <c r="J14" s="397">
        <v>0.25</v>
      </c>
      <c r="K14" s="25">
        <f t="shared" si="1"/>
        <v>0.8200000000000001</v>
      </c>
      <c r="L14" s="25">
        <v>0.96</v>
      </c>
      <c r="M14" s="444" t="s">
        <v>699</v>
      </c>
      <c r="N14" s="445" t="s">
        <v>650</v>
      </c>
      <c r="O14" s="445"/>
    </row>
    <row r="15" spans="1:15" s="21" customFormat="1" ht="12">
      <c r="A15" s="20" t="s">
        <v>482</v>
      </c>
      <c r="B15" s="16"/>
      <c r="C15" s="17"/>
      <c r="D15" s="17"/>
      <c r="E15" s="18">
        <v>0.43</v>
      </c>
      <c r="F15" s="18">
        <v>0.52</v>
      </c>
      <c r="G15" s="17"/>
      <c r="H15" s="17"/>
      <c r="I15" s="387">
        <f t="shared" si="0"/>
        <v>0.52</v>
      </c>
      <c r="J15" s="397">
        <v>0</v>
      </c>
      <c r="K15" s="25">
        <f t="shared" si="1"/>
        <v>0.95</v>
      </c>
      <c r="L15" s="25">
        <v>1.29</v>
      </c>
      <c r="M15" s="444" t="s">
        <v>699</v>
      </c>
      <c r="N15" s="445" t="s">
        <v>651</v>
      </c>
      <c r="O15" s="445"/>
    </row>
    <row r="16" spans="1:15" s="19" customFormat="1" ht="12">
      <c r="A16" s="20" t="s">
        <v>439</v>
      </c>
      <c r="B16" s="16"/>
      <c r="C16" s="17"/>
      <c r="D16" s="17"/>
      <c r="E16" s="18">
        <v>0.5</v>
      </c>
      <c r="F16" s="18">
        <v>0.08</v>
      </c>
      <c r="G16" s="17"/>
      <c r="H16" s="17"/>
      <c r="I16" s="387">
        <f t="shared" si="0"/>
        <v>0.08</v>
      </c>
      <c r="J16" s="397">
        <v>0.15</v>
      </c>
      <c r="K16" s="25">
        <f t="shared" si="1"/>
        <v>0.73</v>
      </c>
      <c r="L16" s="25">
        <v>0.85</v>
      </c>
      <c r="M16" s="444" t="s">
        <v>699</v>
      </c>
      <c r="N16" s="445" t="s">
        <v>652</v>
      </c>
      <c r="O16" s="443"/>
    </row>
    <row r="17" spans="1:15" s="21" customFormat="1" ht="12">
      <c r="A17" s="20" t="s">
        <v>500</v>
      </c>
      <c r="B17" s="16"/>
      <c r="C17" s="17"/>
      <c r="D17" s="17"/>
      <c r="E17" s="18">
        <v>0.5</v>
      </c>
      <c r="F17" s="18">
        <v>0.14</v>
      </c>
      <c r="G17" s="17"/>
      <c r="H17" s="17"/>
      <c r="I17" s="387">
        <f t="shared" si="0"/>
        <v>0.14</v>
      </c>
      <c r="J17" s="397">
        <v>0.25</v>
      </c>
      <c r="K17" s="25">
        <f t="shared" si="1"/>
        <v>0.89</v>
      </c>
      <c r="L17" s="25">
        <v>1.04</v>
      </c>
      <c r="M17" s="444" t="s">
        <v>699</v>
      </c>
      <c r="N17" s="445" t="s">
        <v>653</v>
      </c>
      <c r="O17" s="445"/>
    </row>
    <row r="18" spans="1:15" s="21" customFormat="1" ht="12">
      <c r="A18" s="20" t="s">
        <v>307</v>
      </c>
      <c r="B18" s="16"/>
      <c r="C18" s="17"/>
      <c r="D18" s="17"/>
      <c r="E18" s="18">
        <v>0.5</v>
      </c>
      <c r="F18" s="18">
        <v>0.52</v>
      </c>
      <c r="G18" s="17"/>
      <c r="H18" s="17"/>
      <c r="I18" s="387">
        <f t="shared" si="0"/>
        <v>0.52</v>
      </c>
      <c r="J18" s="397">
        <v>0</v>
      </c>
      <c r="K18" s="25">
        <f t="shared" si="1"/>
        <v>1.02</v>
      </c>
      <c r="L18" s="25">
        <v>1.37</v>
      </c>
      <c r="M18" s="444" t="s">
        <v>699</v>
      </c>
      <c r="N18" s="445" t="s">
        <v>654</v>
      </c>
      <c r="O18" s="445"/>
    </row>
    <row r="19" spans="1:15" s="21" customFormat="1" ht="12">
      <c r="A19" s="20" t="s">
        <v>211</v>
      </c>
      <c r="B19" s="16"/>
      <c r="C19" s="17"/>
      <c r="D19" s="17"/>
      <c r="E19" s="18">
        <v>0.6</v>
      </c>
      <c r="F19" s="18">
        <v>0.08</v>
      </c>
      <c r="G19" s="17"/>
      <c r="H19" s="17"/>
      <c r="I19" s="387">
        <f t="shared" si="0"/>
        <v>0.08</v>
      </c>
      <c r="J19" s="397">
        <v>0.154</v>
      </c>
      <c r="K19" s="25">
        <f t="shared" si="1"/>
        <v>0.834</v>
      </c>
      <c r="L19" s="25">
        <v>0.96</v>
      </c>
      <c r="M19" s="444" t="s">
        <v>699</v>
      </c>
      <c r="N19" s="445" t="s">
        <v>655</v>
      </c>
      <c r="O19" s="445"/>
    </row>
    <row r="20" spans="1:15" s="21" customFormat="1" ht="12">
      <c r="A20" s="20" t="s">
        <v>76</v>
      </c>
      <c r="B20" s="16"/>
      <c r="C20" s="17"/>
      <c r="D20" s="17"/>
      <c r="E20" s="18">
        <v>0.6</v>
      </c>
      <c r="F20" s="18">
        <v>0.14</v>
      </c>
      <c r="G20" s="17"/>
      <c r="H20" s="17"/>
      <c r="I20" s="387">
        <f t="shared" si="0"/>
        <v>0.14</v>
      </c>
      <c r="J20" s="397">
        <v>0.25</v>
      </c>
      <c r="K20" s="25">
        <f t="shared" si="1"/>
        <v>0.99</v>
      </c>
      <c r="L20" s="25">
        <v>1.15</v>
      </c>
      <c r="M20" s="444" t="s">
        <v>699</v>
      </c>
      <c r="N20" s="445" t="s">
        <v>524</v>
      </c>
      <c r="O20" s="445"/>
    </row>
    <row r="21" spans="1:15" s="21" customFormat="1" ht="12">
      <c r="A21" s="20" t="s">
        <v>100</v>
      </c>
      <c r="B21" s="16"/>
      <c r="C21" s="17"/>
      <c r="D21" s="17"/>
      <c r="E21" s="18">
        <v>0.6</v>
      </c>
      <c r="F21" s="18">
        <v>0.52</v>
      </c>
      <c r="G21" s="17"/>
      <c r="H21" s="17"/>
      <c r="I21" s="387">
        <f t="shared" si="0"/>
        <v>0.52</v>
      </c>
      <c r="J21" s="397">
        <v>0</v>
      </c>
      <c r="K21" s="25">
        <f t="shared" si="1"/>
        <v>1.12</v>
      </c>
      <c r="L21" s="25">
        <v>1.48</v>
      </c>
      <c r="M21" s="444" t="s">
        <v>699</v>
      </c>
      <c r="N21" s="445" t="s">
        <v>525</v>
      </c>
      <c r="O21" s="445"/>
    </row>
    <row r="22" spans="1:15" s="21" customFormat="1" ht="12">
      <c r="A22" s="20" t="s">
        <v>501</v>
      </c>
      <c r="B22" s="16"/>
      <c r="C22" s="17"/>
      <c r="D22" s="17"/>
      <c r="E22" s="18">
        <f>B22+C22+D22</f>
        <v>0</v>
      </c>
      <c r="F22" s="18">
        <v>0.06</v>
      </c>
      <c r="G22" s="17"/>
      <c r="H22" s="17"/>
      <c r="I22" s="387">
        <f t="shared" si="0"/>
        <v>0.06</v>
      </c>
      <c r="J22" s="397">
        <v>0.02</v>
      </c>
      <c r="K22" s="25">
        <f t="shared" si="1"/>
        <v>0.08</v>
      </c>
      <c r="L22" s="25">
        <v>0.12</v>
      </c>
      <c r="M22" s="444" t="s">
        <v>699</v>
      </c>
      <c r="N22" s="445" t="s">
        <v>526</v>
      </c>
      <c r="O22" s="445"/>
    </row>
    <row r="23" spans="1:15" s="21" customFormat="1" ht="12">
      <c r="A23" s="20" t="s">
        <v>70</v>
      </c>
      <c r="B23" s="16"/>
      <c r="C23" s="17"/>
      <c r="D23" s="17"/>
      <c r="E23" s="18">
        <v>0.7</v>
      </c>
      <c r="F23" s="18">
        <v>0.33</v>
      </c>
      <c r="G23" s="17"/>
      <c r="H23" s="17"/>
      <c r="I23" s="387">
        <f t="shared" si="0"/>
        <v>0.33</v>
      </c>
      <c r="J23" s="397">
        <v>0.3</v>
      </c>
      <c r="K23" s="25">
        <f t="shared" si="1"/>
        <v>1.33</v>
      </c>
      <c r="L23" s="25">
        <v>1.61</v>
      </c>
      <c r="M23" s="444" t="s">
        <v>699</v>
      </c>
      <c r="N23" s="445" t="s">
        <v>527</v>
      </c>
      <c r="O23" s="445" t="s">
        <v>189</v>
      </c>
    </row>
    <row r="24" spans="1:15" s="21" customFormat="1" ht="12">
      <c r="A24" s="20" t="s">
        <v>792</v>
      </c>
      <c r="B24" s="16"/>
      <c r="C24" s="17"/>
      <c r="D24" s="17"/>
      <c r="E24" s="18">
        <v>0.64</v>
      </c>
      <c r="F24" s="18">
        <v>0.17</v>
      </c>
      <c r="G24" s="17"/>
      <c r="H24" s="17"/>
      <c r="I24" s="387">
        <f t="shared" si="0"/>
        <v>0.17</v>
      </c>
      <c r="J24" s="397">
        <v>0.15</v>
      </c>
      <c r="K24" s="25">
        <f t="shared" si="1"/>
        <v>0.96</v>
      </c>
      <c r="L24" s="25">
        <v>1.12</v>
      </c>
      <c r="M24" s="444" t="s">
        <v>699</v>
      </c>
      <c r="N24" s="445" t="s">
        <v>528</v>
      </c>
      <c r="O24" s="445" t="s">
        <v>189</v>
      </c>
    </row>
    <row r="25" spans="1:15" s="21" customFormat="1" ht="12">
      <c r="A25" s="20" t="s">
        <v>610</v>
      </c>
      <c r="B25" s="16"/>
      <c r="C25" s="17"/>
      <c r="D25" s="17"/>
      <c r="E25" s="18">
        <v>1.3</v>
      </c>
      <c r="F25" s="18">
        <v>0.55</v>
      </c>
      <c r="G25" s="17"/>
      <c r="H25" s="17"/>
      <c r="I25" s="387">
        <f t="shared" si="0"/>
        <v>0.55</v>
      </c>
      <c r="J25" s="397">
        <v>0.49</v>
      </c>
      <c r="K25" s="25">
        <f t="shared" si="1"/>
        <v>2.34</v>
      </c>
      <c r="L25" s="25">
        <v>2.82</v>
      </c>
      <c r="M25" s="444" t="s">
        <v>699</v>
      </c>
      <c r="N25" s="445" t="s">
        <v>529</v>
      </c>
      <c r="O25" s="445" t="s">
        <v>189</v>
      </c>
    </row>
    <row r="26" spans="1:15" s="21" customFormat="1" ht="12">
      <c r="A26" s="20" t="s">
        <v>0</v>
      </c>
      <c r="B26" s="16"/>
      <c r="C26" s="17"/>
      <c r="D26" s="17"/>
      <c r="E26" s="18">
        <v>1.17</v>
      </c>
      <c r="F26" s="18">
        <v>0.28</v>
      </c>
      <c r="G26" s="17"/>
      <c r="H26" s="17"/>
      <c r="I26" s="387">
        <f t="shared" si="0"/>
        <v>0.28</v>
      </c>
      <c r="J26" s="397">
        <v>0.25</v>
      </c>
      <c r="K26" s="25">
        <f t="shared" si="1"/>
        <v>1.7</v>
      </c>
      <c r="L26" s="25">
        <v>1.98</v>
      </c>
      <c r="M26" s="444" t="s">
        <v>699</v>
      </c>
      <c r="N26" s="445" t="s">
        <v>530</v>
      </c>
      <c r="O26" s="445" t="s">
        <v>189</v>
      </c>
    </row>
    <row r="27" spans="1:15" s="21" customFormat="1" ht="12">
      <c r="A27" s="20" t="s">
        <v>71</v>
      </c>
      <c r="B27" s="16"/>
      <c r="C27" s="17"/>
      <c r="D27" s="17"/>
      <c r="E27" s="18">
        <v>0.5</v>
      </c>
      <c r="F27" s="18">
        <v>0.17</v>
      </c>
      <c r="G27" s="17"/>
      <c r="H27" s="17"/>
      <c r="I27" s="387">
        <f t="shared" si="0"/>
        <v>0.17</v>
      </c>
      <c r="J27" s="397">
        <v>0.15</v>
      </c>
      <c r="K27" s="25">
        <f t="shared" si="1"/>
        <v>0.8200000000000001</v>
      </c>
      <c r="L27" s="25">
        <v>0.96</v>
      </c>
      <c r="M27" s="444" t="s">
        <v>699</v>
      </c>
      <c r="N27" s="445" t="s">
        <v>531</v>
      </c>
      <c r="O27" s="445"/>
    </row>
    <row r="28" spans="1:15" s="21" customFormat="1" ht="12">
      <c r="A28" s="20" t="s">
        <v>198</v>
      </c>
      <c r="B28" s="16"/>
      <c r="C28" s="17"/>
      <c r="D28" s="17"/>
      <c r="E28" s="18">
        <v>0.43</v>
      </c>
      <c r="F28" s="18">
        <v>0.09</v>
      </c>
      <c r="G28" s="17"/>
      <c r="H28" s="17"/>
      <c r="I28" s="387">
        <f t="shared" si="0"/>
        <v>0.09</v>
      </c>
      <c r="J28" s="397">
        <v>0.08</v>
      </c>
      <c r="K28" s="25">
        <f t="shared" si="1"/>
        <v>0.6</v>
      </c>
      <c r="L28" s="25">
        <v>0.7</v>
      </c>
      <c r="M28" s="444" t="s">
        <v>699</v>
      </c>
      <c r="N28" s="445" t="s">
        <v>219</v>
      </c>
      <c r="O28" s="445"/>
    </row>
    <row r="29" spans="1:15" s="37" customFormat="1" ht="12">
      <c r="A29" s="29" t="s">
        <v>199</v>
      </c>
      <c r="B29" s="38"/>
      <c r="C29" s="32"/>
      <c r="D29" s="32"/>
      <c r="E29" s="34">
        <v>0.4</v>
      </c>
      <c r="F29" s="34">
        <v>0.32</v>
      </c>
      <c r="G29" s="32"/>
      <c r="H29" s="32"/>
      <c r="I29" s="388">
        <f t="shared" si="0"/>
        <v>0.32</v>
      </c>
      <c r="J29" s="398">
        <v>0.14</v>
      </c>
      <c r="K29" s="35">
        <f t="shared" si="1"/>
        <v>0.8600000000000001</v>
      </c>
      <c r="L29" s="35">
        <v>1.11</v>
      </c>
      <c r="M29" s="444" t="s">
        <v>699</v>
      </c>
      <c r="N29" s="446" t="s">
        <v>220</v>
      </c>
      <c r="O29" s="446" t="s">
        <v>611</v>
      </c>
    </row>
    <row r="30" spans="1:15" s="37" customFormat="1" ht="12">
      <c r="A30" s="29" t="s">
        <v>210</v>
      </c>
      <c r="B30" s="38"/>
      <c r="C30" s="32"/>
      <c r="D30" s="32"/>
      <c r="E30" s="34">
        <v>0.31</v>
      </c>
      <c r="F30" s="34">
        <v>0.23</v>
      </c>
      <c r="G30" s="32"/>
      <c r="H30" s="32"/>
      <c r="I30" s="388">
        <f t="shared" si="0"/>
        <v>0.23</v>
      </c>
      <c r="J30" s="398">
        <v>0.1</v>
      </c>
      <c r="K30" s="35">
        <f t="shared" si="1"/>
        <v>0.64</v>
      </c>
      <c r="L30" s="35">
        <v>0.8</v>
      </c>
      <c r="M30" s="444" t="s">
        <v>699</v>
      </c>
      <c r="N30" s="446" t="s">
        <v>678</v>
      </c>
      <c r="O30" s="446" t="s">
        <v>611</v>
      </c>
    </row>
    <row r="31" spans="1:15" s="21" customFormat="1" ht="12">
      <c r="A31" s="20" t="s">
        <v>101</v>
      </c>
      <c r="B31" s="16"/>
      <c r="C31" s="17"/>
      <c r="D31" s="17"/>
      <c r="E31" s="18">
        <v>0.7</v>
      </c>
      <c r="F31" s="18">
        <v>0.55</v>
      </c>
      <c r="G31" s="17"/>
      <c r="H31" s="17"/>
      <c r="I31" s="387">
        <f t="shared" si="0"/>
        <v>0.55</v>
      </c>
      <c r="J31" s="397">
        <v>0.49</v>
      </c>
      <c r="K31" s="25">
        <f t="shared" si="1"/>
        <v>1.74</v>
      </c>
      <c r="L31" s="25">
        <v>2.15</v>
      </c>
      <c r="M31" s="444" t="s">
        <v>699</v>
      </c>
      <c r="N31" s="445" t="s">
        <v>679</v>
      </c>
      <c r="O31" s="445"/>
    </row>
    <row r="32" spans="1:15" s="21" customFormat="1" ht="12">
      <c r="A32" s="20" t="s">
        <v>106</v>
      </c>
      <c r="B32" s="16"/>
      <c r="C32" s="17"/>
      <c r="D32" s="17"/>
      <c r="E32" s="18">
        <v>0.7</v>
      </c>
      <c r="F32" s="18">
        <v>0.15</v>
      </c>
      <c r="G32" s="17"/>
      <c r="H32" s="17"/>
      <c r="I32" s="387">
        <f t="shared" si="0"/>
        <v>0.15</v>
      </c>
      <c r="J32" s="397">
        <v>0.14</v>
      </c>
      <c r="K32" s="25">
        <f t="shared" si="1"/>
        <v>0.99</v>
      </c>
      <c r="L32" s="25">
        <v>1.16</v>
      </c>
      <c r="M32" s="444" t="s">
        <v>699</v>
      </c>
      <c r="N32" s="445" t="s">
        <v>680</v>
      </c>
      <c r="O32" s="445"/>
    </row>
    <row r="33" spans="1:15" s="21" customFormat="1" ht="12">
      <c r="A33" s="20" t="s">
        <v>107</v>
      </c>
      <c r="B33" s="16"/>
      <c r="C33" s="17"/>
      <c r="D33" s="17"/>
      <c r="E33" s="18">
        <v>1.4</v>
      </c>
      <c r="F33" s="18">
        <v>0.77</v>
      </c>
      <c r="G33" s="17"/>
      <c r="H33" s="17"/>
      <c r="I33" s="387">
        <f t="shared" si="0"/>
        <v>0.77</v>
      </c>
      <c r="J33" s="397">
        <v>0.68</v>
      </c>
      <c r="K33" s="25">
        <f t="shared" si="1"/>
        <v>2.85</v>
      </c>
      <c r="L33" s="25">
        <v>3.48</v>
      </c>
      <c r="M33" s="444" t="s">
        <v>699</v>
      </c>
      <c r="N33" s="445" t="s">
        <v>681</v>
      </c>
      <c r="O33" s="445"/>
    </row>
    <row r="34" spans="1:15" s="21" customFormat="1" ht="12">
      <c r="A34" s="20" t="s">
        <v>552</v>
      </c>
      <c r="B34" s="16"/>
      <c r="C34" s="17"/>
      <c r="D34" s="17"/>
      <c r="E34" s="18">
        <v>1.4</v>
      </c>
      <c r="F34" s="18">
        <v>0.19</v>
      </c>
      <c r="G34" s="17"/>
      <c r="H34" s="17"/>
      <c r="I34" s="387">
        <f t="shared" si="0"/>
        <v>0.19</v>
      </c>
      <c r="J34" s="397">
        <v>0.17</v>
      </c>
      <c r="K34" s="25">
        <f t="shared" si="1"/>
        <v>1.7599999999999998</v>
      </c>
      <c r="L34" s="25">
        <v>2.03</v>
      </c>
      <c r="M34" s="444" t="s">
        <v>699</v>
      </c>
      <c r="N34" s="445" t="s">
        <v>682</v>
      </c>
      <c r="O34" s="445"/>
    </row>
    <row r="35" spans="1:15" s="21" customFormat="1" ht="12">
      <c r="A35" s="20" t="s">
        <v>790</v>
      </c>
      <c r="B35" s="16"/>
      <c r="C35" s="17"/>
      <c r="D35" s="17"/>
      <c r="E35" s="18">
        <v>1.65</v>
      </c>
      <c r="F35" s="18">
        <v>0.85</v>
      </c>
      <c r="G35" s="17"/>
      <c r="H35" s="17"/>
      <c r="I35" s="387">
        <f t="shared" si="0"/>
        <v>0.85</v>
      </c>
      <c r="J35" s="397">
        <v>0.75</v>
      </c>
      <c r="K35" s="25">
        <f t="shared" si="1"/>
        <v>3.25</v>
      </c>
      <c r="L35" s="25">
        <v>3.97</v>
      </c>
      <c r="M35" s="444" t="s">
        <v>699</v>
      </c>
      <c r="N35" s="445" t="s">
        <v>502</v>
      </c>
      <c r="O35" s="445"/>
    </row>
    <row r="36" spans="1:15" s="21" customFormat="1" ht="12">
      <c r="A36" s="20" t="s">
        <v>791</v>
      </c>
      <c r="B36" s="16"/>
      <c r="C36" s="17"/>
      <c r="D36" s="17"/>
      <c r="E36" s="18">
        <v>1.65</v>
      </c>
      <c r="F36" s="18">
        <v>0.26</v>
      </c>
      <c r="G36" s="17"/>
      <c r="H36" s="17"/>
      <c r="I36" s="387">
        <f t="shared" si="0"/>
        <v>0.26</v>
      </c>
      <c r="J36" s="397">
        <v>0.23</v>
      </c>
      <c r="K36" s="25">
        <f t="shared" si="1"/>
        <v>2.1399999999999997</v>
      </c>
      <c r="L36" s="25">
        <v>2.47</v>
      </c>
      <c r="M36" s="444" t="s">
        <v>699</v>
      </c>
      <c r="N36" s="445" t="s">
        <v>503</v>
      </c>
      <c r="O36" s="445"/>
    </row>
    <row r="37" spans="1:15" s="21" customFormat="1" ht="12">
      <c r="A37" s="20" t="s">
        <v>577</v>
      </c>
      <c r="B37" s="16"/>
      <c r="C37" s="17"/>
      <c r="D37" s="17"/>
      <c r="E37" s="18">
        <v>1.45</v>
      </c>
      <c r="F37" s="18">
        <v>0.64</v>
      </c>
      <c r="G37" s="17"/>
      <c r="H37" s="17"/>
      <c r="I37" s="387">
        <f t="shared" si="0"/>
        <v>0.64</v>
      </c>
      <c r="J37" s="397">
        <v>0.57</v>
      </c>
      <c r="K37" s="25">
        <f t="shared" si="1"/>
        <v>2.66</v>
      </c>
      <c r="L37" s="25">
        <v>3.21</v>
      </c>
      <c r="M37" s="444" t="s">
        <v>699</v>
      </c>
      <c r="N37" s="445" t="s">
        <v>318</v>
      </c>
      <c r="O37" s="445"/>
    </row>
    <row r="38" spans="1:15" s="20" customFormat="1" ht="12">
      <c r="A38" s="20" t="s">
        <v>578</v>
      </c>
      <c r="B38" s="23"/>
      <c r="C38" s="24"/>
      <c r="D38" s="24"/>
      <c r="E38" s="18">
        <v>1.45</v>
      </c>
      <c r="F38" s="28">
        <v>0.19</v>
      </c>
      <c r="G38" s="24"/>
      <c r="H38" s="24"/>
      <c r="I38" s="387">
        <f t="shared" si="0"/>
        <v>0.19</v>
      </c>
      <c r="J38" s="397">
        <v>0.17</v>
      </c>
      <c r="K38" s="25">
        <f t="shared" si="1"/>
        <v>1.81</v>
      </c>
      <c r="L38" s="25">
        <v>2.09</v>
      </c>
      <c r="M38" s="444" t="s">
        <v>699</v>
      </c>
      <c r="N38" s="445" t="s">
        <v>491</v>
      </c>
      <c r="O38" s="445"/>
    </row>
    <row r="39" spans="1:15" s="20" customFormat="1" ht="12">
      <c r="A39" s="20" t="s">
        <v>333</v>
      </c>
      <c r="B39" s="23"/>
      <c r="C39" s="24"/>
      <c r="D39" s="24"/>
      <c r="E39" s="18">
        <v>1.85</v>
      </c>
      <c r="F39" s="28">
        <v>0.64</v>
      </c>
      <c r="G39" s="24"/>
      <c r="H39" s="24"/>
      <c r="I39" s="387">
        <f t="shared" si="0"/>
        <v>0.64</v>
      </c>
      <c r="J39" s="397">
        <v>0.57</v>
      </c>
      <c r="K39" s="25">
        <f t="shared" si="1"/>
        <v>3.06</v>
      </c>
      <c r="L39" s="25">
        <v>3.65</v>
      </c>
      <c r="M39" s="444" t="s">
        <v>699</v>
      </c>
      <c r="N39" s="445" t="s">
        <v>492</v>
      </c>
      <c r="O39" s="445"/>
    </row>
    <row r="40" spans="1:15" s="20" customFormat="1" ht="12">
      <c r="A40" s="20" t="s">
        <v>334</v>
      </c>
      <c r="B40" s="23"/>
      <c r="C40" s="24"/>
      <c r="D40" s="24"/>
      <c r="E40" s="18">
        <v>1.85</v>
      </c>
      <c r="F40" s="28">
        <v>0.2</v>
      </c>
      <c r="G40" s="24"/>
      <c r="H40" s="24"/>
      <c r="I40" s="387">
        <f t="shared" si="0"/>
        <v>0.2</v>
      </c>
      <c r="J40" s="397">
        <v>0.17</v>
      </c>
      <c r="K40" s="25">
        <f t="shared" si="1"/>
        <v>2.22</v>
      </c>
      <c r="L40" s="25">
        <v>2.53</v>
      </c>
      <c r="M40" s="444" t="s">
        <v>699</v>
      </c>
      <c r="N40" s="445" t="s">
        <v>493</v>
      </c>
      <c r="O40" s="445"/>
    </row>
    <row r="41" spans="1:15" s="29" customFormat="1" ht="12">
      <c r="A41" s="29" t="s">
        <v>327</v>
      </c>
      <c r="B41" s="30"/>
      <c r="C41" s="31"/>
      <c r="D41" s="31"/>
      <c r="E41" s="34">
        <v>0.39</v>
      </c>
      <c r="F41" s="33">
        <v>0.17</v>
      </c>
      <c r="G41" s="31"/>
      <c r="H41" s="31"/>
      <c r="I41" s="388">
        <f t="shared" si="0"/>
        <v>0.17</v>
      </c>
      <c r="J41" s="398">
        <v>0.11</v>
      </c>
      <c r="K41" s="35">
        <f t="shared" si="1"/>
        <v>0.67</v>
      </c>
      <c r="L41" s="35">
        <v>0.81</v>
      </c>
      <c r="M41" s="444" t="s">
        <v>699</v>
      </c>
      <c r="N41" s="446" t="s">
        <v>494</v>
      </c>
      <c r="O41" s="446" t="s">
        <v>326</v>
      </c>
    </row>
    <row r="42" spans="1:15" s="29" customFormat="1" ht="12">
      <c r="A42" s="29" t="s">
        <v>212</v>
      </c>
      <c r="B42" s="30"/>
      <c r="C42" s="31"/>
      <c r="D42" s="31"/>
      <c r="E42" s="34">
        <v>0.56</v>
      </c>
      <c r="F42" s="33">
        <v>0.21</v>
      </c>
      <c r="G42" s="31"/>
      <c r="H42" s="31"/>
      <c r="I42" s="388">
        <f t="shared" si="0"/>
        <v>0.21</v>
      </c>
      <c r="J42" s="398">
        <v>0.13</v>
      </c>
      <c r="K42" s="35">
        <f t="shared" si="1"/>
        <v>0.9</v>
      </c>
      <c r="L42" s="35">
        <v>1.09</v>
      </c>
      <c r="M42" s="444" t="s">
        <v>699</v>
      </c>
      <c r="N42" s="446" t="s">
        <v>495</v>
      </c>
      <c r="O42" s="446" t="s">
        <v>326</v>
      </c>
    </row>
    <row r="43" spans="1:15" s="29" customFormat="1" ht="12">
      <c r="A43" s="29" t="s">
        <v>213</v>
      </c>
      <c r="B43" s="30"/>
      <c r="C43" s="31"/>
      <c r="D43" s="31"/>
      <c r="E43" s="34">
        <v>0.76</v>
      </c>
      <c r="F43" s="33">
        <v>0.24</v>
      </c>
      <c r="G43" s="31"/>
      <c r="H43" s="31"/>
      <c r="I43" s="388">
        <f t="shared" si="0"/>
        <v>0.24</v>
      </c>
      <c r="J43" s="398">
        <v>0.14</v>
      </c>
      <c r="K43" s="35">
        <f t="shared" si="1"/>
        <v>1.1400000000000001</v>
      </c>
      <c r="L43" s="35">
        <v>1.36</v>
      </c>
      <c r="M43" s="444" t="s">
        <v>699</v>
      </c>
      <c r="N43" s="446" t="s">
        <v>338</v>
      </c>
      <c r="O43" s="446" t="s">
        <v>326</v>
      </c>
    </row>
    <row r="44" spans="1:15" s="29" customFormat="1" ht="12">
      <c r="A44" s="29" t="s">
        <v>429</v>
      </c>
      <c r="B44" s="30"/>
      <c r="C44" s="31"/>
      <c r="D44" s="31"/>
      <c r="E44" s="34">
        <v>3</v>
      </c>
      <c r="F44" s="33">
        <v>2.47</v>
      </c>
      <c r="G44" s="31"/>
      <c r="H44" s="31"/>
      <c r="I44" s="388">
        <f t="shared" si="0"/>
        <v>2.47</v>
      </c>
      <c r="J44" s="398">
        <v>1.18</v>
      </c>
      <c r="K44" s="35">
        <f t="shared" si="1"/>
        <v>6.65</v>
      </c>
      <c r="L44" s="35">
        <v>8.45</v>
      </c>
      <c r="M44" s="444" t="s">
        <v>699</v>
      </c>
      <c r="N44" s="446" t="s">
        <v>616</v>
      </c>
      <c r="O44" s="446" t="s">
        <v>280</v>
      </c>
    </row>
    <row r="45" spans="2:15" s="29" customFormat="1" ht="12">
      <c r="B45" s="30"/>
      <c r="C45" s="31"/>
      <c r="D45" s="31"/>
      <c r="E45" s="34"/>
      <c r="F45" s="33"/>
      <c r="G45" s="31"/>
      <c r="H45" s="31"/>
      <c r="I45" s="388"/>
      <c r="J45" s="398"/>
      <c r="K45" s="35"/>
      <c r="L45" s="25">
        <f>L44/33</f>
        <v>0.25606060606060604</v>
      </c>
      <c r="M45" s="451" t="s">
        <v>471</v>
      </c>
      <c r="N45" s="446"/>
      <c r="O45" s="446"/>
    </row>
    <row r="46" spans="2:15" s="29" customFormat="1" ht="12">
      <c r="B46" s="30"/>
      <c r="C46" s="31"/>
      <c r="D46" s="31"/>
      <c r="E46" s="34"/>
      <c r="F46" s="33"/>
      <c r="G46" s="31"/>
      <c r="H46" s="31"/>
      <c r="I46" s="388"/>
      <c r="J46" s="398"/>
      <c r="K46" s="35"/>
      <c r="L46" s="25"/>
      <c r="M46" s="451"/>
      <c r="N46" s="446"/>
      <c r="O46" s="446"/>
    </row>
    <row r="47" spans="1:15" s="29" customFormat="1" ht="12">
      <c r="A47" s="15" t="s">
        <v>548</v>
      </c>
      <c r="B47" s="30"/>
      <c r="C47" s="31"/>
      <c r="D47" s="31"/>
      <c r="E47" s="34"/>
      <c r="F47" s="33"/>
      <c r="G47" s="31"/>
      <c r="H47" s="31"/>
      <c r="I47" s="388"/>
      <c r="J47" s="398"/>
      <c r="K47" s="35"/>
      <c r="L47" s="35"/>
      <c r="M47" s="445" t="s">
        <v>59</v>
      </c>
      <c r="N47" s="446"/>
      <c r="O47" s="446"/>
    </row>
    <row r="48" spans="1:15" s="20" customFormat="1" ht="12">
      <c r="A48" s="20" t="s">
        <v>689</v>
      </c>
      <c r="B48" s="23"/>
      <c r="C48" s="24"/>
      <c r="D48" s="24"/>
      <c r="E48" s="18"/>
      <c r="F48" s="28"/>
      <c r="G48" s="24"/>
      <c r="H48" s="24"/>
      <c r="I48" s="387"/>
      <c r="J48" s="397"/>
      <c r="K48" s="25"/>
      <c r="L48" s="25">
        <v>0.42</v>
      </c>
      <c r="M48" s="445" t="s">
        <v>554</v>
      </c>
      <c r="N48" s="445"/>
      <c r="O48" s="445"/>
    </row>
    <row r="49" spans="1:15" s="20" customFormat="1" ht="12">
      <c r="A49" s="20" t="s">
        <v>544</v>
      </c>
      <c r="B49" s="23"/>
      <c r="C49" s="24"/>
      <c r="D49" s="24"/>
      <c r="E49" s="18"/>
      <c r="F49" s="28"/>
      <c r="G49" s="24"/>
      <c r="H49" s="24"/>
      <c r="I49" s="387"/>
      <c r="J49" s="397"/>
      <c r="K49" s="25"/>
      <c r="L49" s="25">
        <v>0.51</v>
      </c>
      <c r="M49" s="445" t="s">
        <v>554</v>
      </c>
      <c r="N49" s="445"/>
      <c r="O49" s="445"/>
    </row>
    <row r="50" spans="1:15" s="20" customFormat="1" ht="12">
      <c r="A50" s="20" t="s">
        <v>551</v>
      </c>
      <c r="B50" s="23"/>
      <c r="C50" s="24"/>
      <c r="D50" s="24"/>
      <c r="E50" s="18"/>
      <c r="F50" s="28"/>
      <c r="G50" s="24"/>
      <c r="H50" s="24"/>
      <c r="I50" s="387"/>
      <c r="J50" s="397"/>
      <c r="K50" s="25"/>
      <c r="L50" s="25">
        <v>0.92</v>
      </c>
      <c r="M50" s="445" t="s">
        <v>554</v>
      </c>
      <c r="N50" s="445"/>
      <c r="O50" s="445"/>
    </row>
    <row r="51" spans="1:15" s="20" customFormat="1" ht="12">
      <c r="A51" s="20" t="s">
        <v>598</v>
      </c>
      <c r="B51" s="23"/>
      <c r="C51" s="24"/>
      <c r="D51" s="24"/>
      <c r="E51" s="18"/>
      <c r="F51" s="28"/>
      <c r="G51" s="24"/>
      <c r="H51" s="24"/>
      <c r="I51" s="387"/>
      <c r="J51" s="397"/>
      <c r="K51" s="25"/>
      <c r="L51" s="25">
        <v>1.25</v>
      </c>
      <c r="M51" s="445" t="s">
        <v>554</v>
      </c>
      <c r="N51" s="445"/>
      <c r="O51" s="445"/>
    </row>
    <row r="52" spans="1:15" s="20" customFormat="1" ht="12">
      <c r="A52" s="20" t="s">
        <v>186</v>
      </c>
      <c r="B52" s="23"/>
      <c r="C52" s="24"/>
      <c r="D52" s="24"/>
      <c r="E52" s="18"/>
      <c r="F52" s="28"/>
      <c r="G52" s="24"/>
      <c r="H52" s="24"/>
      <c r="I52" s="387"/>
      <c r="J52" s="397"/>
      <c r="K52" s="25"/>
      <c r="L52" s="25">
        <v>1</v>
      </c>
      <c r="M52" s="445" t="s">
        <v>554</v>
      </c>
      <c r="N52" s="445"/>
      <c r="O52" s="445"/>
    </row>
    <row r="53" spans="1:15" s="20" customFormat="1" ht="12">
      <c r="A53" s="20" t="s">
        <v>190</v>
      </c>
      <c r="B53" s="23"/>
      <c r="C53" s="24"/>
      <c r="D53" s="24"/>
      <c r="E53" s="18"/>
      <c r="F53" s="28"/>
      <c r="G53" s="24"/>
      <c r="H53" s="24"/>
      <c r="I53" s="387"/>
      <c r="J53" s="397"/>
      <c r="K53" s="25"/>
      <c r="L53" s="25">
        <v>0.6</v>
      </c>
      <c r="M53" s="445" t="s">
        <v>554</v>
      </c>
      <c r="N53" s="445"/>
      <c r="O53" s="445"/>
    </row>
    <row r="54" spans="1:15" s="20" customFormat="1" ht="12">
      <c r="A54" s="20" t="s">
        <v>191</v>
      </c>
      <c r="B54" s="23"/>
      <c r="C54" s="24"/>
      <c r="D54" s="24"/>
      <c r="E54" s="18"/>
      <c r="F54" s="28"/>
      <c r="G54" s="24"/>
      <c r="H54" s="24"/>
      <c r="I54" s="387"/>
      <c r="J54" s="397"/>
      <c r="K54" s="25"/>
      <c r="L54" s="25">
        <v>0.22</v>
      </c>
      <c r="M54" s="445" t="s">
        <v>554</v>
      </c>
      <c r="N54" s="445"/>
      <c r="O54" s="445"/>
    </row>
    <row r="55" spans="1:15" s="20" customFormat="1" ht="12">
      <c r="A55" s="20" t="s">
        <v>192</v>
      </c>
      <c r="B55" s="23"/>
      <c r="C55" s="24"/>
      <c r="D55" s="24"/>
      <c r="E55" s="18"/>
      <c r="F55" s="28"/>
      <c r="G55" s="24"/>
      <c r="H55" s="24"/>
      <c r="I55" s="387"/>
      <c r="J55" s="397"/>
      <c r="K55" s="25"/>
      <c r="L55" s="25">
        <v>5</v>
      </c>
      <c r="M55" s="445" t="s">
        <v>554</v>
      </c>
      <c r="N55" s="445"/>
      <c r="O55" s="445"/>
    </row>
    <row r="56" spans="1:15" s="20" customFormat="1" ht="12">
      <c r="A56" s="20" t="s">
        <v>193</v>
      </c>
      <c r="B56" s="23"/>
      <c r="C56" s="24"/>
      <c r="D56" s="24"/>
      <c r="E56" s="18"/>
      <c r="F56" s="28"/>
      <c r="G56" s="24"/>
      <c r="H56" s="24"/>
      <c r="I56" s="387"/>
      <c r="J56" s="397"/>
      <c r="K56" s="25"/>
      <c r="L56" s="25">
        <v>19.16</v>
      </c>
      <c r="M56" s="445" t="s">
        <v>554</v>
      </c>
      <c r="N56" s="445"/>
      <c r="O56" s="445"/>
    </row>
    <row r="57" spans="1:15" s="20" customFormat="1" ht="12">
      <c r="A57" s="20" t="s">
        <v>358</v>
      </c>
      <c r="B57" s="23"/>
      <c r="C57" s="24"/>
      <c r="D57" s="24"/>
      <c r="E57" s="18"/>
      <c r="F57" s="28"/>
      <c r="G57" s="24"/>
      <c r="H57" s="24"/>
      <c r="I57" s="387"/>
      <c r="J57" s="397"/>
      <c r="K57" s="25"/>
      <c r="L57" s="25">
        <v>32.67</v>
      </c>
      <c r="M57" s="445" t="s">
        <v>554</v>
      </c>
      <c r="N57" s="445"/>
      <c r="O57" s="445"/>
    </row>
    <row r="58" spans="1:15" s="20" customFormat="1" ht="12">
      <c r="A58" s="20" t="s">
        <v>496</v>
      </c>
      <c r="B58" s="23"/>
      <c r="C58" s="24"/>
      <c r="D58" s="24"/>
      <c r="E58" s="18"/>
      <c r="F58" s="28"/>
      <c r="G58" s="24"/>
      <c r="H58" s="24"/>
      <c r="I58" s="387"/>
      <c r="J58" s="397"/>
      <c r="K58" s="25"/>
      <c r="L58" s="25">
        <v>0.23</v>
      </c>
      <c r="M58" s="445" t="s">
        <v>554</v>
      </c>
      <c r="N58" s="445"/>
      <c r="O58" s="445"/>
    </row>
    <row r="59" spans="1:15" s="20" customFormat="1" ht="12">
      <c r="A59" s="20" t="s">
        <v>497</v>
      </c>
      <c r="B59" s="23"/>
      <c r="C59" s="24"/>
      <c r="D59" s="24"/>
      <c r="E59" s="18"/>
      <c r="F59" s="28"/>
      <c r="G59" s="24"/>
      <c r="H59" s="24"/>
      <c r="I59" s="387"/>
      <c r="J59" s="397"/>
      <c r="K59" s="25"/>
      <c r="L59" s="25">
        <v>0.6</v>
      </c>
      <c r="M59" s="445" t="s">
        <v>554</v>
      </c>
      <c r="N59" s="445"/>
      <c r="O59" s="445"/>
    </row>
    <row r="60" spans="1:15" s="20" customFormat="1" ht="12">
      <c r="A60" s="20" t="s">
        <v>498</v>
      </c>
      <c r="B60" s="23"/>
      <c r="C60" s="24"/>
      <c r="D60" s="24"/>
      <c r="E60" s="18"/>
      <c r="F60" s="28"/>
      <c r="G60" s="24"/>
      <c r="H60" s="24"/>
      <c r="I60" s="387"/>
      <c r="J60" s="397"/>
      <c r="K60" s="25"/>
      <c r="L60" s="25">
        <v>1.41</v>
      </c>
      <c r="M60" s="445" t="s">
        <v>554</v>
      </c>
      <c r="N60" s="445"/>
      <c r="O60" s="445"/>
    </row>
    <row r="61" spans="1:15" s="20" customFormat="1" ht="12">
      <c r="A61" s="20" t="s">
        <v>677</v>
      </c>
      <c r="B61" s="23"/>
      <c r="C61" s="24"/>
      <c r="D61" s="24"/>
      <c r="E61" s="18"/>
      <c r="F61" s="28"/>
      <c r="G61" s="24"/>
      <c r="H61" s="24"/>
      <c r="I61" s="387"/>
      <c r="J61" s="397"/>
      <c r="K61" s="25"/>
      <c r="L61" s="25">
        <v>5.68</v>
      </c>
      <c r="M61" s="445" t="s">
        <v>554</v>
      </c>
      <c r="N61" s="445"/>
      <c r="O61" s="445"/>
    </row>
    <row r="62" spans="2:15" s="20" customFormat="1" ht="12">
      <c r="B62" s="23"/>
      <c r="C62" s="24"/>
      <c r="D62" s="24"/>
      <c r="E62" s="18"/>
      <c r="F62" s="28"/>
      <c r="G62" s="24"/>
      <c r="H62" s="24"/>
      <c r="I62" s="387"/>
      <c r="J62" s="397"/>
      <c r="K62" s="25"/>
      <c r="L62" s="25"/>
      <c r="M62" s="445"/>
      <c r="N62" s="445"/>
      <c r="O62" s="445"/>
    </row>
    <row r="63" spans="1:15" s="20" customFormat="1" ht="12">
      <c r="A63" s="22" t="s">
        <v>305</v>
      </c>
      <c r="B63" s="23"/>
      <c r="C63" s="24"/>
      <c r="D63" s="24"/>
      <c r="E63" s="18"/>
      <c r="F63" s="28"/>
      <c r="G63" s="24"/>
      <c r="H63" s="24"/>
      <c r="I63" s="387"/>
      <c r="J63" s="397"/>
      <c r="K63" s="25"/>
      <c r="L63" s="25"/>
      <c r="M63" s="445" t="s">
        <v>257</v>
      </c>
      <c r="N63" s="445"/>
      <c r="O63" s="445"/>
    </row>
    <row r="64" spans="1:15" s="29" customFormat="1" ht="12">
      <c r="A64" s="29" t="s">
        <v>306</v>
      </c>
      <c r="B64" s="30"/>
      <c r="C64" s="31"/>
      <c r="D64" s="31"/>
      <c r="E64" s="34"/>
      <c r="F64" s="33"/>
      <c r="G64" s="31"/>
      <c r="H64" s="31"/>
      <c r="I64" s="388"/>
      <c r="J64" s="398"/>
      <c r="K64" s="35"/>
      <c r="L64" s="35">
        <v>1.97</v>
      </c>
      <c r="M64" s="446" t="s">
        <v>131</v>
      </c>
      <c r="N64" s="452"/>
      <c r="O64" s="446"/>
    </row>
    <row r="65" spans="1:15" s="20" customFormat="1" ht="12">
      <c r="A65" s="20" t="s">
        <v>130</v>
      </c>
      <c r="B65" s="23"/>
      <c r="C65" s="24"/>
      <c r="D65" s="24"/>
      <c r="E65" s="18"/>
      <c r="F65" s="28"/>
      <c r="G65" s="24"/>
      <c r="H65" s="24"/>
      <c r="I65" s="387"/>
      <c r="J65" s="397"/>
      <c r="K65" s="25"/>
      <c r="L65" s="25">
        <f>0.1*9</f>
        <v>0.9</v>
      </c>
      <c r="M65" s="445"/>
      <c r="N65" s="445"/>
      <c r="O65" s="445"/>
    </row>
    <row r="66" spans="1:15" s="29" customFormat="1" ht="12">
      <c r="A66" s="29" t="s">
        <v>348</v>
      </c>
      <c r="B66" s="30"/>
      <c r="C66" s="31"/>
      <c r="D66" s="31"/>
      <c r="E66" s="34"/>
      <c r="F66" s="33"/>
      <c r="G66" s="31"/>
      <c r="H66" s="31"/>
      <c r="I66" s="388"/>
      <c r="J66" s="398"/>
      <c r="K66" s="35"/>
      <c r="L66" s="35">
        <v>25</v>
      </c>
      <c r="M66" s="446" t="s">
        <v>178</v>
      </c>
      <c r="N66" s="446"/>
      <c r="O66" s="446"/>
    </row>
    <row r="67" spans="1:15" s="29" customFormat="1" ht="12">
      <c r="A67" s="20"/>
      <c r="B67" s="30"/>
      <c r="C67" s="31"/>
      <c r="D67" s="31"/>
      <c r="E67" s="34"/>
      <c r="F67" s="33"/>
      <c r="G67" s="31"/>
      <c r="H67" s="31"/>
      <c r="I67" s="388"/>
      <c r="J67" s="398"/>
      <c r="K67" s="35"/>
      <c r="L67" s="35"/>
      <c r="M67" s="446"/>
      <c r="N67" s="446"/>
      <c r="O67" s="446"/>
    </row>
    <row r="68" spans="1:15" s="20" customFormat="1" ht="12">
      <c r="A68" s="22" t="s">
        <v>179</v>
      </c>
      <c r="B68" s="23"/>
      <c r="C68" s="24"/>
      <c r="D68" s="24"/>
      <c r="E68" s="18"/>
      <c r="F68" s="28"/>
      <c r="G68" s="24"/>
      <c r="H68" s="24"/>
      <c r="I68" s="387"/>
      <c r="J68" s="397"/>
      <c r="K68" s="25"/>
      <c r="L68" s="25"/>
      <c r="M68" s="445" t="s">
        <v>180</v>
      </c>
      <c r="N68" s="445"/>
      <c r="O68" s="445"/>
    </row>
    <row r="69" spans="1:15" s="29" customFormat="1" ht="12">
      <c r="A69" s="29" t="s">
        <v>306</v>
      </c>
      <c r="B69" s="30"/>
      <c r="C69" s="31"/>
      <c r="D69" s="31"/>
      <c r="E69" s="34"/>
      <c r="F69" s="33"/>
      <c r="G69" s="31"/>
      <c r="H69" s="31"/>
      <c r="I69" s="388"/>
      <c r="J69" s="398"/>
      <c r="K69" s="35"/>
      <c r="L69" s="35">
        <v>1.97</v>
      </c>
      <c r="M69" s="446" t="s">
        <v>131</v>
      </c>
      <c r="N69" s="452"/>
      <c r="O69" s="446"/>
    </row>
    <row r="70" spans="1:15" s="20" customFormat="1" ht="12">
      <c r="A70" s="20" t="s">
        <v>130</v>
      </c>
      <c r="B70" s="23"/>
      <c r="C70" s="24"/>
      <c r="D70" s="24"/>
      <c r="E70" s="18"/>
      <c r="F70" s="28"/>
      <c r="G70" s="24"/>
      <c r="H70" s="24"/>
      <c r="I70" s="387"/>
      <c r="J70" s="397"/>
      <c r="K70" s="25"/>
      <c r="L70" s="25">
        <f>0.08*9</f>
        <v>0.72</v>
      </c>
      <c r="M70" s="445"/>
      <c r="N70" s="445"/>
      <c r="O70" s="445"/>
    </row>
    <row r="71" spans="1:15" s="20" customFormat="1" ht="12">
      <c r="A71" s="20" t="s">
        <v>349</v>
      </c>
      <c r="B71" s="23"/>
      <c r="C71" s="24"/>
      <c r="D71" s="24"/>
      <c r="E71" s="18"/>
      <c r="F71" s="28"/>
      <c r="G71" s="24"/>
      <c r="H71" s="24"/>
      <c r="I71" s="387"/>
      <c r="J71" s="397"/>
      <c r="K71" s="25"/>
      <c r="L71" s="25">
        <f>0.12*9</f>
        <v>1.08</v>
      </c>
      <c r="M71" s="445"/>
      <c r="N71" s="445"/>
      <c r="O71" s="445"/>
    </row>
    <row r="72" spans="1:15" s="20" customFormat="1" ht="12">
      <c r="A72" s="20" t="s">
        <v>181</v>
      </c>
      <c r="B72" s="23"/>
      <c r="C72" s="24"/>
      <c r="D72" s="24"/>
      <c r="E72" s="18"/>
      <c r="F72" s="28"/>
      <c r="G72" s="24"/>
      <c r="H72" s="24"/>
      <c r="I72" s="387"/>
      <c r="J72" s="397"/>
      <c r="K72" s="25"/>
      <c r="L72" s="25">
        <f>0.02*9</f>
        <v>0.18</v>
      </c>
      <c r="M72" s="445"/>
      <c r="N72" s="445"/>
      <c r="O72" s="445"/>
    </row>
    <row r="73" spans="1:15" s="29" customFormat="1" ht="12">
      <c r="A73" s="20"/>
      <c r="B73" s="30"/>
      <c r="C73" s="31"/>
      <c r="D73" s="31"/>
      <c r="E73" s="34"/>
      <c r="F73" s="33"/>
      <c r="G73" s="31"/>
      <c r="H73" s="31"/>
      <c r="I73" s="388"/>
      <c r="J73" s="398"/>
      <c r="K73" s="35"/>
      <c r="L73" s="35"/>
      <c r="M73" s="446"/>
      <c r="N73" s="446"/>
      <c r="O73" s="446"/>
    </row>
    <row r="74" spans="1:15" s="20" customFormat="1" ht="12">
      <c r="A74" s="22" t="s">
        <v>464</v>
      </c>
      <c r="B74" s="23"/>
      <c r="C74" s="24"/>
      <c r="D74" s="24"/>
      <c r="E74" s="18"/>
      <c r="F74" s="28"/>
      <c r="G74" s="24"/>
      <c r="H74" s="24"/>
      <c r="I74" s="387"/>
      <c r="J74" s="397"/>
      <c r="K74" s="25"/>
      <c r="L74" s="25"/>
      <c r="M74" s="445" t="s">
        <v>450</v>
      </c>
      <c r="N74" s="445"/>
      <c r="O74" s="445"/>
    </row>
    <row r="75" spans="1:15" s="20" customFormat="1" ht="12">
      <c r="A75" s="20" t="s">
        <v>130</v>
      </c>
      <c r="B75" s="23"/>
      <c r="C75" s="24"/>
      <c r="D75" s="24"/>
      <c r="E75" s="18"/>
      <c r="F75" s="28"/>
      <c r="G75" s="24"/>
      <c r="H75" s="24"/>
      <c r="I75" s="387"/>
      <c r="J75" s="397"/>
      <c r="K75" s="25"/>
      <c r="L75" s="25">
        <v>0.6</v>
      </c>
      <c r="M75" s="445"/>
      <c r="N75" s="445"/>
      <c r="O75" s="445"/>
    </row>
    <row r="76" spans="1:15" s="29" customFormat="1" ht="12">
      <c r="A76" s="20"/>
      <c r="B76" s="30"/>
      <c r="C76" s="31"/>
      <c r="D76" s="31"/>
      <c r="E76" s="34"/>
      <c r="F76" s="33"/>
      <c r="G76" s="31"/>
      <c r="H76" s="31"/>
      <c r="I76" s="388"/>
      <c r="J76" s="398"/>
      <c r="K76" s="35"/>
      <c r="L76" s="35"/>
      <c r="M76" s="446"/>
      <c r="N76" s="446"/>
      <c r="O76" s="446"/>
    </row>
    <row r="77" spans="1:15" s="60" customFormat="1" ht="12">
      <c r="A77" s="54" t="s">
        <v>143</v>
      </c>
      <c r="B77" s="55"/>
      <c r="C77" s="56"/>
      <c r="D77" s="56"/>
      <c r="E77" s="57"/>
      <c r="F77" s="57"/>
      <c r="G77" s="56"/>
      <c r="H77" s="56"/>
      <c r="I77" s="389"/>
      <c r="J77" s="399"/>
      <c r="K77" s="55"/>
      <c r="L77" s="59"/>
      <c r="M77" s="447"/>
      <c r="N77" s="447"/>
      <c r="O77" s="447"/>
    </row>
    <row r="78" spans="1:15" s="159" customFormat="1" ht="12">
      <c r="A78" s="152" t="s">
        <v>745</v>
      </c>
      <c r="B78" s="153"/>
      <c r="C78" s="154"/>
      <c r="D78" s="154"/>
      <c r="E78" s="156"/>
      <c r="F78" s="156"/>
      <c r="G78" s="154"/>
      <c r="H78" s="154"/>
      <c r="I78" s="390"/>
      <c r="J78" s="400"/>
      <c r="K78" s="153"/>
      <c r="L78" s="158"/>
      <c r="M78" s="448" t="s">
        <v>57</v>
      </c>
      <c r="N78" s="448"/>
      <c r="O78" s="448"/>
    </row>
    <row r="79" spans="1:15" s="165" customFormat="1" ht="12">
      <c r="A79" s="160" t="s">
        <v>695</v>
      </c>
      <c r="B79" s="161"/>
      <c r="C79" s="162"/>
      <c r="D79" s="162"/>
      <c r="E79" s="163">
        <v>0</v>
      </c>
      <c r="F79" s="163">
        <v>0.44</v>
      </c>
      <c r="G79" s="162"/>
      <c r="H79" s="162"/>
      <c r="I79" s="391">
        <f>F79+G79+H79</f>
        <v>0.44</v>
      </c>
      <c r="J79" s="401">
        <v>0.41</v>
      </c>
      <c r="K79" s="164">
        <f>J79+I79+E79</f>
        <v>0.85</v>
      </c>
      <c r="L79" s="164">
        <v>1.12</v>
      </c>
      <c r="M79" s="449" t="s">
        <v>341</v>
      </c>
      <c r="N79" s="449"/>
      <c r="O79" s="449"/>
    </row>
    <row r="80" spans="1:15" s="165" customFormat="1" ht="12">
      <c r="A80" s="160" t="s">
        <v>719</v>
      </c>
      <c r="B80" s="161"/>
      <c r="C80" s="162"/>
      <c r="D80" s="162"/>
      <c r="E80" s="163">
        <v>1.68</v>
      </c>
      <c r="F80" s="163">
        <v>0.26</v>
      </c>
      <c r="G80" s="162"/>
      <c r="H80" s="162"/>
      <c r="I80" s="391">
        <f>F80+G80+H80</f>
        <v>0.26</v>
      </c>
      <c r="J80" s="401">
        <v>0.25</v>
      </c>
      <c r="K80" s="164">
        <f>J80+I80+E80</f>
        <v>2.19</v>
      </c>
      <c r="L80" s="164">
        <v>2.52</v>
      </c>
      <c r="M80" s="449" t="s">
        <v>341</v>
      </c>
      <c r="N80" s="449"/>
      <c r="O80" s="449"/>
    </row>
    <row r="81" spans="1:15" s="165" customFormat="1" ht="12">
      <c r="A81" s="160" t="s">
        <v>720</v>
      </c>
      <c r="B81" s="161"/>
      <c r="C81" s="162"/>
      <c r="D81" s="162"/>
      <c r="E81" s="163">
        <v>0</v>
      </c>
      <c r="F81" s="163">
        <v>10.35</v>
      </c>
      <c r="G81" s="162"/>
      <c r="H81" s="162"/>
      <c r="I81" s="391">
        <f>F81+G81+H81</f>
        <v>10.35</v>
      </c>
      <c r="J81" s="401">
        <v>0</v>
      </c>
      <c r="K81" s="164">
        <f>J81+I81+E81</f>
        <v>10.35</v>
      </c>
      <c r="L81" s="164">
        <v>16.5</v>
      </c>
      <c r="M81" s="449" t="s">
        <v>341</v>
      </c>
      <c r="N81" s="449"/>
      <c r="O81" s="449"/>
    </row>
    <row r="82" spans="1:15" s="165" customFormat="1" ht="12">
      <c r="A82" s="160" t="s">
        <v>721</v>
      </c>
      <c r="B82" s="161"/>
      <c r="C82" s="162"/>
      <c r="D82" s="162"/>
      <c r="E82" s="163">
        <v>0</v>
      </c>
      <c r="F82" s="163">
        <v>1.55</v>
      </c>
      <c r="G82" s="162"/>
      <c r="H82" s="162"/>
      <c r="I82" s="391">
        <f>F82+G82+H82</f>
        <v>1.55</v>
      </c>
      <c r="J82" s="401">
        <v>0.6</v>
      </c>
      <c r="K82" s="164">
        <f>J82+I82+E82</f>
        <v>2.15</v>
      </c>
      <c r="L82" s="164">
        <v>3.14</v>
      </c>
      <c r="M82" s="449" t="s">
        <v>341</v>
      </c>
      <c r="N82" s="449"/>
      <c r="O82" s="449"/>
    </row>
    <row r="83" spans="1:15" s="159" customFormat="1" ht="12">
      <c r="A83" s="166"/>
      <c r="B83" s="167"/>
      <c r="C83" s="155"/>
      <c r="D83" s="155"/>
      <c r="E83" s="156"/>
      <c r="F83" s="156"/>
      <c r="G83" s="155"/>
      <c r="H83" s="155"/>
      <c r="I83" s="394"/>
      <c r="J83" s="402"/>
      <c r="K83" s="167"/>
      <c r="L83" s="158"/>
      <c r="M83" s="448"/>
      <c r="N83" s="448"/>
      <c r="O83" s="448"/>
    </row>
    <row r="84" spans="1:15" s="21" customFormat="1" ht="12">
      <c r="A84" s="22" t="s">
        <v>308</v>
      </c>
      <c r="B84" s="16"/>
      <c r="C84" s="17"/>
      <c r="D84" s="17"/>
      <c r="E84" s="18"/>
      <c r="F84" s="18"/>
      <c r="G84" s="17"/>
      <c r="H84" s="17"/>
      <c r="I84" s="387"/>
      <c r="J84" s="397"/>
      <c r="K84" s="16"/>
      <c r="L84" s="25"/>
      <c r="M84" s="445" t="s">
        <v>484</v>
      </c>
      <c r="N84" s="445"/>
      <c r="O84" s="445"/>
    </row>
    <row r="85" spans="1:15" s="21" customFormat="1" ht="12">
      <c r="A85" s="20" t="s">
        <v>486</v>
      </c>
      <c r="B85" s="282"/>
      <c r="C85" s="283"/>
      <c r="D85" s="283"/>
      <c r="E85" s="284"/>
      <c r="F85" s="284"/>
      <c r="G85" s="283"/>
      <c r="H85" s="283"/>
      <c r="I85" s="392"/>
      <c r="J85" s="403"/>
      <c r="K85" s="282"/>
      <c r="L85" s="25">
        <v>1.4</v>
      </c>
      <c r="M85" s="445"/>
      <c r="N85" s="445"/>
      <c r="O85" s="445"/>
    </row>
    <row r="86" spans="1:15" s="21" customFormat="1" ht="12">
      <c r="A86" s="20"/>
      <c r="B86" s="282"/>
      <c r="C86" s="283"/>
      <c r="D86" s="283"/>
      <c r="E86" s="284"/>
      <c r="F86" s="284"/>
      <c r="G86" s="283"/>
      <c r="H86" s="283"/>
      <c r="I86" s="392"/>
      <c r="J86" s="403"/>
      <c r="K86" s="282"/>
      <c r="L86" s="25"/>
      <c r="M86" s="445"/>
      <c r="N86" s="445"/>
      <c r="O86" s="445"/>
    </row>
    <row r="87" spans="1:15" s="21" customFormat="1" ht="12">
      <c r="A87" s="22" t="s">
        <v>515</v>
      </c>
      <c r="B87" s="282"/>
      <c r="C87" s="283"/>
      <c r="D87" s="283"/>
      <c r="E87" s="284"/>
      <c r="F87" s="284"/>
      <c r="G87" s="283"/>
      <c r="H87" s="283"/>
      <c r="I87" s="392"/>
      <c r="J87" s="403"/>
      <c r="K87" s="282"/>
      <c r="L87" s="25"/>
      <c r="M87" s="445" t="s">
        <v>764</v>
      </c>
      <c r="N87" s="445"/>
      <c r="O87" s="445"/>
    </row>
    <row r="88" spans="1:15" s="21" customFormat="1" ht="12">
      <c r="A88" s="20" t="s">
        <v>762</v>
      </c>
      <c r="B88" s="282"/>
      <c r="C88" s="283"/>
      <c r="D88" s="283"/>
      <c r="E88" s="52">
        <f>E20*2</f>
        <v>1.2</v>
      </c>
      <c r="F88" s="18">
        <v>0.14</v>
      </c>
      <c r="G88" s="17"/>
      <c r="H88" s="17"/>
      <c r="I88" s="387">
        <f>F88+G88+H88</f>
        <v>0.14</v>
      </c>
      <c r="J88" s="397">
        <v>0.25</v>
      </c>
      <c r="K88" s="25">
        <f>J88+I88+E88</f>
        <v>1.5899999999999999</v>
      </c>
      <c r="L88" s="25">
        <f>K88*1.2</f>
        <v>1.9079999999999997</v>
      </c>
      <c r="M88" s="445" t="s">
        <v>221</v>
      </c>
      <c r="N88" s="445"/>
      <c r="O88" s="445"/>
    </row>
    <row r="89" spans="1:15" s="21" customFormat="1" ht="12">
      <c r="A89" s="20"/>
      <c r="B89" s="282"/>
      <c r="C89" s="283"/>
      <c r="D89" s="283"/>
      <c r="E89" s="284"/>
      <c r="F89" s="284"/>
      <c r="G89" s="283"/>
      <c r="H89" s="283"/>
      <c r="I89" s="392"/>
      <c r="J89" s="403"/>
      <c r="K89" s="282"/>
      <c r="L89" s="25"/>
      <c r="M89" s="453"/>
      <c r="N89" s="445"/>
      <c r="O89" s="445"/>
    </row>
    <row r="90" spans="1:15" s="21" customFormat="1" ht="12">
      <c r="A90" s="22" t="s">
        <v>516</v>
      </c>
      <c r="B90" s="282"/>
      <c r="C90" s="283"/>
      <c r="D90" s="283"/>
      <c r="E90" s="284"/>
      <c r="F90" s="284"/>
      <c r="G90" s="283"/>
      <c r="H90" s="283"/>
      <c r="I90" s="392"/>
      <c r="J90" s="403"/>
      <c r="K90" s="282"/>
      <c r="L90" s="25"/>
      <c r="M90" s="445" t="s">
        <v>761</v>
      </c>
      <c r="N90" s="445"/>
      <c r="O90" s="445"/>
    </row>
    <row r="91" spans="1:15" s="37" customFormat="1" ht="12">
      <c r="A91" s="29" t="s">
        <v>763</v>
      </c>
      <c r="B91" s="285"/>
      <c r="C91" s="286"/>
      <c r="D91" s="286"/>
      <c r="E91" s="287"/>
      <c r="F91" s="287"/>
      <c r="G91" s="286"/>
      <c r="H91" s="286"/>
      <c r="I91" s="395"/>
      <c r="J91" s="404"/>
      <c r="K91" s="285"/>
      <c r="L91" s="35">
        <v>0.35</v>
      </c>
      <c r="M91" s="446" t="s">
        <v>765</v>
      </c>
      <c r="N91" s="446"/>
      <c r="O91" s="446"/>
    </row>
    <row r="92" spans="2:15" s="21" customFormat="1" ht="12">
      <c r="B92" s="282"/>
      <c r="C92" s="283"/>
      <c r="D92" s="283"/>
      <c r="E92" s="284"/>
      <c r="F92" s="284"/>
      <c r="G92" s="283"/>
      <c r="H92" s="283"/>
      <c r="I92" s="392"/>
      <c r="J92" s="403"/>
      <c r="K92" s="282"/>
      <c r="L92" s="25">
        <f>L91*9+L14</f>
        <v>4.109999999999999</v>
      </c>
      <c r="M92" s="445"/>
      <c r="N92" s="445"/>
      <c r="O92" s="445"/>
    </row>
    <row r="93" ht="12"/>
    <row r="94" ht="12">
      <c r="A94" s="14"/>
    </row>
    <row r="95" ht="12">
      <c r="A95" s="14"/>
    </row>
  </sheetData>
  <mergeCells count="5">
    <mergeCell ref="E1:E3"/>
    <mergeCell ref="I1:I3"/>
    <mergeCell ref="J1:J3"/>
    <mergeCell ref="L1:L3"/>
    <mergeCell ref="K1:K3"/>
  </mergeCells>
  <printOptions/>
  <pageMargins left="0.75" right="0.75" top="1" bottom="1" header="0.5" footer="0.5"/>
  <pageSetup fitToHeight="0" fitToWidth="1" orientation="landscape" scale="70" r:id="rId3"/>
  <headerFooter alignWithMargins="0">
    <oddFooter>&amp;CPage I-&amp;P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9"/>
  <sheetViews>
    <sheetView zoomScale="125" zoomScaleNormal="125" workbookViewId="0" topLeftCell="A1">
      <pane xSplit="1" ySplit="1" topLeftCell="B2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6" sqref="A46"/>
    </sheetView>
  </sheetViews>
  <sheetFormatPr defaultColWidth="9.00390625" defaultRowHeight="12"/>
  <cols>
    <col min="1" max="1" width="22.75390625" style="14" customWidth="1"/>
    <col min="2" max="16" width="12.75390625" style="64" customWidth="1"/>
    <col min="17" max="16384" width="10.875" style="14" customWidth="1"/>
  </cols>
  <sheetData>
    <row r="1" spans="1:16" s="67" customFormat="1" ht="25.5" customHeight="1" thickBot="1">
      <c r="A1" s="69" t="s">
        <v>77</v>
      </c>
      <c r="B1" s="66" t="s">
        <v>602</v>
      </c>
      <c r="C1" s="66" t="s">
        <v>605</v>
      </c>
      <c r="D1" s="66" t="s">
        <v>605</v>
      </c>
      <c r="E1" s="66" t="s">
        <v>608</v>
      </c>
      <c r="F1" s="66" t="s">
        <v>298</v>
      </c>
      <c r="G1" s="66" t="s">
        <v>603</v>
      </c>
      <c r="H1" s="66" t="s">
        <v>606</v>
      </c>
      <c r="I1" s="66" t="s">
        <v>606</v>
      </c>
      <c r="J1" s="66" t="s">
        <v>634</v>
      </c>
      <c r="K1" s="66" t="s">
        <v>299</v>
      </c>
      <c r="L1" s="66" t="s">
        <v>604</v>
      </c>
      <c r="M1" s="66" t="s">
        <v>607</v>
      </c>
      <c r="N1" s="66" t="s">
        <v>607</v>
      </c>
      <c r="O1" s="66" t="s">
        <v>635</v>
      </c>
      <c r="P1" s="66" t="s">
        <v>300</v>
      </c>
    </row>
    <row r="2" ht="10.5" thickTop="1">
      <c r="A2" s="62" t="s">
        <v>617</v>
      </c>
    </row>
    <row r="3" spans="1:16" ht="9.75">
      <c r="A3" s="14" t="s">
        <v>254</v>
      </c>
      <c r="B3" s="64">
        <v>30</v>
      </c>
      <c r="C3" s="64">
        <v>30</v>
      </c>
      <c r="D3" s="64">
        <v>30</v>
      </c>
      <c r="E3" s="64">
        <v>30</v>
      </c>
      <c r="F3" s="64">
        <v>30</v>
      </c>
      <c r="G3" s="64">
        <v>24</v>
      </c>
      <c r="H3" s="64">
        <v>24</v>
      </c>
      <c r="I3" s="64">
        <v>24</v>
      </c>
      <c r="J3" s="64">
        <v>24</v>
      </c>
      <c r="K3" s="64">
        <v>24</v>
      </c>
      <c r="L3" s="64">
        <v>14</v>
      </c>
      <c r="M3" s="64">
        <v>14</v>
      </c>
      <c r="N3" s="64">
        <v>14</v>
      </c>
      <c r="O3" s="64">
        <v>14</v>
      </c>
      <c r="P3" s="64">
        <v>14</v>
      </c>
    </row>
    <row r="4" spans="1:16" ht="9.75">
      <c r="A4" s="14" t="s">
        <v>255</v>
      </c>
      <c r="B4" s="64">
        <v>30</v>
      </c>
      <c r="C4" s="64">
        <v>30</v>
      </c>
      <c r="D4" s="64">
        <v>30</v>
      </c>
      <c r="E4" s="64">
        <v>30</v>
      </c>
      <c r="F4" s="64">
        <v>30</v>
      </c>
      <c r="G4" s="64">
        <v>24</v>
      </c>
      <c r="H4" s="64">
        <v>24</v>
      </c>
      <c r="I4" s="64">
        <v>24</v>
      </c>
      <c r="J4" s="64">
        <v>24</v>
      </c>
      <c r="K4" s="64">
        <v>24</v>
      </c>
      <c r="L4" s="64">
        <v>14</v>
      </c>
      <c r="M4" s="64">
        <v>14</v>
      </c>
      <c r="N4" s="64">
        <v>14</v>
      </c>
      <c r="O4" s="64">
        <v>14</v>
      </c>
      <c r="P4" s="64">
        <v>14</v>
      </c>
    </row>
    <row r="5" spans="1:16" ht="9.75">
      <c r="A5" s="14" t="s">
        <v>256</v>
      </c>
      <c r="B5" s="64">
        <v>30</v>
      </c>
      <c r="C5" s="64">
        <v>30</v>
      </c>
      <c r="D5" s="64">
        <v>30</v>
      </c>
      <c r="E5" s="64">
        <v>30</v>
      </c>
      <c r="F5" s="64">
        <v>30</v>
      </c>
      <c r="G5" s="64">
        <v>24</v>
      </c>
      <c r="H5" s="64">
        <v>24</v>
      </c>
      <c r="I5" s="64">
        <v>24</v>
      </c>
      <c r="J5" s="64">
        <v>24</v>
      </c>
      <c r="K5" s="64">
        <v>24</v>
      </c>
      <c r="L5" s="64">
        <v>14</v>
      </c>
      <c r="M5" s="64">
        <v>14</v>
      </c>
      <c r="N5" s="64">
        <v>14</v>
      </c>
      <c r="O5" s="64">
        <v>14</v>
      </c>
      <c r="P5" s="64">
        <v>14</v>
      </c>
    </row>
    <row r="6" spans="1:16" ht="9.75">
      <c r="A6" s="14" t="s">
        <v>599</v>
      </c>
      <c r="B6" s="64">
        <v>30</v>
      </c>
      <c r="C6" s="64">
        <v>30</v>
      </c>
      <c r="D6" s="64">
        <v>30</v>
      </c>
      <c r="E6" s="64">
        <v>30</v>
      </c>
      <c r="F6" s="64">
        <v>30</v>
      </c>
      <c r="G6" s="64">
        <v>24</v>
      </c>
      <c r="H6" s="64">
        <v>24</v>
      </c>
      <c r="I6" s="64">
        <v>24</v>
      </c>
      <c r="J6" s="64">
        <v>24</v>
      </c>
      <c r="K6" s="64">
        <v>24</v>
      </c>
      <c r="L6" s="64">
        <v>14</v>
      </c>
      <c r="M6" s="64">
        <v>14</v>
      </c>
      <c r="N6" s="64">
        <v>14</v>
      </c>
      <c r="O6" s="64">
        <v>14</v>
      </c>
      <c r="P6" s="64">
        <v>14</v>
      </c>
    </row>
    <row r="7" spans="1:16" ht="9">
      <c r="A7" s="14" t="s">
        <v>600</v>
      </c>
      <c r="B7" s="64">
        <v>30</v>
      </c>
      <c r="C7" s="64">
        <v>30</v>
      </c>
      <c r="D7" s="64">
        <v>30</v>
      </c>
      <c r="E7" s="64">
        <v>30</v>
      </c>
      <c r="F7" s="64">
        <v>30</v>
      </c>
      <c r="G7" s="64">
        <v>25</v>
      </c>
      <c r="H7" s="64">
        <v>25</v>
      </c>
      <c r="I7" s="64">
        <v>25</v>
      </c>
      <c r="J7" s="64">
        <v>25</v>
      </c>
      <c r="K7" s="64">
        <v>25</v>
      </c>
      <c r="L7" s="64">
        <v>18</v>
      </c>
      <c r="M7" s="64">
        <v>18</v>
      </c>
      <c r="N7" s="64">
        <v>18</v>
      </c>
      <c r="O7" s="64">
        <v>18</v>
      </c>
      <c r="P7" s="64">
        <v>18</v>
      </c>
    </row>
    <row r="8" spans="1:16" s="63" customFormat="1" ht="9">
      <c r="A8" s="63" t="s">
        <v>601</v>
      </c>
      <c r="B8" s="65">
        <v>30</v>
      </c>
      <c r="C8" s="65">
        <v>30</v>
      </c>
      <c r="D8" s="65">
        <v>30</v>
      </c>
      <c r="E8" s="65">
        <v>30</v>
      </c>
      <c r="F8" s="65">
        <v>30</v>
      </c>
      <c r="G8" s="65">
        <v>25</v>
      </c>
      <c r="H8" s="65">
        <v>25</v>
      </c>
      <c r="I8" s="65">
        <v>25</v>
      </c>
      <c r="J8" s="65">
        <v>25</v>
      </c>
      <c r="K8" s="65">
        <v>25</v>
      </c>
      <c r="L8" s="65">
        <v>18</v>
      </c>
      <c r="M8" s="65">
        <v>18</v>
      </c>
      <c r="N8" s="65">
        <v>18</v>
      </c>
      <c r="O8" s="65">
        <v>18</v>
      </c>
      <c r="P8" s="65">
        <v>18</v>
      </c>
    </row>
    <row r="9" ht="9">
      <c r="A9" s="62" t="s">
        <v>618</v>
      </c>
    </row>
    <row r="10" spans="1:16" ht="9">
      <c r="A10" s="14" t="s">
        <v>254</v>
      </c>
      <c r="B10" s="64">
        <v>22</v>
      </c>
      <c r="C10" s="64">
        <v>22</v>
      </c>
      <c r="D10" s="64">
        <v>19</v>
      </c>
      <c r="E10" s="64">
        <v>14</v>
      </c>
      <c r="F10" s="64">
        <v>13</v>
      </c>
      <c r="G10" s="64">
        <v>18</v>
      </c>
      <c r="H10" s="64">
        <v>18</v>
      </c>
      <c r="I10" s="64">
        <v>15</v>
      </c>
      <c r="J10" s="64">
        <v>11</v>
      </c>
      <c r="K10" s="64">
        <v>10</v>
      </c>
      <c r="L10" s="64">
        <v>12</v>
      </c>
      <c r="M10" s="64">
        <v>12</v>
      </c>
      <c r="N10" s="64">
        <v>9</v>
      </c>
      <c r="O10" s="64">
        <v>7</v>
      </c>
      <c r="P10" s="64">
        <v>6</v>
      </c>
    </row>
    <row r="11" spans="1:16" ht="9">
      <c r="A11" s="14" t="s">
        <v>255</v>
      </c>
      <c r="B11" s="64">
        <v>22</v>
      </c>
      <c r="C11" s="64">
        <v>22</v>
      </c>
      <c r="D11" s="64">
        <v>22</v>
      </c>
      <c r="E11" s="64">
        <v>18</v>
      </c>
      <c r="F11" s="64">
        <v>13</v>
      </c>
      <c r="G11" s="64">
        <v>18</v>
      </c>
      <c r="H11" s="64">
        <v>18</v>
      </c>
      <c r="I11" s="64">
        <v>18</v>
      </c>
      <c r="J11" s="64">
        <v>15</v>
      </c>
      <c r="K11" s="64">
        <v>10</v>
      </c>
      <c r="L11" s="64">
        <v>12</v>
      </c>
      <c r="M11" s="64">
        <v>12</v>
      </c>
      <c r="N11" s="64">
        <v>11</v>
      </c>
      <c r="O11" s="64">
        <v>9</v>
      </c>
      <c r="P11" s="64">
        <v>6</v>
      </c>
    </row>
    <row r="12" spans="1:16" ht="9">
      <c r="A12" s="14" t="s">
        <v>256</v>
      </c>
      <c r="B12" s="64">
        <v>22</v>
      </c>
      <c r="C12" s="64">
        <v>22</v>
      </c>
      <c r="D12" s="64">
        <v>22</v>
      </c>
      <c r="E12" s="64">
        <v>16</v>
      </c>
      <c r="F12" s="64">
        <v>16</v>
      </c>
      <c r="G12" s="64">
        <v>18</v>
      </c>
      <c r="H12" s="64">
        <v>18</v>
      </c>
      <c r="I12" s="64">
        <v>18</v>
      </c>
      <c r="J12" s="64">
        <v>14</v>
      </c>
      <c r="K12" s="64">
        <v>14</v>
      </c>
      <c r="L12" s="64">
        <v>12</v>
      </c>
      <c r="M12" s="64">
        <v>12</v>
      </c>
      <c r="N12" s="64">
        <v>12</v>
      </c>
      <c r="O12" s="64">
        <v>10</v>
      </c>
      <c r="P12" s="64">
        <v>9</v>
      </c>
    </row>
    <row r="13" spans="1:16" ht="9">
      <c r="A13" s="14" t="s">
        <v>599</v>
      </c>
      <c r="B13" s="64">
        <v>22</v>
      </c>
      <c r="C13" s="64">
        <v>22</v>
      </c>
      <c r="D13" s="64">
        <v>22</v>
      </c>
      <c r="E13" s="64">
        <v>18</v>
      </c>
      <c r="F13" s="64">
        <v>14</v>
      </c>
      <c r="G13" s="64">
        <v>18</v>
      </c>
      <c r="H13" s="64">
        <v>18</v>
      </c>
      <c r="I13" s="64">
        <v>18</v>
      </c>
      <c r="J13" s="64">
        <v>15</v>
      </c>
      <c r="K13" s="64">
        <v>11</v>
      </c>
      <c r="L13" s="64">
        <v>12</v>
      </c>
      <c r="M13" s="64">
        <v>12</v>
      </c>
      <c r="N13" s="64">
        <v>12</v>
      </c>
      <c r="O13" s="64">
        <v>9</v>
      </c>
      <c r="P13" s="64">
        <v>7</v>
      </c>
    </row>
    <row r="14" spans="1:16" ht="9">
      <c r="A14" s="14" t="s">
        <v>600</v>
      </c>
      <c r="B14" s="64">
        <v>22</v>
      </c>
      <c r="C14" s="64">
        <v>22</v>
      </c>
      <c r="D14" s="64">
        <v>22</v>
      </c>
      <c r="E14" s="64">
        <v>16</v>
      </c>
      <c r="F14" s="64">
        <v>16</v>
      </c>
      <c r="G14" s="64">
        <v>18</v>
      </c>
      <c r="H14" s="64">
        <v>18</v>
      </c>
      <c r="I14" s="64">
        <v>18</v>
      </c>
      <c r="J14" s="64">
        <v>14</v>
      </c>
      <c r="K14" s="64">
        <v>14</v>
      </c>
      <c r="L14" s="64">
        <v>13</v>
      </c>
      <c r="M14" s="64">
        <v>13</v>
      </c>
      <c r="N14" s="64">
        <v>13</v>
      </c>
      <c r="O14" s="64">
        <v>11</v>
      </c>
      <c r="P14" s="64">
        <v>10</v>
      </c>
    </row>
    <row r="15" spans="1:16" s="63" customFormat="1" ht="9">
      <c r="A15" s="63" t="s">
        <v>601</v>
      </c>
      <c r="B15" s="65">
        <v>22</v>
      </c>
      <c r="C15" s="65">
        <v>22</v>
      </c>
      <c r="D15" s="65">
        <v>22</v>
      </c>
      <c r="E15" s="65">
        <v>18</v>
      </c>
      <c r="F15" s="65">
        <v>16</v>
      </c>
      <c r="G15" s="65">
        <v>18</v>
      </c>
      <c r="H15" s="65">
        <v>18</v>
      </c>
      <c r="I15" s="65">
        <v>18</v>
      </c>
      <c r="J15" s="65">
        <v>15</v>
      </c>
      <c r="K15" s="65">
        <v>14</v>
      </c>
      <c r="L15" s="65">
        <v>13</v>
      </c>
      <c r="M15" s="65">
        <v>13</v>
      </c>
      <c r="N15" s="65">
        <v>13</v>
      </c>
      <c r="O15" s="65">
        <v>11</v>
      </c>
      <c r="P15" s="65">
        <v>10</v>
      </c>
    </row>
    <row r="16" ht="9">
      <c r="A16" s="62" t="s">
        <v>619</v>
      </c>
    </row>
    <row r="17" spans="1:16" ht="9">
      <c r="A17" s="14" t="s">
        <v>254</v>
      </c>
      <c r="B17" s="64">
        <v>20</v>
      </c>
      <c r="C17" s="64">
        <v>20</v>
      </c>
      <c r="D17" s="64">
        <v>19</v>
      </c>
      <c r="E17" s="64">
        <v>14</v>
      </c>
      <c r="F17" s="64">
        <v>9</v>
      </c>
      <c r="G17" s="64">
        <v>17</v>
      </c>
      <c r="H17" s="64">
        <v>17</v>
      </c>
      <c r="I17" s="64">
        <v>15</v>
      </c>
      <c r="J17" s="64">
        <v>11</v>
      </c>
      <c r="K17" s="64">
        <v>7</v>
      </c>
      <c r="L17" s="64">
        <v>11</v>
      </c>
      <c r="M17" s="64">
        <v>11</v>
      </c>
      <c r="N17" s="64">
        <v>9</v>
      </c>
      <c r="O17" s="64">
        <v>7</v>
      </c>
      <c r="P17" s="64">
        <v>4</v>
      </c>
    </row>
    <row r="18" spans="1:16" ht="9">
      <c r="A18" s="14" t="s">
        <v>255</v>
      </c>
      <c r="B18" s="64">
        <v>20</v>
      </c>
      <c r="C18" s="64">
        <v>20</v>
      </c>
      <c r="D18" s="64">
        <v>20</v>
      </c>
      <c r="E18" s="64">
        <v>16</v>
      </c>
      <c r="F18" s="64">
        <v>11</v>
      </c>
      <c r="G18" s="64">
        <v>17</v>
      </c>
      <c r="H18" s="64">
        <v>17</v>
      </c>
      <c r="I18" s="64">
        <v>16</v>
      </c>
      <c r="J18" s="64">
        <v>12</v>
      </c>
      <c r="K18" s="64">
        <v>8</v>
      </c>
      <c r="L18" s="64">
        <v>11</v>
      </c>
      <c r="M18" s="64">
        <v>11</v>
      </c>
      <c r="N18" s="64">
        <v>10</v>
      </c>
      <c r="O18" s="64">
        <v>8</v>
      </c>
      <c r="P18" s="64">
        <v>5</v>
      </c>
    </row>
    <row r="19" spans="1:16" ht="9">
      <c r="A19" s="14" t="s">
        <v>256</v>
      </c>
      <c r="B19" s="64">
        <v>20</v>
      </c>
      <c r="C19" s="64">
        <v>20</v>
      </c>
      <c r="D19" s="64">
        <v>19</v>
      </c>
      <c r="E19" s="64">
        <v>16</v>
      </c>
      <c r="F19" s="64">
        <v>12</v>
      </c>
      <c r="G19" s="64">
        <v>17</v>
      </c>
      <c r="H19" s="64">
        <v>17</v>
      </c>
      <c r="I19" s="64">
        <v>16</v>
      </c>
      <c r="J19" s="64">
        <v>14</v>
      </c>
      <c r="K19" s="64">
        <v>10</v>
      </c>
      <c r="L19" s="64">
        <v>11</v>
      </c>
      <c r="M19" s="64">
        <v>11</v>
      </c>
      <c r="N19" s="64">
        <v>10</v>
      </c>
      <c r="O19" s="64">
        <v>8</v>
      </c>
      <c r="P19" s="64">
        <v>6</v>
      </c>
    </row>
    <row r="20" spans="1:16" ht="9">
      <c r="A20" s="14" t="s">
        <v>599</v>
      </c>
      <c r="B20" s="64">
        <v>20</v>
      </c>
      <c r="C20" s="64">
        <v>20</v>
      </c>
      <c r="D20" s="64">
        <v>20</v>
      </c>
      <c r="E20" s="64">
        <v>18</v>
      </c>
      <c r="F20" s="64">
        <v>12</v>
      </c>
      <c r="G20" s="64">
        <v>17</v>
      </c>
      <c r="H20" s="64">
        <v>17</v>
      </c>
      <c r="I20" s="64">
        <v>17</v>
      </c>
      <c r="J20" s="64">
        <v>15</v>
      </c>
      <c r="K20" s="64">
        <v>10</v>
      </c>
      <c r="L20" s="64">
        <v>11</v>
      </c>
      <c r="M20" s="64">
        <v>11</v>
      </c>
      <c r="N20" s="64">
        <v>10</v>
      </c>
      <c r="O20" s="64">
        <v>8</v>
      </c>
      <c r="P20" s="64">
        <v>6</v>
      </c>
    </row>
    <row r="21" spans="1:16" ht="9">
      <c r="A21" s="14" t="s">
        <v>600</v>
      </c>
      <c r="B21" s="64">
        <v>20</v>
      </c>
      <c r="C21" s="64">
        <v>20</v>
      </c>
      <c r="D21" s="64">
        <v>19</v>
      </c>
      <c r="E21" s="64">
        <v>16</v>
      </c>
      <c r="F21" s="64">
        <v>12</v>
      </c>
      <c r="G21" s="64">
        <v>17</v>
      </c>
      <c r="H21" s="64">
        <v>17</v>
      </c>
      <c r="I21" s="64">
        <v>16</v>
      </c>
      <c r="J21" s="64">
        <v>14</v>
      </c>
      <c r="K21" s="64">
        <v>10</v>
      </c>
      <c r="L21" s="64">
        <v>12</v>
      </c>
      <c r="M21" s="64">
        <v>12</v>
      </c>
      <c r="N21" s="64">
        <v>11</v>
      </c>
      <c r="O21" s="64">
        <v>9</v>
      </c>
      <c r="P21" s="64">
        <v>7</v>
      </c>
    </row>
    <row r="22" spans="1:16" s="63" customFormat="1" ht="9">
      <c r="A22" s="63" t="s">
        <v>601</v>
      </c>
      <c r="B22" s="65">
        <v>20</v>
      </c>
      <c r="C22" s="65">
        <v>20</v>
      </c>
      <c r="D22" s="65">
        <v>20</v>
      </c>
      <c r="E22" s="65">
        <v>18</v>
      </c>
      <c r="F22" s="65">
        <v>15</v>
      </c>
      <c r="G22" s="65">
        <v>17</v>
      </c>
      <c r="H22" s="65">
        <v>17</v>
      </c>
      <c r="I22" s="65">
        <v>17</v>
      </c>
      <c r="J22" s="65">
        <v>15</v>
      </c>
      <c r="K22" s="65">
        <v>13</v>
      </c>
      <c r="L22" s="65">
        <v>12</v>
      </c>
      <c r="M22" s="65">
        <v>12</v>
      </c>
      <c r="N22" s="65">
        <v>12</v>
      </c>
      <c r="O22" s="65">
        <v>10</v>
      </c>
      <c r="P22" s="65">
        <v>9</v>
      </c>
    </row>
    <row r="23" ht="9">
      <c r="A23" s="62" t="s">
        <v>620</v>
      </c>
    </row>
    <row r="24" spans="1:16" ht="9">
      <c r="A24" s="14" t="s">
        <v>254</v>
      </c>
      <c r="B24" s="64">
        <v>16</v>
      </c>
      <c r="C24" s="64">
        <v>18</v>
      </c>
      <c r="D24" s="64">
        <v>14</v>
      </c>
      <c r="E24" s="64">
        <v>6</v>
      </c>
      <c r="F24" s="64">
        <v>5</v>
      </c>
      <c r="G24" s="64">
        <v>13</v>
      </c>
      <c r="H24" s="64">
        <v>15</v>
      </c>
      <c r="I24" s="64">
        <v>11</v>
      </c>
      <c r="J24" s="64">
        <v>5</v>
      </c>
      <c r="K24" s="64">
        <v>4</v>
      </c>
      <c r="L24" s="64">
        <v>8</v>
      </c>
      <c r="M24" s="64">
        <v>9</v>
      </c>
      <c r="N24" s="64">
        <v>7</v>
      </c>
      <c r="O24" s="64">
        <v>4</v>
      </c>
      <c r="P24" s="64">
        <v>2</v>
      </c>
    </row>
    <row r="25" spans="1:16" ht="9">
      <c r="A25" s="14" t="s">
        <v>255</v>
      </c>
      <c r="B25" s="64">
        <v>16</v>
      </c>
      <c r="C25" s="64">
        <v>15</v>
      </c>
      <c r="D25" s="64">
        <v>14</v>
      </c>
      <c r="E25" s="64">
        <v>8</v>
      </c>
      <c r="F25" s="64">
        <v>5</v>
      </c>
      <c r="G25" s="64">
        <v>12</v>
      </c>
      <c r="H25" s="64">
        <v>12</v>
      </c>
      <c r="I25" s="64">
        <v>11</v>
      </c>
      <c r="J25" s="64">
        <v>6</v>
      </c>
      <c r="K25" s="64">
        <v>4</v>
      </c>
      <c r="L25" s="64">
        <v>7</v>
      </c>
      <c r="M25" s="64">
        <v>7</v>
      </c>
      <c r="N25" s="64">
        <v>7</v>
      </c>
      <c r="O25" s="64">
        <v>4</v>
      </c>
      <c r="P25" s="64">
        <v>2</v>
      </c>
    </row>
    <row r="26" spans="1:16" ht="9">
      <c r="A26" s="14" t="s">
        <v>256</v>
      </c>
      <c r="B26" s="64">
        <v>16</v>
      </c>
      <c r="C26" s="64">
        <v>18</v>
      </c>
      <c r="D26" s="64">
        <v>18</v>
      </c>
      <c r="E26" s="64">
        <v>9</v>
      </c>
      <c r="F26" s="64">
        <v>5</v>
      </c>
      <c r="G26" s="64">
        <v>13</v>
      </c>
      <c r="H26" s="64">
        <v>15</v>
      </c>
      <c r="I26" s="64">
        <v>15</v>
      </c>
      <c r="J26" s="64">
        <v>7</v>
      </c>
      <c r="K26" s="64">
        <v>5</v>
      </c>
      <c r="L26" s="64">
        <v>8</v>
      </c>
      <c r="M26" s="64">
        <v>9</v>
      </c>
      <c r="N26" s="64">
        <v>9</v>
      </c>
      <c r="O26" s="64">
        <v>5</v>
      </c>
      <c r="P26" s="64">
        <v>3</v>
      </c>
    </row>
    <row r="27" spans="1:16" ht="9">
      <c r="A27" s="14" t="s">
        <v>599</v>
      </c>
      <c r="B27" s="64">
        <v>16</v>
      </c>
      <c r="C27" s="64">
        <v>15</v>
      </c>
      <c r="D27" s="64">
        <v>14</v>
      </c>
      <c r="E27" s="64">
        <v>9</v>
      </c>
      <c r="F27" s="64">
        <v>6</v>
      </c>
      <c r="G27" s="64">
        <v>12</v>
      </c>
      <c r="H27" s="64">
        <v>13</v>
      </c>
      <c r="I27" s="64">
        <v>11</v>
      </c>
      <c r="J27" s="64">
        <v>7</v>
      </c>
      <c r="K27" s="64">
        <v>5</v>
      </c>
      <c r="L27" s="64">
        <v>7</v>
      </c>
      <c r="M27" s="64">
        <v>8</v>
      </c>
      <c r="N27" s="64">
        <v>7</v>
      </c>
      <c r="O27" s="64">
        <v>5</v>
      </c>
      <c r="P27" s="64">
        <v>3</v>
      </c>
    </row>
    <row r="28" spans="1:16" ht="9">
      <c r="A28" s="14" t="s">
        <v>600</v>
      </c>
      <c r="B28" s="64">
        <v>16</v>
      </c>
      <c r="C28" s="64">
        <v>18</v>
      </c>
      <c r="D28" s="64">
        <v>18</v>
      </c>
      <c r="E28" s="64">
        <v>10</v>
      </c>
      <c r="F28" s="64">
        <v>5</v>
      </c>
      <c r="G28" s="64">
        <v>14</v>
      </c>
      <c r="H28" s="64">
        <v>15</v>
      </c>
      <c r="I28" s="64">
        <v>15</v>
      </c>
      <c r="J28" s="64">
        <v>8</v>
      </c>
      <c r="K28" s="64">
        <v>5</v>
      </c>
      <c r="L28" s="64">
        <v>10</v>
      </c>
      <c r="M28" s="64">
        <v>11</v>
      </c>
      <c r="N28" s="64">
        <v>11</v>
      </c>
      <c r="O28" s="64">
        <v>7</v>
      </c>
      <c r="P28" s="64">
        <v>3</v>
      </c>
    </row>
    <row r="29" spans="1:16" s="63" customFormat="1" ht="9">
      <c r="A29" s="63" t="s">
        <v>601</v>
      </c>
      <c r="B29" s="65">
        <v>16</v>
      </c>
      <c r="C29" s="65">
        <v>15</v>
      </c>
      <c r="D29" s="65">
        <v>14</v>
      </c>
      <c r="E29" s="65">
        <v>10</v>
      </c>
      <c r="F29" s="65">
        <v>8</v>
      </c>
      <c r="G29" s="65">
        <v>14</v>
      </c>
      <c r="H29" s="65">
        <v>13</v>
      </c>
      <c r="I29" s="65">
        <v>11</v>
      </c>
      <c r="J29" s="65">
        <v>8</v>
      </c>
      <c r="K29" s="65">
        <v>7</v>
      </c>
      <c r="L29" s="65">
        <v>10</v>
      </c>
      <c r="M29" s="65">
        <v>9</v>
      </c>
      <c r="N29" s="65">
        <v>8</v>
      </c>
      <c r="O29" s="65">
        <v>6</v>
      </c>
      <c r="P29" s="65">
        <v>5</v>
      </c>
    </row>
    <row r="30" ht="9">
      <c r="A30" s="62" t="s">
        <v>72</v>
      </c>
    </row>
    <row r="31" spans="1:16" ht="9">
      <c r="A31" s="14" t="s">
        <v>254</v>
      </c>
      <c r="B31" s="64">
        <v>19</v>
      </c>
      <c r="C31" s="64">
        <v>19</v>
      </c>
      <c r="D31" s="64">
        <v>17</v>
      </c>
      <c r="E31" s="64">
        <v>11</v>
      </c>
      <c r="F31" s="64">
        <v>8</v>
      </c>
      <c r="G31" s="64">
        <v>16</v>
      </c>
      <c r="H31" s="64">
        <v>16</v>
      </c>
      <c r="I31" s="64">
        <v>13</v>
      </c>
      <c r="J31" s="64">
        <v>8</v>
      </c>
      <c r="K31" s="64">
        <v>6</v>
      </c>
      <c r="L31" s="64">
        <v>10</v>
      </c>
      <c r="M31" s="64">
        <v>10</v>
      </c>
      <c r="N31" s="64">
        <v>8</v>
      </c>
      <c r="O31" s="64">
        <v>5</v>
      </c>
      <c r="P31" s="64">
        <v>4</v>
      </c>
    </row>
    <row r="32" spans="1:16" ht="9">
      <c r="A32" s="14" t="s">
        <v>255</v>
      </c>
      <c r="B32" s="64">
        <v>19</v>
      </c>
      <c r="C32" s="64">
        <v>19</v>
      </c>
      <c r="D32" s="64">
        <v>17</v>
      </c>
      <c r="E32" s="64">
        <v>11</v>
      </c>
      <c r="F32" s="64">
        <v>9</v>
      </c>
      <c r="G32" s="64">
        <v>16</v>
      </c>
      <c r="H32" s="64">
        <v>16</v>
      </c>
      <c r="I32" s="64">
        <v>13</v>
      </c>
      <c r="J32" s="64">
        <v>8</v>
      </c>
      <c r="K32" s="64">
        <v>7</v>
      </c>
      <c r="L32" s="64">
        <v>10</v>
      </c>
      <c r="M32" s="64">
        <v>10</v>
      </c>
      <c r="N32" s="64">
        <v>8</v>
      </c>
      <c r="O32" s="64">
        <v>5</v>
      </c>
      <c r="P32" s="64">
        <v>4</v>
      </c>
    </row>
    <row r="33" spans="1:16" ht="9">
      <c r="A33" s="14" t="s">
        <v>256</v>
      </c>
      <c r="B33" s="64">
        <v>19</v>
      </c>
      <c r="C33" s="64">
        <v>19</v>
      </c>
      <c r="D33" s="64">
        <v>19</v>
      </c>
      <c r="E33" s="64">
        <v>14</v>
      </c>
      <c r="F33" s="64">
        <v>11</v>
      </c>
      <c r="G33" s="64">
        <v>16</v>
      </c>
      <c r="H33" s="64">
        <v>16</v>
      </c>
      <c r="I33" s="64">
        <v>16</v>
      </c>
      <c r="J33" s="64">
        <v>11</v>
      </c>
      <c r="K33" s="64">
        <v>9</v>
      </c>
      <c r="L33" s="64">
        <v>10</v>
      </c>
      <c r="M33" s="64">
        <v>10</v>
      </c>
      <c r="N33" s="64">
        <v>9</v>
      </c>
      <c r="O33" s="64">
        <v>6</v>
      </c>
      <c r="P33" s="64">
        <v>5</v>
      </c>
    </row>
    <row r="34" spans="1:16" ht="9">
      <c r="A34" s="14" t="s">
        <v>599</v>
      </c>
      <c r="B34" s="64">
        <v>19</v>
      </c>
      <c r="C34" s="64">
        <v>19</v>
      </c>
      <c r="D34" s="64">
        <v>19</v>
      </c>
      <c r="E34" s="64">
        <v>12</v>
      </c>
      <c r="F34" s="64">
        <v>9</v>
      </c>
      <c r="G34" s="64">
        <v>16</v>
      </c>
      <c r="H34" s="64">
        <v>16</v>
      </c>
      <c r="I34" s="64">
        <v>16</v>
      </c>
      <c r="J34" s="64">
        <v>10</v>
      </c>
      <c r="K34" s="64">
        <v>7</v>
      </c>
      <c r="L34" s="64">
        <v>10</v>
      </c>
      <c r="M34" s="64">
        <v>10</v>
      </c>
      <c r="N34" s="64">
        <v>9</v>
      </c>
      <c r="O34" s="64">
        <v>6</v>
      </c>
      <c r="P34" s="64">
        <v>4</v>
      </c>
    </row>
    <row r="35" spans="1:16" ht="9">
      <c r="A35" s="14" t="s">
        <v>600</v>
      </c>
      <c r="B35" s="64">
        <v>19</v>
      </c>
      <c r="C35" s="64">
        <v>19</v>
      </c>
      <c r="D35" s="64">
        <v>19</v>
      </c>
      <c r="E35" s="64">
        <v>15</v>
      </c>
      <c r="F35" s="64">
        <v>11</v>
      </c>
      <c r="G35" s="64">
        <v>16</v>
      </c>
      <c r="H35" s="64">
        <v>16</v>
      </c>
      <c r="I35" s="64">
        <v>16</v>
      </c>
      <c r="J35" s="64">
        <v>13</v>
      </c>
      <c r="K35" s="64">
        <v>9</v>
      </c>
      <c r="L35" s="64">
        <v>11</v>
      </c>
      <c r="M35" s="64">
        <v>11</v>
      </c>
      <c r="N35" s="64">
        <v>11</v>
      </c>
      <c r="O35" s="64">
        <v>8</v>
      </c>
      <c r="P35" s="64">
        <v>7</v>
      </c>
    </row>
    <row r="36" spans="1:16" s="63" customFormat="1" ht="9">
      <c r="A36" s="63" t="s">
        <v>601</v>
      </c>
      <c r="B36" s="65">
        <v>19</v>
      </c>
      <c r="C36" s="65">
        <v>19</v>
      </c>
      <c r="D36" s="65">
        <v>19</v>
      </c>
      <c r="E36" s="65">
        <v>15</v>
      </c>
      <c r="F36" s="65">
        <v>14</v>
      </c>
      <c r="G36" s="65">
        <v>16</v>
      </c>
      <c r="H36" s="65">
        <v>16</v>
      </c>
      <c r="I36" s="65">
        <v>16</v>
      </c>
      <c r="J36" s="65">
        <v>13</v>
      </c>
      <c r="K36" s="65">
        <v>11</v>
      </c>
      <c r="L36" s="65">
        <v>11</v>
      </c>
      <c r="M36" s="65">
        <v>11</v>
      </c>
      <c r="N36" s="65">
        <v>11</v>
      </c>
      <c r="O36" s="65">
        <v>9</v>
      </c>
      <c r="P36" s="65">
        <v>8</v>
      </c>
    </row>
    <row r="37" ht="9">
      <c r="A37" s="62" t="s">
        <v>73</v>
      </c>
    </row>
    <row r="38" spans="1:16" ht="9">
      <c r="A38" s="14" t="s">
        <v>254</v>
      </c>
      <c r="B38" s="64">
        <v>19</v>
      </c>
      <c r="C38" s="64">
        <v>19</v>
      </c>
      <c r="D38" s="64">
        <v>16</v>
      </c>
      <c r="E38" s="64">
        <v>11</v>
      </c>
      <c r="F38" s="64">
        <v>8</v>
      </c>
      <c r="G38" s="64">
        <v>16</v>
      </c>
      <c r="H38" s="64">
        <v>16</v>
      </c>
      <c r="I38" s="64">
        <v>12</v>
      </c>
      <c r="J38" s="64">
        <v>8</v>
      </c>
      <c r="K38" s="64">
        <v>6</v>
      </c>
      <c r="L38" s="64">
        <v>10</v>
      </c>
      <c r="M38" s="64">
        <v>10</v>
      </c>
      <c r="N38" s="64">
        <v>7</v>
      </c>
      <c r="O38" s="64">
        <v>5</v>
      </c>
      <c r="P38" s="64">
        <v>4</v>
      </c>
    </row>
    <row r="39" spans="1:16" ht="9">
      <c r="A39" s="14" t="s">
        <v>255</v>
      </c>
      <c r="B39" s="64">
        <v>19</v>
      </c>
      <c r="C39" s="64">
        <v>19</v>
      </c>
      <c r="D39" s="64">
        <v>16</v>
      </c>
      <c r="E39" s="64">
        <v>11</v>
      </c>
      <c r="F39" s="64">
        <v>9</v>
      </c>
      <c r="G39" s="64">
        <v>16</v>
      </c>
      <c r="H39" s="64">
        <v>16</v>
      </c>
      <c r="I39" s="64">
        <v>12</v>
      </c>
      <c r="J39" s="64">
        <v>8</v>
      </c>
      <c r="K39" s="64">
        <v>7</v>
      </c>
      <c r="L39" s="64">
        <v>10</v>
      </c>
      <c r="M39" s="64">
        <v>10</v>
      </c>
      <c r="N39" s="64">
        <v>7</v>
      </c>
      <c r="O39" s="64">
        <v>5</v>
      </c>
      <c r="P39" s="64">
        <v>4</v>
      </c>
    </row>
    <row r="40" spans="1:16" ht="9">
      <c r="A40" s="14" t="s">
        <v>256</v>
      </c>
      <c r="B40" s="64">
        <v>19</v>
      </c>
      <c r="C40" s="64">
        <v>19</v>
      </c>
      <c r="D40" s="64">
        <v>19</v>
      </c>
      <c r="E40" s="64">
        <v>12</v>
      </c>
      <c r="F40" s="64">
        <v>8</v>
      </c>
      <c r="G40" s="64">
        <v>16</v>
      </c>
      <c r="H40" s="64">
        <v>16</v>
      </c>
      <c r="I40" s="64">
        <v>15</v>
      </c>
      <c r="J40" s="64">
        <v>10</v>
      </c>
      <c r="K40" s="64">
        <v>7</v>
      </c>
      <c r="L40" s="64">
        <v>10</v>
      </c>
      <c r="M40" s="64">
        <v>10</v>
      </c>
      <c r="N40" s="64">
        <v>9</v>
      </c>
      <c r="O40" s="64">
        <v>6</v>
      </c>
      <c r="P40" s="64">
        <v>4</v>
      </c>
    </row>
    <row r="41" spans="1:16" ht="9">
      <c r="A41" s="14" t="s">
        <v>599</v>
      </c>
      <c r="B41" s="64">
        <v>19</v>
      </c>
      <c r="C41" s="64">
        <v>19</v>
      </c>
      <c r="D41" s="64">
        <v>19</v>
      </c>
      <c r="E41" s="64">
        <v>12</v>
      </c>
      <c r="F41" s="64">
        <v>9</v>
      </c>
      <c r="G41" s="64">
        <v>16</v>
      </c>
      <c r="H41" s="64">
        <v>16</v>
      </c>
      <c r="I41" s="64">
        <v>15</v>
      </c>
      <c r="J41" s="64">
        <v>10</v>
      </c>
      <c r="K41" s="64">
        <v>7</v>
      </c>
      <c r="L41" s="64">
        <v>10</v>
      </c>
      <c r="M41" s="64">
        <v>10</v>
      </c>
      <c r="N41" s="64">
        <v>9</v>
      </c>
      <c r="O41" s="64">
        <v>6</v>
      </c>
      <c r="P41" s="64">
        <v>4</v>
      </c>
    </row>
    <row r="42" spans="1:16" ht="9">
      <c r="A42" s="14" t="s">
        <v>600</v>
      </c>
      <c r="B42" s="64">
        <v>19</v>
      </c>
      <c r="C42" s="64">
        <v>19</v>
      </c>
      <c r="D42" s="64">
        <v>19</v>
      </c>
      <c r="E42" s="64">
        <v>14</v>
      </c>
      <c r="F42" s="64">
        <v>8</v>
      </c>
      <c r="G42" s="64">
        <v>16</v>
      </c>
      <c r="H42" s="64">
        <v>16</v>
      </c>
      <c r="I42" s="64">
        <v>16</v>
      </c>
      <c r="J42" s="64">
        <v>11</v>
      </c>
      <c r="K42" s="64">
        <v>7</v>
      </c>
      <c r="L42" s="64">
        <v>11</v>
      </c>
      <c r="M42" s="64">
        <v>11</v>
      </c>
      <c r="N42" s="64">
        <v>11</v>
      </c>
      <c r="O42" s="64">
        <v>7</v>
      </c>
      <c r="P42" s="64">
        <v>5</v>
      </c>
    </row>
    <row r="43" spans="1:16" s="63" customFormat="1" ht="9">
      <c r="A43" s="63" t="s">
        <v>601</v>
      </c>
      <c r="B43" s="65">
        <v>19</v>
      </c>
      <c r="C43" s="65">
        <v>19</v>
      </c>
      <c r="D43" s="65">
        <v>19</v>
      </c>
      <c r="E43" s="65">
        <v>14</v>
      </c>
      <c r="F43" s="65">
        <v>12</v>
      </c>
      <c r="G43" s="65">
        <v>16</v>
      </c>
      <c r="H43" s="65">
        <v>16</v>
      </c>
      <c r="I43" s="65">
        <v>16</v>
      </c>
      <c r="J43" s="65">
        <v>11</v>
      </c>
      <c r="K43" s="65">
        <v>10</v>
      </c>
      <c r="L43" s="65">
        <v>11</v>
      </c>
      <c r="M43" s="65">
        <v>11</v>
      </c>
      <c r="N43" s="65">
        <v>11</v>
      </c>
      <c r="O43" s="65">
        <v>8</v>
      </c>
      <c r="P43" s="65">
        <v>7</v>
      </c>
    </row>
    <row r="44" ht="9">
      <c r="A44" s="62" t="s">
        <v>435</v>
      </c>
    </row>
    <row r="45" spans="1:16" ht="9">
      <c r="A45" s="14" t="s">
        <v>254</v>
      </c>
      <c r="B45" s="64">
        <v>20</v>
      </c>
      <c r="C45" s="64">
        <v>20</v>
      </c>
      <c r="D45" s="64">
        <v>17</v>
      </c>
      <c r="E45" s="64">
        <v>13</v>
      </c>
      <c r="F45" s="64">
        <v>8</v>
      </c>
      <c r="G45" s="64">
        <v>17</v>
      </c>
      <c r="H45" s="64">
        <v>17</v>
      </c>
      <c r="I45" s="64">
        <v>13</v>
      </c>
      <c r="J45" s="64">
        <v>10</v>
      </c>
      <c r="K45" s="64">
        <v>6</v>
      </c>
      <c r="L45" s="64">
        <v>11</v>
      </c>
      <c r="M45" s="64">
        <v>11</v>
      </c>
      <c r="N45" s="64">
        <v>8</v>
      </c>
      <c r="O45" s="64">
        <v>6</v>
      </c>
      <c r="P45" s="64">
        <v>4</v>
      </c>
    </row>
    <row r="46" spans="1:16" ht="9">
      <c r="A46" s="14" t="s">
        <v>255</v>
      </c>
      <c r="B46" s="64">
        <v>20</v>
      </c>
      <c r="C46" s="64">
        <v>20</v>
      </c>
      <c r="D46" s="64">
        <v>19</v>
      </c>
      <c r="E46" s="64">
        <v>14</v>
      </c>
      <c r="F46" s="64">
        <v>11</v>
      </c>
      <c r="G46" s="64">
        <v>17</v>
      </c>
      <c r="H46" s="64">
        <v>17</v>
      </c>
      <c r="I46" s="64">
        <v>15</v>
      </c>
      <c r="J46" s="64">
        <v>11</v>
      </c>
      <c r="K46" s="64">
        <v>8</v>
      </c>
      <c r="L46" s="64">
        <v>11</v>
      </c>
      <c r="M46" s="64">
        <v>11</v>
      </c>
      <c r="N46" s="64">
        <v>9</v>
      </c>
      <c r="O46" s="64">
        <v>7</v>
      </c>
      <c r="P46" s="64">
        <v>5</v>
      </c>
    </row>
    <row r="47" spans="1:16" ht="9">
      <c r="A47" s="14" t="s">
        <v>256</v>
      </c>
      <c r="B47" s="64">
        <v>20</v>
      </c>
      <c r="C47" s="64">
        <v>20</v>
      </c>
      <c r="D47" s="64">
        <v>20</v>
      </c>
      <c r="E47" s="64">
        <v>14</v>
      </c>
      <c r="F47" s="64">
        <v>9</v>
      </c>
      <c r="G47" s="64">
        <v>17</v>
      </c>
      <c r="H47" s="64">
        <v>17</v>
      </c>
      <c r="I47" s="64">
        <v>17</v>
      </c>
      <c r="J47" s="64">
        <v>11</v>
      </c>
      <c r="K47" s="64">
        <v>7</v>
      </c>
      <c r="L47" s="64">
        <v>11</v>
      </c>
      <c r="M47" s="64">
        <v>11</v>
      </c>
      <c r="N47" s="64">
        <v>10</v>
      </c>
      <c r="O47" s="64">
        <v>6</v>
      </c>
      <c r="P47" s="64">
        <v>4</v>
      </c>
    </row>
    <row r="48" spans="1:16" ht="9">
      <c r="A48" s="14" t="s">
        <v>599</v>
      </c>
      <c r="B48" s="64">
        <v>20</v>
      </c>
      <c r="C48" s="64">
        <v>20</v>
      </c>
      <c r="D48" s="64">
        <v>20</v>
      </c>
      <c r="E48" s="64">
        <v>16</v>
      </c>
      <c r="F48" s="64">
        <v>12</v>
      </c>
      <c r="G48" s="64">
        <v>17</v>
      </c>
      <c r="H48" s="64">
        <v>17</v>
      </c>
      <c r="I48" s="64">
        <v>17</v>
      </c>
      <c r="J48" s="64">
        <v>12</v>
      </c>
      <c r="K48" s="64">
        <v>10</v>
      </c>
      <c r="L48" s="64">
        <v>11</v>
      </c>
      <c r="M48" s="64">
        <v>11</v>
      </c>
      <c r="N48" s="64">
        <v>10</v>
      </c>
      <c r="O48" s="64">
        <v>8</v>
      </c>
      <c r="P48" s="64">
        <v>6</v>
      </c>
    </row>
    <row r="49" spans="1:16" ht="9">
      <c r="A49" s="14" t="s">
        <v>600</v>
      </c>
      <c r="B49" s="64">
        <v>20</v>
      </c>
      <c r="C49" s="64">
        <v>20</v>
      </c>
      <c r="D49" s="64">
        <v>20</v>
      </c>
      <c r="E49" s="64">
        <v>16</v>
      </c>
      <c r="F49" s="64">
        <v>11</v>
      </c>
      <c r="G49" s="64">
        <v>17</v>
      </c>
      <c r="H49" s="64">
        <v>17</v>
      </c>
      <c r="I49" s="64">
        <v>17</v>
      </c>
      <c r="J49" s="64">
        <v>14</v>
      </c>
      <c r="K49" s="64">
        <v>9</v>
      </c>
      <c r="L49" s="64">
        <v>12</v>
      </c>
      <c r="M49" s="64">
        <v>12</v>
      </c>
      <c r="N49" s="64">
        <v>12</v>
      </c>
      <c r="O49" s="64">
        <v>9</v>
      </c>
      <c r="P49" s="64">
        <v>7</v>
      </c>
    </row>
    <row r="50" spans="1:16" s="63" customFormat="1" ht="9">
      <c r="A50" s="63" t="s">
        <v>601</v>
      </c>
      <c r="B50" s="65">
        <v>20</v>
      </c>
      <c r="C50" s="65">
        <v>20</v>
      </c>
      <c r="D50" s="65">
        <v>20</v>
      </c>
      <c r="E50" s="65">
        <v>16</v>
      </c>
      <c r="F50" s="65">
        <v>14</v>
      </c>
      <c r="G50" s="65">
        <v>17</v>
      </c>
      <c r="H50" s="65">
        <v>17</v>
      </c>
      <c r="I50" s="65">
        <v>17</v>
      </c>
      <c r="J50" s="65">
        <v>14</v>
      </c>
      <c r="K50" s="65">
        <v>11</v>
      </c>
      <c r="L50" s="65">
        <v>12</v>
      </c>
      <c r="M50" s="65">
        <v>12</v>
      </c>
      <c r="N50" s="65">
        <v>12</v>
      </c>
      <c r="O50" s="65">
        <v>9</v>
      </c>
      <c r="P50" s="65">
        <v>8</v>
      </c>
    </row>
    <row r="51" ht="9">
      <c r="A51" s="62" t="s">
        <v>437</v>
      </c>
    </row>
    <row r="52" spans="1:16" ht="9">
      <c r="A52" s="14" t="s">
        <v>254</v>
      </c>
      <c r="B52" s="64">
        <v>14</v>
      </c>
      <c r="C52" s="64">
        <v>14</v>
      </c>
      <c r="D52" s="64">
        <v>6</v>
      </c>
      <c r="E52" s="64">
        <v>3</v>
      </c>
      <c r="F52" s="64">
        <v>2</v>
      </c>
      <c r="G52" s="64">
        <v>11</v>
      </c>
      <c r="H52" s="64">
        <v>11</v>
      </c>
      <c r="I52" s="64">
        <v>5</v>
      </c>
      <c r="J52" s="64">
        <v>2</v>
      </c>
      <c r="K52" s="64">
        <v>1</v>
      </c>
      <c r="L52" s="64">
        <v>7</v>
      </c>
      <c r="M52" s="64">
        <v>7</v>
      </c>
      <c r="N52" s="64">
        <v>3</v>
      </c>
      <c r="O52" s="64">
        <v>2</v>
      </c>
      <c r="P52" s="64">
        <v>1</v>
      </c>
    </row>
    <row r="53" spans="1:16" ht="9">
      <c r="A53" s="14" t="s">
        <v>255</v>
      </c>
      <c r="B53" s="64">
        <v>14</v>
      </c>
      <c r="C53" s="64">
        <v>11</v>
      </c>
      <c r="D53" s="64">
        <v>5</v>
      </c>
      <c r="E53" s="64">
        <v>3</v>
      </c>
      <c r="F53" s="64">
        <v>2</v>
      </c>
      <c r="G53" s="64">
        <v>11</v>
      </c>
      <c r="H53" s="64">
        <v>8</v>
      </c>
      <c r="I53" s="64">
        <v>4</v>
      </c>
      <c r="J53" s="64">
        <v>2</v>
      </c>
      <c r="K53" s="64">
        <v>1</v>
      </c>
      <c r="L53" s="64">
        <v>7</v>
      </c>
      <c r="M53" s="64">
        <v>5</v>
      </c>
      <c r="N53" s="64">
        <v>2</v>
      </c>
      <c r="O53" s="64">
        <v>2</v>
      </c>
      <c r="P53" s="64">
        <v>1</v>
      </c>
    </row>
    <row r="54" spans="1:16" ht="9">
      <c r="A54" s="14" t="s">
        <v>256</v>
      </c>
      <c r="B54" s="64">
        <v>14</v>
      </c>
      <c r="C54" s="64">
        <v>14</v>
      </c>
      <c r="D54" s="64">
        <v>8</v>
      </c>
      <c r="E54" s="64">
        <v>3</v>
      </c>
      <c r="F54" s="64">
        <v>3</v>
      </c>
      <c r="G54" s="64">
        <v>11</v>
      </c>
      <c r="H54" s="64">
        <v>11</v>
      </c>
      <c r="I54" s="64">
        <v>7</v>
      </c>
      <c r="J54" s="64">
        <v>2</v>
      </c>
      <c r="K54" s="64">
        <v>2</v>
      </c>
      <c r="L54" s="64">
        <v>7</v>
      </c>
      <c r="M54" s="64">
        <v>7</v>
      </c>
      <c r="N54" s="64">
        <v>4</v>
      </c>
      <c r="O54" s="64">
        <v>2</v>
      </c>
      <c r="P54" s="64">
        <v>1</v>
      </c>
    </row>
    <row r="55" spans="1:16" ht="9">
      <c r="A55" s="14" t="s">
        <v>599</v>
      </c>
      <c r="B55" s="64">
        <v>14</v>
      </c>
      <c r="C55" s="64">
        <v>12</v>
      </c>
      <c r="D55" s="64">
        <v>9</v>
      </c>
      <c r="E55" s="64">
        <v>3</v>
      </c>
      <c r="F55" s="64">
        <v>3</v>
      </c>
      <c r="G55" s="64">
        <v>11</v>
      </c>
      <c r="H55" s="64">
        <v>10</v>
      </c>
      <c r="I55" s="64">
        <v>7</v>
      </c>
      <c r="J55" s="64">
        <v>2</v>
      </c>
      <c r="K55" s="64">
        <v>2</v>
      </c>
      <c r="L55" s="64">
        <v>7</v>
      </c>
      <c r="M55" s="64">
        <v>6</v>
      </c>
      <c r="N55" s="64">
        <v>4</v>
      </c>
      <c r="O55" s="64">
        <v>2</v>
      </c>
      <c r="P55" s="64">
        <v>1</v>
      </c>
    </row>
    <row r="56" spans="1:16" ht="9">
      <c r="A56" s="14" t="s">
        <v>600</v>
      </c>
      <c r="B56" s="64">
        <v>14</v>
      </c>
      <c r="C56" s="64">
        <v>14</v>
      </c>
      <c r="D56" s="64">
        <v>8</v>
      </c>
      <c r="E56" s="64">
        <v>4</v>
      </c>
      <c r="F56" s="64">
        <v>3</v>
      </c>
      <c r="G56" s="64">
        <v>11</v>
      </c>
      <c r="H56" s="64">
        <v>11</v>
      </c>
      <c r="I56" s="64">
        <v>7</v>
      </c>
      <c r="J56" s="64">
        <v>3</v>
      </c>
      <c r="K56" s="64">
        <v>2</v>
      </c>
      <c r="L56" s="64">
        <v>8</v>
      </c>
      <c r="M56" s="64">
        <v>8</v>
      </c>
      <c r="N56" s="64">
        <v>5</v>
      </c>
      <c r="O56" s="64">
        <v>3</v>
      </c>
      <c r="P56" s="64">
        <v>2</v>
      </c>
    </row>
    <row r="57" spans="1:16" s="63" customFormat="1" ht="9">
      <c r="A57" s="63" t="s">
        <v>601</v>
      </c>
      <c r="B57" s="65">
        <v>14</v>
      </c>
      <c r="C57" s="65">
        <v>12</v>
      </c>
      <c r="D57" s="65">
        <v>11</v>
      </c>
      <c r="E57" s="65">
        <v>5</v>
      </c>
      <c r="F57" s="65">
        <v>3</v>
      </c>
      <c r="G57" s="65">
        <v>11</v>
      </c>
      <c r="H57" s="65">
        <v>10</v>
      </c>
      <c r="I57" s="65">
        <v>9</v>
      </c>
      <c r="J57" s="65">
        <v>5</v>
      </c>
      <c r="K57" s="65">
        <v>2</v>
      </c>
      <c r="L57" s="65">
        <v>8</v>
      </c>
      <c r="M57" s="65">
        <v>7</v>
      </c>
      <c r="N57" s="65">
        <v>7</v>
      </c>
      <c r="O57" s="65">
        <v>4</v>
      </c>
      <c r="P57" s="65">
        <v>2</v>
      </c>
    </row>
    <row r="58" ht="9">
      <c r="A58" s="62" t="s">
        <v>438</v>
      </c>
    </row>
    <row r="59" spans="1:16" ht="9">
      <c r="A59" s="14" t="s">
        <v>254</v>
      </c>
      <c r="B59" s="64">
        <v>16</v>
      </c>
      <c r="C59" s="64">
        <v>14</v>
      </c>
      <c r="D59" s="64">
        <v>8</v>
      </c>
      <c r="E59" s="64">
        <v>3</v>
      </c>
      <c r="F59" s="64">
        <v>2</v>
      </c>
      <c r="G59" s="64">
        <v>13</v>
      </c>
      <c r="H59" s="64">
        <v>11</v>
      </c>
      <c r="I59" s="64">
        <v>6</v>
      </c>
      <c r="J59" s="64">
        <v>2</v>
      </c>
      <c r="K59" s="64">
        <v>1</v>
      </c>
      <c r="L59" s="64">
        <v>8</v>
      </c>
      <c r="M59" s="64">
        <v>7</v>
      </c>
      <c r="N59" s="64">
        <v>4</v>
      </c>
      <c r="O59" s="64">
        <v>2</v>
      </c>
      <c r="P59" s="64">
        <v>1</v>
      </c>
    </row>
    <row r="60" spans="1:16" ht="9">
      <c r="A60" s="14" t="s">
        <v>255</v>
      </c>
      <c r="B60" s="64">
        <v>15</v>
      </c>
      <c r="C60" s="64">
        <v>14</v>
      </c>
      <c r="D60" s="64">
        <v>8</v>
      </c>
      <c r="E60" s="64">
        <v>5</v>
      </c>
      <c r="F60" s="64">
        <v>3</v>
      </c>
      <c r="G60" s="64">
        <v>12</v>
      </c>
      <c r="H60" s="64">
        <v>11</v>
      </c>
      <c r="I60" s="64">
        <v>6</v>
      </c>
      <c r="J60" s="64">
        <v>4</v>
      </c>
      <c r="K60" s="64">
        <v>2</v>
      </c>
      <c r="L60" s="64">
        <v>7</v>
      </c>
      <c r="M60" s="64">
        <v>7</v>
      </c>
      <c r="N60" s="64">
        <v>4</v>
      </c>
      <c r="O60" s="64">
        <v>2</v>
      </c>
      <c r="P60" s="64">
        <v>1</v>
      </c>
    </row>
    <row r="61" spans="1:16" ht="9">
      <c r="A61" s="14" t="s">
        <v>256</v>
      </c>
      <c r="B61" s="64">
        <v>16</v>
      </c>
      <c r="C61" s="64">
        <v>14</v>
      </c>
      <c r="D61" s="64">
        <v>12</v>
      </c>
      <c r="E61" s="64">
        <v>3</v>
      </c>
      <c r="F61" s="64">
        <v>3</v>
      </c>
      <c r="G61" s="64">
        <v>13</v>
      </c>
      <c r="H61" s="64">
        <v>11</v>
      </c>
      <c r="I61" s="64">
        <v>10</v>
      </c>
      <c r="J61" s="64">
        <v>2</v>
      </c>
      <c r="K61" s="64">
        <v>2</v>
      </c>
      <c r="L61" s="64">
        <v>8</v>
      </c>
      <c r="M61" s="64">
        <v>7</v>
      </c>
      <c r="N61" s="64">
        <v>6</v>
      </c>
      <c r="O61" s="64">
        <v>3</v>
      </c>
      <c r="P61" s="64">
        <v>1</v>
      </c>
    </row>
    <row r="62" spans="1:16" ht="9">
      <c r="A62" s="14" t="s">
        <v>599</v>
      </c>
      <c r="B62" s="64">
        <v>15</v>
      </c>
      <c r="C62" s="64">
        <v>15</v>
      </c>
      <c r="D62" s="64">
        <v>12</v>
      </c>
      <c r="E62" s="64">
        <v>5</v>
      </c>
      <c r="F62" s="64">
        <v>3</v>
      </c>
      <c r="G62" s="64">
        <v>13</v>
      </c>
      <c r="H62" s="64">
        <v>12</v>
      </c>
      <c r="I62" s="64">
        <v>10</v>
      </c>
      <c r="J62" s="64">
        <v>4</v>
      </c>
      <c r="K62" s="64">
        <v>2</v>
      </c>
      <c r="L62" s="64">
        <v>7</v>
      </c>
      <c r="M62" s="64">
        <v>7</v>
      </c>
      <c r="N62" s="64">
        <v>6</v>
      </c>
      <c r="O62" s="64">
        <v>3</v>
      </c>
      <c r="P62" s="64">
        <v>1</v>
      </c>
    </row>
    <row r="63" spans="1:16" ht="9">
      <c r="A63" s="14" t="s">
        <v>600</v>
      </c>
      <c r="B63" s="64">
        <v>16</v>
      </c>
      <c r="C63" s="64">
        <v>14</v>
      </c>
      <c r="D63" s="64">
        <v>12</v>
      </c>
      <c r="E63" s="64">
        <v>5</v>
      </c>
      <c r="F63" s="64">
        <v>3</v>
      </c>
      <c r="G63" s="64">
        <v>14</v>
      </c>
      <c r="H63" s="64">
        <v>11</v>
      </c>
      <c r="I63" s="64">
        <v>10</v>
      </c>
      <c r="J63" s="64">
        <v>5</v>
      </c>
      <c r="K63" s="64">
        <v>2</v>
      </c>
      <c r="L63" s="64">
        <v>10</v>
      </c>
      <c r="M63" s="64">
        <v>8</v>
      </c>
      <c r="N63" s="64">
        <v>7</v>
      </c>
      <c r="O63" s="64">
        <v>4</v>
      </c>
      <c r="P63" s="64">
        <v>2</v>
      </c>
    </row>
    <row r="64" spans="1:16" s="63" customFormat="1" ht="9">
      <c r="A64" s="63" t="s">
        <v>601</v>
      </c>
      <c r="B64" s="65">
        <v>15</v>
      </c>
      <c r="C64" s="65">
        <v>15</v>
      </c>
      <c r="D64" s="65">
        <v>14</v>
      </c>
      <c r="E64" s="65">
        <v>7</v>
      </c>
      <c r="F64" s="65">
        <v>3</v>
      </c>
      <c r="G64" s="65">
        <v>13</v>
      </c>
      <c r="H64" s="65">
        <v>13</v>
      </c>
      <c r="I64" s="65">
        <v>11</v>
      </c>
      <c r="J64" s="65">
        <v>6</v>
      </c>
      <c r="K64" s="65">
        <v>2</v>
      </c>
      <c r="L64" s="65">
        <v>9</v>
      </c>
      <c r="M64" s="65">
        <v>9</v>
      </c>
      <c r="N64" s="65">
        <v>8</v>
      </c>
      <c r="O64" s="65">
        <v>4</v>
      </c>
      <c r="P64" s="65">
        <v>2</v>
      </c>
    </row>
    <row r="65" ht="9">
      <c r="A65" s="62" t="s">
        <v>215</v>
      </c>
    </row>
    <row r="66" spans="1:16" ht="9">
      <c r="A66" s="14" t="s">
        <v>254</v>
      </c>
      <c r="B66" s="64">
        <v>16</v>
      </c>
      <c r="C66" s="64">
        <v>16</v>
      </c>
      <c r="D66" s="64">
        <v>13</v>
      </c>
      <c r="E66" s="64">
        <v>6</v>
      </c>
      <c r="F66" s="64">
        <v>3</v>
      </c>
      <c r="G66" s="64">
        <v>14</v>
      </c>
      <c r="H66" s="64">
        <v>14</v>
      </c>
      <c r="I66" s="64">
        <v>10</v>
      </c>
      <c r="J66" s="64">
        <v>5</v>
      </c>
      <c r="K66" s="64">
        <v>2</v>
      </c>
      <c r="L66" s="64">
        <v>9</v>
      </c>
      <c r="M66" s="64">
        <v>9</v>
      </c>
      <c r="N66" s="64">
        <v>6</v>
      </c>
      <c r="O66" s="64">
        <v>3</v>
      </c>
      <c r="P66" s="64">
        <v>1</v>
      </c>
    </row>
    <row r="67" spans="1:16" ht="9">
      <c r="A67" s="14" t="s">
        <v>255</v>
      </c>
      <c r="B67" s="64">
        <v>15</v>
      </c>
      <c r="C67" s="64">
        <v>15</v>
      </c>
      <c r="D67" s="64">
        <v>11</v>
      </c>
      <c r="E67" s="64">
        <v>6</v>
      </c>
      <c r="F67" s="64">
        <v>3</v>
      </c>
      <c r="G67" s="64">
        <v>13</v>
      </c>
      <c r="H67" s="64">
        <v>12</v>
      </c>
      <c r="I67" s="64">
        <v>8</v>
      </c>
      <c r="J67" s="64">
        <v>5</v>
      </c>
      <c r="K67" s="64">
        <v>2</v>
      </c>
      <c r="L67" s="64">
        <v>8</v>
      </c>
      <c r="M67" s="64">
        <v>7</v>
      </c>
      <c r="N67" s="64">
        <v>5</v>
      </c>
      <c r="O67" s="64">
        <v>3</v>
      </c>
      <c r="P67" s="64">
        <v>1</v>
      </c>
    </row>
    <row r="68" spans="1:16" ht="9">
      <c r="A68" s="14" t="s">
        <v>256</v>
      </c>
      <c r="B68" s="64">
        <v>16</v>
      </c>
      <c r="C68" s="64">
        <v>16</v>
      </c>
      <c r="D68" s="64">
        <v>15</v>
      </c>
      <c r="E68" s="64">
        <v>6</v>
      </c>
      <c r="F68" s="64">
        <v>3</v>
      </c>
      <c r="G68" s="64">
        <v>14</v>
      </c>
      <c r="H68" s="64">
        <v>14</v>
      </c>
      <c r="I68" s="64">
        <v>12</v>
      </c>
      <c r="J68" s="64">
        <v>5</v>
      </c>
      <c r="K68" s="64">
        <v>2</v>
      </c>
      <c r="L68" s="64">
        <v>9</v>
      </c>
      <c r="M68" s="64">
        <v>9</v>
      </c>
      <c r="N68" s="64">
        <v>7</v>
      </c>
      <c r="O68" s="64">
        <v>4</v>
      </c>
      <c r="P68" s="64">
        <v>1</v>
      </c>
    </row>
    <row r="69" spans="1:16" ht="9">
      <c r="A69" s="14" t="s">
        <v>599</v>
      </c>
      <c r="B69" s="64">
        <v>15</v>
      </c>
      <c r="C69" s="64">
        <v>15</v>
      </c>
      <c r="D69" s="64">
        <v>14</v>
      </c>
      <c r="E69" s="64">
        <v>5</v>
      </c>
      <c r="F69" s="64">
        <v>3</v>
      </c>
      <c r="G69" s="64">
        <v>13</v>
      </c>
      <c r="H69" s="64">
        <v>13</v>
      </c>
      <c r="I69" s="64">
        <v>11</v>
      </c>
      <c r="J69" s="64">
        <v>5</v>
      </c>
      <c r="K69" s="64">
        <v>2</v>
      </c>
      <c r="L69" s="64">
        <v>8</v>
      </c>
      <c r="M69" s="64">
        <v>8</v>
      </c>
      <c r="N69" s="64">
        <v>7</v>
      </c>
      <c r="O69" s="64">
        <v>4</v>
      </c>
      <c r="P69" s="64">
        <v>1</v>
      </c>
    </row>
    <row r="70" spans="1:16" ht="9">
      <c r="A70" s="14" t="s">
        <v>600</v>
      </c>
      <c r="B70" s="64">
        <v>16</v>
      </c>
      <c r="C70" s="64">
        <v>16</v>
      </c>
      <c r="D70" s="64">
        <v>15</v>
      </c>
      <c r="E70" s="64">
        <v>8</v>
      </c>
      <c r="F70" s="64">
        <v>3</v>
      </c>
      <c r="G70" s="64">
        <v>14</v>
      </c>
      <c r="H70" s="64">
        <v>14</v>
      </c>
      <c r="I70" s="64">
        <v>13</v>
      </c>
      <c r="J70" s="64">
        <v>7</v>
      </c>
      <c r="K70" s="64">
        <v>2</v>
      </c>
      <c r="L70" s="64">
        <v>10</v>
      </c>
      <c r="M70" s="64">
        <v>10</v>
      </c>
      <c r="N70" s="64">
        <v>9</v>
      </c>
      <c r="O70" s="64">
        <v>6</v>
      </c>
      <c r="P70" s="64">
        <v>2</v>
      </c>
    </row>
    <row r="71" spans="1:16" s="63" customFormat="1" ht="9">
      <c r="A71" s="63" t="s">
        <v>601</v>
      </c>
      <c r="B71" s="65">
        <v>15</v>
      </c>
      <c r="C71" s="65">
        <v>15</v>
      </c>
      <c r="D71" s="65">
        <v>14</v>
      </c>
      <c r="E71" s="65">
        <v>7</v>
      </c>
      <c r="F71" s="65">
        <v>3</v>
      </c>
      <c r="G71" s="65">
        <v>13</v>
      </c>
      <c r="H71" s="65">
        <v>13</v>
      </c>
      <c r="I71" s="65">
        <v>11</v>
      </c>
      <c r="J71" s="65">
        <v>7</v>
      </c>
      <c r="K71" s="65">
        <v>2</v>
      </c>
      <c r="L71" s="65">
        <v>9</v>
      </c>
      <c r="M71" s="65">
        <v>9</v>
      </c>
      <c r="N71" s="65">
        <v>8</v>
      </c>
      <c r="O71" s="65">
        <v>5</v>
      </c>
      <c r="P71" s="65">
        <v>2</v>
      </c>
    </row>
    <row r="72" ht="9">
      <c r="A72" s="62" t="s">
        <v>690</v>
      </c>
    </row>
    <row r="73" spans="1:16" ht="9">
      <c r="A73" s="14" t="s">
        <v>254</v>
      </c>
      <c r="B73" s="64">
        <v>18</v>
      </c>
      <c r="C73" s="64">
        <v>18</v>
      </c>
      <c r="D73" s="64">
        <v>13</v>
      </c>
      <c r="E73" s="64">
        <v>6</v>
      </c>
      <c r="F73" s="64">
        <v>4</v>
      </c>
      <c r="G73" s="64">
        <v>15</v>
      </c>
      <c r="H73" s="64">
        <v>15</v>
      </c>
      <c r="I73" s="64">
        <v>10</v>
      </c>
      <c r="J73" s="64">
        <v>5</v>
      </c>
      <c r="K73" s="64">
        <v>3</v>
      </c>
      <c r="L73" s="64">
        <v>9</v>
      </c>
      <c r="M73" s="64">
        <v>9</v>
      </c>
      <c r="N73" s="64">
        <v>6</v>
      </c>
      <c r="O73" s="64">
        <v>3</v>
      </c>
      <c r="P73" s="64">
        <v>2</v>
      </c>
    </row>
    <row r="74" spans="1:16" ht="9">
      <c r="A74" s="14" t="s">
        <v>255</v>
      </c>
      <c r="B74" s="64">
        <v>16</v>
      </c>
      <c r="C74" s="64">
        <v>15</v>
      </c>
      <c r="D74" s="64">
        <v>13</v>
      </c>
      <c r="E74" s="64">
        <v>6</v>
      </c>
      <c r="F74" s="64">
        <v>4</v>
      </c>
      <c r="G74" s="64">
        <v>14</v>
      </c>
      <c r="H74" s="64">
        <v>12</v>
      </c>
      <c r="I74" s="64">
        <v>10</v>
      </c>
      <c r="J74" s="64">
        <v>5</v>
      </c>
      <c r="K74" s="64">
        <v>3</v>
      </c>
      <c r="L74" s="64">
        <v>9</v>
      </c>
      <c r="M74" s="64">
        <v>7</v>
      </c>
      <c r="N74" s="64">
        <v>6</v>
      </c>
      <c r="O74" s="64">
        <v>3</v>
      </c>
      <c r="P74" s="64">
        <v>2</v>
      </c>
    </row>
    <row r="75" spans="1:16" ht="9">
      <c r="A75" s="14" t="s">
        <v>256</v>
      </c>
      <c r="B75" s="64">
        <v>18</v>
      </c>
      <c r="C75" s="64">
        <v>18</v>
      </c>
      <c r="D75" s="64">
        <v>16</v>
      </c>
      <c r="E75" s="64">
        <v>9</v>
      </c>
      <c r="F75" s="64">
        <v>4</v>
      </c>
      <c r="G75" s="64">
        <v>15</v>
      </c>
      <c r="H75" s="64">
        <v>15</v>
      </c>
      <c r="I75" s="64">
        <v>13</v>
      </c>
      <c r="J75" s="64">
        <v>7</v>
      </c>
      <c r="K75" s="64">
        <v>3</v>
      </c>
      <c r="L75" s="64">
        <v>9</v>
      </c>
      <c r="M75" s="64">
        <v>9</v>
      </c>
      <c r="N75" s="64">
        <v>8</v>
      </c>
      <c r="O75" s="64">
        <v>4</v>
      </c>
      <c r="P75" s="64">
        <v>2</v>
      </c>
    </row>
    <row r="76" spans="1:16" ht="9">
      <c r="A76" s="14" t="s">
        <v>599</v>
      </c>
      <c r="B76" s="64">
        <v>16</v>
      </c>
      <c r="C76" s="64">
        <v>15</v>
      </c>
      <c r="D76" s="64">
        <v>14</v>
      </c>
      <c r="E76" s="64">
        <v>8</v>
      </c>
      <c r="F76" s="64">
        <v>4</v>
      </c>
      <c r="G76" s="64">
        <v>14</v>
      </c>
      <c r="H76" s="64">
        <v>13</v>
      </c>
      <c r="I76" s="64">
        <v>11</v>
      </c>
      <c r="J76" s="64">
        <v>7</v>
      </c>
      <c r="K76" s="64">
        <v>3</v>
      </c>
      <c r="L76" s="64">
        <v>9</v>
      </c>
      <c r="M76" s="64">
        <v>8</v>
      </c>
      <c r="N76" s="64">
        <v>7</v>
      </c>
      <c r="O76" s="64">
        <v>4</v>
      </c>
      <c r="P76" s="64">
        <v>2</v>
      </c>
    </row>
    <row r="77" spans="1:16" ht="9">
      <c r="A77" s="14" t="s">
        <v>600</v>
      </c>
      <c r="B77" s="64">
        <v>18</v>
      </c>
      <c r="C77" s="64">
        <v>18</v>
      </c>
      <c r="D77" s="64">
        <v>16</v>
      </c>
      <c r="E77" s="64">
        <v>10</v>
      </c>
      <c r="F77" s="64">
        <v>4</v>
      </c>
      <c r="G77" s="64">
        <v>15</v>
      </c>
      <c r="H77" s="64">
        <v>15</v>
      </c>
      <c r="I77" s="64">
        <v>14</v>
      </c>
      <c r="J77" s="64">
        <v>8</v>
      </c>
      <c r="K77" s="64">
        <v>3</v>
      </c>
      <c r="L77" s="64">
        <v>11</v>
      </c>
      <c r="M77" s="64">
        <v>11</v>
      </c>
      <c r="N77" s="64">
        <v>10</v>
      </c>
      <c r="O77" s="64">
        <v>5</v>
      </c>
      <c r="P77" s="64">
        <v>2</v>
      </c>
    </row>
    <row r="78" spans="1:16" s="63" customFormat="1" ht="9">
      <c r="A78" s="63" t="s">
        <v>601</v>
      </c>
      <c r="B78" s="65">
        <v>16</v>
      </c>
      <c r="C78" s="65">
        <v>15</v>
      </c>
      <c r="D78" s="65">
        <v>14</v>
      </c>
      <c r="E78" s="65">
        <v>8</v>
      </c>
      <c r="F78" s="65">
        <v>4</v>
      </c>
      <c r="G78" s="65">
        <v>14</v>
      </c>
      <c r="H78" s="65">
        <v>13</v>
      </c>
      <c r="I78" s="65">
        <v>11</v>
      </c>
      <c r="J78" s="65">
        <v>7</v>
      </c>
      <c r="K78" s="65">
        <v>3</v>
      </c>
      <c r="L78" s="65">
        <v>10</v>
      </c>
      <c r="M78" s="65">
        <v>9</v>
      </c>
      <c r="N78" s="65">
        <v>8</v>
      </c>
      <c r="O78" s="65">
        <v>4</v>
      </c>
      <c r="P78" s="65">
        <v>2</v>
      </c>
    </row>
    <row r="79" ht="9">
      <c r="A79" s="62" t="s">
        <v>691</v>
      </c>
    </row>
    <row r="80" spans="1:16" ht="9">
      <c r="A80" s="14" t="s">
        <v>254</v>
      </c>
      <c r="B80" s="64">
        <v>16</v>
      </c>
      <c r="C80" s="64">
        <v>16</v>
      </c>
      <c r="D80" s="64">
        <v>11</v>
      </c>
      <c r="E80" s="64">
        <v>6</v>
      </c>
      <c r="F80" s="64">
        <v>5</v>
      </c>
      <c r="G80" s="64">
        <v>14</v>
      </c>
      <c r="H80" s="64">
        <v>13</v>
      </c>
      <c r="I80" s="64">
        <v>8</v>
      </c>
      <c r="J80" s="64">
        <v>5</v>
      </c>
      <c r="K80" s="64">
        <v>4</v>
      </c>
      <c r="L80" s="64">
        <v>9</v>
      </c>
      <c r="M80" s="64">
        <v>8</v>
      </c>
      <c r="N80" s="64">
        <v>5</v>
      </c>
      <c r="O80" s="64">
        <v>3</v>
      </c>
      <c r="P80" s="64">
        <v>2</v>
      </c>
    </row>
    <row r="81" spans="1:16" ht="9">
      <c r="A81" s="14" t="s">
        <v>255</v>
      </c>
      <c r="B81" s="64">
        <v>15</v>
      </c>
      <c r="C81" s="64">
        <v>14</v>
      </c>
      <c r="D81" s="64">
        <v>11</v>
      </c>
      <c r="E81" s="64">
        <v>6</v>
      </c>
      <c r="F81" s="64">
        <v>4</v>
      </c>
      <c r="G81" s="64">
        <v>13</v>
      </c>
      <c r="H81" s="64">
        <v>11</v>
      </c>
      <c r="I81" s="64">
        <v>8</v>
      </c>
      <c r="J81" s="64">
        <v>5</v>
      </c>
      <c r="K81" s="64">
        <v>3</v>
      </c>
      <c r="L81" s="64">
        <v>8</v>
      </c>
      <c r="M81" s="64">
        <v>7</v>
      </c>
      <c r="N81" s="64">
        <v>5</v>
      </c>
      <c r="O81" s="64">
        <v>3</v>
      </c>
      <c r="P81" s="64">
        <v>2</v>
      </c>
    </row>
    <row r="82" spans="1:16" ht="9">
      <c r="A82" s="14" t="s">
        <v>256</v>
      </c>
      <c r="B82" s="64">
        <v>16</v>
      </c>
      <c r="C82" s="64">
        <v>16</v>
      </c>
      <c r="D82" s="64">
        <v>16</v>
      </c>
      <c r="E82" s="64">
        <v>8</v>
      </c>
      <c r="F82" s="64">
        <v>5</v>
      </c>
      <c r="G82" s="64">
        <v>14</v>
      </c>
      <c r="H82" s="64">
        <v>14</v>
      </c>
      <c r="I82" s="64">
        <v>13</v>
      </c>
      <c r="J82" s="64">
        <v>6</v>
      </c>
      <c r="K82" s="64">
        <v>5</v>
      </c>
      <c r="L82" s="64">
        <v>9</v>
      </c>
      <c r="M82" s="64">
        <v>9</v>
      </c>
      <c r="N82" s="64">
        <v>8</v>
      </c>
      <c r="O82" s="64">
        <v>4</v>
      </c>
      <c r="P82" s="64">
        <v>3</v>
      </c>
    </row>
    <row r="83" spans="1:16" ht="9">
      <c r="A83" s="14" t="s">
        <v>599</v>
      </c>
      <c r="B83" s="64">
        <v>15</v>
      </c>
      <c r="C83" s="64">
        <v>14</v>
      </c>
      <c r="D83" s="64">
        <v>14</v>
      </c>
      <c r="E83" s="64">
        <v>7</v>
      </c>
      <c r="F83" s="64">
        <v>4</v>
      </c>
      <c r="G83" s="64">
        <v>13</v>
      </c>
      <c r="H83" s="64">
        <v>11</v>
      </c>
      <c r="I83" s="64">
        <v>11</v>
      </c>
      <c r="J83" s="64">
        <v>6</v>
      </c>
      <c r="K83" s="64">
        <v>3</v>
      </c>
      <c r="L83" s="64">
        <v>8</v>
      </c>
      <c r="M83" s="64">
        <v>7</v>
      </c>
      <c r="N83" s="64">
        <v>7</v>
      </c>
      <c r="O83" s="64">
        <v>3</v>
      </c>
      <c r="P83" s="64">
        <v>2</v>
      </c>
    </row>
    <row r="84" spans="1:16" ht="9">
      <c r="A84" s="14" t="s">
        <v>600</v>
      </c>
      <c r="B84" s="64">
        <v>16</v>
      </c>
      <c r="C84" s="64">
        <v>16</v>
      </c>
      <c r="D84" s="64">
        <v>16</v>
      </c>
      <c r="E84" s="64">
        <v>8</v>
      </c>
      <c r="F84" s="64">
        <v>5</v>
      </c>
      <c r="G84" s="64">
        <v>14</v>
      </c>
      <c r="H84" s="64">
        <v>14</v>
      </c>
      <c r="I84" s="64">
        <v>14</v>
      </c>
      <c r="J84" s="64">
        <v>7</v>
      </c>
      <c r="K84" s="64">
        <v>5</v>
      </c>
      <c r="L84" s="64">
        <v>10</v>
      </c>
      <c r="M84" s="64">
        <v>10</v>
      </c>
      <c r="N84" s="64">
        <v>10</v>
      </c>
      <c r="O84" s="64">
        <v>5</v>
      </c>
      <c r="P84" s="64">
        <v>3</v>
      </c>
    </row>
    <row r="85" spans="1:16" s="63" customFormat="1" ht="9">
      <c r="A85" s="63" t="s">
        <v>601</v>
      </c>
      <c r="B85" s="65">
        <v>15</v>
      </c>
      <c r="C85" s="65">
        <v>14</v>
      </c>
      <c r="D85" s="65">
        <v>14</v>
      </c>
      <c r="E85" s="65">
        <v>7</v>
      </c>
      <c r="F85" s="65">
        <v>4</v>
      </c>
      <c r="G85" s="65">
        <v>13</v>
      </c>
      <c r="H85" s="65">
        <v>11</v>
      </c>
      <c r="I85" s="65">
        <v>11</v>
      </c>
      <c r="J85" s="65">
        <v>6</v>
      </c>
      <c r="K85" s="65">
        <v>3</v>
      </c>
      <c r="L85" s="65">
        <v>9</v>
      </c>
      <c r="M85" s="65">
        <v>8</v>
      </c>
      <c r="N85" s="65">
        <v>8</v>
      </c>
      <c r="O85" s="65">
        <v>4</v>
      </c>
      <c r="P85" s="65">
        <v>2</v>
      </c>
    </row>
    <row r="86" ht="9">
      <c r="A86" s="62" t="s">
        <v>103</v>
      </c>
    </row>
    <row r="87" spans="1:16" ht="9">
      <c r="A87" s="14" t="s">
        <v>254</v>
      </c>
      <c r="B87" s="64">
        <v>10</v>
      </c>
      <c r="C87" s="64">
        <v>8</v>
      </c>
      <c r="D87" s="64">
        <v>6</v>
      </c>
      <c r="E87" s="64">
        <v>4</v>
      </c>
      <c r="F87" s="64">
        <v>3</v>
      </c>
      <c r="G87" s="64">
        <v>8</v>
      </c>
      <c r="H87" s="64">
        <v>7</v>
      </c>
      <c r="I87" s="64">
        <v>5</v>
      </c>
      <c r="J87" s="64">
        <v>3</v>
      </c>
      <c r="K87" s="64">
        <v>2</v>
      </c>
      <c r="L87" s="64">
        <v>5</v>
      </c>
      <c r="M87" s="64">
        <v>4</v>
      </c>
      <c r="N87" s="64">
        <v>3</v>
      </c>
      <c r="O87" s="64">
        <v>2</v>
      </c>
      <c r="P87" s="64">
        <v>1</v>
      </c>
    </row>
    <row r="88" spans="1:16" ht="9">
      <c r="A88" s="14" t="s">
        <v>255</v>
      </c>
      <c r="B88" s="64">
        <v>10</v>
      </c>
      <c r="C88" s="64">
        <v>8</v>
      </c>
      <c r="D88" s="64">
        <v>5</v>
      </c>
      <c r="E88" s="64">
        <v>4</v>
      </c>
      <c r="F88" s="64">
        <v>3</v>
      </c>
      <c r="G88" s="64">
        <v>8</v>
      </c>
      <c r="H88" s="64">
        <v>7</v>
      </c>
      <c r="I88" s="64">
        <v>4</v>
      </c>
      <c r="J88" s="64">
        <v>3</v>
      </c>
      <c r="K88" s="64">
        <v>2</v>
      </c>
      <c r="L88" s="64">
        <v>5</v>
      </c>
      <c r="M88" s="64">
        <v>4</v>
      </c>
      <c r="N88" s="64">
        <v>2</v>
      </c>
      <c r="O88" s="64">
        <v>1</v>
      </c>
      <c r="P88" s="64">
        <v>1</v>
      </c>
    </row>
    <row r="89" spans="1:16" ht="9">
      <c r="A89" s="14" t="s">
        <v>256</v>
      </c>
      <c r="B89" s="64">
        <v>10</v>
      </c>
      <c r="C89" s="64">
        <v>8</v>
      </c>
      <c r="D89" s="64">
        <v>7</v>
      </c>
      <c r="E89" s="64">
        <v>4</v>
      </c>
      <c r="F89" s="64">
        <v>3</v>
      </c>
      <c r="G89" s="64">
        <v>8</v>
      </c>
      <c r="H89" s="64">
        <v>7</v>
      </c>
      <c r="I89" s="64">
        <v>6</v>
      </c>
      <c r="J89" s="64">
        <v>3</v>
      </c>
      <c r="K89" s="64">
        <v>2</v>
      </c>
      <c r="L89" s="64">
        <v>5</v>
      </c>
      <c r="M89" s="64">
        <v>4</v>
      </c>
      <c r="N89" s="64">
        <v>4</v>
      </c>
      <c r="O89" s="64">
        <v>3</v>
      </c>
      <c r="P89" s="64">
        <v>1</v>
      </c>
    </row>
    <row r="90" spans="1:16" ht="9">
      <c r="A90" s="14" t="s">
        <v>599</v>
      </c>
      <c r="B90" s="64">
        <v>10</v>
      </c>
      <c r="C90" s="64">
        <v>8</v>
      </c>
      <c r="D90" s="64">
        <v>5</v>
      </c>
      <c r="E90" s="64">
        <v>4</v>
      </c>
      <c r="F90" s="64">
        <v>3</v>
      </c>
      <c r="G90" s="64">
        <v>8</v>
      </c>
      <c r="H90" s="64">
        <v>7</v>
      </c>
      <c r="I90" s="64">
        <v>5</v>
      </c>
      <c r="J90" s="64">
        <v>3</v>
      </c>
      <c r="K90" s="64">
        <v>2</v>
      </c>
      <c r="L90" s="64">
        <v>5</v>
      </c>
      <c r="M90" s="64">
        <v>4</v>
      </c>
      <c r="N90" s="64">
        <v>3</v>
      </c>
      <c r="O90" s="64">
        <v>2</v>
      </c>
      <c r="P90" s="64">
        <v>1</v>
      </c>
    </row>
    <row r="91" spans="1:16" ht="9">
      <c r="A91" s="14" t="s">
        <v>600</v>
      </c>
      <c r="B91" s="64">
        <v>10</v>
      </c>
      <c r="C91" s="64">
        <v>8</v>
      </c>
      <c r="D91" s="64">
        <v>7</v>
      </c>
      <c r="E91" s="64">
        <v>4</v>
      </c>
      <c r="F91" s="64">
        <v>3</v>
      </c>
      <c r="G91" s="64">
        <v>8</v>
      </c>
      <c r="H91" s="64">
        <v>7</v>
      </c>
      <c r="I91" s="64">
        <v>6</v>
      </c>
      <c r="J91" s="64">
        <v>3</v>
      </c>
      <c r="K91" s="64">
        <v>2</v>
      </c>
      <c r="L91" s="64">
        <v>6</v>
      </c>
      <c r="M91" s="64">
        <v>5</v>
      </c>
      <c r="N91" s="64">
        <v>4</v>
      </c>
      <c r="O91" s="64">
        <v>3</v>
      </c>
      <c r="P91" s="64">
        <v>2</v>
      </c>
    </row>
    <row r="92" spans="1:16" s="63" customFormat="1" ht="9">
      <c r="A92" s="63" t="s">
        <v>601</v>
      </c>
      <c r="B92" s="65">
        <v>10</v>
      </c>
      <c r="C92" s="65">
        <v>8</v>
      </c>
      <c r="D92" s="65">
        <v>5</v>
      </c>
      <c r="E92" s="65">
        <v>4</v>
      </c>
      <c r="F92" s="65">
        <v>3</v>
      </c>
      <c r="G92" s="65">
        <v>8</v>
      </c>
      <c r="H92" s="65">
        <v>7</v>
      </c>
      <c r="I92" s="65">
        <v>5</v>
      </c>
      <c r="J92" s="65">
        <v>3</v>
      </c>
      <c r="K92" s="65">
        <v>2</v>
      </c>
      <c r="L92" s="65">
        <v>6</v>
      </c>
      <c r="M92" s="65">
        <v>5</v>
      </c>
      <c r="N92" s="65">
        <v>3</v>
      </c>
      <c r="O92" s="65">
        <v>2</v>
      </c>
      <c r="P92" s="65">
        <v>2</v>
      </c>
    </row>
    <row r="93" ht="9">
      <c r="A93" s="62" t="s">
        <v>253</v>
      </c>
    </row>
    <row r="94" spans="1:16" ht="9">
      <c r="A94" s="14" t="s">
        <v>254</v>
      </c>
      <c r="B94" s="64">
        <v>8</v>
      </c>
      <c r="C94" s="64">
        <v>8</v>
      </c>
      <c r="D94" s="64">
        <v>5</v>
      </c>
      <c r="E94" s="64">
        <v>3</v>
      </c>
      <c r="F94" s="64">
        <v>3</v>
      </c>
      <c r="G94" s="64">
        <v>7</v>
      </c>
      <c r="H94" s="64">
        <v>6</v>
      </c>
      <c r="I94" s="64">
        <v>4</v>
      </c>
      <c r="J94" s="64">
        <v>2</v>
      </c>
      <c r="K94" s="64">
        <v>2</v>
      </c>
      <c r="L94" s="64">
        <v>4</v>
      </c>
      <c r="M94" s="64">
        <v>4</v>
      </c>
      <c r="N94" s="64">
        <v>2</v>
      </c>
      <c r="O94" s="64">
        <v>1</v>
      </c>
      <c r="P94" s="64">
        <v>1</v>
      </c>
    </row>
    <row r="95" spans="1:16" ht="9">
      <c r="A95" s="14" t="s">
        <v>255</v>
      </c>
      <c r="B95" s="64">
        <v>8</v>
      </c>
      <c r="C95" s="64">
        <v>8</v>
      </c>
      <c r="D95" s="64">
        <v>5</v>
      </c>
      <c r="E95" s="64">
        <v>3</v>
      </c>
      <c r="F95" s="64">
        <v>3</v>
      </c>
      <c r="G95" s="64">
        <v>6</v>
      </c>
      <c r="H95" s="64">
        <v>6</v>
      </c>
      <c r="I95" s="64">
        <v>4</v>
      </c>
      <c r="J95" s="64">
        <v>2</v>
      </c>
      <c r="K95" s="64">
        <v>2</v>
      </c>
      <c r="L95" s="64">
        <v>4</v>
      </c>
      <c r="M95" s="64">
        <v>4</v>
      </c>
      <c r="N95" s="64">
        <v>2</v>
      </c>
      <c r="O95" s="64">
        <v>1</v>
      </c>
      <c r="P95" s="64">
        <v>1</v>
      </c>
    </row>
    <row r="96" spans="1:16" ht="9">
      <c r="A96" s="14" t="s">
        <v>256</v>
      </c>
      <c r="B96" s="64">
        <v>8</v>
      </c>
      <c r="C96" s="64">
        <v>8</v>
      </c>
      <c r="D96" s="64">
        <v>5</v>
      </c>
      <c r="E96" s="64">
        <v>3</v>
      </c>
      <c r="F96" s="64">
        <v>3</v>
      </c>
      <c r="G96" s="64">
        <v>7</v>
      </c>
      <c r="H96" s="64">
        <v>7</v>
      </c>
      <c r="I96" s="64">
        <v>4</v>
      </c>
      <c r="J96" s="64">
        <v>2</v>
      </c>
      <c r="K96" s="64">
        <v>2</v>
      </c>
      <c r="L96" s="64">
        <v>4</v>
      </c>
      <c r="M96" s="64">
        <v>4</v>
      </c>
      <c r="N96" s="64">
        <v>2</v>
      </c>
      <c r="O96" s="64">
        <v>1</v>
      </c>
      <c r="P96" s="64">
        <v>1</v>
      </c>
    </row>
    <row r="97" spans="1:16" ht="9">
      <c r="A97" s="14" t="s">
        <v>599</v>
      </c>
      <c r="B97" s="64">
        <v>8</v>
      </c>
      <c r="C97" s="64">
        <v>8</v>
      </c>
      <c r="D97" s="64">
        <v>5</v>
      </c>
      <c r="E97" s="64">
        <v>3</v>
      </c>
      <c r="F97" s="64">
        <v>3</v>
      </c>
      <c r="G97" s="64">
        <v>7</v>
      </c>
      <c r="H97" s="64">
        <v>7</v>
      </c>
      <c r="I97" s="64">
        <v>4</v>
      </c>
      <c r="J97" s="64">
        <v>2</v>
      </c>
      <c r="K97" s="64">
        <v>2</v>
      </c>
      <c r="L97" s="64">
        <v>4</v>
      </c>
      <c r="M97" s="64">
        <v>4</v>
      </c>
      <c r="N97" s="64">
        <v>3</v>
      </c>
      <c r="O97" s="64">
        <v>2</v>
      </c>
      <c r="P97" s="64">
        <v>1</v>
      </c>
    </row>
    <row r="98" spans="1:16" ht="9">
      <c r="A98" s="14" t="s">
        <v>600</v>
      </c>
      <c r="B98" s="64">
        <v>8</v>
      </c>
      <c r="C98" s="64">
        <v>8</v>
      </c>
      <c r="D98" s="64">
        <v>5</v>
      </c>
      <c r="E98" s="64">
        <v>4</v>
      </c>
      <c r="F98" s="64">
        <v>3</v>
      </c>
      <c r="G98" s="64">
        <v>7</v>
      </c>
      <c r="H98" s="64">
        <v>7</v>
      </c>
      <c r="I98" s="64">
        <v>5</v>
      </c>
      <c r="J98" s="64">
        <v>3</v>
      </c>
      <c r="K98" s="64">
        <v>2</v>
      </c>
      <c r="L98" s="64">
        <v>5</v>
      </c>
      <c r="M98" s="64">
        <v>5</v>
      </c>
      <c r="N98" s="64">
        <v>3</v>
      </c>
      <c r="O98" s="64">
        <v>2</v>
      </c>
      <c r="P98" s="64">
        <v>2</v>
      </c>
    </row>
    <row r="99" spans="1:16" s="63" customFormat="1" ht="9">
      <c r="A99" s="63" t="s">
        <v>601</v>
      </c>
      <c r="B99" s="65">
        <v>8</v>
      </c>
      <c r="C99" s="65">
        <v>8</v>
      </c>
      <c r="D99" s="65">
        <v>5</v>
      </c>
      <c r="E99" s="65">
        <v>4</v>
      </c>
      <c r="F99" s="65">
        <v>3</v>
      </c>
      <c r="G99" s="65">
        <v>7</v>
      </c>
      <c r="H99" s="65">
        <v>7</v>
      </c>
      <c r="I99" s="65">
        <v>5</v>
      </c>
      <c r="J99" s="65">
        <v>3</v>
      </c>
      <c r="K99" s="65">
        <v>2</v>
      </c>
      <c r="L99" s="65">
        <v>5</v>
      </c>
      <c r="M99" s="65">
        <v>5</v>
      </c>
      <c r="N99" s="65">
        <v>3</v>
      </c>
      <c r="O99" s="65">
        <v>2</v>
      </c>
      <c r="P99" s="65">
        <v>2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8"/>
  <sheetViews>
    <sheetView tabSelected="1" zoomScale="75" zoomScaleNormal="75" workbookViewId="0" topLeftCell="A1">
      <pane xSplit="1" ySplit="1" topLeftCell="B323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353" sqref="A353"/>
    </sheetView>
  </sheetViews>
  <sheetFormatPr defaultColWidth="9.00390625" defaultRowHeight="12"/>
  <cols>
    <col min="1" max="1" width="33.625" style="1" customWidth="1"/>
    <col min="2" max="25" width="13.75390625" style="1" customWidth="1"/>
    <col min="26" max="16384" width="10.875" style="1" customWidth="1"/>
  </cols>
  <sheetData>
    <row r="1" spans="1:17" s="75" customFormat="1" ht="12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5" ht="12">
      <c r="A2" s="1" t="s">
        <v>228</v>
      </c>
      <c r="B2" s="566" t="s">
        <v>235</v>
      </c>
      <c r="C2" s="567"/>
      <c r="D2" s="567"/>
      <c r="E2" s="567"/>
      <c r="F2" s="567"/>
      <c r="G2" s="203"/>
      <c r="H2" s="597" t="s">
        <v>339</v>
      </c>
      <c r="I2" s="567"/>
      <c r="J2" s="567"/>
      <c r="K2" s="567"/>
      <c r="L2" s="567"/>
      <c r="M2" s="567"/>
      <c r="N2" s="597" t="s">
        <v>340</v>
      </c>
      <c r="O2" s="567"/>
      <c r="P2" s="567"/>
      <c r="Q2" s="567"/>
      <c r="R2" s="567"/>
      <c r="S2" s="598"/>
      <c r="T2" s="595"/>
      <c r="U2" s="596"/>
      <c r="V2" s="595"/>
      <c r="W2" s="596"/>
      <c r="X2" s="595"/>
      <c r="Y2" s="596"/>
    </row>
    <row r="3" spans="1:25" ht="12">
      <c r="A3" s="132" t="s">
        <v>230</v>
      </c>
      <c r="B3" s="71">
        <v>70</v>
      </c>
      <c r="C3" s="71">
        <v>50</v>
      </c>
      <c r="D3" s="68" t="s">
        <v>157</v>
      </c>
      <c r="E3" s="243">
        <v>70</v>
      </c>
      <c r="F3" s="71">
        <v>50</v>
      </c>
      <c r="G3" s="68" t="s">
        <v>157</v>
      </c>
      <c r="H3" s="243">
        <v>70</v>
      </c>
      <c r="I3" s="71">
        <v>50</v>
      </c>
      <c r="J3" s="68" t="s">
        <v>157</v>
      </c>
      <c r="K3" s="243">
        <v>70</v>
      </c>
      <c r="L3" s="71">
        <v>50</v>
      </c>
      <c r="M3" s="68" t="s">
        <v>157</v>
      </c>
      <c r="N3" s="243">
        <v>70</v>
      </c>
      <c r="O3" s="71">
        <v>50</v>
      </c>
      <c r="P3" s="68" t="s">
        <v>157</v>
      </c>
      <c r="Q3" s="243">
        <v>70</v>
      </c>
      <c r="R3" s="71">
        <v>50</v>
      </c>
      <c r="S3" s="267" t="s">
        <v>157</v>
      </c>
      <c r="T3" s="77"/>
      <c r="U3" s="77"/>
      <c r="V3" s="77"/>
      <c r="W3" s="77"/>
      <c r="X3" s="77"/>
      <c r="Y3" s="77"/>
    </row>
    <row r="4" spans="1:26" ht="12">
      <c r="A4" s="2">
        <v>1</v>
      </c>
      <c r="B4" s="87" t="s">
        <v>632</v>
      </c>
      <c r="C4" s="87" t="s">
        <v>632</v>
      </c>
      <c r="D4" s="242" t="s">
        <v>632</v>
      </c>
      <c r="E4" s="244" t="s">
        <v>633</v>
      </c>
      <c r="F4" s="87" t="s">
        <v>633</v>
      </c>
      <c r="G4" s="242" t="s">
        <v>633</v>
      </c>
      <c r="H4" s="244" t="s">
        <v>632</v>
      </c>
      <c r="I4" s="87" t="s">
        <v>632</v>
      </c>
      <c r="J4" s="242" t="s">
        <v>632</v>
      </c>
      <c r="K4" s="244" t="s">
        <v>633</v>
      </c>
      <c r="L4" s="87" t="s">
        <v>633</v>
      </c>
      <c r="M4" s="242" t="s">
        <v>633</v>
      </c>
      <c r="N4" s="244" t="s">
        <v>632</v>
      </c>
      <c r="O4" s="87" t="s">
        <v>632</v>
      </c>
      <c r="P4" s="242" t="s">
        <v>632</v>
      </c>
      <c r="Q4" s="244" t="s">
        <v>633</v>
      </c>
      <c r="R4" s="87" t="s">
        <v>633</v>
      </c>
      <c r="S4" s="268" t="s">
        <v>633</v>
      </c>
      <c r="T4" s="77"/>
      <c r="U4" s="77"/>
      <c r="V4" s="77"/>
      <c r="W4" s="77"/>
      <c r="X4" s="77"/>
      <c r="Y4" s="77"/>
      <c r="Z4" s="93"/>
    </row>
    <row r="5" spans="1:25" ht="12">
      <c r="A5" s="2">
        <v>2</v>
      </c>
      <c r="B5" s="88"/>
      <c r="C5" s="89"/>
      <c r="D5" s="246"/>
      <c r="E5" s="250"/>
      <c r="F5" s="248"/>
      <c r="G5" s="249"/>
      <c r="H5" s="252"/>
      <c r="I5" s="89"/>
      <c r="J5" s="246"/>
      <c r="K5" s="250"/>
      <c r="L5" s="248"/>
      <c r="M5" s="249"/>
      <c r="N5" s="252"/>
      <c r="O5" s="89"/>
      <c r="P5" s="246"/>
      <c r="Q5" s="250"/>
      <c r="R5" s="248"/>
      <c r="S5" s="269"/>
      <c r="T5" s="77"/>
      <c r="U5" s="77"/>
      <c r="V5" s="77"/>
      <c r="W5" s="77"/>
      <c r="X5" s="77"/>
      <c r="Y5" s="77"/>
    </row>
    <row r="6" spans="1:25" ht="12">
      <c r="A6" s="2">
        <v>3</v>
      </c>
      <c r="B6" s="88"/>
      <c r="C6" s="89"/>
      <c r="D6" s="246"/>
      <c r="E6" s="250"/>
      <c r="F6" s="248"/>
      <c r="G6" s="249"/>
      <c r="H6" s="252"/>
      <c r="I6" s="89"/>
      <c r="J6" s="246"/>
      <c r="K6" s="250"/>
      <c r="L6" s="248"/>
      <c r="M6" s="249"/>
      <c r="N6" s="252"/>
      <c r="O6" s="89"/>
      <c r="P6" s="246"/>
      <c r="Q6" s="250"/>
      <c r="R6" s="248"/>
      <c r="S6" s="269"/>
      <c r="T6" s="77"/>
      <c r="U6" s="77"/>
      <c r="V6" s="77"/>
      <c r="W6" s="77"/>
      <c r="X6" s="77"/>
      <c r="Y6" s="77"/>
    </row>
    <row r="7" spans="1:25" ht="12">
      <c r="A7" s="2">
        <v>4</v>
      </c>
      <c r="B7" s="88"/>
      <c r="C7" s="89"/>
      <c r="D7" s="246"/>
      <c r="E7" s="250"/>
      <c r="F7" s="248"/>
      <c r="G7" s="249"/>
      <c r="H7" s="252"/>
      <c r="I7" s="89"/>
      <c r="J7" s="246"/>
      <c r="K7" s="250"/>
      <c r="L7" s="248"/>
      <c r="M7" s="249"/>
      <c r="N7" s="252"/>
      <c r="O7" s="89"/>
      <c r="P7" s="246"/>
      <c r="Q7" s="250"/>
      <c r="R7" s="248"/>
      <c r="S7" s="269"/>
      <c r="T7" s="77"/>
      <c r="U7" s="77"/>
      <c r="V7" s="77"/>
      <c r="W7" s="77"/>
      <c r="X7" s="77"/>
      <c r="Y7" s="77"/>
    </row>
    <row r="8" spans="1:25" ht="12">
      <c r="A8" s="2">
        <v>5</v>
      </c>
      <c r="B8" s="88"/>
      <c r="C8" s="89"/>
      <c r="D8" s="246"/>
      <c r="E8" s="250"/>
      <c r="F8" s="248"/>
      <c r="G8" s="249"/>
      <c r="H8" s="252"/>
      <c r="I8" s="89"/>
      <c r="J8" s="246"/>
      <c r="K8" s="250"/>
      <c r="L8" s="248"/>
      <c r="M8" s="249"/>
      <c r="N8" s="252"/>
      <c r="O8" s="89"/>
      <c r="P8" s="246"/>
      <c r="Q8" s="250"/>
      <c r="R8" s="248"/>
      <c r="S8" s="269"/>
      <c r="T8" s="77"/>
      <c r="U8" s="77"/>
      <c r="V8" s="77"/>
      <c r="W8" s="77"/>
      <c r="X8" s="77"/>
      <c r="Y8" s="77"/>
    </row>
    <row r="9" spans="1:25" ht="12">
      <c r="A9" s="2">
        <v>6</v>
      </c>
      <c r="B9" s="88"/>
      <c r="C9" s="89"/>
      <c r="D9" s="246"/>
      <c r="E9" s="250"/>
      <c r="F9" s="248"/>
      <c r="G9" s="249"/>
      <c r="H9" s="252"/>
      <c r="I9" s="89"/>
      <c r="J9" s="246"/>
      <c r="K9" s="250"/>
      <c r="L9" s="248"/>
      <c r="M9" s="249"/>
      <c r="N9" s="252"/>
      <c r="O9" s="89"/>
      <c r="P9" s="246"/>
      <c r="Q9" s="250"/>
      <c r="R9" s="248"/>
      <c r="S9" s="269"/>
      <c r="T9" s="77"/>
      <c r="U9" s="77"/>
      <c r="V9" s="77"/>
      <c r="W9" s="77"/>
      <c r="X9" s="77"/>
      <c r="Y9" s="77"/>
    </row>
    <row r="10" spans="1:25" ht="12">
      <c r="A10" s="2">
        <v>7</v>
      </c>
      <c r="B10" s="88"/>
      <c r="C10" s="89"/>
      <c r="D10" s="246"/>
      <c r="E10" s="250"/>
      <c r="F10" s="248"/>
      <c r="G10" s="249"/>
      <c r="H10" s="252"/>
      <c r="I10" s="89"/>
      <c r="J10" s="246"/>
      <c r="K10" s="250"/>
      <c r="L10" s="248"/>
      <c r="M10" s="249"/>
      <c r="N10" s="252"/>
      <c r="O10" s="89"/>
      <c r="P10" s="246"/>
      <c r="Q10" s="250"/>
      <c r="R10" s="248"/>
      <c r="S10" s="269"/>
      <c r="T10" s="77"/>
      <c r="U10" s="77"/>
      <c r="V10" s="77"/>
      <c r="W10" s="77"/>
      <c r="X10" s="77"/>
      <c r="Y10" s="77"/>
    </row>
    <row r="11" spans="1:25" ht="12">
      <c r="A11" s="2">
        <v>8</v>
      </c>
      <c r="B11" s="88"/>
      <c r="C11" s="89"/>
      <c r="D11" s="246"/>
      <c r="E11" s="250"/>
      <c r="F11" s="248"/>
      <c r="G11" s="249"/>
      <c r="H11" s="252"/>
      <c r="I11" s="89"/>
      <c r="J11" s="246"/>
      <c r="K11" s="250"/>
      <c r="L11" s="248"/>
      <c r="M11" s="249"/>
      <c r="N11" s="252"/>
      <c r="O11" s="89"/>
      <c r="P11" s="246"/>
      <c r="Q11" s="250"/>
      <c r="R11" s="248"/>
      <c r="S11" s="269"/>
      <c r="T11" s="77"/>
      <c r="U11" s="77"/>
      <c r="V11" s="77"/>
      <c r="W11" s="77"/>
      <c r="X11" s="77"/>
      <c r="Y11" s="77"/>
    </row>
    <row r="12" spans="1:25" ht="12">
      <c r="A12" s="2">
        <v>9</v>
      </c>
      <c r="B12" s="88"/>
      <c r="C12" s="89"/>
      <c r="D12" s="246"/>
      <c r="E12" s="250"/>
      <c r="F12" s="248"/>
      <c r="G12" s="249"/>
      <c r="H12" s="252"/>
      <c r="I12" s="89"/>
      <c r="J12" s="246"/>
      <c r="K12" s="250"/>
      <c r="L12" s="248"/>
      <c r="M12" s="249"/>
      <c r="N12" s="252"/>
      <c r="O12" s="89"/>
      <c r="P12" s="246"/>
      <c r="Q12" s="250"/>
      <c r="R12" s="248"/>
      <c r="S12" s="269"/>
      <c r="T12" s="77"/>
      <c r="U12" s="77"/>
      <c r="V12" s="77"/>
      <c r="W12" s="77"/>
      <c r="X12" s="77"/>
      <c r="Y12" s="77"/>
    </row>
    <row r="13" spans="1:25" ht="12">
      <c r="A13" s="2">
        <v>10</v>
      </c>
      <c r="B13" s="88"/>
      <c r="C13" s="89"/>
      <c r="D13" s="246"/>
      <c r="E13" s="250"/>
      <c r="F13" s="248"/>
      <c r="G13" s="249"/>
      <c r="H13" s="252"/>
      <c r="I13" s="89"/>
      <c r="J13" s="246"/>
      <c r="K13" s="250"/>
      <c r="L13" s="248"/>
      <c r="M13" s="249"/>
      <c r="N13" s="252"/>
      <c r="O13" s="89"/>
      <c r="P13" s="246"/>
      <c r="Q13" s="250"/>
      <c r="R13" s="248"/>
      <c r="S13" s="269"/>
      <c r="T13" s="77"/>
      <c r="U13" s="77"/>
      <c r="V13" s="77"/>
      <c r="W13" s="77"/>
      <c r="X13" s="77"/>
      <c r="Y13" s="77"/>
    </row>
    <row r="14" spans="1:25" ht="12">
      <c r="A14" s="2">
        <v>11</v>
      </c>
      <c r="B14" s="88"/>
      <c r="C14" s="89"/>
      <c r="D14" s="246"/>
      <c r="E14" s="250"/>
      <c r="F14" s="248"/>
      <c r="G14" s="249"/>
      <c r="H14" s="252"/>
      <c r="I14" s="89"/>
      <c r="J14" s="246"/>
      <c r="K14" s="250"/>
      <c r="L14" s="248"/>
      <c r="M14" s="249"/>
      <c r="N14" s="252"/>
      <c r="O14" s="89"/>
      <c r="P14" s="246"/>
      <c r="Q14" s="250"/>
      <c r="R14" s="248"/>
      <c r="S14" s="269"/>
      <c r="T14" s="77"/>
      <c r="U14" s="77"/>
      <c r="V14" s="77"/>
      <c r="W14" s="77"/>
      <c r="X14" s="77"/>
      <c r="Y14" s="77"/>
    </row>
    <row r="15" spans="1:25" ht="12">
      <c r="A15" s="2">
        <v>12</v>
      </c>
      <c r="B15" s="88"/>
      <c r="C15" s="89"/>
      <c r="D15" s="246"/>
      <c r="E15" s="245" t="s">
        <v>437</v>
      </c>
      <c r="F15" s="248"/>
      <c r="G15" s="249"/>
      <c r="H15" s="252"/>
      <c r="I15" s="89"/>
      <c r="J15" s="246"/>
      <c r="K15" s="245" t="s">
        <v>437</v>
      </c>
      <c r="L15" s="248"/>
      <c r="M15" s="249"/>
      <c r="N15" s="252"/>
      <c r="O15" s="89"/>
      <c r="P15" s="246"/>
      <c r="Q15" s="250"/>
      <c r="R15" s="248"/>
      <c r="S15" s="269"/>
      <c r="T15" s="77"/>
      <c r="U15" s="77"/>
      <c r="V15" s="77"/>
      <c r="W15" s="77"/>
      <c r="X15" s="77"/>
      <c r="Y15" s="77"/>
    </row>
    <row r="16" spans="1:25" ht="12">
      <c r="A16" s="2">
        <v>13</v>
      </c>
      <c r="B16" s="88"/>
      <c r="C16" s="89"/>
      <c r="D16" s="246"/>
      <c r="E16" s="250"/>
      <c r="F16" s="248"/>
      <c r="G16" s="249"/>
      <c r="H16" s="252"/>
      <c r="I16" s="89"/>
      <c r="J16" s="246"/>
      <c r="K16" s="250"/>
      <c r="L16" s="248"/>
      <c r="M16" s="249"/>
      <c r="N16" s="252"/>
      <c r="O16" s="89"/>
      <c r="P16" s="246"/>
      <c r="Q16" s="245" t="s">
        <v>437</v>
      </c>
      <c r="R16" s="248"/>
      <c r="S16" s="269"/>
      <c r="T16" s="77"/>
      <c r="U16" s="77"/>
      <c r="V16" s="77"/>
      <c r="W16" s="77"/>
      <c r="X16" s="77"/>
      <c r="Y16" s="77"/>
    </row>
    <row r="17" spans="1:25" ht="12">
      <c r="A17" s="2">
        <v>14</v>
      </c>
      <c r="B17" s="92" t="s">
        <v>437</v>
      </c>
      <c r="C17" s="89"/>
      <c r="D17" s="246"/>
      <c r="E17" s="250"/>
      <c r="F17" s="248"/>
      <c r="G17" s="249"/>
      <c r="H17" s="245" t="s">
        <v>437</v>
      </c>
      <c r="I17" s="89"/>
      <c r="J17" s="246"/>
      <c r="K17" s="250"/>
      <c r="L17" s="248"/>
      <c r="M17" s="249"/>
      <c r="N17" s="252"/>
      <c r="O17" s="89"/>
      <c r="P17" s="246"/>
      <c r="Q17" s="250"/>
      <c r="R17" s="248"/>
      <c r="S17" s="269"/>
      <c r="T17" s="77"/>
      <c r="U17" s="77"/>
      <c r="V17" s="77"/>
      <c r="W17" s="77"/>
      <c r="X17" s="77"/>
      <c r="Y17" s="77"/>
    </row>
    <row r="18" spans="1:25" ht="12">
      <c r="A18" s="2">
        <v>15</v>
      </c>
      <c r="B18" s="88"/>
      <c r="C18" s="89"/>
      <c r="D18" s="246"/>
      <c r="E18" s="250"/>
      <c r="F18" s="248"/>
      <c r="G18" s="249"/>
      <c r="H18" s="252"/>
      <c r="I18" s="89"/>
      <c r="J18" s="246"/>
      <c r="K18" s="250"/>
      <c r="L18" s="248"/>
      <c r="M18" s="249"/>
      <c r="N18" s="252"/>
      <c r="O18" s="89"/>
      <c r="P18" s="246"/>
      <c r="Q18" s="250"/>
      <c r="R18" s="248"/>
      <c r="S18" s="269"/>
      <c r="T18" s="77"/>
      <c r="U18" s="77"/>
      <c r="V18" s="77"/>
      <c r="W18" s="77"/>
      <c r="X18" s="77"/>
      <c r="Y18" s="77"/>
    </row>
    <row r="19" spans="1:25" ht="12">
      <c r="A19" s="2">
        <v>16</v>
      </c>
      <c r="B19" s="88"/>
      <c r="C19" s="89"/>
      <c r="D19" s="246"/>
      <c r="E19" s="250"/>
      <c r="F19" s="248"/>
      <c r="G19" s="249"/>
      <c r="H19" s="252"/>
      <c r="I19" s="89"/>
      <c r="J19" s="246"/>
      <c r="K19" s="250"/>
      <c r="L19" s="248"/>
      <c r="M19" s="249"/>
      <c r="N19" s="252"/>
      <c r="O19" s="89"/>
      <c r="P19" s="246"/>
      <c r="Q19" s="250"/>
      <c r="R19" s="248"/>
      <c r="S19" s="269"/>
      <c r="T19" s="77"/>
      <c r="U19" s="77"/>
      <c r="V19" s="77"/>
      <c r="W19" s="77"/>
      <c r="X19" s="77"/>
      <c r="Y19" s="77"/>
    </row>
    <row r="20" spans="1:25" ht="12">
      <c r="A20" s="2">
        <v>17</v>
      </c>
      <c r="B20" s="88"/>
      <c r="C20" s="89"/>
      <c r="D20" s="246"/>
      <c r="E20" s="250"/>
      <c r="F20" s="248"/>
      <c r="G20" s="249"/>
      <c r="H20" s="252"/>
      <c r="I20" s="89"/>
      <c r="J20" s="246"/>
      <c r="K20" s="250"/>
      <c r="L20" s="248"/>
      <c r="M20" s="249"/>
      <c r="N20" s="252"/>
      <c r="O20" s="89"/>
      <c r="P20" s="246"/>
      <c r="Q20" s="250"/>
      <c r="R20" s="248"/>
      <c r="S20" s="269"/>
      <c r="T20" s="77"/>
      <c r="U20" s="77"/>
      <c r="V20" s="77"/>
      <c r="W20" s="77"/>
      <c r="X20" s="77"/>
      <c r="Y20" s="77"/>
    </row>
    <row r="21" spans="1:25" ht="12">
      <c r="A21" s="2">
        <v>18</v>
      </c>
      <c r="B21" s="88"/>
      <c r="C21" s="89"/>
      <c r="D21" s="246"/>
      <c r="E21" s="250"/>
      <c r="F21" s="92" t="s">
        <v>437</v>
      </c>
      <c r="G21" s="82" t="s">
        <v>437</v>
      </c>
      <c r="H21" s="252"/>
      <c r="I21" s="89"/>
      <c r="J21" s="246"/>
      <c r="K21" s="250"/>
      <c r="L21" s="92" t="s">
        <v>437</v>
      </c>
      <c r="M21" s="82" t="s">
        <v>437</v>
      </c>
      <c r="N21" s="245" t="s">
        <v>437</v>
      </c>
      <c r="O21" s="89"/>
      <c r="P21" s="246"/>
      <c r="Q21" s="250"/>
      <c r="R21" s="92" t="s">
        <v>437</v>
      </c>
      <c r="S21" s="270" t="s">
        <v>437</v>
      </c>
      <c r="T21" s="77"/>
      <c r="U21" s="77"/>
      <c r="V21" s="77"/>
      <c r="W21" s="77"/>
      <c r="X21" s="77"/>
      <c r="Y21" s="77"/>
    </row>
    <row r="22" spans="1:25" ht="12">
      <c r="A22" s="2">
        <v>19</v>
      </c>
      <c r="B22" s="88"/>
      <c r="C22" s="89"/>
      <c r="D22" s="246"/>
      <c r="E22" s="245" t="s">
        <v>620</v>
      </c>
      <c r="F22" s="248"/>
      <c r="G22" s="249"/>
      <c r="H22" s="252"/>
      <c r="I22" s="89"/>
      <c r="J22" s="246"/>
      <c r="K22" s="245" t="s">
        <v>620</v>
      </c>
      <c r="L22" s="248"/>
      <c r="M22" s="249"/>
      <c r="N22" s="252"/>
      <c r="O22" s="89"/>
      <c r="P22" s="246"/>
      <c r="Q22" s="250"/>
      <c r="R22" s="248"/>
      <c r="S22" s="269"/>
      <c r="T22" s="77"/>
      <c r="U22" s="77"/>
      <c r="V22" s="77"/>
      <c r="W22" s="77"/>
      <c r="X22" s="77"/>
      <c r="Y22" s="77"/>
    </row>
    <row r="23" spans="1:25" ht="12">
      <c r="A23" s="2">
        <v>20</v>
      </c>
      <c r="B23" s="88"/>
      <c r="C23" s="89"/>
      <c r="D23" s="246"/>
      <c r="E23" s="250"/>
      <c r="F23" s="248"/>
      <c r="G23" s="249"/>
      <c r="H23" s="252"/>
      <c r="I23" s="89"/>
      <c r="J23" s="246"/>
      <c r="K23" s="250"/>
      <c r="L23" s="248"/>
      <c r="M23" s="249"/>
      <c r="N23" s="252"/>
      <c r="O23" s="89"/>
      <c r="P23" s="246"/>
      <c r="Q23" s="250"/>
      <c r="R23" s="248"/>
      <c r="S23" s="269"/>
      <c r="T23" s="77"/>
      <c r="U23" s="77"/>
      <c r="V23" s="77"/>
      <c r="W23" s="77"/>
      <c r="X23" s="77"/>
      <c r="Y23" s="77"/>
    </row>
    <row r="24" spans="1:25" ht="12">
      <c r="A24" s="2">
        <v>21</v>
      </c>
      <c r="B24" s="92" t="s">
        <v>620</v>
      </c>
      <c r="C24" s="89"/>
      <c r="D24" s="246"/>
      <c r="E24" s="250"/>
      <c r="F24" s="248"/>
      <c r="G24" s="249"/>
      <c r="H24" s="245" t="s">
        <v>620</v>
      </c>
      <c r="I24" s="89"/>
      <c r="J24" s="246"/>
      <c r="K24" s="250"/>
      <c r="L24" s="248"/>
      <c r="M24" s="249"/>
      <c r="N24" s="252"/>
      <c r="O24" s="89"/>
      <c r="P24" s="246"/>
      <c r="Q24" s="245" t="s">
        <v>437</v>
      </c>
      <c r="R24" s="248"/>
      <c r="S24" s="269"/>
      <c r="T24" s="77"/>
      <c r="U24" s="77"/>
      <c r="V24" s="77"/>
      <c r="W24" s="77"/>
      <c r="X24" s="77"/>
      <c r="Y24" s="77"/>
    </row>
    <row r="25" spans="1:25" ht="12">
      <c r="A25" s="2">
        <v>22</v>
      </c>
      <c r="B25" s="88"/>
      <c r="C25" s="89"/>
      <c r="D25" s="246"/>
      <c r="E25" s="250"/>
      <c r="F25" s="248"/>
      <c r="G25" s="249"/>
      <c r="H25" s="252"/>
      <c r="I25" s="89"/>
      <c r="J25" s="246"/>
      <c r="K25" s="250"/>
      <c r="L25" s="248"/>
      <c r="M25" s="249"/>
      <c r="N25" s="252"/>
      <c r="O25" s="89"/>
      <c r="P25" s="246"/>
      <c r="Q25" s="250"/>
      <c r="R25" s="248"/>
      <c r="S25" s="269"/>
      <c r="T25" s="77"/>
      <c r="U25" s="77"/>
      <c r="V25" s="77"/>
      <c r="W25" s="77"/>
      <c r="X25" s="77"/>
      <c r="Y25" s="77"/>
    </row>
    <row r="26" spans="1:25" ht="12">
      <c r="A26" s="2">
        <v>23</v>
      </c>
      <c r="B26" s="88"/>
      <c r="C26" s="89"/>
      <c r="D26" s="246"/>
      <c r="E26" s="250"/>
      <c r="F26" s="248"/>
      <c r="G26" s="82" t="s">
        <v>620</v>
      </c>
      <c r="H26" s="252"/>
      <c r="I26" s="89"/>
      <c r="J26" s="246"/>
      <c r="K26" s="250"/>
      <c r="L26" s="248"/>
      <c r="M26" s="249"/>
      <c r="N26" s="252"/>
      <c r="O26" s="89"/>
      <c r="P26" s="246"/>
      <c r="Q26" s="250"/>
      <c r="R26" s="248"/>
      <c r="S26" s="269"/>
      <c r="T26" s="77"/>
      <c r="U26" s="77"/>
      <c r="V26" s="77"/>
      <c r="W26" s="77"/>
      <c r="X26" s="77"/>
      <c r="Y26" s="77"/>
    </row>
    <row r="27" spans="1:25" ht="12">
      <c r="A27" s="2">
        <v>24</v>
      </c>
      <c r="B27" s="88"/>
      <c r="C27" s="92" t="s">
        <v>437</v>
      </c>
      <c r="D27" s="82" t="s">
        <v>437</v>
      </c>
      <c r="E27" s="250"/>
      <c r="F27" s="248"/>
      <c r="G27" s="249"/>
      <c r="H27" s="252"/>
      <c r="I27" s="92" t="s">
        <v>437</v>
      </c>
      <c r="J27" s="82" t="s">
        <v>437</v>
      </c>
      <c r="K27" s="250"/>
      <c r="L27" s="248"/>
      <c r="M27" s="249"/>
      <c r="N27" s="252"/>
      <c r="O27" s="89"/>
      <c r="P27" s="246"/>
      <c r="Q27" s="250"/>
      <c r="R27" s="248"/>
      <c r="S27" s="269"/>
      <c r="T27" s="77"/>
      <c r="U27" s="77"/>
      <c r="V27" s="77"/>
      <c r="W27" s="77"/>
      <c r="X27" s="77"/>
      <c r="Y27" s="77"/>
    </row>
    <row r="28" spans="1:25" ht="12">
      <c r="A28" s="2">
        <v>25</v>
      </c>
      <c r="B28" s="88"/>
      <c r="C28" s="89"/>
      <c r="D28" s="246"/>
      <c r="E28" s="250"/>
      <c r="F28" s="248"/>
      <c r="G28" s="249"/>
      <c r="H28" s="252"/>
      <c r="I28" s="89"/>
      <c r="J28" s="246"/>
      <c r="K28" s="250"/>
      <c r="L28" s="248"/>
      <c r="M28" s="2" t="s">
        <v>620</v>
      </c>
      <c r="N28" s="252"/>
      <c r="O28" s="92" t="s">
        <v>437</v>
      </c>
      <c r="P28" s="82" t="s">
        <v>437</v>
      </c>
      <c r="Q28" s="250"/>
      <c r="R28" s="248"/>
      <c r="S28" s="271" t="s">
        <v>620</v>
      </c>
      <c r="T28" s="77"/>
      <c r="U28" s="77"/>
      <c r="V28" s="77"/>
      <c r="W28" s="77"/>
      <c r="X28" s="77"/>
      <c r="Y28" s="77"/>
    </row>
    <row r="29" spans="1:25" ht="12">
      <c r="A29" s="2">
        <v>26</v>
      </c>
      <c r="B29" s="88"/>
      <c r="C29" s="89"/>
      <c r="D29" s="246"/>
      <c r="E29" s="250"/>
      <c r="F29" s="248"/>
      <c r="G29" s="249"/>
      <c r="H29" s="252"/>
      <c r="I29" s="89"/>
      <c r="J29" s="246"/>
      <c r="K29" s="250"/>
      <c r="L29" s="248"/>
      <c r="M29" s="249"/>
      <c r="N29" s="245" t="s">
        <v>437</v>
      </c>
      <c r="O29" s="89"/>
      <c r="P29" s="246"/>
      <c r="Q29" s="250"/>
      <c r="R29" s="248"/>
      <c r="S29" s="269"/>
      <c r="T29" s="77"/>
      <c r="U29" s="77"/>
      <c r="V29" s="77"/>
      <c r="W29" s="77"/>
      <c r="X29" s="77"/>
      <c r="Y29" s="77"/>
    </row>
    <row r="30" spans="1:25" ht="12">
      <c r="A30" s="2">
        <v>27</v>
      </c>
      <c r="B30" s="88"/>
      <c r="C30" s="89"/>
      <c r="D30" s="246"/>
      <c r="E30" s="245" t="s">
        <v>437</v>
      </c>
      <c r="F30" s="248"/>
      <c r="G30" s="249"/>
      <c r="H30" s="252"/>
      <c r="I30" s="89"/>
      <c r="J30" s="246"/>
      <c r="K30" s="245" t="s">
        <v>437</v>
      </c>
      <c r="L30" s="248"/>
      <c r="M30" s="249"/>
      <c r="N30" s="252"/>
      <c r="O30" s="89"/>
      <c r="P30" s="246"/>
      <c r="Q30" s="250"/>
      <c r="R30" s="248"/>
      <c r="S30" s="269"/>
      <c r="T30" s="77"/>
      <c r="U30" s="77"/>
      <c r="V30" s="77"/>
      <c r="W30" s="77"/>
      <c r="X30" s="77"/>
      <c r="Y30" s="77"/>
    </row>
    <row r="31" spans="1:25" ht="12">
      <c r="A31" s="2">
        <v>28</v>
      </c>
      <c r="B31" s="88"/>
      <c r="C31" s="89"/>
      <c r="D31" s="246"/>
      <c r="E31" s="250"/>
      <c r="F31" s="248"/>
      <c r="G31" s="249"/>
      <c r="H31" s="252"/>
      <c r="I31" s="89"/>
      <c r="J31" s="246"/>
      <c r="K31" s="250"/>
      <c r="L31" s="248"/>
      <c r="M31" s="249"/>
      <c r="N31" s="252"/>
      <c r="O31" s="89"/>
      <c r="P31" s="246"/>
      <c r="Q31" s="250"/>
      <c r="R31" s="248"/>
      <c r="S31" s="269"/>
      <c r="T31" s="77"/>
      <c r="U31" s="77"/>
      <c r="V31" s="77"/>
      <c r="W31" s="77"/>
      <c r="X31" s="77"/>
      <c r="Y31" s="77"/>
    </row>
    <row r="32" spans="1:25" ht="12">
      <c r="A32" s="2">
        <v>29</v>
      </c>
      <c r="B32" s="92" t="s">
        <v>437</v>
      </c>
      <c r="C32" s="89"/>
      <c r="D32" s="82" t="s">
        <v>620</v>
      </c>
      <c r="E32" s="322"/>
      <c r="F32" s="92" t="s">
        <v>620</v>
      </c>
      <c r="G32" s="249"/>
      <c r="H32" s="245" t="s">
        <v>437</v>
      </c>
      <c r="I32" s="89"/>
      <c r="J32" s="246"/>
      <c r="K32" s="250"/>
      <c r="L32" s="2" t="s">
        <v>620</v>
      </c>
      <c r="M32" s="249"/>
      <c r="N32" s="252"/>
      <c r="O32" s="89"/>
      <c r="P32" s="246"/>
      <c r="Q32" s="245" t="s">
        <v>691</v>
      </c>
      <c r="R32" s="9" t="s">
        <v>718</v>
      </c>
      <c r="S32" s="269"/>
      <c r="T32" s="77"/>
      <c r="U32" s="77"/>
      <c r="V32" s="77"/>
      <c r="W32" s="77"/>
      <c r="X32" s="77"/>
      <c r="Y32" s="77"/>
    </row>
    <row r="33" spans="1:25" ht="12">
      <c r="A33" s="2">
        <v>30</v>
      </c>
      <c r="B33" s="88"/>
      <c r="C33" s="89"/>
      <c r="D33" s="246"/>
      <c r="E33" s="250"/>
      <c r="F33" s="248"/>
      <c r="G33" s="249"/>
      <c r="H33" s="252"/>
      <c r="I33" s="89"/>
      <c r="J33" s="246"/>
      <c r="K33" s="250"/>
      <c r="L33" s="248"/>
      <c r="M33" s="249"/>
      <c r="N33" s="252"/>
      <c r="O33" s="89"/>
      <c r="P33" s="246"/>
      <c r="Q33" s="250"/>
      <c r="R33" s="248"/>
      <c r="S33" s="269"/>
      <c r="T33" s="77"/>
      <c r="U33" s="77"/>
      <c r="V33" s="77"/>
      <c r="W33" s="77"/>
      <c r="X33" s="77"/>
      <c r="Y33" s="77"/>
    </row>
    <row r="34" spans="1:25" ht="12">
      <c r="A34" s="2">
        <v>31</v>
      </c>
      <c r="B34" s="88"/>
      <c r="C34" s="89"/>
      <c r="D34" s="246"/>
      <c r="E34" s="250"/>
      <c r="F34" s="248"/>
      <c r="G34" s="249"/>
      <c r="H34" s="252"/>
      <c r="I34" s="89"/>
      <c r="J34" s="82" t="s">
        <v>620</v>
      </c>
      <c r="K34" s="250"/>
      <c r="L34" s="248"/>
      <c r="M34" s="249"/>
      <c r="N34" s="252"/>
      <c r="O34" s="89"/>
      <c r="P34" s="246"/>
      <c r="Q34" s="250"/>
      <c r="R34" s="248"/>
      <c r="S34" s="269"/>
      <c r="T34" s="77"/>
      <c r="U34" s="77"/>
      <c r="V34" s="77"/>
      <c r="W34" s="77"/>
      <c r="X34" s="77"/>
      <c r="Y34" s="77"/>
    </row>
    <row r="35" spans="1:25" ht="12">
      <c r="A35" s="2">
        <v>32</v>
      </c>
      <c r="B35" s="88"/>
      <c r="C35" s="89"/>
      <c r="D35" s="246"/>
      <c r="E35" s="250"/>
      <c r="F35" s="248"/>
      <c r="G35" s="249"/>
      <c r="H35" s="252"/>
      <c r="I35" s="89"/>
      <c r="J35" s="246"/>
      <c r="K35" s="250"/>
      <c r="L35" s="248"/>
      <c r="M35" s="249"/>
      <c r="N35" s="252"/>
      <c r="O35" s="89"/>
      <c r="P35" s="82" t="s">
        <v>620</v>
      </c>
      <c r="Q35" s="250"/>
      <c r="R35" s="248"/>
      <c r="S35" s="269"/>
      <c r="T35" s="77"/>
      <c r="U35" s="77"/>
      <c r="V35" s="77"/>
      <c r="W35" s="77"/>
      <c r="X35" s="77"/>
      <c r="Y35" s="77"/>
    </row>
    <row r="36" spans="1:25" ht="12">
      <c r="A36" s="2">
        <v>33</v>
      </c>
      <c r="B36" s="88"/>
      <c r="C36" s="89"/>
      <c r="D36" s="246"/>
      <c r="E36" s="250"/>
      <c r="F36" s="248"/>
      <c r="G36" s="249"/>
      <c r="H36" s="252"/>
      <c r="I36" s="89"/>
      <c r="J36" s="246"/>
      <c r="K36" s="250"/>
      <c r="L36" s="248"/>
      <c r="M36" s="249"/>
      <c r="N36" s="252"/>
      <c r="O36" s="89"/>
      <c r="P36" s="246"/>
      <c r="Q36" s="250"/>
      <c r="R36" s="248"/>
      <c r="S36" s="269"/>
      <c r="T36" s="77"/>
      <c r="U36" s="77"/>
      <c r="V36" s="77"/>
      <c r="W36" s="77"/>
      <c r="X36" s="77"/>
      <c r="Y36" s="77"/>
    </row>
    <row r="37" spans="1:25" ht="12">
      <c r="A37" s="2">
        <v>34</v>
      </c>
      <c r="B37" s="88"/>
      <c r="C37" s="89"/>
      <c r="D37" s="246"/>
      <c r="E37" s="245" t="s">
        <v>154</v>
      </c>
      <c r="F37" s="248"/>
      <c r="G37" s="2" t="s">
        <v>437</v>
      </c>
      <c r="H37" s="252"/>
      <c r="I37" s="89"/>
      <c r="J37" s="246"/>
      <c r="K37" s="245" t="s">
        <v>154</v>
      </c>
      <c r="L37" s="248"/>
      <c r="M37" s="249"/>
      <c r="N37" s="245" t="s">
        <v>691</v>
      </c>
      <c r="O37" s="89"/>
      <c r="P37" s="246"/>
      <c r="Q37" s="250"/>
      <c r="R37" s="248"/>
      <c r="S37" s="269"/>
      <c r="T37" s="77"/>
      <c r="U37" s="77"/>
      <c r="V37" s="77"/>
      <c r="W37" s="77"/>
      <c r="X37" s="77"/>
      <c r="Y37" s="77"/>
    </row>
    <row r="38" spans="1:25" ht="12">
      <c r="A38" s="2">
        <v>35</v>
      </c>
      <c r="B38" s="90"/>
      <c r="C38" s="89"/>
      <c r="D38" s="247"/>
      <c r="E38" s="251"/>
      <c r="F38" s="248"/>
      <c r="G38" s="249"/>
      <c r="H38" s="253"/>
      <c r="I38" s="89"/>
      <c r="J38" s="246"/>
      <c r="K38" s="251"/>
      <c r="L38" s="248"/>
      <c r="M38" s="249"/>
      <c r="N38" s="252"/>
      <c r="O38" s="91"/>
      <c r="P38" s="247"/>
      <c r="Q38" s="250"/>
      <c r="R38" s="254"/>
      <c r="S38" s="272"/>
      <c r="T38" s="77"/>
      <c r="U38" s="77"/>
      <c r="V38" s="77"/>
      <c r="W38" s="77"/>
      <c r="X38" s="77"/>
      <c r="Y38" s="77"/>
    </row>
    <row r="39" spans="1:25" ht="12">
      <c r="A39" s="71" t="s">
        <v>155</v>
      </c>
      <c r="B39" s="71">
        <v>1</v>
      </c>
      <c r="C39" s="71">
        <v>0</v>
      </c>
      <c r="D39" s="68">
        <v>5</v>
      </c>
      <c r="E39" s="243">
        <v>6</v>
      </c>
      <c r="F39" s="71">
        <v>9</v>
      </c>
      <c r="G39" s="68">
        <v>3</v>
      </c>
      <c r="H39" s="243">
        <v>1</v>
      </c>
      <c r="I39" s="71">
        <v>0</v>
      </c>
      <c r="J39" s="68">
        <v>11</v>
      </c>
      <c r="K39" s="243">
        <v>6</v>
      </c>
      <c r="L39" s="71">
        <v>9</v>
      </c>
      <c r="M39" s="68">
        <v>5</v>
      </c>
      <c r="N39" s="243">
        <v>9</v>
      </c>
      <c r="O39" s="71">
        <v>1</v>
      </c>
      <c r="P39" s="68">
        <v>12</v>
      </c>
      <c r="Q39" s="243">
        <v>4</v>
      </c>
      <c r="R39" s="71">
        <v>5</v>
      </c>
      <c r="S39" s="267">
        <v>5</v>
      </c>
      <c r="T39" s="77"/>
      <c r="U39" s="77"/>
      <c r="V39" s="77"/>
      <c r="W39" s="77"/>
      <c r="X39" s="77"/>
      <c r="Y39" s="77"/>
    </row>
    <row r="40" spans="1:19" ht="12">
      <c r="A40" s="193" t="s">
        <v>455</v>
      </c>
      <c r="B40" s="212">
        <f>E53</f>
        <v>55.210024213075066</v>
      </c>
      <c r="C40" s="212">
        <f>I53</f>
        <v>55.210024213075066</v>
      </c>
      <c r="D40" s="212">
        <f>M53</f>
        <v>55.210024213075066</v>
      </c>
      <c r="E40" s="212">
        <f>E66</f>
        <v>20.271186440677965</v>
      </c>
      <c r="F40" s="212">
        <f>I66</f>
        <v>20.271186440677965</v>
      </c>
      <c r="G40" s="212">
        <f>M66</f>
        <v>20.271186440677965</v>
      </c>
      <c r="H40" s="212">
        <f>E80</f>
        <v>46.971234866828084</v>
      </c>
      <c r="I40" s="212">
        <f>I80</f>
        <v>46.971234866828084</v>
      </c>
      <c r="J40" s="212">
        <f>M80</f>
        <v>46.971234866828084</v>
      </c>
      <c r="K40" s="212">
        <f>E93</f>
        <v>16.47757869249395</v>
      </c>
      <c r="L40" s="212">
        <f>I93</f>
        <v>16.47757869249395</v>
      </c>
      <c r="M40" s="212">
        <f>M93</f>
        <v>16.47757869249395</v>
      </c>
      <c r="N40" s="212">
        <f>E108</f>
        <v>38.732445520581116</v>
      </c>
      <c r="O40" s="212">
        <f>I108</f>
        <v>38.732445520581116</v>
      </c>
      <c r="P40" s="212">
        <f>M108</f>
        <v>38.732445520581116</v>
      </c>
      <c r="Q40" s="119">
        <f>E121</f>
        <v>12.669491525423728</v>
      </c>
      <c r="R40" s="119">
        <f>I121</f>
        <v>12.669491525423728</v>
      </c>
      <c r="S40" s="119">
        <f>M121</f>
        <v>12.669491525423728</v>
      </c>
    </row>
    <row r="41" spans="1:19" ht="12">
      <c r="A41" s="146" t="s">
        <v>710</v>
      </c>
      <c r="B41" s="212">
        <f>E54</f>
        <v>3.158158953954138</v>
      </c>
      <c r="C41" s="212">
        <f>I54</f>
        <v>0.5761706888400506</v>
      </c>
      <c r="D41" s="212">
        <f>M54</f>
        <v>2.428666302603387</v>
      </c>
      <c r="E41" s="212">
        <f>E67</f>
        <v>5.197974599707031</v>
      </c>
      <c r="F41" s="212">
        <f>I67</f>
        <v>2.5815353442525937</v>
      </c>
      <c r="G41" s="212">
        <f>M67</f>
        <v>3.4622779347724446</v>
      </c>
      <c r="H41" s="212">
        <f>E81</f>
        <v>3.158158953954138</v>
      </c>
      <c r="I41" s="212">
        <f>I81</f>
        <v>0.5761706888400506</v>
      </c>
      <c r="J41" s="212">
        <f>M81</f>
        <v>2.2889070181330764</v>
      </c>
      <c r="K41" s="212">
        <f>E94</f>
        <v>5.197974599707031</v>
      </c>
      <c r="L41" s="212">
        <f>I94</f>
        <v>2.5815353442525937</v>
      </c>
      <c r="M41" s="212">
        <f>M94</f>
        <v>2.8961975816127503</v>
      </c>
      <c r="N41" s="212">
        <f>E109</f>
        <v>1.2734291995927831</v>
      </c>
      <c r="O41" s="212">
        <f>I109</f>
        <v>0.5540102777308178</v>
      </c>
      <c r="P41" s="212">
        <f>M109</f>
        <v>2.2008721328202654</v>
      </c>
      <c r="Q41" s="119">
        <f>E122</f>
        <v>1.5493213316854686</v>
      </c>
      <c r="R41" s="119">
        <f>I122</f>
        <v>1.2026100377671025</v>
      </c>
      <c r="S41" s="119">
        <f>M122</f>
        <v>2.8961975816127503</v>
      </c>
    </row>
    <row r="42" spans="1:19" s="241" customFormat="1" ht="12">
      <c r="A42" s="215" t="s">
        <v>588</v>
      </c>
      <c r="B42" s="216">
        <f>E55</f>
        <v>0.04311214281941169</v>
      </c>
      <c r="C42" s="216">
        <f>I55</f>
        <v>0</v>
      </c>
      <c r="D42" s="216">
        <f>M55</f>
        <v>0.8420434608015165</v>
      </c>
      <c r="E42" s="216">
        <f>E68</f>
        <v>1.5275227500944855</v>
      </c>
      <c r="F42" s="216">
        <f>I68</f>
        <v>1.1114973682580018</v>
      </c>
      <c r="G42" s="216">
        <f>M68</f>
        <v>0.2919302043810124</v>
      </c>
      <c r="H42" s="216">
        <f>E82</f>
        <v>0.04311214281941169</v>
      </c>
      <c r="I42" s="216">
        <f>I82</f>
        <v>0</v>
      </c>
      <c r="J42" s="216">
        <f>M82</f>
        <v>1.256006641481552</v>
      </c>
      <c r="K42" s="216">
        <f>E95</f>
        <v>1.5275227500944855</v>
      </c>
      <c r="L42" s="216">
        <f>I95</f>
        <v>1.1114973682580018</v>
      </c>
      <c r="M42" s="216">
        <f>M95</f>
        <v>0.7223859503744977</v>
      </c>
      <c r="N42" s="216">
        <f>E110</f>
        <v>0.4224401781042886</v>
      </c>
      <c r="O42" s="216">
        <f>I110</f>
        <v>0.05036457070280162</v>
      </c>
      <c r="P42" s="216">
        <f>M110</f>
        <v>1.317489484071558</v>
      </c>
      <c r="Q42" s="255">
        <f>E123</f>
        <v>0.22842803056931366</v>
      </c>
      <c r="R42" s="255">
        <f>I123</f>
        <v>0.21525923058083876</v>
      </c>
      <c r="S42" s="255">
        <f>M123</f>
        <v>0.7223859503744977</v>
      </c>
    </row>
    <row r="43" spans="1:19" ht="12">
      <c r="A43" s="146" t="s">
        <v>711</v>
      </c>
      <c r="B43" s="212">
        <f>E56</f>
        <v>58.32507102420979</v>
      </c>
      <c r="C43" s="212">
        <f>I56</f>
        <v>55.78619490191512</v>
      </c>
      <c r="D43" s="212">
        <f>M56</f>
        <v>56.796647054876935</v>
      </c>
      <c r="E43" s="212">
        <f>E69</f>
        <v>23.941638290290513</v>
      </c>
      <c r="F43" s="212">
        <f>I69</f>
        <v>21.74122441667256</v>
      </c>
      <c r="G43" s="212">
        <f>M69</f>
        <v>23.441534171069396</v>
      </c>
      <c r="H43" s="212">
        <f>E83</f>
        <v>50.08628167796281</v>
      </c>
      <c r="I43" s="212">
        <f>I83</f>
        <v>47.547405555668135</v>
      </c>
      <c r="J43" s="212">
        <f>M83</f>
        <v>48.0041352434796</v>
      </c>
      <c r="K43" s="212">
        <f>E96</f>
        <v>20.148030542106497</v>
      </c>
      <c r="L43" s="212">
        <f>I96</f>
        <v>17.947616668488543</v>
      </c>
      <c r="M43" s="212">
        <f>M96</f>
        <v>18.6513903237322</v>
      </c>
      <c r="N43" s="212">
        <f>E111</f>
        <v>39.58343454206961</v>
      </c>
      <c r="O43" s="212">
        <f>I111</f>
        <v>39.23609122760913</v>
      </c>
      <c r="P43" s="212">
        <f>M111</f>
        <v>39.61582816932982</v>
      </c>
      <c r="Q43" s="119">
        <f>E124</f>
        <v>13.990384826539884</v>
      </c>
      <c r="R43" s="119">
        <f>I124</f>
        <v>13.656842332609992</v>
      </c>
      <c r="S43" s="119">
        <f>M124</f>
        <v>14.84330315666198</v>
      </c>
    </row>
    <row r="44" s="483" customFormat="1" ht="12">
      <c r="A44" s="482" t="s">
        <v>40</v>
      </c>
    </row>
    <row r="45" ht="12">
      <c r="A45" s="1" t="s">
        <v>26</v>
      </c>
    </row>
    <row r="46" spans="1:13" ht="12">
      <c r="A46" s="7" t="s">
        <v>21</v>
      </c>
      <c r="B46" s="569" t="s">
        <v>590</v>
      </c>
      <c r="C46" s="570"/>
      <c r="D46" s="570"/>
      <c r="E46" s="571"/>
      <c r="F46" s="569" t="s">
        <v>591</v>
      </c>
      <c r="G46" s="570"/>
      <c r="H46" s="570"/>
      <c r="I46" s="571"/>
      <c r="J46" s="569" t="s">
        <v>8</v>
      </c>
      <c r="K46" s="570"/>
      <c r="L46" s="570"/>
      <c r="M46" s="571"/>
    </row>
    <row r="47" spans="1:13" ht="12">
      <c r="A47" s="218" t="s">
        <v>632</v>
      </c>
      <c r="B47" s="564" t="s">
        <v>715</v>
      </c>
      <c r="C47" s="572" t="s">
        <v>532</v>
      </c>
      <c r="D47" s="564" t="s">
        <v>587</v>
      </c>
      <c r="E47" s="564" t="s">
        <v>533</v>
      </c>
      <c r="F47" s="564" t="s">
        <v>715</v>
      </c>
      <c r="G47" s="572" t="s">
        <v>532</v>
      </c>
      <c r="H47" s="564" t="s">
        <v>587</v>
      </c>
      <c r="I47" s="564" t="s">
        <v>533</v>
      </c>
      <c r="J47" s="564" t="s">
        <v>715</v>
      </c>
      <c r="K47" s="572" t="s">
        <v>532</v>
      </c>
      <c r="L47" s="564" t="s">
        <v>587</v>
      </c>
      <c r="M47" s="564" t="s">
        <v>533</v>
      </c>
    </row>
    <row r="48" spans="1:13" ht="12">
      <c r="A48" s="291" t="s">
        <v>716</v>
      </c>
      <c r="B48" s="565"/>
      <c r="C48" s="576"/>
      <c r="D48" s="577"/>
      <c r="E48" s="575"/>
      <c r="F48" s="565"/>
      <c r="G48" s="576"/>
      <c r="H48" s="577"/>
      <c r="I48" s="578"/>
      <c r="J48" s="565"/>
      <c r="K48" s="576"/>
      <c r="L48" s="577"/>
      <c r="M48" s="578"/>
    </row>
    <row r="49" spans="1:13" ht="12">
      <c r="A49" s="129" t="s">
        <v>122</v>
      </c>
      <c r="B49" s="121">
        <f>'rehabilitation costs'!$L$35*inflators!$G$12</f>
        <v>55.210024213075066</v>
      </c>
      <c r="C49" s="197">
        <f>'AC lifetimes'!L3</f>
        <v>14</v>
      </c>
      <c r="D49" s="6">
        <v>0</v>
      </c>
      <c r="E49" s="194">
        <f>B49*(1/(1+inflators!$B$9)^D49)</f>
        <v>55.210024213075066</v>
      </c>
      <c r="F49" s="186">
        <f>'rehabilitation costs'!$L$35*inflators!$G$12</f>
        <v>55.210024213075066</v>
      </c>
      <c r="G49" s="200">
        <f>'AC lifetimes'!G3</f>
        <v>24</v>
      </c>
      <c r="H49" s="3">
        <v>0</v>
      </c>
      <c r="I49" s="194">
        <f>F49*(1/(1+inflators!$B$9)^H49)</f>
        <v>55.210024213075066</v>
      </c>
      <c r="J49" s="186">
        <f>'rehabilitation costs'!$L$35*inflators!$G$12</f>
        <v>55.210024213075066</v>
      </c>
      <c r="K49" s="200">
        <f>'AC lifetimes'!$G$3</f>
        <v>24</v>
      </c>
      <c r="L49" s="6">
        <v>0</v>
      </c>
      <c r="M49" s="194">
        <f>J49*(1/(1+inflators!$B$9)^L49)</f>
        <v>55.210024213075066</v>
      </c>
    </row>
    <row r="50" spans="1:13" ht="12">
      <c r="A50" s="130" t="s">
        <v>712</v>
      </c>
      <c r="B50" s="123">
        <f>('maintenance costs'!$L$48+'maintenance costs'!$L$58)*inflators!$G$12</f>
        <v>0.9411622276029056</v>
      </c>
      <c r="C50" s="198">
        <f>'AC lifetimes'!L52</f>
        <v>7</v>
      </c>
      <c r="D50" s="198">
        <f>C49+D49</f>
        <v>14</v>
      </c>
      <c r="E50" s="210">
        <f>B50*(1/(1+inflators!$B$9)^D50)</f>
        <v>0.5434977353337431</v>
      </c>
      <c r="F50" s="187">
        <f>('maintenance costs'!$L$48+'maintenance costs'!$L$59)*inflators!$G$12</f>
        <v>1.4769007263922518</v>
      </c>
      <c r="G50" s="201">
        <f>'AC lifetimes'!H52</f>
        <v>11</v>
      </c>
      <c r="H50" s="196">
        <f>G49+H49</f>
        <v>24</v>
      </c>
      <c r="I50" s="210">
        <f>F50*(1/(1+inflators!$B$9)^H50)</f>
        <v>0.5761706888400506</v>
      </c>
      <c r="J50" s="187">
        <f>('maintenance costs'!$L$48+'maintenance costs'!$L$59)*inflators!$G$12</f>
        <v>1.4769007263922518</v>
      </c>
      <c r="K50" s="201">
        <f>'AC lifetimes'!$I$52</f>
        <v>5</v>
      </c>
      <c r="L50" s="198">
        <f>K49+L49</f>
        <v>24</v>
      </c>
      <c r="M50" s="210">
        <f>J50*(1/(1+inflators!$B$9)^L50)</f>
        <v>0.5761706888400506</v>
      </c>
    </row>
    <row r="51" spans="1:13" ht="12">
      <c r="A51" s="130" t="s">
        <v>593</v>
      </c>
      <c r="B51" s="126">
        <f>('rehabilitation costs'!$L$50+'rehabilitation costs'!$L$51)*inflators!$G$12</f>
        <v>5.270508474576271</v>
      </c>
      <c r="C51" s="198">
        <f>'AC lifetimes'!L24</f>
        <v>8</v>
      </c>
      <c r="D51" s="198">
        <f>C50+D50</f>
        <v>21</v>
      </c>
      <c r="E51" s="210">
        <f>B51*(1/(1+inflators!$B$9)^D51)</f>
        <v>2.3128762188845133</v>
      </c>
      <c r="F51" s="210">
        <f>('rehabilitation costs'!$L$50+'rehabilitation costs'!$L$52)*inflators!$G$12</f>
        <v>5.777288135593221</v>
      </c>
      <c r="G51" s="201"/>
      <c r="H51" s="196"/>
      <c r="I51" s="210"/>
      <c r="J51" s="210">
        <f>('rehabilitation costs'!$L$50+'rehabilitation costs'!$L$52)*inflators!$G$12</f>
        <v>5.777288135593221</v>
      </c>
      <c r="K51" s="201">
        <f>'AC lifetimes'!$I$24</f>
        <v>11</v>
      </c>
      <c r="L51" s="198">
        <f>K50+L50</f>
        <v>29</v>
      </c>
      <c r="M51" s="210">
        <f>J51*(1/(1+inflators!$B$9)^L51)</f>
        <v>1.8524956137633364</v>
      </c>
    </row>
    <row r="52" spans="1:13" ht="12">
      <c r="A52" s="131" t="s">
        <v>713</v>
      </c>
      <c r="B52" s="188">
        <f>('maintenance costs'!$L$48+'maintenance costs'!$L$58)*inflators!$G$12</f>
        <v>0.9411622276029056</v>
      </c>
      <c r="C52" s="199">
        <f>'AC lifetimes'!L53</f>
        <v>7</v>
      </c>
      <c r="D52" s="199">
        <f>C51+D51</f>
        <v>29</v>
      </c>
      <c r="E52" s="210">
        <f>B52*(1/(1+inflators!$B$9)^D52)</f>
        <v>0.30178499973588185</v>
      </c>
      <c r="F52" s="188">
        <f>('maintenance costs'!$L$48+'maintenance costs'!$L$59)*inflators!$G$12</f>
        <v>1.4769007263922518</v>
      </c>
      <c r="G52" s="202"/>
      <c r="H52" s="205"/>
      <c r="I52" s="191"/>
      <c r="J52" s="188">
        <f>('maintenance costs'!$L$48+'maintenance costs'!$L$59)*inflators!$G$12</f>
        <v>1.4769007263922518</v>
      </c>
      <c r="K52" s="202"/>
      <c r="L52" s="199"/>
      <c r="M52" s="191"/>
    </row>
    <row r="53" spans="1:13" ht="12">
      <c r="A53" s="7"/>
      <c r="B53" s="7"/>
      <c r="C53" s="201">
        <f>SUM(C49:C52)</f>
        <v>36</v>
      </c>
      <c r="D53" s="193" t="s">
        <v>455</v>
      </c>
      <c r="E53" s="186">
        <f>E49</f>
        <v>55.210024213075066</v>
      </c>
      <c r="F53" s="124"/>
      <c r="G53" s="201">
        <f>SUM(G49:G52)</f>
        <v>35</v>
      </c>
      <c r="H53" s="193" t="s">
        <v>455</v>
      </c>
      <c r="I53" s="187">
        <f>I49</f>
        <v>55.210024213075066</v>
      </c>
      <c r="J53" s="124"/>
      <c r="K53" s="201">
        <f>SUM(K49:K52)</f>
        <v>40</v>
      </c>
      <c r="L53" s="193" t="s">
        <v>455</v>
      </c>
      <c r="M53" s="187">
        <f>M49</f>
        <v>55.210024213075066</v>
      </c>
    </row>
    <row r="54" spans="1:13" ht="12">
      <c r="A54" s="7"/>
      <c r="B54" s="7"/>
      <c r="C54" s="124"/>
      <c r="D54" s="146" t="s">
        <v>710</v>
      </c>
      <c r="E54" s="187">
        <f>SUM(E50:E52)</f>
        <v>3.158158953954138</v>
      </c>
      <c r="F54" s="124"/>
      <c r="G54" s="124"/>
      <c r="H54" s="146" t="s">
        <v>710</v>
      </c>
      <c r="I54" s="187">
        <f>SUM(I50:I52)</f>
        <v>0.5761706888400506</v>
      </c>
      <c r="J54" s="124"/>
      <c r="K54" s="124"/>
      <c r="L54" s="146" t="s">
        <v>710</v>
      </c>
      <c r="M54" s="187">
        <f>SUM(M50:M52)</f>
        <v>2.428666302603387</v>
      </c>
    </row>
    <row r="55" spans="1:13" ht="12">
      <c r="A55" s="7"/>
      <c r="B55" s="127"/>
      <c r="C55" s="124"/>
      <c r="D55" s="193" t="s">
        <v>588</v>
      </c>
      <c r="E55" s="187">
        <f>E52/7*1</f>
        <v>0.04311214281941169</v>
      </c>
      <c r="F55" s="124"/>
      <c r="G55" s="124"/>
      <c r="H55" s="193" t="s">
        <v>588</v>
      </c>
      <c r="I55" s="187">
        <v>0</v>
      </c>
      <c r="J55" s="124"/>
      <c r="K55" s="124"/>
      <c r="L55" s="193" t="s">
        <v>588</v>
      </c>
      <c r="M55" s="187">
        <f>M51/11*5</f>
        <v>0.8420434608015165</v>
      </c>
    </row>
    <row r="56" spans="1:13" s="13" customFormat="1" ht="12">
      <c r="A56" s="276"/>
      <c r="B56" s="277"/>
      <c r="C56" s="189"/>
      <c r="D56" s="274" t="s">
        <v>711</v>
      </c>
      <c r="E56" s="211">
        <f>E53+E54-E55</f>
        <v>58.32507102420979</v>
      </c>
      <c r="F56" s="189"/>
      <c r="G56" s="189"/>
      <c r="H56" s="274" t="s">
        <v>711</v>
      </c>
      <c r="I56" s="211">
        <f>I53+I54-I55</f>
        <v>55.78619490191512</v>
      </c>
      <c r="J56" s="189"/>
      <c r="K56" s="189"/>
      <c r="L56" s="274" t="s">
        <v>711</v>
      </c>
      <c r="M56" s="211">
        <f>M53+M54-M55</f>
        <v>56.796647054876935</v>
      </c>
    </row>
    <row r="57" ht="12"/>
    <row r="58" spans="1:13" ht="12">
      <c r="A58" s="7"/>
      <c r="B58" s="569" t="s">
        <v>590</v>
      </c>
      <c r="C58" s="570"/>
      <c r="D58" s="570"/>
      <c r="E58" s="571"/>
      <c r="F58" s="569" t="s">
        <v>591</v>
      </c>
      <c r="G58" s="570"/>
      <c r="H58" s="570"/>
      <c r="I58" s="571"/>
      <c r="J58" s="569" t="s">
        <v>8</v>
      </c>
      <c r="K58" s="570"/>
      <c r="L58" s="570"/>
      <c r="M58" s="571"/>
    </row>
    <row r="59" spans="1:13" ht="12">
      <c r="A59" s="218" t="s">
        <v>633</v>
      </c>
      <c r="B59" s="564" t="s">
        <v>715</v>
      </c>
      <c r="C59" s="572" t="s">
        <v>532</v>
      </c>
      <c r="D59" s="564" t="s">
        <v>587</v>
      </c>
      <c r="E59" s="564" t="s">
        <v>533</v>
      </c>
      <c r="F59" s="564" t="s">
        <v>715</v>
      </c>
      <c r="G59" s="572" t="s">
        <v>532</v>
      </c>
      <c r="H59" s="564" t="s">
        <v>587</v>
      </c>
      <c r="I59" s="564" t="s">
        <v>533</v>
      </c>
      <c r="J59" s="564" t="s">
        <v>715</v>
      </c>
      <c r="K59" s="572" t="s">
        <v>532</v>
      </c>
      <c r="L59" s="564" t="s">
        <v>587</v>
      </c>
      <c r="M59" s="564" t="s">
        <v>533</v>
      </c>
    </row>
    <row r="60" spans="1:13" ht="12">
      <c r="A60" s="291" t="s">
        <v>716</v>
      </c>
      <c r="B60" s="565"/>
      <c r="C60" s="576"/>
      <c r="D60" s="577"/>
      <c r="E60" s="575"/>
      <c r="F60" s="565"/>
      <c r="G60" s="576"/>
      <c r="H60" s="577"/>
      <c r="I60" s="578"/>
      <c r="J60" s="565"/>
      <c r="K60" s="576"/>
      <c r="L60" s="577"/>
      <c r="M60" s="578"/>
    </row>
    <row r="61" spans="1:13" ht="12">
      <c r="A61" s="129" t="s">
        <v>618</v>
      </c>
      <c r="B61" s="186">
        <f>'rehabilitation costs'!$L$38*inflators!$G$12</f>
        <v>20.271186440677965</v>
      </c>
      <c r="C61" s="204">
        <f>'AC lifetimes'!L10</f>
        <v>12</v>
      </c>
      <c r="D61" s="3">
        <v>0</v>
      </c>
      <c r="E61" s="194">
        <f>B61*(1/(1+inflators!$B$9)^D61)</f>
        <v>20.271186440677965</v>
      </c>
      <c r="F61" s="186">
        <f>'rehabilitation costs'!$L$38*inflators!$G$12</f>
        <v>20.271186440677965</v>
      </c>
      <c r="G61" s="204">
        <f>'AC lifetimes'!G10</f>
        <v>18</v>
      </c>
      <c r="H61" s="3">
        <v>0</v>
      </c>
      <c r="I61" s="194">
        <f>F61*(1/(1+inflators!$B$9)^H61)</f>
        <v>20.271186440677965</v>
      </c>
      <c r="J61" s="186">
        <f>'rehabilitation costs'!$L$38*inflators!$G$12</f>
        <v>20.271186440677965</v>
      </c>
      <c r="K61" s="204">
        <f>'AC lifetimes'!$G$10</f>
        <v>18</v>
      </c>
      <c r="L61" s="3">
        <v>0</v>
      </c>
      <c r="M61" s="194">
        <f>J61*(1/(1+inflators!$B$9)^L61)</f>
        <v>20.271186440677965</v>
      </c>
    </row>
    <row r="62" spans="1:13" ht="12">
      <c r="A62" s="130" t="s">
        <v>712</v>
      </c>
      <c r="B62" s="187">
        <f>('maintenance costs'!$L$48+'maintenance costs'!$L$58)*inflators!$G$12</f>
        <v>0.9411622276029056</v>
      </c>
      <c r="C62" s="196">
        <f>'AC lifetimes'!L52</f>
        <v>7</v>
      </c>
      <c r="D62" s="196">
        <f>C61+D61</f>
        <v>12</v>
      </c>
      <c r="E62" s="210">
        <f>B62*(1/(1+inflators!$B$9)^D62)</f>
        <v>0.5878471505369766</v>
      </c>
      <c r="F62" s="187">
        <f>('maintenance costs'!$L$48+'maintenance costs'!$L$59)*inflators!$G$12</f>
        <v>1.4769007263922518</v>
      </c>
      <c r="G62" s="196">
        <f>'AC lifetimes'!H52</f>
        <v>11</v>
      </c>
      <c r="H62" s="196">
        <f>G61+H61</f>
        <v>18</v>
      </c>
      <c r="I62" s="210">
        <f>F62*(1/(1+inflators!$B$9)^H62)</f>
        <v>0.7290397304892572</v>
      </c>
      <c r="J62" s="187">
        <f>('maintenance costs'!$L$48+'maintenance costs'!$L$59)*inflators!$G$12</f>
        <v>1.4769007263922518</v>
      </c>
      <c r="K62" s="196">
        <f>'AC lifetimes'!$I$52</f>
        <v>5</v>
      </c>
      <c r="L62" s="196">
        <f>K61+L61</f>
        <v>18</v>
      </c>
      <c r="M62" s="210">
        <f>J62*(1/(1+inflators!$B$9)^L62)</f>
        <v>0.7290397304892572</v>
      </c>
    </row>
    <row r="63" spans="1:13" ht="12">
      <c r="A63" s="130" t="s">
        <v>593</v>
      </c>
      <c r="B63" s="210">
        <f>('rehabilitation costs'!$L$50+'rehabilitation costs'!$L$51)*inflators!$G$12</f>
        <v>5.270508474576271</v>
      </c>
      <c r="C63" s="196">
        <f>'AC lifetimes'!L24</f>
        <v>8</v>
      </c>
      <c r="D63" s="196">
        <f>C62+D62</f>
        <v>19</v>
      </c>
      <c r="E63" s="210">
        <f>B63*(1/(1+inflators!$B$9)^D63)</f>
        <v>2.5016069183454905</v>
      </c>
      <c r="F63" s="210">
        <f>('rehabilitation costs'!$L$50+'rehabilitation costs'!$L$52)*inflators!$G$12</f>
        <v>5.777288135593221</v>
      </c>
      <c r="G63" s="196">
        <f>'AC lifetimes'!H24</f>
        <v>15</v>
      </c>
      <c r="H63" s="196">
        <f>G62+H62</f>
        <v>29</v>
      </c>
      <c r="I63" s="210">
        <f>F63*(1/(1+inflators!$B$9)^H63)</f>
        <v>1.8524956137633364</v>
      </c>
      <c r="J63" s="210">
        <f>('rehabilitation costs'!$L$50+'rehabilitation costs'!$L$52)*inflators!$G$12</f>
        <v>5.777288135593221</v>
      </c>
      <c r="K63" s="196">
        <f>'AC lifetimes'!$I$24</f>
        <v>11</v>
      </c>
      <c r="L63" s="196">
        <f>K62+L62</f>
        <v>23</v>
      </c>
      <c r="M63" s="210">
        <f>J63*(1/(1+inflators!$B$9)^L63)</f>
        <v>2.3439979317751707</v>
      </c>
    </row>
    <row r="64" spans="1:13" ht="12">
      <c r="A64" s="130" t="s">
        <v>713</v>
      </c>
      <c r="B64" s="187">
        <f>('maintenance costs'!$L$48+'maintenance costs'!$L$58)*inflators!$G$12</f>
        <v>0.9411622276029056</v>
      </c>
      <c r="C64" s="196">
        <f>'AC lifetimes'!L53</f>
        <v>7</v>
      </c>
      <c r="D64" s="196">
        <f>C63+D63</f>
        <v>27</v>
      </c>
      <c r="E64" s="210">
        <f>B64*(1/(1+inflators!$B$9)^D64)</f>
        <v>0.32641065571432987</v>
      </c>
      <c r="F64" s="187">
        <f>('maintenance costs'!$L$48+'maintenance costs'!$L$59)*inflators!$G$12</f>
        <v>1.4769007263922518</v>
      </c>
      <c r="G64" s="196"/>
      <c r="H64" s="196"/>
      <c r="I64" s="210"/>
      <c r="J64" s="187">
        <f>('maintenance costs'!$L$48+'maintenance costs'!$L$59)*inflators!$G$12</f>
        <v>1.4769007263922518</v>
      </c>
      <c r="K64" s="196">
        <f>'AC lifetimes'!$I$53</f>
        <v>4</v>
      </c>
      <c r="L64" s="196">
        <f>K63+L63</f>
        <v>34</v>
      </c>
      <c r="M64" s="210">
        <f>J64*(1/(1+inflators!$B$9)^L64)</f>
        <v>0.38924027250801657</v>
      </c>
    </row>
    <row r="65" spans="1:13" s="7" customFormat="1" ht="12">
      <c r="A65" s="131" t="s">
        <v>594</v>
      </c>
      <c r="B65" s="188">
        <f>('rehabilitation costs'!$L$42+'rehabilitation costs'!$L$50+'rehabilitation costs'!$L$51)*inflators!$G$12</f>
        <v>6.761888619854723</v>
      </c>
      <c r="C65" s="205">
        <f>'AC lifetimes'!L25</f>
        <v>7</v>
      </c>
      <c r="D65" s="205">
        <f>C64+D64</f>
        <v>34</v>
      </c>
      <c r="E65" s="210">
        <f>B65*(1/(1+inflators!$B$9)^D65)</f>
        <v>1.7821098751102333</v>
      </c>
      <c r="F65" s="188">
        <f>('rehabilitation costs'!$L$42+'rehabilitation costs'!$L$50+'rehabilitation costs'!$L$52)*inflators!$G$12</f>
        <v>7.268668280871672</v>
      </c>
      <c r="G65" s="205"/>
      <c r="H65" s="205"/>
      <c r="I65" s="210"/>
      <c r="J65" s="188">
        <f>('rehabilitation costs'!$L$42+'rehabilitation costs'!$L$50+'rehabilitation costs'!$L$52)*inflators!$G$12</f>
        <v>7.268668280871672</v>
      </c>
      <c r="K65" s="205"/>
      <c r="L65" s="205"/>
      <c r="M65" s="210"/>
    </row>
    <row r="66" spans="1:13" ht="12">
      <c r="A66" s="7"/>
      <c r="B66" s="7"/>
      <c r="C66" s="201">
        <f>SUM(C61:C65)</f>
        <v>41</v>
      </c>
      <c r="D66" s="193" t="s">
        <v>455</v>
      </c>
      <c r="E66" s="186">
        <f>E61</f>
        <v>20.271186440677965</v>
      </c>
      <c r="F66" s="124"/>
      <c r="G66" s="201">
        <f>SUM(G61:G65)</f>
        <v>44</v>
      </c>
      <c r="H66" s="193" t="s">
        <v>455</v>
      </c>
      <c r="I66" s="186">
        <f>I61</f>
        <v>20.271186440677965</v>
      </c>
      <c r="J66" s="124"/>
      <c r="K66" s="201">
        <f>SUM(K61:K64)</f>
        <v>38</v>
      </c>
      <c r="L66" s="193" t="s">
        <v>455</v>
      </c>
      <c r="M66" s="186">
        <f>M61</f>
        <v>20.271186440677965</v>
      </c>
    </row>
    <row r="67" spans="1:13" ht="12">
      <c r="A67" s="7"/>
      <c r="B67" s="7"/>
      <c r="C67" s="124"/>
      <c r="D67" s="146" t="s">
        <v>710</v>
      </c>
      <c r="E67" s="187">
        <f>SUM(E62:E65)</f>
        <v>5.197974599707031</v>
      </c>
      <c r="F67" s="124"/>
      <c r="G67" s="124"/>
      <c r="H67" s="146" t="s">
        <v>710</v>
      </c>
      <c r="I67" s="187">
        <f>SUM(I62:I65)</f>
        <v>2.5815353442525937</v>
      </c>
      <c r="J67" s="124"/>
      <c r="K67" s="124"/>
      <c r="L67" s="146" t="s">
        <v>710</v>
      </c>
      <c r="M67" s="187">
        <f>SUM(M62:M65)</f>
        <v>3.4622779347724446</v>
      </c>
    </row>
    <row r="68" spans="1:13" ht="12">
      <c r="A68" s="7"/>
      <c r="B68" s="127"/>
      <c r="C68" s="124"/>
      <c r="D68" s="193" t="s">
        <v>588</v>
      </c>
      <c r="E68" s="187">
        <f>E65/7*6</f>
        <v>1.5275227500944855</v>
      </c>
      <c r="F68" s="124"/>
      <c r="G68" s="124"/>
      <c r="H68" s="193" t="s">
        <v>588</v>
      </c>
      <c r="I68" s="187">
        <f>I63/15*9</f>
        <v>1.1114973682580018</v>
      </c>
      <c r="J68" s="124"/>
      <c r="K68" s="124"/>
      <c r="L68" s="193" t="s">
        <v>588</v>
      </c>
      <c r="M68" s="187">
        <f>M64/4*3</f>
        <v>0.2919302043810124</v>
      </c>
    </row>
    <row r="69" spans="1:13" s="13" customFormat="1" ht="12">
      <c r="A69" s="276"/>
      <c r="B69" s="277"/>
      <c r="C69" s="189"/>
      <c r="D69" s="274" t="s">
        <v>711</v>
      </c>
      <c r="E69" s="211">
        <f>E66+E67-E68</f>
        <v>23.941638290290513</v>
      </c>
      <c r="F69" s="189"/>
      <c r="G69" s="189"/>
      <c r="H69" s="274" t="s">
        <v>711</v>
      </c>
      <c r="I69" s="211">
        <f>I66+I67-I68</f>
        <v>21.74122441667256</v>
      </c>
      <c r="J69" s="189"/>
      <c r="K69" s="189"/>
      <c r="L69" s="274" t="s">
        <v>711</v>
      </c>
      <c r="M69" s="211">
        <f>M66+M67-M68</f>
        <v>23.441534171069396</v>
      </c>
    </row>
    <row r="70" ht="12"/>
    <row r="71" s="483" customFormat="1" ht="12">
      <c r="A71" s="482" t="s">
        <v>289</v>
      </c>
    </row>
    <row r="72" ht="12">
      <c r="A72" s="1" t="s">
        <v>26</v>
      </c>
    </row>
    <row r="73" spans="1:13" ht="12">
      <c r="A73" s="7" t="s">
        <v>21</v>
      </c>
      <c r="B73" s="569" t="s">
        <v>590</v>
      </c>
      <c r="C73" s="570"/>
      <c r="D73" s="570"/>
      <c r="E73" s="571"/>
      <c r="F73" s="569" t="s">
        <v>591</v>
      </c>
      <c r="G73" s="570"/>
      <c r="H73" s="570"/>
      <c r="I73" s="571"/>
      <c r="J73" s="569" t="s">
        <v>8</v>
      </c>
      <c r="K73" s="570"/>
      <c r="L73" s="570"/>
      <c r="M73" s="571"/>
    </row>
    <row r="74" spans="1:13" ht="12">
      <c r="A74" s="218" t="s">
        <v>632</v>
      </c>
      <c r="B74" s="564" t="s">
        <v>715</v>
      </c>
      <c r="C74" s="564" t="s">
        <v>532</v>
      </c>
      <c r="D74" s="564" t="s">
        <v>587</v>
      </c>
      <c r="E74" s="564" t="s">
        <v>533</v>
      </c>
      <c r="F74" s="564" t="s">
        <v>715</v>
      </c>
      <c r="G74" s="564" t="s">
        <v>532</v>
      </c>
      <c r="H74" s="564" t="s">
        <v>587</v>
      </c>
      <c r="I74" s="564" t="s">
        <v>533</v>
      </c>
      <c r="J74" s="564" t="s">
        <v>715</v>
      </c>
      <c r="K74" s="564" t="s">
        <v>532</v>
      </c>
      <c r="L74" s="564" t="s">
        <v>587</v>
      </c>
      <c r="M74" s="564" t="s">
        <v>533</v>
      </c>
    </row>
    <row r="75" spans="1:13" ht="12">
      <c r="A75" s="291" t="s">
        <v>716</v>
      </c>
      <c r="B75" s="565"/>
      <c r="C75" s="578"/>
      <c r="D75" s="578"/>
      <c r="E75" s="578"/>
      <c r="F75" s="565"/>
      <c r="G75" s="578"/>
      <c r="H75" s="578"/>
      <c r="I75" s="578"/>
      <c r="J75" s="565"/>
      <c r="K75" s="578"/>
      <c r="L75" s="578"/>
      <c r="M75" s="578"/>
    </row>
    <row r="76" spans="1:13" ht="10.5" customHeight="1">
      <c r="A76" s="129" t="s">
        <v>122</v>
      </c>
      <c r="B76" s="186">
        <f>'rehabilitation costs'!$L$36*inflators!$G$12</f>
        <v>46.971234866828084</v>
      </c>
      <c r="C76" s="197">
        <f>'AC lifetimes'!L5</f>
        <v>14</v>
      </c>
      <c r="D76" s="6">
        <v>0</v>
      </c>
      <c r="E76" s="194">
        <f>B76*(1/(1+inflators!$B$9)^D76)</f>
        <v>46.971234866828084</v>
      </c>
      <c r="F76" s="186">
        <f>'rehabilitation costs'!$L$36*inflators!$G$12</f>
        <v>46.971234866828084</v>
      </c>
      <c r="G76" s="200">
        <f>'AC lifetimes'!G5</f>
        <v>24</v>
      </c>
      <c r="H76" s="6">
        <v>0</v>
      </c>
      <c r="I76" s="194">
        <f>F76*(1/(1+inflators!$B$9)^H76)</f>
        <v>46.971234866828084</v>
      </c>
      <c r="J76" s="186">
        <f>'rehabilitation costs'!$L$36*inflators!$G$12</f>
        <v>46.971234866828084</v>
      </c>
      <c r="K76" s="200">
        <f>'AC lifetimes'!$G$5</f>
        <v>24</v>
      </c>
      <c r="L76" s="6">
        <v>0</v>
      </c>
      <c r="M76" s="194">
        <f>J76*(1/(1+inflators!$B$9)^L76)</f>
        <v>46.971234866828084</v>
      </c>
    </row>
    <row r="77" spans="1:13" s="7" customFormat="1" ht="12">
      <c r="A77" s="130" t="s">
        <v>712</v>
      </c>
      <c r="B77" s="187">
        <f>('maintenance costs'!$L$48+'maintenance costs'!$L$58)*inflators!$G$12</f>
        <v>0.9411622276029056</v>
      </c>
      <c r="C77" s="198">
        <f>'AC lifetimes'!L54</f>
        <v>7</v>
      </c>
      <c r="D77" s="198">
        <f>C76+D76</f>
        <v>14</v>
      </c>
      <c r="E77" s="210">
        <f>B77*(1/(1+inflators!$B$9)^D77)</f>
        <v>0.5434977353337431</v>
      </c>
      <c r="F77" s="187">
        <f>('maintenance costs'!$L$48+'maintenance costs'!$L$59)*inflators!$G$12</f>
        <v>1.4769007263922518</v>
      </c>
      <c r="G77" s="201">
        <f>'AC lifetimes'!H54</f>
        <v>11</v>
      </c>
      <c r="H77" s="198">
        <f>G76+H76</f>
        <v>24</v>
      </c>
      <c r="I77" s="210">
        <f>F77*(1/(1+inflators!$B$9)^H77)</f>
        <v>0.5761706888400506</v>
      </c>
      <c r="J77" s="187">
        <f>('maintenance costs'!$L$48+'maintenance costs'!$L$59)*inflators!$G$12</f>
        <v>1.4769007263922518</v>
      </c>
      <c r="K77" s="201">
        <f>'AC lifetimes'!$I$54</f>
        <v>7</v>
      </c>
      <c r="L77" s="198">
        <f>K76+L76</f>
        <v>24</v>
      </c>
      <c r="M77" s="210">
        <f>J77*(1/(1+inflators!$B$9)^L77)</f>
        <v>0.5761706888400506</v>
      </c>
    </row>
    <row r="78" spans="1:13" ht="12">
      <c r="A78" s="130" t="s">
        <v>593</v>
      </c>
      <c r="B78" s="210">
        <f>('rehabilitation costs'!$L$50+'rehabilitation costs'!$L$51)*inflators!$G$12</f>
        <v>5.270508474576271</v>
      </c>
      <c r="C78" s="198">
        <f>'AC lifetimes'!L26</f>
        <v>8</v>
      </c>
      <c r="D78" s="198">
        <f>C77+D77</f>
        <v>21</v>
      </c>
      <c r="E78" s="210">
        <f>B78*(1/(1+inflators!$B$9)^D78)</f>
        <v>2.3128762188845133</v>
      </c>
      <c r="F78" s="210">
        <f>('rehabilitation costs'!$L$50+'rehabilitation costs'!$L$52)*inflators!$G$12</f>
        <v>5.777288135593221</v>
      </c>
      <c r="G78" s="201"/>
      <c r="H78" s="198"/>
      <c r="I78" s="210"/>
      <c r="J78" s="210">
        <f>('rehabilitation costs'!$L$50+'rehabilitation costs'!$L$52)*inflators!$G$12</f>
        <v>5.777288135593221</v>
      </c>
      <c r="K78" s="201">
        <f>'AC lifetimes'!$I$26</f>
        <v>15</v>
      </c>
      <c r="L78" s="198">
        <f>K77+L77</f>
        <v>31</v>
      </c>
      <c r="M78" s="210">
        <f>J78*(1/(1+inflators!$B$9)^L78)</f>
        <v>1.7127363292930256</v>
      </c>
    </row>
    <row r="79" spans="1:13" ht="12">
      <c r="A79" s="131" t="s">
        <v>713</v>
      </c>
      <c r="B79" s="188">
        <f>('maintenance costs'!$L$48+'maintenance costs'!$L$58)*inflators!$G$12</f>
        <v>0.9411622276029056</v>
      </c>
      <c r="C79" s="199">
        <f>'AC lifetimes'!L55</f>
        <v>7</v>
      </c>
      <c r="D79" s="199">
        <f>C78+D78</f>
        <v>29</v>
      </c>
      <c r="E79" s="191">
        <f>B79*(1/(1+inflators!$B$9)^D79)</f>
        <v>0.30178499973588185</v>
      </c>
      <c r="F79" s="188">
        <f>('maintenance costs'!$L$48+'maintenance costs'!$L$59)*inflators!$G$12</f>
        <v>1.4769007263922518</v>
      </c>
      <c r="G79" s="202"/>
      <c r="H79" s="199"/>
      <c r="I79" s="210"/>
      <c r="J79" s="188">
        <f>('maintenance costs'!$L$48+'maintenance costs'!$L$59)*inflators!$G$12</f>
        <v>1.4769007263922518</v>
      </c>
      <c r="K79" s="202"/>
      <c r="L79" s="199"/>
      <c r="M79" s="191"/>
    </row>
    <row r="80" spans="1:13" ht="12">
      <c r="A80" s="7"/>
      <c r="B80" s="7"/>
      <c r="C80" s="201">
        <f>SUM(C76:C79)</f>
        <v>36</v>
      </c>
      <c r="D80" s="193" t="s">
        <v>455</v>
      </c>
      <c r="E80" s="187">
        <f>E76</f>
        <v>46.971234866828084</v>
      </c>
      <c r="F80" s="124"/>
      <c r="G80" s="201">
        <f>SUM(G76:G79)</f>
        <v>35</v>
      </c>
      <c r="H80" s="193" t="s">
        <v>455</v>
      </c>
      <c r="I80" s="186">
        <f>I76</f>
        <v>46.971234866828084</v>
      </c>
      <c r="J80" s="124"/>
      <c r="K80" s="201">
        <f>SUM(K76:K79)</f>
        <v>46</v>
      </c>
      <c r="L80" s="193" t="s">
        <v>455</v>
      </c>
      <c r="M80" s="187">
        <f>M76</f>
        <v>46.971234866828084</v>
      </c>
    </row>
    <row r="81" spans="1:13" ht="12">
      <c r="A81" s="7"/>
      <c r="B81" s="7"/>
      <c r="C81" s="124"/>
      <c r="D81" s="146" t="s">
        <v>710</v>
      </c>
      <c r="E81" s="187">
        <f>SUM(E77:E79)</f>
        <v>3.158158953954138</v>
      </c>
      <c r="F81" s="124"/>
      <c r="G81" s="124"/>
      <c r="H81" s="146" t="s">
        <v>710</v>
      </c>
      <c r="I81" s="187">
        <f>SUM(I77:I79)</f>
        <v>0.5761706888400506</v>
      </c>
      <c r="J81" s="124"/>
      <c r="K81" s="124"/>
      <c r="L81" s="146" t="s">
        <v>710</v>
      </c>
      <c r="M81" s="187">
        <f>SUM(M77:M79)</f>
        <v>2.2889070181330764</v>
      </c>
    </row>
    <row r="82" spans="1:13" ht="12">
      <c r="A82" s="7"/>
      <c r="B82" s="127"/>
      <c r="C82" s="124"/>
      <c r="D82" s="193" t="s">
        <v>588</v>
      </c>
      <c r="E82" s="187">
        <f>E79/7*1</f>
        <v>0.04311214281941169</v>
      </c>
      <c r="F82" s="124"/>
      <c r="G82" s="124"/>
      <c r="H82" s="193" t="s">
        <v>588</v>
      </c>
      <c r="I82" s="187">
        <v>0</v>
      </c>
      <c r="J82" s="124"/>
      <c r="K82" s="124"/>
      <c r="L82" s="193" t="s">
        <v>588</v>
      </c>
      <c r="M82" s="187">
        <f>M78/15*11</f>
        <v>1.256006641481552</v>
      </c>
    </row>
    <row r="83" spans="1:13" s="13" customFormat="1" ht="12">
      <c r="A83" s="276"/>
      <c r="B83" s="277"/>
      <c r="C83" s="189"/>
      <c r="D83" s="274" t="s">
        <v>711</v>
      </c>
      <c r="E83" s="211">
        <f>E80+E81-E82</f>
        <v>50.08628167796281</v>
      </c>
      <c r="F83" s="189"/>
      <c r="G83" s="189"/>
      <c r="H83" s="274" t="s">
        <v>711</v>
      </c>
      <c r="I83" s="211">
        <f>I80+I81-I82</f>
        <v>47.547405555668135</v>
      </c>
      <c r="J83" s="189"/>
      <c r="K83" s="189"/>
      <c r="L83" s="274" t="s">
        <v>711</v>
      </c>
      <c r="M83" s="211">
        <f>M80+M81-M82</f>
        <v>48.0041352434796</v>
      </c>
    </row>
    <row r="84" ht="12"/>
    <row r="85" spans="1:13" ht="12">
      <c r="A85" s="7"/>
      <c r="B85" s="569" t="s">
        <v>590</v>
      </c>
      <c r="C85" s="570"/>
      <c r="D85" s="570"/>
      <c r="E85" s="571"/>
      <c r="F85" s="569" t="s">
        <v>591</v>
      </c>
      <c r="G85" s="570"/>
      <c r="H85" s="570"/>
      <c r="I85" s="571"/>
      <c r="J85" s="569" t="s">
        <v>8</v>
      </c>
      <c r="K85" s="570"/>
      <c r="L85" s="570"/>
      <c r="M85" s="571"/>
    </row>
    <row r="86" spans="1:13" ht="12">
      <c r="A86" s="218" t="s">
        <v>633</v>
      </c>
      <c r="B86" s="564" t="s">
        <v>715</v>
      </c>
      <c r="C86" s="564" t="s">
        <v>532</v>
      </c>
      <c r="D86" s="564" t="s">
        <v>587</v>
      </c>
      <c r="E86" s="564" t="s">
        <v>533</v>
      </c>
      <c r="F86" s="564" t="s">
        <v>715</v>
      </c>
      <c r="G86" s="564" t="s">
        <v>532</v>
      </c>
      <c r="H86" s="564" t="s">
        <v>587</v>
      </c>
      <c r="I86" s="564" t="s">
        <v>533</v>
      </c>
      <c r="J86" s="564" t="s">
        <v>715</v>
      </c>
      <c r="K86" s="564" t="s">
        <v>532</v>
      </c>
      <c r="L86" s="564" t="s">
        <v>587</v>
      </c>
      <c r="M86" s="564" t="s">
        <v>533</v>
      </c>
    </row>
    <row r="87" spans="1:13" ht="12">
      <c r="A87" s="291" t="s">
        <v>716</v>
      </c>
      <c r="B87" s="565"/>
      <c r="C87" s="578"/>
      <c r="D87" s="578"/>
      <c r="E87" s="578"/>
      <c r="F87" s="565"/>
      <c r="G87" s="578"/>
      <c r="H87" s="578"/>
      <c r="I87" s="578"/>
      <c r="J87" s="565"/>
      <c r="K87" s="578"/>
      <c r="L87" s="578"/>
      <c r="M87" s="578"/>
    </row>
    <row r="88" spans="1:13" ht="12">
      <c r="A88" s="129" t="s">
        <v>618</v>
      </c>
      <c r="B88" s="186">
        <f>'rehabilitation costs'!$L$39*inflators!$G$12</f>
        <v>16.47757869249395</v>
      </c>
      <c r="C88" s="197">
        <f>'AC lifetimes'!L12</f>
        <v>12</v>
      </c>
      <c r="D88" s="3">
        <v>0</v>
      </c>
      <c r="E88" s="194">
        <f>B88*(1/(1+inflators!$B$9)^D88)</f>
        <v>16.47757869249395</v>
      </c>
      <c r="F88" s="186">
        <f>'rehabilitation costs'!$L$39*inflators!$G$12</f>
        <v>16.47757869249395</v>
      </c>
      <c r="G88" s="204">
        <f>'AC lifetimes'!G12</f>
        <v>18</v>
      </c>
      <c r="H88" s="12">
        <v>0</v>
      </c>
      <c r="I88" s="194">
        <f>F88*(1/(1+inflators!$B$9)^H88)</f>
        <v>16.47757869249395</v>
      </c>
      <c r="J88" s="186">
        <f>'rehabilitation costs'!$L$39*inflators!$G$12</f>
        <v>16.47757869249395</v>
      </c>
      <c r="K88" s="204">
        <f>'AC lifetimes'!$G$12</f>
        <v>18</v>
      </c>
      <c r="L88" s="12">
        <v>0</v>
      </c>
      <c r="M88" s="194">
        <f>J88*(1/(1+inflators!$B$9)^L88)</f>
        <v>16.47757869249395</v>
      </c>
    </row>
    <row r="89" spans="1:13" ht="12">
      <c r="A89" s="130" t="s">
        <v>712</v>
      </c>
      <c r="B89" s="187">
        <f>('maintenance costs'!$L$48+'maintenance costs'!$L$58)*inflators!$G$12</f>
        <v>0.9411622276029056</v>
      </c>
      <c r="C89" s="198">
        <f>'AC lifetimes'!L54</f>
        <v>7</v>
      </c>
      <c r="D89" s="196">
        <f>C88+D88</f>
        <v>12</v>
      </c>
      <c r="E89" s="210">
        <f>B89*(1/(1+inflators!$B$9)^D89)</f>
        <v>0.5878471505369766</v>
      </c>
      <c r="F89" s="187">
        <f>('maintenance costs'!$L$48+'maintenance costs'!$L$59)*inflators!$G$12</f>
        <v>1.4769007263922518</v>
      </c>
      <c r="G89" s="196">
        <f>'AC lifetimes'!H54</f>
        <v>11</v>
      </c>
      <c r="H89" s="201">
        <f>G88+H88</f>
        <v>18</v>
      </c>
      <c r="I89" s="210">
        <f>F89*(1/(1+inflators!$B$9)^H89)</f>
        <v>0.7290397304892572</v>
      </c>
      <c r="J89" s="187">
        <f>('maintenance costs'!$L$48+'maintenance costs'!$L$59)*inflators!$G$12</f>
        <v>1.4769007263922518</v>
      </c>
      <c r="K89" s="196">
        <f>'AC lifetimes'!$I$54</f>
        <v>7</v>
      </c>
      <c r="L89" s="201">
        <f>K88+L88</f>
        <v>18</v>
      </c>
      <c r="M89" s="210">
        <f>J89*(1/(1+inflators!$B$9)^L89)</f>
        <v>0.7290397304892572</v>
      </c>
    </row>
    <row r="90" spans="1:13" ht="12">
      <c r="A90" s="130" t="s">
        <v>593</v>
      </c>
      <c r="B90" s="210">
        <f>('rehabilitation costs'!$L$50+'rehabilitation costs'!$L$51)*inflators!$G$12</f>
        <v>5.270508474576271</v>
      </c>
      <c r="C90" s="198">
        <f>'AC lifetimes'!L26</f>
        <v>8</v>
      </c>
      <c r="D90" s="196">
        <f>C89+D89</f>
        <v>19</v>
      </c>
      <c r="E90" s="210">
        <f>B90*(1/(1+inflators!$B$9)^D90)</f>
        <v>2.5016069183454905</v>
      </c>
      <c r="F90" s="210">
        <f>('rehabilitation costs'!$L$50+'rehabilitation costs'!$L$52)*inflators!$G$12</f>
        <v>5.777288135593221</v>
      </c>
      <c r="G90" s="196">
        <f>'AC lifetimes'!H26</f>
        <v>15</v>
      </c>
      <c r="H90" s="201">
        <f>G89+H89</f>
        <v>29</v>
      </c>
      <c r="I90" s="210">
        <f>F90*(1/(1+inflators!$B$9)^H90)</f>
        <v>1.8524956137633364</v>
      </c>
      <c r="J90" s="210">
        <f>('rehabilitation costs'!$L$50+'rehabilitation costs'!$L$52)*inflators!$G$12</f>
        <v>5.777288135593221</v>
      </c>
      <c r="K90" s="196">
        <f>'AC lifetimes'!$I$26</f>
        <v>15</v>
      </c>
      <c r="L90" s="201">
        <f>K89+L89</f>
        <v>25</v>
      </c>
      <c r="M90" s="210">
        <f>J90*(1/(1+inflators!$B$9)^L90)</f>
        <v>2.167157851123493</v>
      </c>
    </row>
    <row r="91" spans="1:13" s="7" customFormat="1" ht="12">
      <c r="A91" s="130" t="s">
        <v>713</v>
      </c>
      <c r="B91" s="187">
        <f>('maintenance costs'!$L$48+'maintenance costs'!$L$58)*inflators!$G$12</f>
        <v>0.9411622276029056</v>
      </c>
      <c r="C91" s="198">
        <f>'AC lifetimes'!L55</f>
        <v>7</v>
      </c>
      <c r="D91" s="196">
        <f>C90+D90</f>
        <v>27</v>
      </c>
      <c r="E91" s="210">
        <f>B91*(1/(1+inflators!$B$9)^D91)</f>
        <v>0.32641065571432987</v>
      </c>
      <c r="F91" s="187">
        <f>('maintenance costs'!$L$48+'maintenance costs'!$L$59)*inflators!$G$12</f>
        <v>1.4769007263922518</v>
      </c>
      <c r="G91" s="196"/>
      <c r="H91" s="201"/>
      <c r="I91" s="210"/>
      <c r="J91" s="187">
        <f>('maintenance costs'!$L$48+'maintenance costs'!$L$59)*inflators!$G$12</f>
        <v>1.4769007263922518</v>
      </c>
      <c r="K91" s="196"/>
      <c r="L91" s="201"/>
      <c r="M91" s="210"/>
    </row>
    <row r="92" spans="1:13" ht="12">
      <c r="A92" s="131" t="s">
        <v>594</v>
      </c>
      <c r="B92" s="188">
        <f>('rehabilitation costs'!$L$42+'rehabilitation costs'!$L$50+'rehabilitation costs'!$L$51)*inflators!$G$12</f>
        <v>6.761888619854723</v>
      </c>
      <c r="C92" s="202">
        <f>'AC lifetimes'!L27</f>
        <v>7</v>
      </c>
      <c r="D92" s="205">
        <f>C91+D91</f>
        <v>34</v>
      </c>
      <c r="E92" s="210">
        <f>B92*(1/(1+inflators!$B$9)^D92)</f>
        <v>1.7821098751102333</v>
      </c>
      <c r="F92" s="188">
        <f>('rehabilitation costs'!$L$42+'rehabilitation costs'!$L$50+'rehabilitation costs'!$L$52)*inflators!$G$12</f>
        <v>7.268668280871672</v>
      </c>
      <c r="G92" s="205"/>
      <c r="H92" s="202"/>
      <c r="I92" s="191"/>
      <c r="J92" s="188">
        <f>('rehabilitation costs'!$L$42+'rehabilitation costs'!$L$50+'rehabilitation costs'!$L$52)*inflators!$G$12</f>
        <v>7.268668280871672</v>
      </c>
      <c r="K92" s="205"/>
      <c r="L92" s="202"/>
      <c r="M92" s="191"/>
    </row>
    <row r="93" spans="1:13" ht="12">
      <c r="A93" s="7"/>
      <c r="B93" s="7"/>
      <c r="C93" s="201">
        <f>SUM(C88:C92)</f>
        <v>41</v>
      </c>
      <c r="D93" s="193" t="s">
        <v>455</v>
      </c>
      <c r="E93" s="186">
        <f>E88</f>
        <v>16.47757869249395</v>
      </c>
      <c r="F93" s="124"/>
      <c r="G93" s="201">
        <f>SUM(G88:G92)</f>
        <v>44</v>
      </c>
      <c r="H93" s="193" t="s">
        <v>455</v>
      </c>
      <c r="I93" s="187">
        <f>I88</f>
        <v>16.47757869249395</v>
      </c>
      <c r="J93" s="124"/>
      <c r="K93" s="201">
        <f>SUM(K88:K92)</f>
        <v>40</v>
      </c>
      <c r="L93" s="193" t="s">
        <v>455</v>
      </c>
      <c r="M93" s="187">
        <f>M88</f>
        <v>16.47757869249395</v>
      </c>
    </row>
    <row r="94" spans="1:13" ht="12">
      <c r="A94" s="7"/>
      <c r="B94" s="7"/>
      <c r="C94" s="124"/>
      <c r="D94" s="146" t="s">
        <v>710</v>
      </c>
      <c r="E94" s="187">
        <f>SUM(E89:E92)</f>
        <v>5.197974599707031</v>
      </c>
      <c r="F94" s="124"/>
      <c r="G94" s="124"/>
      <c r="H94" s="146" t="s">
        <v>710</v>
      </c>
      <c r="I94" s="187">
        <f>SUM(I89:I92)</f>
        <v>2.5815353442525937</v>
      </c>
      <c r="J94" s="124"/>
      <c r="K94" s="124"/>
      <c r="L94" s="146" t="s">
        <v>710</v>
      </c>
      <c r="M94" s="187">
        <f>SUM(M89:M92)</f>
        <v>2.8961975816127503</v>
      </c>
    </row>
    <row r="95" spans="1:13" ht="12">
      <c r="A95" s="7"/>
      <c r="B95" s="127"/>
      <c r="C95" s="124"/>
      <c r="D95" s="193" t="s">
        <v>588</v>
      </c>
      <c r="E95" s="187">
        <f>E92/7*6</f>
        <v>1.5275227500944855</v>
      </c>
      <c r="F95" s="124"/>
      <c r="G95" s="124"/>
      <c r="H95" s="193" t="s">
        <v>588</v>
      </c>
      <c r="I95" s="187">
        <f>I90/15*9</f>
        <v>1.1114973682580018</v>
      </c>
      <c r="J95" s="124"/>
      <c r="K95" s="124"/>
      <c r="L95" s="193" t="s">
        <v>588</v>
      </c>
      <c r="M95" s="187">
        <f>M90/15*5</f>
        <v>0.7223859503744977</v>
      </c>
    </row>
    <row r="96" spans="1:13" s="13" customFormat="1" ht="12">
      <c r="A96" s="276"/>
      <c r="B96" s="277"/>
      <c r="C96" s="189"/>
      <c r="D96" s="274" t="s">
        <v>711</v>
      </c>
      <c r="E96" s="211">
        <f>E93+E94-E95</f>
        <v>20.148030542106497</v>
      </c>
      <c r="F96" s="189"/>
      <c r="G96" s="189"/>
      <c r="H96" s="274" t="s">
        <v>711</v>
      </c>
      <c r="I96" s="211">
        <f>I93+I94-I95</f>
        <v>17.947616668488543</v>
      </c>
      <c r="J96" s="189"/>
      <c r="K96" s="189"/>
      <c r="L96" s="274" t="s">
        <v>711</v>
      </c>
      <c r="M96" s="211">
        <f>M93+M94-M95</f>
        <v>18.6513903237322</v>
      </c>
    </row>
    <row r="97" ht="12"/>
    <row r="98" s="483" customFormat="1" ht="12">
      <c r="A98" s="482" t="s">
        <v>290</v>
      </c>
    </row>
    <row r="99" ht="12">
      <c r="A99" s="1" t="s">
        <v>26</v>
      </c>
    </row>
    <row r="100" spans="1:13" ht="12">
      <c r="A100" s="7" t="s">
        <v>21</v>
      </c>
      <c r="B100" s="569" t="s">
        <v>590</v>
      </c>
      <c r="C100" s="570"/>
      <c r="D100" s="570"/>
      <c r="E100" s="571"/>
      <c r="F100" s="569" t="s">
        <v>591</v>
      </c>
      <c r="G100" s="570"/>
      <c r="H100" s="570"/>
      <c r="I100" s="571"/>
      <c r="J100" s="569" t="s">
        <v>8</v>
      </c>
      <c r="K100" s="570"/>
      <c r="L100" s="570"/>
      <c r="M100" s="571"/>
    </row>
    <row r="101" spans="1:13" ht="12">
      <c r="A101" s="218" t="s">
        <v>632</v>
      </c>
      <c r="B101" s="564" t="s">
        <v>715</v>
      </c>
      <c r="C101" s="564" t="s">
        <v>532</v>
      </c>
      <c r="D101" s="564" t="s">
        <v>587</v>
      </c>
      <c r="E101" s="564" t="s">
        <v>533</v>
      </c>
      <c r="F101" s="564" t="s">
        <v>715</v>
      </c>
      <c r="G101" s="564" t="s">
        <v>532</v>
      </c>
      <c r="H101" s="564" t="s">
        <v>587</v>
      </c>
      <c r="I101" s="564" t="s">
        <v>533</v>
      </c>
      <c r="J101" s="564" t="s">
        <v>715</v>
      </c>
      <c r="K101" s="564" t="s">
        <v>532</v>
      </c>
      <c r="L101" s="564" t="s">
        <v>587</v>
      </c>
      <c r="M101" s="564" t="s">
        <v>533</v>
      </c>
    </row>
    <row r="102" spans="1:13" ht="12">
      <c r="A102" s="291" t="s">
        <v>716</v>
      </c>
      <c r="B102" s="565"/>
      <c r="C102" s="578"/>
      <c r="D102" s="578"/>
      <c r="E102" s="578"/>
      <c r="F102" s="565"/>
      <c r="G102" s="578"/>
      <c r="H102" s="578"/>
      <c r="I102" s="578"/>
      <c r="J102" s="565"/>
      <c r="K102" s="578"/>
      <c r="L102" s="578"/>
      <c r="M102" s="578"/>
    </row>
    <row r="103" spans="1:13" ht="12">
      <c r="A103" s="72" t="s">
        <v>122</v>
      </c>
      <c r="B103" s="186">
        <f>'rehabilitation costs'!$L$37*inflators!$G$12</f>
        <v>38.732445520581116</v>
      </c>
      <c r="C103" s="204">
        <f>'AC lifetimes'!L7</f>
        <v>18</v>
      </c>
      <c r="D103" s="12">
        <v>0</v>
      </c>
      <c r="E103" s="210">
        <f>B103*(1/(1+inflators!$B$9)^D103)</f>
        <v>38.732445520581116</v>
      </c>
      <c r="F103" s="186">
        <f>'rehabilitation costs'!$L$37*inflators!$G$12</f>
        <v>38.732445520581116</v>
      </c>
      <c r="G103" s="200">
        <f>'AC lifetimes'!G7</f>
        <v>25</v>
      </c>
      <c r="H103" s="3">
        <v>0</v>
      </c>
      <c r="I103" s="194">
        <f>F103*(1/(1+inflators!$B$9)^H103)</f>
        <v>38.732445520581116</v>
      </c>
      <c r="J103" s="186">
        <f>'rehabilitation costs'!$L$37*inflators!$G$12</f>
        <v>38.732445520581116</v>
      </c>
      <c r="K103" s="200">
        <f>'AC lifetimes'!$G$7</f>
        <v>25</v>
      </c>
      <c r="L103" s="3">
        <v>0</v>
      </c>
      <c r="M103" s="194">
        <f>J103*(1/(1+inflators!$B$9)^L103)</f>
        <v>38.732445520581116</v>
      </c>
    </row>
    <row r="104" spans="1:13" ht="10.5" customHeight="1">
      <c r="A104" s="184" t="s">
        <v>712</v>
      </c>
      <c r="B104" s="187">
        <f>('maintenance costs'!$L$48+'maintenance costs'!$L$58)*inflators!$G$12</f>
        <v>0.9411622276029056</v>
      </c>
      <c r="C104" s="196">
        <f>'AC lifetimes'!L56</f>
        <v>8</v>
      </c>
      <c r="D104" s="201">
        <f>C103+D103</f>
        <v>18</v>
      </c>
      <c r="E104" s="210">
        <f>B104*(1/(1+inflators!$B$9)^D104)</f>
        <v>0.4645841419784482</v>
      </c>
      <c r="F104" s="187">
        <f>('maintenance costs'!$L$48+'maintenance costs'!$L$59)*inflators!$G$12</f>
        <v>1.4769007263922518</v>
      </c>
      <c r="G104" s="201">
        <f>'AC lifetimes'!H56</f>
        <v>11</v>
      </c>
      <c r="H104" s="196">
        <f>G103+H103</f>
        <v>25</v>
      </c>
      <c r="I104" s="210">
        <f>F104*(1/(1+inflators!$B$9)^H104)</f>
        <v>0.5540102777308178</v>
      </c>
      <c r="J104" s="187">
        <f>('maintenance costs'!$L$48+'maintenance costs'!$L$59)*inflators!$G$12</f>
        <v>1.4769007263922518</v>
      </c>
      <c r="K104" s="201">
        <f>'AC lifetimes'!$I$56</f>
        <v>7</v>
      </c>
      <c r="L104" s="196">
        <f>K103+L103</f>
        <v>25</v>
      </c>
      <c r="M104" s="210">
        <f>J104*(1/(1+inflators!$B$9)^L104)</f>
        <v>0.5540102777308178</v>
      </c>
    </row>
    <row r="105" spans="1:13" ht="12">
      <c r="A105" s="184" t="s">
        <v>712</v>
      </c>
      <c r="B105" s="187">
        <f>('maintenance costs'!$L$48+'maintenance costs'!$L$58)*inflators!$G$12</f>
        <v>0.9411622276029056</v>
      </c>
      <c r="C105" s="196">
        <f>'AC lifetimes'!L56</f>
        <v>8</v>
      </c>
      <c r="D105" s="201">
        <f>C104+D104</f>
        <v>26</v>
      </c>
      <c r="E105" s="210">
        <f>B105*(1/(1+inflators!$B$9)^D105)</f>
        <v>0.3394670819429031</v>
      </c>
      <c r="F105" s="187">
        <f>('maintenance costs'!$L$48+'maintenance costs'!$L$59)*inflators!$G$12</f>
        <v>1.4769007263922518</v>
      </c>
      <c r="G105" s="201"/>
      <c r="H105" s="196"/>
      <c r="I105" s="210"/>
      <c r="J105" s="187">
        <f>('maintenance costs'!$L$48+'maintenance costs'!$L$59)*inflators!$G$12</f>
        <v>1.4769007263922518</v>
      </c>
      <c r="K105" s="201"/>
      <c r="L105" s="196">
        <f>K104+L104</f>
        <v>32</v>
      </c>
      <c r="M105" s="210"/>
    </row>
    <row r="106" spans="1:13" ht="12">
      <c r="A106" s="130" t="s">
        <v>7</v>
      </c>
      <c r="B106" s="210">
        <f>('maintenance costs'!$L$52+'maintenance costs'!$L$58)*inflators!$G$12</f>
        <v>1.7809685230024213</v>
      </c>
      <c r="C106" s="196">
        <f>'AC lifetimes'!L84</f>
        <v>10</v>
      </c>
      <c r="D106" s="201">
        <f>C105+D105</f>
        <v>34</v>
      </c>
      <c r="E106" s="210">
        <f>B106*(1/(1+inflators!$B$9)^D106)</f>
        <v>0.46937797567143175</v>
      </c>
      <c r="F106" s="210">
        <f>('maintenance costs'!$L$52+'maintenance costs'!$L$59)*inflators!$G$12</f>
        <v>2.3167070217917676</v>
      </c>
      <c r="G106" s="201"/>
      <c r="H106" s="196"/>
      <c r="I106" s="210"/>
      <c r="J106" s="210">
        <f>('maintenance costs'!$L$52+'maintenance costs'!$L$59)*inflators!$G$12</f>
        <v>2.3167070217917676</v>
      </c>
      <c r="K106" s="201"/>
      <c r="L106" s="196">
        <f>K105+L105</f>
        <v>32</v>
      </c>
      <c r="M106" s="210"/>
    </row>
    <row r="107" spans="1:13" ht="12">
      <c r="A107" s="73" t="s">
        <v>593</v>
      </c>
      <c r="B107" s="191">
        <f>('rehabilitation costs'!$L$50+'rehabilitation costs'!$L$51)*inflators!$G$12</f>
        <v>5.270508474576271</v>
      </c>
      <c r="C107" s="205"/>
      <c r="D107" s="202"/>
      <c r="E107" s="191"/>
      <c r="F107" s="191">
        <f>('rehabilitation costs'!$L$50+'rehabilitation costs'!$L$52)*inflators!$G$12</f>
        <v>5.777288135593221</v>
      </c>
      <c r="G107" s="202"/>
      <c r="H107" s="205"/>
      <c r="I107" s="191"/>
      <c r="J107" s="191">
        <f>('rehabilitation costs'!$L$50+'rehabilitation costs'!$L$52)*inflators!$G$12</f>
        <v>5.777288135593221</v>
      </c>
      <c r="K107" s="202">
        <f>'AC lifetimes'!$I$28</f>
        <v>15</v>
      </c>
      <c r="L107" s="205">
        <f>K104+L104</f>
        <v>32</v>
      </c>
      <c r="M107" s="191">
        <f>J107*(1/(1+inflators!$B$9)^L107)</f>
        <v>1.6468618550894476</v>
      </c>
    </row>
    <row r="108" spans="1:13" ht="12">
      <c r="A108" s="7"/>
      <c r="B108" s="7"/>
      <c r="C108" s="201">
        <f>SUM(C103:C107)</f>
        <v>44</v>
      </c>
      <c r="D108" s="193" t="s">
        <v>455</v>
      </c>
      <c r="E108" s="187">
        <f>E103</f>
        <v>38.732445520581116</v>
      </c>
      <c r="F108" s="124"/>
      <c r="G108" s="201">
        <f>SUM(G103:G107)</f>
        <v>36</v>
      </c>
      <c r="H108" s="193" t="s">
        <v>455</v>
      </c>
      <c r="I108" s="187">
        <f>I103</f>
        <v>38.732445520581116</v>
      </c>
      <c r="J108" s="124"/>
      <c r="K108" s="201">
        <f>SUM(K103:K107)</f>
        <v>47</v>
      </c>
      <c r="L108" s="193" t="s">
        <v>455</v>
      </c>
      <c r="M108" s="187">
        <f>M103</f>
        <v>38.732445520581116</v>
      </c>
    </row>
    <row r="109" spans="1:13" ht="12">
      <c r="A109" s="7"/>
      <c r="B109" s="7"/>
      <c r="C109" s="124"/>
      <c r="D109" s="146" t="s">
        <v>710</v>
      </c>
      <c r="E109" s="187">
        <f>SUM(E104:E107)</f>
        <v>1.2734291995927831</v>
      </c>
      <c r="F109" s="124"/>
      <c r="G109" s="124"/>
      <c r="H109" s="146" t="s">
        <v>710</v>
      </c>
      <c r="I109" s="187">
        <f>SUM(I104:I107)</f>
        <v>0.5540102777308178</v>
      </c>
      <c r="J109" s="124"/>
      <c r="K109" s="124"/>
      <c r="L109" s="146" t="s">
        <v>710</v>
      </c>
      <c r="M109" s="187">
        <f>SUM(M104:M107)</f>
        <v>2.2008721328202654</v>
      </c>
    </row>
    <row r="110" spans="1:13" ht="12">
      <c r="A110" s="7"/>
      <c r="B110" s="127"/>
      <c r="C110" s="124"/>
      <c r="D110" s="193" t="s">
        <v>588</v>
      </c>
      <c r="E110" s="187">
        <f>E106/10*9</f>
        <v>0.4224401781042886</v>
      </c>
      <c r="F110" s="124"/>
      <c r="G110" s="124"/>
      <c r="H110" s="193" t="s">
        <v>588</v>
      </c>
      <c r="I110" s="187">
        <f>I104/11*1</f>
        <v>0.05036457070280162</v>
      </c>
      <c r="J110" s="124"/>
      <c r="K110" s="124"/>
      <c r="L110" s="193" t="s">
        <v>588</v>
      </c>
      <c r="M110" s="187">
        <f>M107/15*12</f>
        <v>1.317489484071558</v>
      </c>
    </row>
    <row r="111" spans="1:13" s="13" customFormat="1" ht="12">
      <c r="A111" s="276"/>
      <c r="B111" s="277"/>
      <c r="C111" s="189"/>
      <c r="D111" s="274" t="s">
        <v>711</v>
      </c>
      <c r="E111" s="211">
        <f>E108+E109-E110</f>
        <v>39.58343454206961</v>
      </c>
      <c r="F111" s="189"/>
      <c r="G111" s="189"/>
      <c r="H111" s="274" t="s">
        <v>711</v>
      </c>
      <c r="I111" s="211">
        <f>I108+I109-I110</f>
        <v>39.23609122760913</v>
      </c>
      <c r="J111" s="189"/>
      <c r="K111" s="189"/>
      <c r="L111" s="274" t="s">
        <v>711</v>
      </c>
      <c r="M111" s="211">
        <f>M108+M109-M110</f>
        <v>39.61582816932982</v>
      </c>
    </row>
    <row r="112" ht="12"/>
    <row r="113" spans="1:13" ht="12">
      <c r="A113" s="7"/>
      <c r="B113" s="569" t="s">
        <v>590</v>
      </c>
      <c r="C113" s="570"/>
      <c r="D113" s="570"/>
      <c r="E113" s="571"/>
      <c r="F113" s="569" t="s">
        <v>591</v>
      </c>
      <c r="G113" s="570"/>
      <c r="H113" s="570"/>
      <c r="I113" s="571"/>
      <c r="J113" s="569" t="s">
        <v>8</v>
      </c>
      <c r="K113" s="570"/>
      <c r="L113" s="570"/>
      <c r="M113" s="571"/>
    </row>
    <row r="114" spans="1:13" ht="12">
      <c r="A114" s="218" t="s">
        <v>633</v>
      </c>
      <c r="B114" s="564" t="s">
        <v>715</v>
      </c>
      <c r="C114" s="564" t="s">
        <v>532</v>
      </c>
      <c r="D114" s="564" t="s">
        <v>587</v>
      </c>
      <c r="E114" s="564" t="s">
        <v>533</v>
      </c>
      <c r="F114" s="564" t="s">
        <v>715</v>
      </c>
      <c r="G114" s="564" t="s">
        <v>532</v>
      </c>
      <c r="H114" s="564" t="s">
        <v>587</v>
      </c>
      <c r="I114" s="564" t="s">
        <v>533</v>
      </c>
      <c r="J114" s="564" t="s">
        <v>715</v>
      </c>
      <c r="K114" s="564" t="s">
        <v>532</v>
      </c>
      <c r="L114" s="564" t="s">
        <v>587</v>
      </c>
      <c r="M114" s="564" t="s">
        <v>533</v>
      </c>
    </row>
    <row r="115" spans="1:13" ht="12">
      <c r="A115" s="291" t="s">
        <v>716</v>
      </c>
      <c r="B115" s="565"/>
      <c r="C115" s="578"/>
      <c r="D115" s="578"/>
      <c r="E115" s="578"/>
      <c r="F115" s="565"/>
      <c r="G115" s="578"/>
      <c r="H115" s="578"/>
      <c r="I115" s="578"/>
      <c r="J115" s="565"/>
      <c r="K115" s="578"/>
      <c r="L115" s="578"/>
      <c r="M115" s="578"/>
    </row>
    <row r="116" spans="1:13" ht="12">
      <c r="A116" s="72" t="s">
        <v>618</v>
      </c>
      <c r="B116" s="186">
        <f>'rehabilitation costs'!$L$40*inflators!$G$12</f>
        <v>12.669491525423728</v>
      </c>
      <c r="C116" s="204">
        <f>'AC lifetimes'!L14</f>
        <v>13</v>
      </c>
      <c r="D116" s="12">
        <v>0</v>
      </c>
      <c r="E116" s="210">
        <f>B116*(1/(1+inflators!$B$9)^D116)</f>
        <v>12.669491525423728</v>
      </c>
      <c r="F116" s="186">
        <f>'rehabilitation costs'!$L$40*inflators!$G$12</f>
        <v>12.669491525423728</v>
      </c>
      <c r="G116" s="200">
        <f>'AC lifetimes'!G14</f>
        <v>18</v>
      </c>
      <c r="H116" s="3">
        <v>0</v>
      </c>
      <c r="I116" s="194">
        <f>F116*(1/(1+inflators!$B$9)^H116)</f>
        <v>12.669491525423728</v>
      </c>
      <c r="J116" s="186">
        <f>'rehabilitation costs'!$L$40*inflators!$G$12</f>
        <v>12.669491525423728</v>
      </c>
      <c r="K116" s="200">
        <f>'AC lifetimes'!$G$14</f>
        <v>18</v>
      </c>
      <c r="L116" s="3">
        <v>0</v>
      </c>
      <c r="M116" s="194">
        <f>J116*(1/(1+inflators!$B$9)^L116)</f>
        <v>12.669491525423728</v>
      </c>
    </row>
    <row r="117" spans="1:13" ht="12">
      <c r="A117" s="184" t="s">
        <v>712</v>
      </c>
      <c r="B117" s="187">
        <f>('maintenance costs'!$L$48+'maintenance costs'!$L$58)*inflators!$G$12</f>
        <v>0.9411622276029056</v>
      </c>
      <c r="C117" s="196">
        <f>'AC lifetimes'!L56</f>
        <v>8</v>
      </c>
      <c r="D117" s="201">
        <f>C116+D116</f>
        <v>13</v>
      </c>
      <c r="E117" s="210">
        <f>B117*(1/(1+inflators!$B$9)^D117)</f>
        <v>0.5652376447470928</v>
      </c>
      <c r="F117" s="187">
        <f>('maintenance costs'!$L$48+'maintenance costs'!$L$59)*inflators!$G$12</f>
        <v>1.4769007263922518</v>
      </c>
      <c r="G117" s="201">
        <f>'AC lifetimes'!H56</f>
        <v>11</v>
      </c>
      <c r="H117" s="196">
        <f>G116+H116</f>
        <v>18</v>
      </c>
      <c r="I117" s="210">
        <f>F117*(1/(1+inflators!$B$9)^H117)</f>
        <v>0.7290397304892572</v>
      </c>
      <c r="J117" s="187">
        <f>('maintenance costs'!$L$48+'maintenance costs'!$L$59)*inflators!$G$12</f>
        <v>1.4769007263922518</v>
      </c>
      <c r="K117" s="201">
        <f>'AC lifetimes'!$I$56</f>
        <v>7</v>
      </c>
      <c r="L117" s="196">
        <f>K116+L116</f>
        <v>18</v>
      </c>
      <c r="M117" s="210">
        <f>J117*(1/(1+inflators!$B$9)^L117)</f>
        <v>0.7290397304892572</v>
      </c>
    </row>
    <row r="118" spans="1:13" ht="12">
      <c r="A118" s="184" t="s">
        <v>712</v>
      </c>
      <c r="B118" s="187">
        <f>('maintenance costs'!$L$48+'maintenance costs'!$L$58)*inflators!$G$12</f>
        <v>0.9411622276029056</v>
      </c>
      <c r="C118" s="196">
        <f>'AC lifetimes'!L56</f>
        <v>8</v>
      </c>
      <c r="D118" s="201">
        <f>C117+D117</f>
        <v>21</v>
      </c>
      <c r="E118" s="210">
        <f>B118*(1/(1+inflators!$B$9)^D118)</f>
        <v>0.41301361051509167</v>
      </c>
      <c r="F118" s="187">
        <f>('maintenance costs'!$L$48+'maintenance costs'!$L$59)*inflators!$G$12</f>
        <v>1.4769007263922518</v>
      </c>
      <c r="G118" s="201">
        <f>'AC lifetimes'!H56</f>
        <v>11</v>
      </c>
      <c r="H118" s="196">
        <f>G117+H117</f>
        <v>29</v>
      </c>
      <c r="I118" s="210">
        <f>F118*(1/(1+inflators!$B$9)^H118)</f>
        <v>0.4735703072778453</v>
      </c>
      <c r="J118" s="187">
        <f>('maintenance costs'!$L$48+'maintenance costs'!$L$59)*inflators!$G$12</f>
        <v>1.4769007263922518</v>
      </c>
      <c r="K118" s="201"/>
      <c r="L118" s="196">
        <f>K117+L117</f>
        <v>25</v>
      </c>
      <c r="M118" s="210"/>
    </row>
    <row r="119" spans="1:13" ht="12">
      <c r="A119" s="130" t="s">
        <v>7</v>
      </c>
      <c r="B119" s="210">
        <f>('maintenance costs'!$L$52+'maintenance costs'!$L$58)*inflators!$G$12</f>
        <v>1.7809685230024213</v>
      </c>
      <c r="C119" s="196">
        <f>'AC lifetimes'!L84</f>
        <v>10</v>
      </c>
      <c r="D119" s="201">
        <f>C118+D118</f>
        <v>29</v>
      </c>
      <c r="E119" s="210">
        <f>B119*(1/(1+inflators!$B$9)^D119)</f>
        <v>0.5710700764232841</v>
      </c>
      <c r="F119" s="210">
        <f>('maintenance costs'!$L$52+'maintenance costs'!$L$59)*inflators!$G$12</f>
        <v>2.3167070217917676</v>
      </c>
      <c r="G119" s="201"/>
      <c r="H119" s="196"/>
      <c r="I119" s="210"/>
      <c r="J119" s="210">
        <f>('maintenance costs'!$L$52+'maintenance costs'!$L$59)*inflators!$G$12</f>
        <v>2.3167070217917676</v>
      </c>
      <c r="K119" s="201"/>
      <c r="L119" s="196">
        <f>K118+L118</f>
        <v>25</v>
      </c>
      <c r="M119" s="210"/>
    </row>
    <row r="120" spans="1:13" ht="12">
      <c r="A120" s="73" t="s">
        <v>593</v>
      </c>
      <c r="B120" s="191">
        <f>('rehabilitation costs'!$L$50+'rehabilitation costs'!$L$51)*inflators!$G$12</f>
        <v>5.270508474576271</v>
      </c>
      <c r="C120" s="205"/>
      <c r="D120" s="202"/>
      <c r="E120" s="191"/>
      <c r="F120" s="191">
        <f>('rehabilitation costs'!$L$50+'rehabilitation costs'!$L$52)*inflators!$G$12</f>
        <v>5.777288135593221</v>
      </c>
      <c r="G120" s="202"/>
      <c r="H120" s="205"/>
      <c r="I120" s="191"/>
      <c r="J120" s="191">
        <f>('rehabilitation costs'!$L$50+'rehabilitation costs'!$L$52)*inflators!$G$12</f>
        <v>5.777288135593221</v>
      </c>
      <c r="K120" s="202">
        <f>'AC lifetimes'!$I$28</f>
        <v>15</v>
      </c>
      <c r="L120" s="205">
        <f>K117+L117</f>
        <v>25</v>
      </c>
      <c r="M120" s="191">
        <f>J120*(1/(1+inflators!$B$9)^L120)</f>
        <v>2.167157851123493</v>
      </c>
    </row>
    <row r="121" spans="1:13" ht="12">
      <c r="A121" s="7"/>
      <c r="B121" s="7"/>
      <c r="C121" s="201">
        <f>SUM(C116:C120)</f>
        <v>39</v>
      </c>
      <c r="D121" s="193" t="s">
        <v>455</v>
      </c>
      <c r="E121" s="187">
        <f>E116</f>
        <v>12.669491525423728</v>
      </c>
      <c r="F121" s="124"/>
      <c r="G121" s="201">
        <f>SUM(G116:G120)</f>
        <v>40</v>
      </c>
      <c r="H121" s="193" t="s">
        <v>455</v>
      </c>
      <c r="I121" s="187">
        <f>I116</f>
        <v>12.669491525423728</v>
      </c>
      <c r="J121" s="124"/>
      <c r="K121" s="201">
        <f>SUM(K116:K120)</f>
        <v>40</v>
      </c>
      <c r="L121" s="193" t="s">
        <v>455</v>
      </c>
      <c r="M121" s="187">
        <f>M116</f>
        <v>12.669491525423728</v>
      </c>
    </row>
    <row r="122" spans="1:13" ht="12">
      <c r="A122" s="7"/>
      <c r="B122" s="7"/>
      <c r="C122" s="124"/>
      <c r="D122" s="146" t="s">
        <v>710</v>
      </c>
      <c r="E122" s="187">
        <f>SUM(E117:E120)</f>
        <v>1.5493213316854686</v>
      </c>
      <c r="F122" s="124"/>
      <c r="G122" s="124"/>
      <c r="H122" s="146" t="s">
        <v>710</v>
      </c>
      <c r="I122" s="187">
        <f>SUM(I117:I120)</f>
        <v>1.2026100377671025</v>
      </c>
      <c r="J122" s="124"/>
      <c r="K122" s="124"/>
      <c r="L122" s="146" t="s">
        <v>710</v>
      </c>
      <c r="M122" s="187">
        <f>SUM(M117:M120)</f>
        <v>2.8961975816127503</v>
      </c>
    </row>
    <row r="123" spans="1:13" ht="12">
      <c r="A123" s="7"/>
      <c r="B123" s="127"/>
      <c r="C123" s="124"/>
      <c r="D123" s="193" t="s">
        <v>588</v>
      </c>
      <c r="E123" s="187">
        <f>E119/10*4</f>
        <v>0.22842803056931366</v>
      </c>
      <c r="F123" s="124"/>
      <c r="G123" s="124"/>
      <c r="H123" s="193" t="s">
        <v>588</v>
      </c>
      <c r="I123" s="187">
        <f>I118/11*5</f>
        <v>0.21525923058083876</v>
      </c>
      <c r="J123" s="124"/>
      <c r="K123" s="124"/>
      <c r="L123" s="193" t="s">
        <v>588</v>
      </c>
      <c r="M123" s="187">
        <f>M120/15*5</f>
        <v>0.7223859503744977</v>
      </c>
    </row>
    <row r="124" spans="1:13" s="13" customFormat="1" ht="12">
      <c r="A124" s="276"/>
      <c r="B124" s="277"/>
      <c r="C124" s="189"/>
      <c r="D124" s="274" t="s">
        <v>711</v>
      </c>
      <c r="E124" s="211">
        <f>E121+E122-E123</f>
        <v>13.990384826539884</v>
      </c>
      <c r="F124" s="189"/>
      <c r="G124" s="189"/>
      <c r="H124" s="274" t="s">
        <v>711</v>
      </c>
      <c r="I124" s="211">
        <f>I121+I122-I123</f>
        <v>13.656842332609992</v>
      </c>
      <c r="J124" s="189"/>
      <c r="K124" s="189"/>
      <c r="L124" s="274" t="s">
        <v>711</v>
      </c>
      <c r="M124" s="211">
        <f>M121+M122-M123</f>
        <v>14.84330315666198</v>
      </c>
    </row>
    <row r="125" ht="12"/>
    <row r="126" s="483" customFormat="1" ht="12">
      <c r="A126" s="482" t="s">
        <v>771</v>
      </c>
    </row>
    <row r="127" ht="12">
      <c r="A127" s="1" t="s">
        <v>22</v>
      </c>
    </row>
    <row r="128" spans="1:13" ht="12">
      <c r="A128" s="405" t="s">
        <v>21</v>
      </c>
      <c r="B128" s="566" t="s">
        <v>772</v>
      </c>
      <c r="C128" s="567"/>
      <c r="D128" s="567"/>
      <c r="E128" s="568"/>
      <c r="F128" s="566" t="s">
        <v>774</v>
      </c>
      <c r="G128" s="567"/>
      <c r="H128" s="567"/>
      <c r="I128" s="568"/>
      <c r="J128" s="566" t="s">
        <v>773</v>
      </c>
      <c r="K128" s="567"/>
      <c r="L128" s="567"/>
      <c r="M128" s="568"/>
    </row>
    <row r="129" spans="1:13" ht="12">
      <c r="A129" s="218" t="s">
        <v>632</v>
      </c>
      <c r="B129" s="564" t="s">
        <v>715</v>
      </c>
      <c r="C129" s="572" t="s">
        <v>532</v>
      </c>
      <c r="D129" s="564" t="s">
        <v>587</v>
      </c>
      <c r="E129" s="564" t="s">
        <v>533</v>
      </c>
      <c r="F129" s="572" t="s">
        <v>715</v>
      </c>
      <c r="G129" s="572" t="s">
        <v>532</v>
      </c>
      <c r="H129" s="564" t="s">
        <v>587</v>
      </c>
      <c r="I129" s="586" t="s">
        <v>533</v>
      </c>
      <c r="J129" s="564" t="s">
        <v>715</v>
      </c>
      <c r="K129" s="572" t="s">
        <v>532</v>
      </c>
      <c r="L129" s="564" t="s">
        <v>587</v>
      </c>
      <c r="M129" s="564" t="s">
        <v>533</v>
      </c>
    </row>
    <row r="130" spans="1:13" ht="12">
      <c r="A130" s="291" t="s">
        <v>716</v>
      </c>
      <c r="B130" s="565"/>
      <c r="C130" s="576"/>
      <c r="D130" s="577"/>
      <c r="E130" s="578"/>
      <c r="F130" s="599"/>
      <c r="G130" s="576"/>
      <c r="H130" s="577"/>
      <c r="I130" s="587"/>
      <c r="J130" s="565"/>
      <c r="K130" s="576"/>
      <c r="L130" s="577"/>
      <c r="M130" s="578"/>
    </row>
    <row r="131" spans="1:13" ht="12">
      <c r="A131" s="129" t="s">
        <v>122</v>
      </c>
      <c r="B131" s="186">
        <f>('rehabilitation costs'!$L$8+'new pavement costs'!$L$9+'new pavement costs'!$L$67)*inflators!$E$15/100</f>
        <v>43.90988</v>
      </c>
      <c r="C131" s="200"/>
      <c r="D131" s="6">
        <v>0</v>
      </c>
      <c r="E131" s="194">
        <f>B131*(1/(1+inflators!$B$9)^D131)</f>
        <v>43.90988</v>
      </c>
      <c r="F131" s="186">
        <f>('rehabilitation costs'!$L$8+'new pavement costs'!$L$9+'new pavement costs'!$L$66)*inflators!$E$15/100</f>
        <v>41.304880000000004</v>
      </c>
      <c r="G131" s="200"/>
      <c r="H131" s="6">
        <v>0</v>
      </c>
      <c r="I131" s="194">
        <f>F131*(1/(1+inflators!$B$9)^H131)</f>
        <v>41.304880000000004</v>
      </c>
      <c r="J131" s="186">
        <f>('rehabilitation costs'!$L$8+'new pavement costs'!$L$9+'new pavement costs'!$L$65)*inflators!$E$15/100</f>
        <v>38.17888000000001</v>
      </c>
      <c r="K131" s="200"/>
      <c r="L131" s="6">
        <v>0</v>
      </c>
      <c r="M131" s="194">
        <f>J131*(1/(1+inflators!$B$9)^L131)</f>
        <v>38.17888000000001</v>
      </c>
    </row>
    <row r="132" spans="1:13" ht="12">
      <c r="A132" s="86" t="s">
        <v>770</v>
      </c>
      <c r="B132" s="140">
        <f>('rehabilitation costs'!$L$90*0.75)*inflators!$H$15/inflators!$E$15</f>
        <v>0.7015451055662187</v>
      </c>
      <c r="C132" s="201"/>
      <c r="D132" s="198"/>
      <c r="E132" s="210"/>
      <c r="F132" s="140">
        <f>('rehabilitation costs'!$L$90*0.75)*inflators!$H$15/inflators!$E$15</f>
        <v>0.7015451055662187</v>
      </c>
      <c r="G132" s="201"/>
      <c r="H132" s="198">
        <v>10</v>
      </c>
      <c r="I132" s="210">
        <f>F132*(1/(1+inflators!$B$9)^H132)</f>
        <v>0.47393873613564963</v>
      </c>
      <c r="J132" s="125"/>
      <c r="K132" s="201"/>
      <c r="L132" s="198">
        <f>K131+L131</f>
        <v>0</v>
      </c>
      <c r="M132" s="210">
        <f>J132*(1/(1+inflators!$B$9)^L132)</f>
        <v>0</v>
      </c>
    </row>
    <row r="133" spans="1:13" ht="12">
      <c r="A133" s="86" t="s">
        <v>775</v>
      </c>
      <c r="B133" s="187">
        <f>('rehabilitation costs'!$L$89*0.1+'rehabilitation costs'!$L$90*0.75)*inflators!$E$15/100</f>
        <v>8.21617</v>
      </c>
      <c r="C133" s="201"/>
      <c r="D133" s="198">
        <v>10</v>
      </c>
      <c r="E133" s="210">
        <f>B133*(1/(1+inflators!$B$9)^D133)</f>
        <v>5.550550056981461</v>
      </c>
      <c r="F133" s="187">
        <f>('rehabilitation costs'!$L$89*0.1+'rehabilitation costs'!$L$90*0.75)*inflators!$E$15/100</f>
        <v>8.21617</v>
      </c>
      <c r="G133" s="201"/>
      <c r="H133" s="198">
        <v>20</v>
      </c>
      <c r="I133" s="210">
        <f>F133*(1/(1+inflators!$B$9)^H133)</f>
        <v>3.7497527357706697</v>
      </c>
      <c r="J133" s="128"/>
      <c r="K133" s="201"/>
      <c r="L133" s="198">
        <f>K132+L132</f>
        <v>0</v>
      </c>
      <c r="M133" s="210">
        <f>J133*(1/(1+inflators!$B$9)^L133)</f>
        <v>0</v>
      </c>
    </row>
    <row r="134" spans="1:13" ht="12">
      <c r="A134" s="144" t="s">
        <v>775</v>
      </c>
      <c r="B134" s="188">
        <f>('rehabilitation costs'!$L$89*0.1+'rehabilitation costs'!$L$90*0.75)*inflators!$E$15/100</f>
        <v>8.21617</v>
      </c>
      <c r="C134" s="202"/>
      <c r="D134" s="199">
        <v>20</v>
      </c>
      <c r="E134" s="210">
        <f>B134*(1/(1+inflators!$B$9)^D134)</f>
        <v>3.7497527357706697</v>
      </c>
      <c r="F134" s="209"/>
      <c r="G134" s="202"/>
      <c r="H134" s="199"/>
      <c r="I134" s="191"/>
      <c r="J134" s="209"/>
      <c r="K134" s="202"/>
      <c r="L134" s="199"/>
      <c r="M134" s="191"/>
    </row>
    <row r="135" spans="2:13" ht="12">
      <c r="B135" s="124"/>
      <c r="C135" s="201"/>
      <c r="D135" s="193" t="s">
        <v>455</v>
      </c>
      <c r="E135" s="186">
        <f>E131</f>
        <v>43.90988</v>
      </c>
      <c r="F135" s="124"/>
      <c r="G135" s="201"/>
      <c r="H135" s="193" t="s">
        <v>455</v>
      </c>
      <c r="I135" s="186">
        <f>I131</f>
        <v>41.304880000000004</v>
      </c>
      <c r="J135" s="124"/>
      <c r="K135" s="201"/>
      <c r="L135" s="193" t="s">
        <v>455</v>
      </c>
      <c r="M135" s="186">
        <f>M131</f>
        <v>38.17888000000001</v>
      </c>
    </row>
    <row r="136" spans="2:13" ht="12">
      <c r="B136" s="124"/>
      <c r="C136" s="124"/>
      <c r="D136" s="146" t="s">
        <v>710</v>
      </c>
      <c r="E136" s="187">
        <f>SUM(E132:E134)</f>
        <v>9.300302792752131</v>
      </c>
      <c r="F136" s="124"/>
      <c r="G136" s="124"/>
      <c r="H136" s="146" t="s">
        <v>710</v>
      </c>
      <c r="I136" s="187">
        <f>SUM(I132:I134)</f>
        <v>4.223691471906319</v>
      </c>
      <c r="J136" s="124"/>
      <c r="K136" s="124"/>
      <c r="L136" s="146" t="s">
        <v>710</v>
      </c>
      <c r="M136" s="187">
        <f>SUM(M132:M134)</f>
        <v>0</v>
      </c>
    </row>
    <row r="137" spans="2:13" ht="12">
      <c r="B137" s="124"/>
      <c r="C137" s="124"/>
      <c r="D137" s="193" t="s">
        <v>588</v>
      </c>
      <c r="E137" s="187">
        <f>E131/40*5</f>
        <v>5.488735</v>
      </c>
      <c r="F137" s="124"/>
      <c r="G137" s="124"/>
      <c r="H137" s="193" t="s">
        <v>588</v>
      </c>
      <c r="I137" s="187">
        <f>I131/40*5</f>
        <v>5.1631100000000005</v>
      </c>
      <c r="J137" s="124"/>
      <c r="K137" s="124"/>
      <c r="L137" s="193" t="s">
        <v>588</v>
      </c>
      <c r="M137" s="187">
        <f>M131/40*5</f>
        <v>4.772360000000001</v>
      </c>
    </row>
    <row r="138" spans="2:13" ht="12">
      <c r="B138" s="189"/>
      <c r="C138" s="189"/>
      <c r="D138" s="274" t="s">
        <v>711</v>
      </c>
      <c r="E138" s="211">
        <f>E135+E136-E137</f>
        <v>47.72144779275214</v>
      </c>
      <c r="F138" s="189"/>
      <c r="G138" s="189"/>
      <c r="H138" s="274" t="s">
        <v>711</v>
      </c>
      <c r="I138" s="211">
        <f>I135+I136-I137</f>
        <v>40.36546147190632</v>
      </c>
      <c r="J138" s="189"/>
      <c r="K138" s="189"/>
      <c r="L138" s="274" t="s">
        <v>711</v>
      </c>
      <c r="M138" s="211">
        <f>M135+M136-M137</f>
        <v>33.40652000000001</v>
      </c>
    </row>
    <row r="139" ht="12"/>
    <row r="140" ht="12"/>
    <row r="141" s="484" customFormat="1" ht="12">
      <c r="A141" s="482" t="s">
        <v>776</v>
      </c>
    </row>
    <row r="142" spans="1:12" ht="12">
      <c r="A142" s="1" t="s">
        <v>26</v>
      </c>
      <c r="B142" s="592" t="s">
        <v>365</v>
      </c>
      <c r="C142" s="593"/>
      <c r="D142" s="593"/>
      <c r="E142" s="593"/>
      <c r="F142" s="593"/>
      <c r="G142" s="593"/>
      <c r="H142" s="593"/>
      <c r="I142" s="593"/>
      <c r="J142" s="593"/>
      <c r="K142" s="593"/>
      <c r="L142" s="594"/>
    </row>
    <row r="143" spans="1:14" ht="12">
      <c r="A143" s="405" t="s">
        <v>21</v>
      </c>
      <c r="B143" s="583" t="s">
        <v>8</v>
      </c>
      <c r="C143" s="584"/>
      <c r="D143" s="584"/>
      <c r="E143" s="584"/>
      <c r="F143" s="584"/>
      <c r="G143" s="584"/>
      <c r="H143" s="584"/>
      <c r="I143" s="584"/>
      <c r="J143" s="584"/>
      <c r="K143" s="584"/>
      <c r="L143" s="585"/>
      <c r="M143" s="558" t="s">
        <v>375</v>
      </c>
      <c r="N143" s="563"/>
    </row>
    <row r="144" spans="1:14" ht="12">
      <c r="A144" s="218" t="s">
        <v>632</v>
      </c>
      <c r="B144" s="564" t="s">
        <v>715</v>
      </c>
      <c r="C144" s="572" t="s">
        <v>532</v>
      </c>
      <c r="D144" s="564" t="s">
        <v>587</v>
      </c>
      <c r="E144" s="586" t="s">
        <v>533</v>
      </c>
      <c r="F144" s="588" t="s">
        <v>715</v>
      </c>
      <c r="G144" s="590" t="s">
        <v>532</v>
      </c>
      <c r="H144" s="591"/>
      <c r="I144" s="590" t="s">
        <v>587</v>
      </c>
      <c r="J144" s="591"/>
      <c r="K144" s="590" t="s">
        <v>533</v>
      </c>
      <c r="L144" s="591"/>
      <c r="M144" s="558"/>
      <c r="N144" s="563"/>
    </row>
    <row r="145" spans="1:14" ht="12">
      <c r="A145" s="291" t="s">
        <v>716</v>
      </c>
      <c r="B145" s="565"/>
      <c r="C145" s="576"/>
      <c r="D145" s="577"/>
      <c r="E145" s="587"/>
      <c r="F145" s="589"/>
      <c r="G145" s="219" t="s">
        <v>94</v>
      </c>
      <c r="H145" s="219" t="s">
        <v>93</v>
      </c>
      <c r="I145" s="219" t="s">
        <v>94</v>
      </c>
      <c r="J145" s="219" t="s">
        <v>93</v>
      </c>
      <c r="K145" s="219" t="s">
        <v>94</v>
      </c>
      <c r="L145" s="219" t="s">
        <v>93</v>
      </c>
      <c r="M145" s="558"/>
      <c r="N145" s="563"/>
    </row>
    <row r="146" spans="1:14" ht="12">
      <c r="A146" s="129" t="s">
        <v>122</v>
      </c>
      <c r="B146" s="186">
        <f>'rehabilitation costs'!$L$35*inflators!$G$12*inflators!$G$15</f>
        <v>49.593832094848466</v>
      </c>
      <c r="C146" s="200">
        <f>'AC lifetimes'!$G$3</f>
        <v>24</v>
      </c>
      <c r="D146" s="6">
        <v>0</v>
      </c>
      <c r="E146" s="234">
        <f>B146*(1/(1+inflators!$B$9)^D146)</f>
        <v>49.593832094848466</v>
      </c>
      <c r="F146" s="239">
        <f>'rehabilitation costs'!$L$35*inflators!$G$12*inflators!$G$15</f>
        <v>49.593832094848466</v>
      </c>
      <c r="G146" s="224">
        <f>(('AC lifetimes'!$G$3-6)*(1+'weather data'!$F$32))+6</f>
        <v>38.727272727272734</v>
      </c>
      <c r="H146" s="224">
        <f>(('AC lifetimes'!$G$3-6)*(1+'weather data'!$C$32))+6</f>
        <v>35.45454545454545</v>
      </c>
      <c r="I146" s="225">
        <v>0</v>
      </c>
      <c r="J146" s="226">
        <v>0</v>
      </c>
      <c r="K146" s="227">
        <f>$F146*(1/(1+inflators!$B$9)^I146)</f>
        <v>49.593832094848466</v>
      </c>
      <c r="L146" s="228">
        <f>$F146*(1/(1+inflators!$B$9)^J146)</f>
        <v>49.593832094848466</v>
      </c>
      <c r="M146" s="558" t="s">
        <v>118</v>
      </c>
      <c r="N146" s="559"/>
    </row>
    <row r="147" spans="1:14" ht="12">
      <c r="A147" s="130" t="s">
        <v>712</v>
      </c>
      <c r="B147" s="187">
        <f>('maintenance costs'!$L$48+'maintenance costs'!$L$59)*inflators!$G$12*inflators!$G$15</f>
        <v>1.3266642731902814</v>
      </c>
      <c r="C147" s="201">
        <f>'AC lifetimes'!$I$52</f>
        <v>5</v>
      </c>
      <c r="D147" s="198">
        <f>C146+D146</f>
        <v>24</v>
      </c>
      <c r="E147" s="126">
        <f>B147*(1/(1+inflators!$B$9)^D147)</f>
        <v>0.5175602222166662</v>
      </c>
      <c r="F147" s="235">
        <f>('maintenance costs'!$L$48+'maintenance costs'!$L$59)*inflators!$G$12*inflators!$G$15</f>
        <v>1.3266642731902814</v>
      </c>
      <c r="G147" s="196"/>
      <c r="H147" s="196"/>
      <c r="I147" s="220"/>
      <c r="J147" s="220"/>
      <c r="K147" s="210"/>
      <c r="L147" s="210"/>
      <c r="M147" s="560"/>
      <c r="N147" s="559"/>
    </row>
    <row r="148" spans="1:14" ht="12">
      <c r="A148" s="130" t="s">
        <v>593</v>
      </c>
      <c r="B148" s="210">
        <f>('rehabilitation costs'!$L$50+'rehabilitation costs'!$L$52)*inflators!$G$12*inflators!$G$15</f>
        <v>5.189598480420807</v>
      </c>
      <c r="C148" s="201">
        <f>'AC lifetimes'!$I$24</f>
        <v>11</v>
      </c>
      <c r="D148" s="198">
        <f>C147+D147</f>
        <v>29</v>
      </c>
      <c r="E148" s="126">
        <f>B148*(1/(1+inflators!$B$9)^D148)</f>
        <v>1.6640520944322383</v>
      </c>
      <c r="F148" s="258">
        <f>('rehabilitation costs'!$L$50+'rehabilitation costs'!$L$52)*inflators!$G$12*inflators!$G$15</f>
        <v>5.189598480420807</v>
      </c>
      <c r="G148" s="220"/>
      <c r="H148" s="220"/>
      <c r="I148" s="220"/>
      <c r="J148" s="220"/>
      <c r="K148" s="210"/>
      <c r="L148" s="210"/>
      <c r="M148" s="561"/>
      <c r="N148" s="562"/>
    </row>
    <row r="149" spans="1:14" ht="12">
      <c r="A149" s="131" t="s">
        <v>713</v>
      </c>
      <c r="B149" s="188">
        <f>('maintenance costs'!$L$48+'maintenance costs'!$L$59)*inflators!$G$12*inflators!$G$15</f>
        <v>1.3266642731902814</v>
      </c>
      <c r="C149" s="202"/>
      <c r="D149" s="199"/>
      <c r="E149" s="240"/>
      <c r="F149" s="236">
        <f>('maintenance costs'!$L$48+'maintenance costs'!$L$59)*inflators!$G$12*inflators!$G$15</f>
        <v>1.3266642731902814</v>
      </c>
      <c r="G149" s="205"/>
      <c r="H149" s="205"/>
      <c r="I149" s="221"/>
      <c r="J149" s="221"/>
      <c r="K149" s="191"/>
      <c r="L149" s="191"/>
      <c r="M149" s="558" t="s">
        <v>117</v>
      </c>
      <c r="N149" s="559"/>
    </row>
    <row r="150" spans="2:14" ht="12">
      <c r="B150" s="124"/>
      <c r="C150" s="201">
        <f>SUM(C146:C149)</f>
        <v>40</v>
      </c>
      <c r="D150" s="193" t="s">
        <v>455</v>
      </c>
      <c r="E150" s="259">
        <f>E146</f>
        <v>49.593832094848466</v>
      </c>
      <c r="G150" s="257">
        <f>SUM(G146:G149)</f>
        <v>38.727272727272734</v>
      </c>
      <c r="H150" s="257">
        <f>SUM(H146:H149)</f>
        <v>35.45454545454545</v>
      </c>
      <c r="J150" s="193" t="s">
        <v>455</v>
      </c>
      <c r="K150" s="187">
        <f>K146</f>
        <v>49.593832094848466</v>
      </c>
      <c r="L150" s="187">
        <f>L146</f>
        <v>49.593832094848466</v>
      </c>
      <c r="M150" s="560"/>
      <c r="N150" s="559"/>
    </row>
    <row r="151" spans="2:14" ht="12">
      <c r="B151" s="124"/>
      <c r="C151" s="124"/>
      <c r="D151" s="146" t="s">
        <v>710</v>
      </c>
      <c r="E151" s="260">
        <f>SUM(E147:E149)</f>
        <v>2.1816123166489048</v>
      </c>
      <c r="J151" s="146" t="s">
        <v>710</v>
      </c>
      <c r="K151" s="187">
        <f>SUM(K147:K149)</f>
        <v>0</v>
      </c>
      <c r="L151" s="187">
        <f>SUM(L147:L149)</f>
        <v>0</v>
      </c>
      <c r="M151" s="561"/>
      <c r="N151" s="562"/>
    </row>
    <row r="152" spans="2:12" ht="12">
      <c r="B152" s="124"/>
      <c r="C152" s="124"/>
      <c r="D152" s="193" t="s">
        <v>588</v>
      </c>
      <c r="E152" s="260">
        <f>E148/11*5</f>
        <v>0.7563873156510175</v>
      </c>
      <c r="J152" s="193" t="s">
        <v>588</v>
      </c>
      <c r="K152" s="187">
        <f>K146/39*4</f>
        <v>5.08654688152292</v>
      </c>
      <c r="L152" s="187">
        <v>0</v>
      </c>
    </row>
    <row r="153" spans="2:12" s="13" customFormat="1" ht="12">
      <c r="B153" s="189"/>
      <c r="C153" s="189"/>
      <c r="D153" s="274" t="s">
        <v>711</v>
      </c>
      <c r="E153" s="275">
        <f>E150+E151-E152</f>
        <v>51.01905709584635</v>
      </c>
      <c r="J153" s="274" t="s">
        <v>711</v>
      </c>
      <c r="K153" s="211">
        <f>K150+K151-K152</f>
        <v>44.507285213325545</v>
      </c>
      <c r="L153" s="211">
        <f>L150+L151-L152</f>
        <v>49.593832094848466</v>
      </c>
    </row>
    <row r="154" ht="12"/>
    <row r="155" spans="2:12" ht="12">
      <c r="B155" s="580" t="s">
        <v>365</v>
      </c>
      <c r="C155" s="581"/>
      <c r="D155" s="581"/>
      <c r="E155" s="581"/>
      <c r="F155" s="581"/>
      <c r="G155" s="581"/>
      <c r="H155" s="581"/>
      <c r="I155" s="581"/>
      <c r="J155" s="581"/>
      <c r="K155" s="581"/>
      <c r="L155" s="582"/>
    </row>
    <row r="156" spans="1:14" ht="12">
      <c r="A156" s="256"/>
      <c r="B156" s="583" t="s">
        <v>8</v>
      </c>
      <c r="C156" s="584"/>
      <c r="D156" s="584"/>
      <c r="E156" s="584"/>
      <c r="F156" s="584"/>
      <c r="G156" s="584"/>
      <c r="H156" s="584"/>
      <c r="I156" s="584"/>
      <c r="J156" s="584"/>
      <c r="K156" s="584"/>
      <c r="L156" s="585"/>
      <c r="M156" s="558" t="s">
        <v>375</v>
      </c>
      <c r="N156" s="563"/>
    </row>
    <row r="157" spans="1:14" ht="12">
      <c r="A157" s="218" t="s">
        <v>633</v>
      </c>
      <c r="B157" s="564" t="s">
        <v>715</v>
      </c>
      <c r="C157" s="572" t="s">
        <v>532</v>
      </c>
      <c r="D157" s="564" t="s">
        <v>587</v>
      </c>
      <c r="E157" s="586" t="s">
        <v>533</v>
      </c>
      <c r="F157" s="588" t="s">
        <v>715</v>
      </c>
      <c r="G157" s="590" t="s">
        <v>532</v>
      </c>
      <c r="H157" s="591"/>
      <c r="I157" s="590" t="s">
        <v>587</v>
      </c>
      <c r="J157" s="591"/>
      <c r="K157" s="590" t="s">
        <v>533</v>
      </c>
      <c r="L157" s="591"/>
      <c r="M157" s="558"/>
      <c r="N157" s="563"/>
    </row>
    <row r="158" spans="1:14" ht="12">
      <c r="A158" s="291" t="s">
        <v>716</v>
      </c>
      <c r="B158" s="565"/>
      <c r="C158" s="576"/>
      <c r="D158" s="577"/>
      <c r="E158" s="587"/>
      <c r="F158" s="589"/>
      <c r="G158" s="219" t="s">
        <v>94</v>
      </c>
      <c r="H158" s="219" t="s">
        <v>93</v>
      </c>
      <c r="I158" s="219" t="s">
        <v>94</v>
      </c>
      <c r="J158" s="219" t="s">
        <v>93</v>
      </c>
      <c r="K158" s="219" t="s">
        <v>94</v>
      </c>
      <c r="L158" s="219" t="s">
        <v>93</v>
      </c>
      <c r="M158" s="558"/>
      <c r="N158" s="563"/>
    </row>
    <row r="159" spans="1:14" ht="12">
      <c r="A159" s="129" t="s">
        <v>618</v>
      </c>
      <c r="B159" s="186">
        <f>'rehabilitation costs'!$L$38*inflators!$G$12*inflators!$G$15</f>
        <v>18.209117475160724</v>
      </c>
      <c r="C159" s="204">
        <f>'AC lifetimes'!$G$10</f>
        <v>18</v>
      </c>
      <c r="D159" s="3">
        <v>0</v>
      </c>
      <c r="E159" s="234">
        <f>B159*(1/(1+inflators!$B$9)^D159)</f>
        <v>18.209117475160724</v>
      </c>
      <c r="F159" s="239">
        <f>'rehabilitation costs'!$L$38*inflators!$G$12*inflators!$G$15</f>
        <v>18.209117475160724</v>
      </c>
      <c r="G159" s="224">
        <f>(('AC lifetimes'!$G$10-6)*(1+'weather data'!$F$32))+6</f>
        <v>27.81818181818182</v>
      </c>
      <c r="H159" s="224">
        <f>(('AC lifetimes'!$G$10-6)*(1+'weather data'!$C$32))+6</f>
        <v>25.636363636363633</v>
      </c>
      <c r="I159" s="225">
        <v>0</v>
      </c>
      <c r="J159" s="225">
        <v>0</v>
      </c>
      <c r="K159" s="227">
        <f>$F159*(1/(1+inflators!$B$9)^I159)</f>
        <v>18.209117475160724</v>
      </c>
      <c r="L159" s="227">
        <f>$F159*(1/(1+inflators!$B$9)^J159)</f>
        <v>18.209117475160724</v>
      </c>
      <c r="M159" s="558" t="s">
        <v>118</v>
      </c>
      <c r="N159" s="559"/>
    </row>
    <row r="160" spans="1:14" ht="12">
      <c r="A160" s="130" t="s">
        <v>712</v>
      </c>
      <c r="B160" s="187">
        <f>('maintenance costs'!$L$48+'maintenance costs'!$L$59)*inflators!$G$12*inflators!$G$15</f>
        <v>1.3266642731902814</v>
      </c>
      <c r="C160" s="196">
        <f>'AC lifetimes'!$I$52</f>
        <v>5</v>
      </c>
      <c r="D160" s="196">
        <f>C159+D159</f>
        <v>18</v>
      </c>
      <c r="E160" s="126">
        <f>B160*(1/(1+inflators!$B$9)^D160)</f>
        <v>0.6548787923877637</v>
      </c>
      <c r="F160" s="235">
        <f>('maintenance costs'!$L$48+'maintenance costs'!$L$59)*inflators!$G$12*inflators!$G$15</f>
        <v>1.3266642731902814</v>
      </c>
      <c r="G160" s="220">
        <f>'AC lifetimes'!$I$52</f>
        <v>5</v>
      </c>
      <c r="H160" s="220">
        <f>'AC lifetimes'!$I$52</f>
        <v>5</v>
      </c>
      <c r="I160" s="220">
        <f>G159+$I159</f>
        <v>27.81818181818182</v>
      </c>
      <c r="J160" s="220">
        <f>H159+J159</f>
        <v>25.636363636363633</v>
      </c>
      <c r="K160" s="210">
        <f>$F160*(1/(1+inflators!$B$9)^I160)</f>
        <v>0.44557878429976927</v>
      </c>
      <c r="L160" s="210">
        <f>$F160*(1/(1+inflators!$B$9)^J160)</f>
        <v>0.4853870146137243</v>
      </c>
      <c r="M160" s="560"/>
      <c r="N160" s="559"/>
    </row>
    <row r="161" spans="1:14" ht="12">
      <c r="A161" s="130" t="s">
        <v>593</v>
      </c>
      <c r="B161" s="210">
        <f>('rehabilitation costs'!$L$50+'rehabilitation costs'!$L$52)*inflators!$G$12*inflators!$G$15</f>
        <v>5.189598480420807</v>
      </c>
      <c r="C161" s="196">
        <f>'AC lifetimes'!$I$24</f>
        <v>11</v>
      </c>
      <c r="D161" s="196">
        <f>C160+D160</f>
        <v>23</v>
      </c>
      <c r="E161" s="126">
        <f>B161*(1/(1+inflators!$B$9)^D161)</f>
        <v>2.105556762853214</v>
      </c>
      <c r="F161" s="258">
        <f>('rehabilitation costs'!$L$50+'rehabilitation costs'!$L$52)*inflators!$G$12*inflators!$G$15</f>
        <v>5.189598480420807</v>
      </c>
      <c r="G161" s="230">
        <f>(('AC lifetimes'!$I$24-6)*(1+'weather data'!$F$32))+6</f>
        <v>15.090909090909092</v>
      </c>
      <c r="H161" s="230">
        <f>(('AC lifetimes'!$I$24-6)*(1+'weather data'!$C$32))+6</f>
        <v>14.181818181818182</v>
      </c>
      <c r="I161" s="230">
        <f>G160+$I160</f>
        <v>32.81818181818182</v>
      </c>
      <c r="J161" s="230">
        <f>H160+J160</f>
        <v>30.636363636363633</v>
      </c>
      <c r="K161" s="227">
        <f>$F161*(1/(1+inflators!$B$9)^I161)</f>
        <v>1.432618422785594</v>
      </c>
      <c r="L161" s="227">
        <f>$F161*(1/(1+inflators!$B$9)^J161)</f>
        <v>1.5606092655630102</v>
      </c>
      <c r="M161" s="561"/>
      <c r="N161" s="562"/>
    </row>
    <row r="162" spans="1:14" ht="12">
      <c r="A162" s="130" t="s">
        <v>713</v>
      </c>
      <c r="B162" s="187">
        <f>('maintenance costs'!$L$48+'maintenance costs'!$L$59)*inflators!$G$12*inflators!$G$15</f>
        <v>1.3266642731902814</v>
      </c>
      <c r="C162" s="196">
        <f>'AC lifetimes'!$I$53</f>
        <v>4</v>
      </c>
      <c r="D162" s="196">
        <f>C161+D161</f>
        <v>34</v>
      </c>
      <c r="E162" s="126">
        <f>B162*(1/(1+inflators!$B$9)^D162)</f>
        <v>0.3496451413390977</v>
      </c>
      <c r="F162" s="235">
        <f>('maintenance costs'!$L$48+'maintenance costs'!$L$59)*inflators!$G$12*inflators!$G$15</f>
        <v>1.3266642731902814</v>
      </c>
      <c r="G162" s="196"/>
      <c r="H162" s="220"/>
      <c r="I162" s="220"/>
      <c r="J162" s="220"/>
      <c r="K162" s="210"/>
      <c r="L162" s="210"/>
      <c r="M162" s="558" t="s">
        <v>117</v>
      </c>
      <c r="N162" s="559"/>
    </row>
    <row r="163" spans="1:14" ht="12">
      <c r="A163" s="131" t="s">
        <v>594</v>
      </c>
      <c r="B163" s="188">
        <f>('rehabilitation costs'!$L$42+'rehabilitation costs'!$L$50+'rehabilitation costs'!$L$52)*inflators!$G$12*inflators!$G$15</f>
        <v>6.529269266093347</v>
      </c>
      <c r="C163" s="205"/>
      <c r="D163" s="205"/>
      <c r="E163" s="126"/>
      <c r="F163" s="236">
        <f>('rehabilitation costs'!$L$42+'rehabilitation costs'!$L$50+'rehabilitation costs'!$L$52)*inflators!$G$12*inflators!$G$15</f>
        <v>6.529269266093347</v>
      </c>
      <c r="G163" s="205"/>
      <c r="H163" s="221"/>
      <c r="I163" s="221"/>
      <c r="J163" s="221"/>
      <c r="K163" s="191"/>
      <c r="L163" s="191"/>
      <c r="M163" s="560"/>
      <c r="N163" s="559"/>
    </row>
    <row r="164" spans="3:14" ht="12">
      <c r="C164" s="201">
        <f>SUM(C159:C163)</f>
        <v>38</v>
      </c>
      <c r="D164" s="193" t="s">
        <v>455</v>
      </c>
      <c r="E164" s="259">
        <f>E159</f>
        <v>18.209117475160724</v>
      </c>
      <c r="G164" s="222">
        <f>SUM(G159:G163)</f>
        <v>47.909090909090914</v>
      </c>
      <c r="H164" s="222">
        <f>SUM(H159:H163)</f>
        <v>44.81818181818181</v>
      </c>
      <c r="J164" s="193" t="s">
        <v>455</v>
      </c>
      <c r="K164" s="187">
        <f>K159</f>
        <v>18.209117475160724</v>
      </c>
      <c r="L164" s="187">
        <f>L159</f>
        <v>18.209117475160724</v>
      </c>
      <c r="M164" s="561"/>
      <c r="N164" s="562"/>
    </row>
    <row r="165" spans="4:12" ht="12">
      <c r="D165" s="146" t="s">
        <v>710</v>
      </c>
      <c r="E165" s="260">
        <f>SUM(E160:E163)</f>
        <v>3.1100806965800754</v>
      </c>
      <c r="J165" s="146" t="s">
        <v>710</v>
      </c>
      <c r="K165" s="187">
        <f>SUM(K160:K163)</f>
        <v>1.8781972070853632</v>
      </c>
      <c r="L165" s="187">
        <f>SUM(L160:L163)</f>
        <v>2.0459962801767344</v>
      </c>
    </row>
    <row r="166" spans="4:12" ht="12">
      <c r="D166" s="193" t="s">
        <v>588</v>
      </c>
      <c r="E166" s="260">
        <f>E162/15*5</f>
        <v>0.1165483804463659</v>
      </c>
      <c r="J166" s="193" t="s">
        <v>588</v>
      </c>
      <c r="K166" s="187">
        <f>K161/15*13</f>
        <v>1.241602633080848</v>
      </c>
      <c r="L166" s="187">
        <f>L161/14*10</f>
        <v>1.1147209039735786</v>
      </c>
    </row>
    <row r="167" spans="4:12" s="13" customFormat="1" ht="12">
      <c r="D167" s="274" t="s">
        <v>711</v>
      </c>
      <c r="E167" s="275">
        <f>E164+E165-E166</f>
        <v>21.202649791294434</v>
      </c>
      <c r="J167" s="274" t="s">
        <v>711</v>
      </c>
      <c r="K167" s="211">
        <f>K164+K165-K166</f>
        <v>18.84571204916524</v>
      </c>
      <c r="L167" s="211">
        <f>L164+L165-L166</f>
        <v>19.14039285136388</v>
      </c>
    </row>
    <row r="168" ht="12"/>
    <row r="169" s="484" customFormat="1" ht="12">
      <c r="A169" s="482" t="s">
        <v>777</v>
      </c>
    </row>
    <row r="170" spans="1:12" ht="12">
      <c r="A170" s="1" t="s">
        <v>26</v>
      </c>
      <c r="B170" s="592" t="s">
        <v>365</v>
      </c>
      <c r="C170" s="593"/>
      <c r="D170" s="593"/>
      <c r="E170" s="593"/>
      <c r="F170" s="593"/>
      <c r="G170" s="593"/>
      <c r="H170" s="593"/>
      <c r="I170" s="593"/>
      <c r="J170" s="593"/>
      <c r="K170" s="593"/>
      <c r="L170" s="594"/>
    </row>
    <row r="171" spans="1:14" ht="12">
      <c r="A171" s="405" t="s">
        <v>21</v>
      </c>
      <c r="B171" s="583" t="s">
        <v>8</v>
      </c>
      <c r="C171" s="584"/>
      <c r="D171" s="584"/>
      <c r="E171" s="584"/>
      <c r="F171" s="584"/>
      <c r="G171" s="584"/>
      <c r="H171" s="584"/>
      <c r="I171" s="584"/>
      <c r="J171" s="584"/>
      <c r="K171" s="584"/>
      <c r="L171" s="585"/>
      <c r="M171" s="558" t="s">
        <v>375</v>
      </c>
      <c r="N171" s="563"/>
    </row>
    <row r="172" spans="1:14" ht="12">
      <c r="A172" s="218" t="s">
        <v>632</v>
      </c>
      <c r="B172" s="564" t="s">
        <v>715</v>
      </c>
      <c r="C172" s="572" t="s">
        <v>532</v>
      </c>
      <c r="D172" s="564" t="s">
        <v>587</v>
      </c>
      <c r="E172" s="586" t="s">
        <v>533</v>
      </c>
      <c r="F172" s="588" t="s">
        <v>715</v>
      </c>
      <c r="G172" s="590" t="s">
        <v>532</v>
      </c>
      <c r="H172" s="591"/>
      <c r="I172" s="590" t="s">
        <v>587</v>
      </c>
      <c r="J172" s="591"/>
      <c r="K172" s="590" t="s">
        <v>533</v>
      </c>
      <c r="L172" s="591"/>
      <c r="M172" s="558"/>
      <c r="N172" s="563"/>
    </row>
    <row r="173" spans="1:14" ht="12">
      <c r="A173" s="291" t="s">
        <v>716</v>
      </c>
      <c r="B173" s="565"/>
      <c r="C173" s="576"/>
      <c r="D173" s="577"/>
      <c r="E173" s="587"/>
      <c r="F173" s="589"/>
      <c r="G173" s="219" t="s">
        <v>94</v>
      </c>
      <c r="H173" s="219" t="s">
        <v>93</v>
      </c>
      <c r="I173" s="219" t="s">
        <v>94</v>
      </c>
      <c r="J173" s="219" t="s">
        <v>93</v>
      </c>
      <c r="K173" s="219" t="s">
        <v>94</v>
      </c>
      <c r="L173" s="219" t="s">
        <v>93</v>
      </c>
      <c r="M173" s="558"/>
      <c r="N173" s="563"/>
    </row>
    <row r="174" spans="1:14" ht="12">
      <c r="A174" s="129" t="s">
        <v>122</v>
      </c>
      <c r="B174" s="186">
        <f>'rehabilitation costs'!$L$36*inflators!$G$12*inflators!$G$15</f>
        <v>42.19312649244385</v>
      </c>
      <c r="C174" s="200">
        <f>'AC lifetimes'!$G$5</f>
        <v>24</v>
      </c>
      <c r="D174" s="6">
        <v>0</v>
      </c>
      <c r="E174" s="261">
        <f>B174*(1/(1+inflators!$B$9)^D174)</f>
        <v>42.19312649244385</v>
      </c>
      <c r="F174" s="122">
        <f>'rehabilitation costs'!$L$36*inflators!$G$12*inflators!$G$15</f>
        <v>42.19312649244385</v>
      </c>
      <c r="G174" s="223">
        <f>(('AC lifetimes'!$G$5-6)*(1+'weather data'!$F$32))+6</f>
        <v>38.727272727272734</v>
      </c>
      <c r="H174" s="223">
        <f>(('AC lifetimes'!$G$5-6)*(1+'weather data'!$C$32))+6</f>
        <v>35.45454545454545</v>
      </c>
      <c r="I174" s="225">
        <v>0</v>
      </c>
      <c r="J174" s="225">
        <v>0</v>
      </c>
      <c r="K174" s="227">
        <f>$F174*(1/(1+inflators!$B$9)^I174)</f>
        <v>42.19312649244385</v>
      </c>
      <c r="L174" s="227">
        <f>$F174*(1/(1+inflators!$B$9)^J174)</f>
        <v>42.19312649244385</v>
      </c>
      <c r="M174" s="558" t="s">
        <v>118</v>
      </c>
      <c r="N174" s="559"/>
    </row>
    <row r="175" spans="1:14" ht="12">
      <c r="A175" s="130" t="s">
        <v>712</v>
      </c>
      <c r="B175" s="187">
        <f>('maintenance costs'!$L$48+'maintenance costs'!$L$59)*inflators!$G$12*inflators!$G$15</f>
        <v>1.3266642731902814</v>
      </c>
      <c r="C175" s="201">
        <f>'AC lifetimes'!$I$54</f>
        <v>7</v>
      </c>
      <c r="D175" s="198">
        <f>C174+D174</f>
        <v>24</v>
      </c>
      <c r="E175" s="262">
        <f>B175*(1/(1+inflators!$B$9)^D175)</f>
        <v>0.5175602222166662</v>
      </c>
      <c r="F175" s="125">
        <f>('maintenance costs'!$L$48+'maintenance costs'!$L$59)*inflators!$G$12*inflators!$G$15</f>
        <v>1.3266642731902814</v>
      </c>
      <c r="G175" s="222"/>
      <c r="H175" s="222"/>
      <c r="I175" s="220"/>
      <c r="J175" s="220"/>
      <c r="K175" s="210"/>
      <c r="L175" s="210"/>
      <c r="M175" s="560"/>
      <c r="N175" s="559"/>
    </row>
    <row r="176" spans="1:14" ht="12">
      <c r="A176" s="130" t="s">
        <v>593</v>
      </c>
      <c r="B176" s="210">
        <f>('rehabilitation costs'!$L$50+'rehabilitation costs'!$L$52)*inflators!$G$12*inflators!$G$15</f>
        <v>5.189598480420807</v>
      </c>
      <c r="C176" s="201">
        <f>'AC lifetimes'!$I$26</f>
        <v>15</v>
      </c>
      <c r="D176" s="198">
        <f>C175+D175</f>
        <v>31</v>
      </c>
      <c r="E176" s="262">
        <f>B176*(1/(1+inflators!$B$9)^D176)</f>
        <v>1.5385097026925283</v>
      </c>
      <c r="F176" s="128">
        <f>('rehabilitation costs'!$L$50+'rehabilitation costs'!$L$52)*inflators!$G$12*inflators!$G$15</f>
        <v>5.189598480420807</v>
      </c>
      <c r="G176" s="222"/>
      <c r="H176" s="222"/>
      <c r="I176" s="220"/>
      <c r="J176" s="220"/>
      <c r="K176" s="210"/>
      <c r="L176" s="210"/>
      <c r="M176" s="561"/>
      <c r="N176" s="562"/>
    </row>
    <row r="177" spans="1:14" ht="12">
      <c r="A177" s="131" t="s">
        <v>713</v>
      </c>
      <c r="B177" s="188">
        <f>('maintenance costs'!$L$48+'maintenance costs'!$L$59)*inflators!$G$12*inflators!$G$15</f>
        <v>1.3266642731902814</v>
      </c>
      <c r="C177" s="202"/>
      <c r="D177" s="199"/>
      <c r="E177" s="263"/>
      <c r="F177" s="209">
        <f>('maintenance costs'!$L$48+'maintenance costs'!$L$59)*inflators!$G$12*inflators!$G$15</f>
        <v>1.3266642731902814</v>
      </c>
      <c r="G177" s="264"/>
      <c r="H177" s="264"/>
      <c r="I177" s="221"/>
      <c r="J177" s="221"/>
      <c r="K177" s="210"/>
      <c r="L177" s="210"/>
      <c r="M177" s="558" t="s">
        <v>117</v>
      </c>
      <c r="N177" s="559"/>
    </row>
    <row r="178" spans="2:14" ht="12">
      <c r="B178" s="124"/>
      <c r="C178" s="201">
        <f>SUM(C174:C177)</f>
        <v>46</v>
      </c>
      <c r="D178" s="193" t="s">
        <v>455</v>
      </c>
      <c r="E178" s="260">
        <f>E174</f>
        <v>42.19312649244385</v>
      </c>
      <c r="G178" s="222">
        <f>SUM(G174:G177)</f>
        <v>38.727272727272734</v>
      </c>
      <c r="H178" s="222">
        <f>SUM(H174:H177)</f>
        <v>35.45454545454545</v>
      </c>
      <c r="J178" s="193" t="s">
        <v>455</v>
      </c>
      <c r="K178" s="186">
        <f>K174</f>
        <v>42.19312649244385</v>
      </c>
      <c r="L178" s="186">
        <f>L174</f>
        <v>42.19312649244385</v>
      </c>
      <c r="M178" s="560"/>
      <c r="N178" s="559"/>
    </row>
    <row r="179" spans="2:14" ht="12">
      <c r="B179" s="124"/>
      <c r="C179" s="124"/>
      <c r="D179" s="146" t="s">
        <v>710</v>
      </c>
      <c r="E179" s="260">
        <f>SUM(E175:E177)</f>
        <v>2.0560699249091945</v>
      </c>
      <c r="J179" s="146" t="s">
        <v>710</v>
      </c>
      <c r="K179" s="187">
        <f>SUM(K175:K177)</f>
        <v>0</v>
      </c>
      <c r="L179" s="187">
        <f>SUM(L175:L177)</f>
        <v>0</v>
      </c>
      <c r="M179" s="561"/>
      <c r="N179" s="562"/>
    </row>
    <row r="180" spans="2:12" ht="12">
      <c r="B180" s="124"/>
      <c r="C180" s="124"/>
      <c r="D180" s="193" t="s">
        <v>588</v>
      </c>
      <c r="E180" s="260">
        <f>E176/15*11</f>
        <v>1.1282404486411874</v>
      </c>
      <c r="J180" s="193" t="s">
        <v>588</v>
      </c>
      <c r="K180" s="187">
        <f>K174/39*4</f>
        <v>4.327500153071164</v>
      </c>
      <c r="L180" s="187">
        <v>0</v>
      </c>
    </row>
    <row r="181" spans="2:12" s="13" customFormat="1" ht="12">
      <c r="B181" s="189"/>
      <c r="C181" s="189"/>
      <c r="D181" s="274" t="s">
        <v>711</v>
      </c>
      <c r="E181" s="275">
        <f>E178+E179-E180</f>
        <v>43.12095596871186</v>
      </c>
      <c r="J181" s="274" t="s">
        <v>711</v>
      </c>
      <c r="K181" s="211">
        <f>K178+K179-K180</f>
        <v>37.86562633937269</v>
      </c>
      <c r="L181" s="211">
        <f>L178+L179-L180</f>
        <v>42.19312649244385</v>
      </c>
    </row>
    <row r="182" ht="12"/>
    <row r="183" spans="2:12" ht="12">
      <c r="B183" s="580" t="s">
        <v>365</v>
      </c>
      <c r="C183" s="581"/>
      <c r="D183" s="581"/>
      <c r="E183" s="581"/>
      <c r="F183" s="581"/>
      <c r="G183" s="581"/>
      <c r="H183" s="581"/>
      <c r="I183" s="581"/>
      <c r="J183" s="581"/>
      <c r="K183" s="581"/>
      <c r="L183" s="582"/>
    </row>
    <row r="184" spans="1:14" ht="12">
      <c r="A184" s="256"/>
      <c r="B184" s="583" t="s">
        <v>8</v>
      </c>
      <c r="C184" s="584"/>
      <c r="D184" s="584"/>
      <c r="E184" s="584"/>
      <c r="F184" s="584"/>
      <c r="G184" s="584"/>
      <c r="H184" s="584"/>
      <c r="I184" s="584"/>
      <c r="J184" s="584"/>
      <c r="K184" s="584"/>
      <c r="L184" s="585"/>
      <c r="M184" s="558" t="s">
        <v>375</v>
      </c>
      <c r="N184" s="563"/>
    </row>
    <row r="185" spans="1:14" ht="12">
      <c r="A185" s="218" t="s">
        <v>633</v>
      </c>
      <c r="B185" s="564" t="s">
        <v>715</v>
      </c>
      <c r="C185" s="572" t="s">
        <v>532</v>
      </c>
      <c r="D185" s="564" t="s">
        <v>587</v>
      </c>
      <c r="E185" s="586" t="s">
        <v>533</v>
      </c>
      <c r="F185" s="588" t="s">
        <v>715</v>
      </c>
      <c r="G185" s="590" t="s">
        <v>532</v>
      </c>
      <c r="H185" s="591"/>
      <c r="I185" s="590" t="s">
        <v>587</v>
      </c>
      <c r="J185" s="591"/>
      <c r="K185" s="590" t="s">
        <v>533</v>
      </c>
      <c r="L185" s="591"/>
      <c r="M185" s="558"/>
      <c r="N185" s="563"/>
    </row>
    <row r="186" spans="1:14" ht="12">
      <c r="A186" s="291" t="s">
        <v>716</v>
      </c>
      <c r="B186" s="565"/>
      <c r="C186" s="576"/>
      <c r="D186" s="577"/>
      <c r="E186" s="587"/>
      <c r="F186" s="589"/>
      <c r="G186" s="219" t="s">
        <v>94</v>
      </c>
      <c r="H186" s="219" t="s">
        <v>93</v>
      </c>
      <c r="I186" s="219" t="s">
        <v>94</v>
      </c>
      <c r="J186" s="219" t="s">
        <v>93</v>
      </c>
      <c r="K186" s="219" t="s">
        <v>94</v>
      </c>
      <c r="L186" s="219" t="s">
        <v>93</v>
      </c>
      <c r="M186" s="558"/>
      <c r="N186" s="563"/>
    </row>
    <row r="187" spans="1:14" ht="12">
      <c r="A187" s="129" t="s">
        <v>618</v>
      </c>
      <c r="B187" s="186">
        <f>'rehabilitation costs'!$L$39*inflators!$G$12*inflators!$G$15</f>
        <v>14.801411204809222</v>
      </c>
      <c r="C187" s="204">
        <f>'AC lifetimes'!$G$12</f>
        <v>18</v>
      </c>
      <c r="D187" s="12">
        <v>0</v>
      </c>
      <c r="E187" s="261">
        <f>B187*(1/(1+inflators!$B$9)^D187)</f>
        <v>14.801411204809222</v>
      </c>
      <c r="F187" s="186">
        <f>'rehabilitation costs'!$L$39*inflators!$G$12*inflators!$G$15</f>
        <v>14.801411204809222</v>
      </c>
      <c r="G187" s="224">
        <f>(('AC lifetimes'!$G$12-6)*(1+'weather data'!$F$32))+6</f>
        <v>27.81818181818182</v>
      </c>
      <c r="H187" s="224">
        <f>(('AC lifetimes'!$G$12-6)*(1+'weather data'!$C$32))+6</f>
        <v>25.636363636363633</v>
      </c>
      <c r="I187" s="225">
        <v>0</v>
      </c>
      <c r="J187" s="225">
        <v>0</v>
      </c>
      <c r="K187" s="227">
        <f>$F187*(1/(1+inflators!$B$9)^I187)</f>
        <v>14.801411204809222</v>
      </c>
      <c r="L187" s="227">
        <f>$F187*(1/(1+inflators!$B$9)^J187)</f>
        <v>14.801411204809222</v>
      </c>
      <c r="M187" s="558" t="s">
        <v>118</v>
      </c>
      <c r="N187" s="559"/>
    </row>
    <row r="188" spans="1:14" ht="12">
      <c r="A188" s="130" t="s">
        <v>712</v>
      </c>
      <c r="B188" s="187">
        <f>('maintenance costs'!$L$48+'maintenance costs'!$L$59)*inflators!$G$12*inflators!$G$15</f>
        <v>1.3266642731902814</v>
      </c>
      <c r="C188" s="196">
        <f>'AC lifetimes'!$I$54</f>
        <v>7</v>
      </c>
      <c r="D188" s="201">
        <f>C187+D187</f>
        <v>18</v>
      </c>
      <c r="E188" s="262">
        <f>B188*(1/(1+inflators!$B$9)^D188)</f>
        <v>0.6548787923877637</v>
      </c>
      <c r="F188" s="187">
        <f>('maintenance costs'!$L$48+'maintenance costs'!$L$59)*inflators!$G$12*inflators!$G$15</f>
        <v>1.3266642731902814</v>
      </c>
      <c r="G188" s="220">
        <f>'AC lifetimes'!$I$54</f>
        <v>7</v>
      </c>
      <c r="H188" s="220">
        <f>'AC lifetimes'!$I$54</f>
        <v>7</v>
      </c>
      <c r="I188" s="220">
        <f>G187+$I187</f>
        <v>27.81818181818182</v>
      </c>
      <c r="J188" s="220">
        <f>H187+$I187</f>
        <v>25.636363636363633</v>
      </c>
      <c r="K188" s="210">
        <f>$F188*(1/(1+inflators!$B$9)^I188)</f>
        <v>0.44557878429976927</v>
      </c>
      <c r="L188" s="210">
        <f>$F188*(1/(1+inflators!$B$9)^J188)</f>
        <v>0.4853870146137243</v>
      </c>
      <c r="M188" s="560"/>
      <c r="N188" s="559"/>
    </row>
    <row r="189" spans="1:14" ht="12">
      <c r="A189" s="130" t="s">
        <v>593</v>
      </c>
      <c r="B189" s="210">
        <f>('rehabilitation costs'!$L$50+'rehabilitation costs'!$L$52)*inflators!$G$12*inflators!$G$15</f>
        <v>5.189598480420807</v>
      </c>
      <c r="C189" s="196">
        <f>'AC lifetimes'!$I$26</f>
        <v>15</v>
      </c>
      <c r="D189" s="201">
        <f>C188+D188</f>
        <v>25</v>
      </c>
      <c r="E189" s="262">
        <f>B189*(1/(1+inflators!$B$9)^D189)</f>
        <v>1.9467055869574827</v>
      </c>
      <c r="F189" s="210">
        <f>('rehabilitation costs'!$L$50+'rehabilitation costs'!$L$52)*inflators!$G$12*inflators!$G$15</f>
        <v>5.189598480420807</v>
      </c>
      <c r="G189" s="230"/>
      <c r="H189" s="230">
        <f>(('AC lifetimes'!$I$26-6)*(1+'weather data'!$C$32))+6</f>
        <v>20.727272727272727</v>
      </c>
      <c r="I189" s="230"/>
      <c r="J189" s="230">
        <f>H188+J188</f>
        <v>32.63636363636363</v>
      </c>
      <c r="K189" s="227"/>
      <c r="L189" s="227">
        <f>$F189*(1/(1+inflators!$B$9)^J189)</f>
        <v>1.4428709925693508</v>
      </c>
      <c r="M189" s="561"/>
      <c r="N189" s="562"/>
    </row>
    <row r="190" spans="1:14" ht="12">
      <c r="A190" s="130" t="s">
        <v>713</v>
      </c>
      <c r="B190" s="187">
        <f>('maintenance costs'!$L$48+'maintenance costs'!$L$59)*inflators!$G$12*inflators!$G$15</f>
        <v>1.3266642731902814</v>
      </c>
      <c r="C190" s="196"/>
      <c r="D190" s="201"/>
      <c r="E190" s="262"/>
      <c r="F190" s="187">
        <f>('maintenance costs'!$L$48+'maintenance costs'!$L$59)*inflators!$G$12*inflators!$G$15</f>
        <v>1.3266642731902814</v>
      </c>
      <c r="G190" s="220"/>
      <c r="H190" s="220"/>
      <c r="I190" s="220"/>
      <c r="J190" s="220"/>
      <c r="K190" s="210"/>
      <c r="L190" s="210"/>
      <c r="M190" s="558" t="s">
        <v>117</v>
      </c>
      <c r="N190" s="559"/>
    </row>
    <row r="191" spans="1:14" ht="12">
      <c r="A191" s="131" t="s">
        <v>594</v>
      </c>
      <c r="B191" s="188">
        <f>('rehabilitation costs'!$L$42+'rehabilitation costs'!$L$50+'rehabilitation costs'!$L$52)*inflators!$G$12*inflators!$G$15</f>
        <v>6.529269266093347</v>
      </c>
      <c r="C191" s="205"/>
      <c r="D191" s="202"/>
      <c r="E191" s="263"/>
      <c r="F191" s="188">
        <f>('rehabilitation costs'!$L$42+'rehabilitation costs'!$L$50+'rehabilitation costs'!$L$52)*inflators!$G$12*inflators!$G$15</f>
        <v>6.529269266093347</v>
      </c>
      <c r="G191" s="221"/>
      <c r="H191" s="221"/>
      <c r="I191" s="221"/>
      <c r="J191" s="221"/>
      <c r="K191" s="191"/>
      <c r="L191" s="191"/>
      <c r="M191" s="560"/>
      <c r="N191" s="559"/>
    </row>
    <row r="192" spans="2:14" ht="12">
      <c r="B192" s="124"/>
      <c r="C192" s="201">
        <f>SUM(C187:C191)</f>
        <v>40</v>
      </c>
      <c r="D192" s="193" t="s">
        <v>455</v>
      </c>
      <c r="E192" s="260">
        <f>E187</f>
        <v>14.801411204809222</v>
      </c>
      <c r="G192" s="222">
        <f>SUM(G187:G191)</f>
        <v>34.81818181818182</v>
      </c>
      <c r="H192" s="222">
        <f>SUM(H187:H191)</f>
        <v>53.36363636363636</v>
      </c>
      <c r="J192" s="193" t="s">
        <v>455</v>
      </c>
      <c r="K192" s="187">
        <f>K187</f>
        <v>14.801411204809222</v>
      </c>
      <c r="L192" s="187">
        <f>L187</f>
        <v>14.801411204809222</v>
      </c>
      <c r="M192" s="561"/>
      <c r="N192" s="562"/>
    </row>
    <row r="193" spans="2:12" ht="12">
      <c r="B193" s="124"/>
      <c r="C193" s="124"/>
      <c r="D193" s="146" t="s">
        <v>710</v>
      </c>
      <c r="E193" s="260">
        <f>SUM(E188:E191)</f>
        <v>2.6015843793452467</v>
      </c>
      <c r="J193" s="146" t="s">
        <v>710</v>
      </c>
      <c r="K193" s="187">
        <f>SUM(K188:K191)</f>
        <v>0.44557878429976927</v>
      </c>
      <c r="L193" s="187">
        <f>SUM(L188:L191)</f>
        <v>1.928258007183075</v>
      </c>
    </row>
    <row r="194" spans="2:12" ht="12">
      <c r="B194" s="124"/>
      <c r="C194" s="124"/>
      <c r="D194" s="193" t="s">
        <v>588</v>
      </c>
      <c r="E194" s="260">
        <f>E189/15*5</f>
        <v>0.6489018623191609</v>
      </c>
      <c r="J194" s="193" t="s">
        <v>588</v>
      </c>
      <c r="K194" s="187">
        <v>0</v>
      </c>
      <c r="L194" s="187">
        <f>L189/21*19</f>
        <v>1.3054547075627458</v>
      </c>
    </row>
    <row r="195" spans="2:12" s="13" customFormat="1" ht="12">
      <c r="B195" s="189"/>
      <c r="C195" s="189"/>
      <c r="D195" s="274" t="s">
        <v>711</v>
      </c>
      <c r="E195" s="275">
        <f>E192+E193-E194</f>
        <v>16.754093721835307</v>
      </c>
      <c r="J195" s="274" t="s">
        <v>711</v>
      </c>
      <c r="K195" s="211">
        <f>K192+K193-K194</f>
        <v>15.246989989108991</v>
      </c>
      <c r="L195" s="211">
        <f>L192+L193-L194</f>
        <v>15.42421450442955</v>
      </c>
    </row>
    <row r="196" spans="2:12" s="13" customFormat="1" ht="12">
      <c r="B196" s="189"/>
      <c r="C196" s="189"/>
      <c r="D196" s="274"/>
      <c r="E196" s="189"/>
      <c r="J196" s="274"/>
      <c r="K196" s="189"/>
      <c r="L196" s="189"/>
    </row>
    <row r="197" s="484" customFormat="1" ht="12">
      <c r="A197" s="482" t="s">
        <v>778</v>
      </c>
    </row>
    <row r="198" spans="1:12" ht="12">
      <c r="A198" s="1" t="s">
        <v>26</v>
      </c>
      <c r="B198" s="592" t="s">
        <v>365</v>
      </c>
      <c r="C198" s="593"/>
      <c r="D198" s="593"/>
      <c r="E198" s="593"/>
      <c r="F198" s="593"/>
      <c r="G198" s="593"/>
      <c r="H198" s="593"/>
      <c r="I198" s="593"/>
      <c r="J198" s="593"/>
      <c r="K198" s="593"/>
      <c r="L198" s="594"/>
    </row>
    <row r="199" spans="1:14" ht="12">
      <c r="A199" s="405" t="s">
        <v>21</v>
      </c>
      <c r="B199" s="583" t="s">
        <v>8</v>
      </c>
      <c r="C199" s="584"/>
      <c r="D199" s="584"/>
      <c r="E199" s="584"/>
      <c r="F199" s="584"/>
      <c r="G199" s="584"/>
      <c r="H199" s="584"/>
      <c r="I199" s="584"/>
      <c r="J199" s="584"/>
      <c r="K199" s="584"/>
      <c r="L199" s="585"/>
      <c r="M199" s="558" t="s">
        <v>375</v>
      </c>
      <c r="N199" s="563"/>
    </row>
    <row r="200" spans="1:14" ht="12">
      <c r="A200" s="218" t="s">
        <v>632</v>
      </c>
      <c r="B200" s="564" t="s">
        <v>715</v>
      </c>
      <c r="C200" s="572" t="s">
        <v>532</v>
      </c>
      <c r="D200" s="564" t="s">
        <v>587</v>
      </c>
      <c r="E200" s="586" t="s">
        <v>533</v>
      </c>
      <c r="F200" s="588" t="s">
        <v>715</v>
      </c>
      <c r="G200" s="590" t="s">
        <v>532</v>
      </c>
      <c r="H200" s="591"/>
      <c r="I200" s="590" t="s">
        <v>587</v>
      </c>
      <c r="J200" s="591"/>
      <c r="K200" s="590" t="s">
        <v>533</v>
      </c>
      <c r="L200" s="591"/>
      <c r="M200" s="558"/>
      <c r="N200" s="563"/>
    </row>
    <row r="201" spans="1:14" ht="12">
      <c r="A201" s="291" t="s">
        <v>716</v>
      </c>
      <c r="B201" s="565"/>
      <c r="C201" s="576"/>
      <c r="D201" s="577"/>
      <c r="E201" s="587"/>
      <c r="F201" s="589"/>
      <c r="G201" s="219" t="s">
        <v>94</v>
      </c>
      <c r="H201" s="219" t="s">
        <v>93</v>
      </c>
      <c r="I201" s="219" t="s">
        <v>94</v>
      </c>
      <c r="J201" s="219" t="s">
        <v>93</v>
      </c>
      <c r="K201" s="219" t="s">
        <v>94</v>
      </c>
      <c r="L201" s="219" t="s">
        <v>93</v>
      </c>
      <c r="M201" s="558"/>
      <c r="N201" s="563"/>
    </row>
    <row r="202" spans="1:14" ht="12">
      <c r="A202" s="72" t="s">
        <v>122</v>
      </c>
      <c r="B202" s="186">
        <f>'rehabilitation costs'!$L$37*inflators!$G$12*inflators!$G$15</f>
        <v>34.792420890039246</v>
      </c>
      <c r="C202" s="200">
        <f>'AC lifetimes'!$G$7</f>
        <v>25</v>
      </c>
      <c r="D202" s="3">
        <v>0</v>
      </c>
      <c r="E202" s="261">
        <f>B202*(1/(1+inflators!$B$9)^D202)</f>
        <v>34.792420890039246</v>
      </c>
      <c r="F202" s="186">
        <f>'rehabilitation costs'!$L$37*inflators!$G$12*inflators!$G$15</f>
        <v>34.792420890039246</v>
      </c>
      <c r="G202" s="223">
        <f>(('AC lifetimes'!$G$7-6)*(1+'weather data'!$F$32))+6</f>
        <v>40.54545454545455</v>
      </c>
      <c r="H202" s="224">
        <f>(('AC lifetimes'!$G$7-6)*(1+'weather data'!$C$32))+6</f>
        <v>37.09090909090909</v>
      </c>
      <c r="I202" s="225">
        <v>0</v>
      </c>
      <c r="J202" s="225">
        <v>0</v>
      </c>
      <c r="K202" s="227">
        <f>$F202*(1/(1+inflators!$B$9)^I202)</f>
        <v>34.792420890039246</v>
      </c>
      <c r="L202" s="227">
        <f>$F202*(1/(1+inflators!$B$9)^J202)</f>
        <v>34.792420890039246</v>
      </c>
      <c r="M202" s="558" t="s">
        <v>118</v>
      </c>
      <c r="N202" s="559"/>
    </row>
    <row r="203" spans="1:14" ht="12">
      <c r="A203" s="184" t="s">
        <v>712</v>
      </c>
      <c r="B203" s="187">
        <f>('maintenance costs'!$L$48+'maintenance costs'!$L$59)*inflators!$G$12*inflators!$G$15</f>
        <v>1.3266642731902814</v>
      </c>
      <c r="C203" s="201">
        <f>'AC lifetimes'!$I$56</f>
        <v>7</v>
      </c>
      <c r="D203" s="196">
        <f>C202+D202</f>
        <v>25</v>
      </c>
      <c r="E203" s="262">
        <f>B203*(1/(1+inflators!$B$9)^D203)</f>
        <v>0.49765405982371735</v>
      </c>
      <c r="F203" s="187">
        <f>('maintenance costs'!$L$48+'maintenance costs'!$L$59)*inflators!$G$12*inflators!$G$15</f>
        <v>1.3266642731902814</v>
      </c>
      <c r="G203" s="222"/>
      <c r="H203" s="220"/>
      <c r="I203" s="220"/>
      <c r="J203" s="220"/>
      <c r="K203" s="210"/>
      <c r="L203" s="210"/>
      <c r="M203" s="560"/>
      <c r="N203" s="559"/>
    </row>
    <row r="204" spans="1:14" ht="12">
      <c r="A204" s="184" t="s">
        <v>712</v>
      </c>
      <c r="B204" s="187">
        <f>('maintenance costs'!$L$48+'maintenance costs'!$L$59)*inflators!$G$12*inflators!$G$15</f>
        <v>1.3266642731902814</v>
      </c>
      <c r="C204" s="201"/>
      <c r="D204" s="196">
        <f>C203+D203</f>
        <v>32</v>
      </c>
      <c r="E204" s="262"/>
      <c r="F204" s="187">
        <f>('maintenance costs'!$L$48+'maintenance costs'!$L$59)*inflators!$G$12*inflators!$G$15</f>
        <v>1.3266642731902814</v>
      </c>
      <c r="G204" s="222"/>
      <c r="H204" s="220"/>
      <c r="I204" s="220"/>
      <c r="J204" s="220"/>
      <c r="K204" s="210"/>
      <c r="L204" s="210"/>
      <c r="M204" s="561"/>
      <c r="N204" s="562"/>
    </row>
    <row r="205" spans="1:14" ht="12">
      <c r="A205" s="130" t="s">
        <v>7</v>
      </c>
      <c r="B205" s="210">
        <f>('maintenance costs'!$L$52+'maintenance costs'!$L$59)*inflators!$G$12*inflators!$G$15</f>
        <v>2.081041997161226</v>
      </c>
      <c r="C205" s="201"/>
      <c r="D205" s="196">
        <f>C204+D204</f>
        <v>32</v>
      </c>
      <c r="E205" s="262"/>
      <c r="F205" s="210">
        <f>('maintenance costs'!$L$52+'maintenance costs'!$L$59)*inflators!$G$12*inflators!$G$15</f>
        <v>2.081041997161226</v>
      </c>
      <c r="G205" s="222"/>
      <c r="H205" s="220"/>
      <c r="I205" s="220"/>
      <c r="J205" s="220"/>
      <c r="K205" s="210"/>
      <c r="L205" s="210"/>
      <c r="M205" s="558" t="s">
        <v>117</v>
      </c>
      <c r="N205" s="559"/>
    </row>
    <row r="206" spans="1:14" ht="12">
      <c r="A206" s="73" t="s">
        <v>593</v>
      </c>
      <c r="B206" s="191">
        <f>('rehabilitation costs'!$L$50+'rehabilitation costs'!$L$52)*inflators!$G$12*inflators!$G$15</f>
        <v>5.189598480420807</v>
      </c>
      <c r="C206" s="202">
        <f>'AC lifetimes'!$I$28</f>
        <v>15</v>
      </c>
      <c r="D206" s="205">
        <f>C203+D203</f>
        <v>32</v>
      </c>
      <c r="E206" s="263">
        <f>B206*(1/(1+inflators!$B$9)^D206)</f>
        <v>1.4793362525889693</v>
      </c>
      <c r="F206" s="191">
        <f>('rehabilitation costs'!$L$50+'rehabilitation costs'!$L$52)*inflators!$G$12*inflators!$G$15</f>
        <v>5.189598480420807</v>
      </c>
      <c r="G206" s="264"/>
      <c r="H206" s="221"/>
      <c r="I206" s="265"/>
      <c r="J206" s="265"/>
      <c r="K206" s="191"/>
      <c r="L206" s="191"/>
      <c r="M206" s="560"/>
      <c r="N206" s="559"/>
    </row>
    <row r="207" spans="2:14" ht="12">
      <c r="B207" s="124"/>
      <c r="C207" s="201">
        <f>SUM(C202:C206)</f>
        <v>47</v>
      </c>
      <c r="D207" s="193" t="s">
        <v>455</v>
      </c>
      <c r="E207" s="260">
        <f>E202</f>
        <v>34.792420890039246</v>
      </c>
      <c r="G207" s="222">
        <f>SUM(G202:G206)</f>
        <v>40.54545454545455</v>
      </c>
      <c r="H207" s="222">
        <f>SUM(H202:H206)</f>
        <v>37.09090909090909</v>
      </c>
      <c r="J207" s="193" t="s">
        <v>455</v>
      </c>
      <c r="K207" s="187">
        <f>K202</f>
        <v>34.792420890039246</v>
      </c>
      <c r="L207" s="187">
        <f>L202</f>
        <v>34.792420890039246</v>
      </c>
      <c r="M207" s="561"/>
      <c r="N207" s="562"/>
    </row>
    <row r="208" spans="2:12" ht="12">
      <c r="B208" s="124"/>
      <c r="C208" s="124"/>
      <c r="D208" s="146" t="s">
        <v>710</v>
      </c>
      <c r="E208" s="260">
        <f>SUM(E203:E206)</f>
        <v>1.9769903124126866</v>
      </c>
      <c r="J208" s="146" t="s">
        <v>710</v>
      </c>
      <c r="K208" s="187">
        <f>SUM(K203:K206)</f>
        <v>0</v>
      </c>
      <c r="L208" s="187">
        <f>SUM(L203:L206)</f>
        <v>0</v>
      </c>
    </row>
    <row r="209" spans="2:12" ht="12">
      <c r="B209" s="124"/>
      <c r="C209" s="124"/>
      <c r="D209" s="193" t="s">
        <v>588</v>
      </c>
      <c r="E209" s="260">
        <f>E206/15*12</f>
        <v>1.1834690020711753</v>
      </c>
      <c r="J209" s="193" t="s">
        <v>588</v>
      </c>
      <c r="K209" s="187">
        <f>K202/41*6</f>
        <v>5.091573788786231</v>
      </c>
      <c r="L209" s="187">
        <f>L202/37*2</f>
        <v>1.880671399461581</v>
      </c>
    </row>
    <row r="210" spans="2:12" s="13" customFormat="1" ht="12">
      <c r="B210" s="189"/>
      <c r="C210" s="189"/>
      <c r="D210" s="274" t="s">
        <v>711</v>
      </c>
      <c r="E210" s="275">
        <f>E207+E208-E209</f>
        <v>35.58594220038076</v>
      </c>
      <c r="J210" s="274" t="s">
        <v>711</v>
      </c>
      <c r="K210" s="211">
        <f>K207+K208-K209</f>
        <v>29.700847101253014</v>
      </c>
      <c r="L210" s="211">
        <f>L207+L208-L209</f>
        <v>32.91174949057766</v>
      </c>
    </row>
    <row r="211" ht="12"/>
    <row r="212" spans="2:12" ht="12">
      <c r="B212" s="580" t="s">
        <v>365</v>
      </c>
      <c r="C212" s="581"/>
      <c r="D212" s="581"/>
      <c r="E212" s="581"/>
      <c r="F212" s="581"/>
      <c r="G212" s="581"/>
      <c r="H212" s="581"/>
      <c r="I212" s="581"/>
      <c r="J212" s="581"/>
      <c r="K212" s="581"/>
      <c r="L212" s="582"/>
    </row>
    <row r="213" spans="1:14" ht="12">
      <c r="A213" s="256"/>
      <c r="B213" s="583" t="s">
        <v>8</v>
      </c>
      <c r="C213" s="584"/>
      <c r="D213" s="584"/>
      <c r="E213" s="584"/>
      <c r="F213" s="584"/>
      <c r="G213" s="584"/>
      <c r="H213" s="584"/>
      <c r="I213" s="584"/>
      <c r="J213" s="584"/>
      <c r="K213" s="584"/>
      <c r="L213" s="585"/>
      <c r="M213" s="558" t="s">
        <v>375</v>
      </c>
      <c r="N213" s="563"/>
    </row>
    <row r="214" spans="1:14" ht="12">
      <c r="A214" s="218" t="s">
        <v>633</v>
      </c>
      <c r="B214" s="564" t="s">
        <v>715</v>
      </c>
      <c r="C214" s="572" t="s">
        <v>532</v>
      </c>
      <c r="D214" s="564" t="s">
        <v>587</v>
      </c>
      <c r="E214" s="586" t="s">
        <v>533</v>
      </c>
      <c r="F214" s="588" t="s">
        <v>715</v>
      </c>
      <c r="G214" s="590" t="s">
        <v>532</v>
      </c>
      <c r="H214" s="591"/>
      <c r="I214" s="590" t="s">
        <v>587</v>
      </c>
      <c r="J214" s="591"/>
      <c r="K214" s="590" t="s">
        <v>533</v>
      </c>
      <c r="L214" s="591"/>
      <c r="M214" s="558"/>
      <c r="N214" s="563"/>
    </row>
    <row r="215" spans="1:14" ht="12">
      <c r="A215" s="291" t="s">
        <v>716</v>
      </c>
      <c r="B215" s="565"/>
      <c r="C215" s="576"/>
      <c r="D215" s="577"/>
      <c r="E215" s="587"/>
      <c r="F215" s="589"/>
      <c r="G215" s="219" t="s">
        <v>94</v>
      </c>
      <c r="H215" s="219" t="s">
        <v>93</v>
      </c>
      <c r="I215" s="219" t="s">
        <v>94</v>
      </c>
      <c r="J215" s="219" t="s">
        <v>93</v>
      </c>
      <c r="K215" s="219" t="s">
        <v>94</v>
      </c>
      <c r="L215" s="219" t="s">
        <v>93</v>
      </c>
      <c r="M215" s="558"/>
      <c r="N215" s="563"/>
    </row>
    <row r="216" spans="1:14" ht="12">
      <c r="A216" s="72" t="s">
        <v>618</v>
      </c>
      <c r="B216" s="186">
        <f>'rehabilitation costs'!$L$40*inflators!$G$12*inflators!$G$15</f>
        <v>11.380698421975454</v>
      </c>
      <c r="C216" s="200">
        <f>'AC lifetimes'!$G$14</f>
        <v>18</v>
      </c>
      <c r="D216" s="3">
        <v>0</v>
      </c>
      <c r="E216" s="261">
        <f>B216*(1/(1+inflators!$B$9)^D216)</f>
        <v>11.380698421975454</v>
      </c>
      <c r="F216" s="186">
        <f>'rehabilitation costs'!$L$40*inflators!$G$12*inflators!$G$15</f>
        <v>11.380698421975454</v>
      </c>
      <c r="G216" s="223">
        <f>(('AC lifetimes'!$G$14-6)*(1+'weather data'!$F$32))+6</f>
        <v>27.81818181818182</v>
      </c>
      <c r="H216" s="224">
        <f>(('AC lifetimes'!$G$14-6)*(1+'weather data'!$C$32))+6</f>
        <v>25.636363636363633</v>
      </c>
      <c r="I216" s="225">
        <v>0</v>
      </c>
      <c r="J216" s="225">
        <v>0</v>
      </c>
      <c r="K216" s="227">
        <f>$F216*(1/(1+inflators!$B$9)^I216)</f>
        <v>11.380698421975454</v>
      </c>
      <c r="L216" s="227">
        <f>$F216*(1/(1+inflators!$B$9)^J216)</f>
        <v>11.380698421975454</v>
      </c>
      <c r="M216" s="558" t="s">
        <v>118</v>
      </c>
      <c r="N216" s="559"/>
    </row>
    <row r="217" spans="1:14" ht="12">
      <c r="A217" s="184" t="s">
        <v>712</v>
      </c>
      <c r="B217" s="187">
        <f>('maintenance costs'!$L$48+'maintenance costs'!$L$59)*inflators!$G$12*inflators!$G$15</f>
        <v>1.3266642731902814</v>
      </c>
      <c r="C217" s="201">
        <f>'AC lifetimes'!$I$56</f>
        <v>7</v>
      </c>
      <c r="D217" s="196">
        <f>C216+D216</f>
        <v>18</v>
      </c>
      <c r="E217" s="262">
        <f>B217*(1/(1+inflators!$B$9)^D217)</f>
        <v>0.6548787923877637</v>
      </c>
      <c r="F217" s="187">
        <f>('maintenance costs'!$L$48+'maintenance costs'!$L$59)*inflators!$G$12*inflators!$G$15</f>
        <v>1.3266642731902814</v>
      </c>
      <c r="G217" s="222">
        <f>'AC lifetimes'!$I$56</f>
        <v>7</v>
      </c>
      <c r="H217" s="220">
        <f>'AC lifetimes'!$I$56</f>
        <v>7</v>
      </c>
      <c r="I217" s="220">
        <f>G216+$I216</f>
        <v>27.81818181818182</v>
      </c>
      <c r="J217" s="220">
        <f>H216+$I216</f>
        <v>25.636363636363633</v>
      </c>
      <c r="K217" s="210">
        <f>$F217*(1/(1+inflators!$B$9)^I217)</f>
        <v>0.44557878429976927</v>
      </c>
      <c r="L217" s="210">
        <f>$F217*(1/(1+inflators!$B$9)^J217)</f>
        <v>0.4853870146137243</v>
      </c>
      <c r="M217" s="560"/>
      <c r="N217" s="559"/>
    </row>
    <row r="218" spans="1:14" ht="12">
      <c r="A218" s="184" t="s">
        <v>712</v>
      </c>
      <c r="B218" s="187">
        <f>('maintenance costs'!$L$48+'maintenance costs'!$L$59)*inflators!$G$12*inflators!$G$15</f>
        <v>1.3266642731902814</v>
      </c>
      <c r="C218" s="201"/>
      <c r="D218" s="196">
        <f>C217+D217</f>
        <v>25</v>
      </c>
      <c r="E218" s="262"/>
      <c r="F218" s="187">
        <f>('maintenance costs'!$L$48+'maintenance costs'!$L$59)*inflators!$G$12*inflators!$G$15</f>
        <v>1.3266642731902814</v>
      </c>
      <c r="G218" s="222"/>
      <c r="H218" s="220"/>
      <c r="I218" s="230"/>
      <c r="J218" s="220">
        <f>H217+J217</f>
        <v>32.63636363636363</v>
      </c>
      <c r="K218" s="210"/>
      <c r="L218" s="210"/>
      <c r="M218" s="561"/>
      <c r="N218" s="562"/>
    </row>
    <row r="219" spans="1:14" ht="12">
      <c r="A219" s="130" t="s">
        <v>7</v>
      </c>
      <c r="B219" s="210">
        <f>('maintenance costs'!$L$52+'maintenance costs'!$L$59)*inflators!$G$12*inflators!$G$15</f>
        <v>2.081041997161226</v>
      </c>
      <c r="C219" s="201"/>
      <c r="D219" s="196">
        <f>C218+D218</f>
        <v>25</v>
      </c>
      <c r="E219" s="262"/>
      <c r="F219" s="210">
        <f>('maintenance costs'!$L$52+'maintenance costs'!$L$59)*inflators!$G$12*inflators!$G$15</f>
        <v>2.081041997161226</v>
      </c>
      <c r="G219" s="222"/>
      <c r="H219" s="220"/>
      <c r="I219" s="230"/>
      <c r="J219" s="220">
        <f>H218+J218</f>
        <v>32.63636363636363</v>
      </c>
      <c r="K219" s="210"/>
      <c r="L219" s="210"/>
      <c r="M219" s="558" t="s">
        <v>117</v>
      </c>
      <c r="N219" s="559"/>
    </row>
    <row r="220" spans="1:14" ht="12">
      <c r="A220" s="73" t="s">
        <v>593</v>
      </c>
      <c r="B220" s="191">
        <f>('rehabilitation costs'!$L$50+'rehabilitation costs'!$L$52)*inflators!$G$12*inflators!$G$15</f>
        <v>5.189598480420807</v>
      </c>
      <c r="C220" s="202">
        <f>'AC lifetimes'!$I$28</f>
        <v>15</v>
      </c>
      <c r="D220" s="205">
        <f>C217+D217</f>
        <v>25</v>
      </c>
      <c r="E220" s="263">
        <f>B220*(1/(1+inflators!$B$9)^D220)</f>
        <v>1.9467055869574827</v>
      </c>
      <c r="F220" s="191">
        <f>('rehabilitation costs'!$L$50+'rehabilitation costs'!$L$52)*inflators!$G$12*inflators!$G$15</f>
        <v>5.189598480420807</v>
      </c>
      <c r="G220" s="264"/>
      <c r="H220" s="265">
        <f>(('AC lifetimes'!$I$28-6)*(1+'weather data'!$C$32))+6</f>
        <v>20.727272727272727</v>
      </c>
      <c r="I220" s="265"/>
      <c r="J220" s="265">
        <f>H219+J219</f>
        <v>32.63636363636363</v>
      </c>
      <c r="K220" s="191"/>
      <c r="L220" s="266">
        <f>$F220*(1/(1+inflators!$B$9)^J220)</f>
        <v>1.4428709925693508</v>
      </c>
      <c r="M220" s="560"/>
      <c r="N220" s="559"/>
    </row>
    <row r="221" spans="2:14" ht="12">
      <c r="B221" s="124"/>
      <c r="C221" s="201">
        <f>SUM(C216:C220)</f>
        <v>40</v>
      </c>
      <c r="D221" s="193" t="s">
        <v>455</v>
      </c>
      <c r="E221" s="260">
        <f>E216</f>
        <v>11.380698421975454</v>
      </c>
      <c r="F221" s="124"/>
      <c r="G221" s="222">
        <f>SUM(G216:G220)</f>
        <v>34.81818181818182</v>
      </c>
      <c r="H221" s="222">
        <f>SUM(H216:H220)</f>
        <v>53.36363636363636</v>
      </c>
      <c r="J221" s="193" t="s">
        <v>455</v>
      </c>
      <c r="K221" s="187">
        <f>K216</f>
        <v>11.380698421975454</v>
      </c>
      <c r="L221" s="187">
        <f>L216</f>
        <v>11.380698421975454</v>
      </c>
      <c r="M221" s="561"/>
      <c r="N221" s="562"/>
    </row>
    <row r="222" spans="2:12" ht="12">
      <c r="B222" s="124"/>
      <c r="C222" s="124"/>
      <c r="D222" s="146" t="s">
        <v>710</v>
      </c>
      <c r="E222" s="260">
        <f>SUM(E217:E220)</f>
        <v>2.6015843793452467</v>
      </c>
      <c r="J222" s="146" t="s">
        <v>710</v>
      </c>
      <c r="K222" s="187">
        <f>SUM(K217:K220)</f>
        <v>0.44557878429976927</v>
      </c>
      <c r="L222" s="187">
        <f>SUM(L217:L220)</f>
        <v>1.928258007183075</v>
      </c>
    </row>
    <row r="223" spans="2:12" ht="12">
      <c r="B223" s="124"/>
      <c r="C223" s="124"/>
      <c r="D223" s="193" t="s">
        <v>588</v>
      </c>
      <c r="E223" s="260">
        <f>E220/15*5</f>
        <v>0.6489018623191609</v>
      </c>
      <c r="J223" s="193" t="s">
        <v>588</v>
      </c>
      <c r="K223" s="187">
        <v>0</v>
      </c>
      <c r="L223" s="187">
        <f>L220/21*19</f>
        <v>1.3054547075627458</v>
      </c>
    </row>
    <row r="224" spans="2:12" s="13" customFormat="1" ht="12">
      <c r="B224" s="189"/>
      <c r="C224" s="189"/>
      <c r="D224" s="274" t="s">
        <v>711</v>
      </c>
      <c r="E224" s="275">
        <f>E221+E222-E223</f>
        <v>13.33338093900154</v>
      </c>
      <c r="J224" s="274" t="s">
        <v>711</v>
      </c>
      <c r="K224" s="211">
        <f>K221+K222-K223</f>
        <v>11.826277206275224</v>
      </c>
      <c r="L224" s="211">
        <f>L221+L222-L223</f>
        <v>12.003501721595784</v>
      </c>
    </row>
    <row r="225" ht="12"/>
    <row r="226" s="484" customFormat="1" ht="12">
      <c r="A226" s="482" t="s">
        <v>779</v>
      </c>
    </row>
    <row r="227" spans="1:12" ht="12">
      <c r="A227" s="1" t="s">
        <v>26</v>
      </c>
      <c r="B227" s="592" t="s">
        <v>268</v>
      </c>
      <c r="C227" s="593"/>
      <c r="D227" s="593"/>
      <c r="E227" s="593"/>
      <c r="F227" s="593"/>
      <c r="G227" s="593"/>
      <c r="H227" s="593"/>
      <c r="I227" s="593"/>
      <c r="J227" s="593"/>
      <c r="K227" s="593"/>
      <c r="L227" s="594"/>
    </row>
    <row r="228" spans="1:14" ht="12">
      <c r="A228" s="405" t="s">
        <v>21</v>
      </c>
      <c r="B228" s="583" t="s">
        <v>8</v>
      </c>
      <c r="C228" s="584"/>
      <c r="D228" s="584"/>
      <c r="E228" s="584"/>
      <c r="F228" s="584"/>
      <c r="G228" s="584"/>
      <c r="H228" s="584"/>
      <c r="I228" s="584"/>
      <c r="J228" s="584"/>
      <c r="K228" s="584"/>
      <c r="L228" s="585"/>
      <c r="M228" s="558" t="s">
        <v>375</v>
      </c>
      <c r="N228" s="563"/>
    </row>
    <row r="229" spans="1:14" ht="12">
      <c r="A229" s="218" t="s">
        <v>632</v>
      </c>
      <c r="B229" s="564" t="s">
        <v>715</v>
      </c>
      <c r="C229" s="572" t="s">
        <v>532</v>
      </c>
      <c r="D229" s="564" t="s">
        <v>587</v>
      </c>
      <c r="E229" s="586" t="s">
        <v>533</v>
      </c>
      <c r="F229" s="588" t="s">
        <v>715</v>
      </c>
      <c r="G229" s="590" t="s">
        <v>532</v>
      </c>
      <c r="H229" s="591"/>
      <c r="I229" s="590" t="s">
        <v>587</v>
      </c>
      <c r="J229" s="591"/>
      <c r="K229" s="590" t="s">
        <v>533</v>
      </c>
      <c r="L229" s="591"/>
      <c r="M229" s="558"/>
      <c r="N229" s="563"/>
    </row>
    <row r="230" spans="1:14" ht="12">
      <c r="A230" s="291" t="s">
        <v>716</v>
      </c>
      <c r="B230" s="565"/>
      <c r="C230" s="576"/>
      <c r="D230" s="577"/>
      <c r="E230" s="587"/>
      <c r="F230" s="589"/>
      <c r="G230" s="219" t="s">
        <v>94</v>
      </c>
      <c r="H230" s="219" t="s">
        <v>93</v>
      </c>
      <c r="I230" s="219" t="s">
        <v>94</v>
      </c>
      <c r="J230" s="219" t="s">
        <v>93</v>
      </c>
      <c r="K230" s="219" t="s">
        <v>94</v>
      </c>
      <c r="L230" s="219" t="s">
        <v>93</v>
      </c>
      <c r="M230" s="558"/>
      <c r="N230" s="563"/>
    </row>
    <row r="231" spans="1:14" ht="12">
      <c r="A231" s="129" t="s">
        <v>122</v>
      </c>
      <c r="B231" s="186">
        <f>'rehabilitation costs'!$L$35*inflators!$G$12*inflators!$G$15</f>
        <v>49.593832094848466</v>
      </c>
      <c r="C231" s="200">
        <f>'AC lifetimes'!$G$3</f>
        <v>24</v>
      </c>
      <c r="D231" s="6">
        <v>0</v>
      </c>
      <c r="E231" s="234">
        <f>B231*(1/(1+inflators!$B$9)^D231)</f>
        <v>49.593832094848466</v>
      </c>
      <c r="F231" s="239">
        <f>('rehabilitation costs'!$L$35+'maintenance costs'!$L$49-'maintenance costs'!$L$54)*inflators!$G$12*inflators!$G$15</f>
        <v>49.97102095683394</v>
      </c>
      <c r="G231" s="224">
        <f>(('AC lifetimes'!$G$3)*(1+'weather data'!$F$32))</f>
        <v>43.63636363636364</v>
      </c>
      <c r="H231" s="224">
        <f>(('AC lifetimes'!$G$3)*(1+'weather data'!$C$32))</f>
        <v>39.272727272727266</v>
      </c>
      <c r="I231" s="225">
        <v>0</v>
      </c>
      <c r="J231" s="226">
        <v>0</v>
      </c>
      <c r="K231" s="227">
        <f>$F231*(1/(1+inflators!$B$9)^I231)</f>
        <v>49.97102095683394</v>
      </c>
      <c r="L231" s="228">
        <f>$F231*(1/(1+inflators!$B$9)^J231)</f>
        <v>49.97102095683394</v>
      </c>
      <c r="M231" s="558" t="s">
        <v>118</v>
      </c>
      <c r="N231" s="559"/>
    </row>
    <row r="232" spans="1:14" ht="12">
      <c r="A232" s="130" t="s">
        <v>712</v>
      </c>
      <c r="B232" s="187">
        <f>('maintenance costs'!$L$48+'maintenance costs'!$L$59)*inflators!$G$12*inflators!$G$15</f>
        <v>1.3266642731902814</v>
      </c>
      <c r="C232" s="201">
        <f>'AC lifetimes'!$I$52</f>
        <v>5</v>
      </c>
      <c r="D232" s="198">
        <f>C231+D231</f>
        <v>24</v>
      </c>
      <c r="E232" s="126">
        <f>B232*(1/(1+inflators!$B$9)^D232)</f>
        <v>0.5175602222166662</v>
      </c>
      <c r="F232" s="235">
        <f>('maintenance costs'!$L$48+'maintenance costs'!$L$59)*inflators!$G$12*inflators!$G$15</f>
        <v>1.3266642731902814</v>
      </c>
      <c r="G232" s="196"/>
      <c r="H232" s="196"/>
      <c r="I232" s="220"/>
      <c r="J232" s="220"/>
      <c r="K232" s="210"/>
      <c r="L232" s="210"/>
      <c r="M232" s="560"/>
      <c r="N232" s="559"/>
    </row>
    <row r="233" spans="1:14" ht="12">
      <c r="A233" s="130" t="s">
        <v>593</v>
      </c>
      <c r="B233" s="210">
        <f>('rehabilitation costs'!$L$50+'rehabilitation costs'!$L$52)*inflators!$G$12*inflators!$G$15</f>
        <v>5.189598480420807</v>
      </c>
      <c r="C233" s="201">
        <f>'AC lifetimes'!$I$24</f>
        <v>11</v>
      </c>
      <c r="D233" s="198">
        <f>C232+D232</f>
        <v>29</v>
      </c>
      <c r="E233" s="126">
        <f>B233*(1/(1+inflators!$B$9)^D233)</f>
        <v>1.6640520944322383</v>
      </c>
      <c r="F233" s="258">
        <f>('rehabilitation costs'!$L$50+'rehabilitation costs'!$L$52)*inflators!$G$12*inflators!$G$15</f>
        <v>5.189598480420807</v>
      </c>
      <c r="G233" s="220"/>
      <c r="H233" s="220"/>
      <c r="I233" s="220"/>
      <c r="J233" s="220"/>
      <c r="K233" s="210"/>
      <c r="L233" s="210"/>
      <c r="M233" s="561"/>
      <c r="N233" s="562"/>
    </row>
    <row r="234" spans="1:14" ht="12">
      <c r="A234" s="131" t="s">
        <v>713</v>
      </c>
      <c r="B234" s="188">
        <f>('maintenance costs'!$L$48+'maintenance costs'!$L$59)*inflators!$G$12*inflators!$G$15</f>
        <v>1.3266642731902814</v>
      </c>
      <c r="C234" s="202"/>
      <c r="D234" s="199"/>
      <c r="E234" s="240"/>
      <c r="F234" s="236">
        <f>('maintenance costs'!$L$48+'maintenance costs'!$L$59)*inflators!$G$12*inflators!$G$15</f>
        <v>1.3266642731902814</v>
      </c>
      <c r="G234" s="205"/>
      <c r="H234" s="205"/>
      <c r="I234" s="221"/>
      <c r="J234" s="221"/>
      <c r="K234" s="191"/>
      <c r="L234" s="191"/>
      <c r="M234" s="558" t="s">
        <v>117</v>
      </c>
      <c r="N234" s="559"/>
    </row>
    <row r="235" spans="2:14" ht="12">
      <c r="B235" s="124"/>
      <c r="C235" s="201">
        <f>SUM(C231:C234)</f>
        <v>40</v>
      </c>
      <c r="D235" s="193" t="s">
        <v>455</v>
      </c>
      <c r="E235" s="259">
        <f>E231</f>
        <v>49.593832094848466</v>
      </c>
      <c r="G235" s="257">
        <f>SUM(G231:G234)</f>
        <v>43.63636363636364</v>
      </c>
      <c r="H235" s="257">
        <f>SUM(H231:H234)</f>
        <v>39.272727272727266</v>
      </c>
      <c r="J235" s="193" t="s">
        <v>455</v>
      </c>
      <c r="K235" s="187">
        <f>K231</f>
        <v>49.97102095683394</v>
      </c>
      <c r="L235" s="187">
        <f>L231</f>
        <v>49.97102095683394</v>
      </c>
      <c r="M235" s="560"/>
      <c r="N235" s="559"/>
    </row>
    <row r="236" spans="2:14" ht="12">
      <c r="B236" s="124"/>
      <c r="C236" s="124"/>
      <c r="D236" s="146" t="s">
        <v>710</v>
      </c>
      <c r="E236" s="260">
        <f>SUM(E232:E234)</f>
        <v>2.1816123166489048</v>
      </c>
      <c r="J236" s="146" t="s">
        <v>710</v>
      </c>
      <c r="K236" s="187">
        <f>SUM(K232:K234)</f>
        <v>0</v>
      </c>
      <c r="L236" s="187">
        <f>SUM(L232:L234)</f>
        <v>0</v>
      </c>
      <c r="M236" s="561"/>
      <c r="N236" s="562"/>
    </row>
    <row r="237" spans="2:12" ht="12">
      <c r="B237" s="124"/>
      <c r="C237" s="124"/>
      <c r="D237" s="193" t="s">
        <v>588</v>
      </c>
      <c r="E237" s="260">
        <f>E233/11*5</f>
        <v>0.7563873156510175</v>
      </c>
      <c r="J237" s="193" t="s">
        <v>588</v>
      </c>
      <c r="K237" s="187">
        <f>K231/44*9</f>
        <v>10.221345195716033</v>
      </c>
      <c r="L237" s="187">
        <f>L231/39*4</f>
        <v>5.125232918649635</v>
      </c>
    </row>
    <row r="238" spans="2:12" s="13" customFormat="1" ht="12">
      <c r="B238" s="189"/>
      <c r="C238" s="189"/>
      <c r="D238" s="274" t="s">
        <v>711</v>
      </c>
      <c r="E238" s="275">
        <f>E235+E236-E237</f>
        <v>51.01905709584635</v>
      </c>
      <c r="J238" s="274" t="s">
        <v>711</v>
      </c>
      <c r="K238" s="211">
        <f>K235+K236-K237</f>
        <v>39.749675761117906</v>
      </c>
      <c r="L238" s="211">
        <f>L235+L236-L237</f>
        <v>44.8457880381843</v>
      </c>
    </row>
    <row r="239" ht="12"/>
    <row r="240" spans="2:12" ht="12">
      <c r="B240" s="580" t="s">
        <v>268</v>
      </c>
      <c r="C240" s="581"/>
      <c r="D240" s="581"/>
      <c r="E240" s="581"/>
      <c r="F240" s="581"/>
      <c r="G240" s="581"/>
      <c r="H240" s="581"/>
      <c r="I240" s="581"/>
      <c r="J240" s="581"/>
      <c r="K240" s="581"/>
      <c r="L240" s="582"/>
    </row>
    <row r="241" spans="1:14" ht="12">
      <c r="A241" s="256"/>
      <c r="B241" s="583" t="s">
        <v>8</v>
      </c>
      <c r="C241" s="584"/>
      <c r="D241" s="584"/>
      <c r="E241" s="584"/>
      <c r="F241" s="584"/>
      <c r="G241" s="584"/>
      <c r="H241" s="584"/>
      <c r="I241" s="584"/>
      <c r="J241" s="584"/>
      <c r="K241" s="584"/>
      <c r="L241" s="585"/>
      <c r="M241" s="558" t="s">
        <v>375</v>
      </c>
      <c r="N241" s="563"/>
    </row>
    <row r="242" spans="1:14" ht="12">
      <c r="A242" s="218" t="s">
        <v>633</v>
      </c>
      <c r="B242" s="564" t="s">
        <v>715</v>
      </c>
      <c r="C242" s="572" t="s">
        <v>532</v>
      </c>
      <c r="D242" s="564" t="s">
        <v>587</v>
      </c>
      <c r="E242" s="586" t="s">
        <v>533</v>
      </c>
      <c r="F242" s="588" t="s">
        <v>715</v>
      </c>
      <c r="G242" s="590" t="s">
        <v>532</v>
      </c>
      <c r="H242" s="591"/>
      <c r="I242" s="590" t="s">
        <v>587</v>
      </c>
      <c r="J242" s="591"/>
      <c r="K242" s="590" t="s">
        <v>533</v>
      </c>
      <c r="L242" s="591"/>
      <c r="M242" s="558"/>
      <c r="N242" s="563"/>
    </row>
    <row r="243" spans="1:14" ht="12">
      <c r="A243" s="291" t="s">
        <v>716</v>
      </c>
      <c r="B243" s="565"/>
      <c r="C243" s="576"/>
      <c r="D243" s="577"/>
      <c r="E243" s="587"/>
      <c r="F243" s="589"/>
      <c r="G243" s="219" t="s">
        <v>94</v>
      </c>
      <c r="H243" s="219" t="s">
        <v>93</v>
      </c>
      <c r="I243" s="219" t="s">
        <v>94</v>
      </c>
      <c r="J243" s="219" t="s">
        <v>93</v>
      </c>
      <c r="K243" s="219" t="s">
        <v>94</v>
      </c>
      <c r="L243" s="219" t="s">
        <v>93</v>
      </c>
      <c r="M243" s="558"/>
      <c r="N243" s="563"/>
    </row>
    <row r="244" spans="1:14" ht="12">
      <c r="A244" s="129" t="s">
        <v>618</v>
      </c>
      <c r="B244" s="186">
        <f>'rehabilitation costs'!$L$38*inflators!$G$12*inflators!$G$15</f>
        <v>18.209117475160724</v>
      </c>
      <c r="C244" s="204">
        <f>'AC lifetimes'!$G$10</f>
        <v>18</v>
      </c>
      <c r="D244" s="3">
        <v>0</v>
      </c>
      <c r="E244" s="234">
        <f>B244*(1/(1+inflators!$B$9)^D244)</f>
        <v>18.209117475160724</v>
      </c>
      <c r="F244" s="239">
        <f>('rehabilitation costs'!$L$38+'maintenance costs'!$L$49-'maintenance costs'!$L$54)*inflators!$G$12*inflators!$G$15</f>
        <v>18.586306337146198</v>
      </c>
      <c r="G244" s="224">
        <f>(('AC lifetimes'!$G$10)*(1+'weather data'!$F$32))</f>
        <v>32.727272727272734</v>
      </c>
      <c r="H244" s="224">
        <f>(('AC lifetimes'!$G$10)*(1+'weather data'!$C$32))</f>
        <v>29.454545454545453</v>
      </c>
      <c r="I244" s="225">
        <v>0</v>
      </c>
      <c r="J244" s="225">
        <v>0</v>
      </c>
      <c r="K244" s="227">
        <f>$F244*(1/(1+inflators!$B$9)^I244)</f>
        <v>18.586306337146198</v>
      </c>
      <c r="L244" s="227">
        <f>$F244*(1/(1+inflators!$B$9)^J244)</f>
        <v>18.586306337146198</v>
      </c>
      <c r="M244" s="558" t="s">
        <v>118</v>
      </c>
      <c r="N244" s="559"/>
    </row>
    <row r="245" spans="1:14" ht="12">
      <c r="A245" s="130" t="s">
        <v>712</v>
      </c>
      <c r="B245" s="187">
        <f>('maintenance costs'!$L$48+'maintenance costs'!$L$59)*inflators!$G$12*inflators!$G$15</f>
        <v>1.3266642731902814</v>
      </c>
      <c r="C245" s="196">
        <f>'AC lifetimes'!$I$52</f>
        <v>5</v>
      </c>
      <c r="D245" s="196">
        <f>C244+D244</f>
        <v>18</v>
      </c>
      <c r="E245" s="126">
        <f>B245*(1/(1+inflators!$B$9)^D245)</f>
        <v>0.6548787923877637</v>
      </c>
      <c r="F245" s="235">
        <f>('maintenance costs'!$L$48+'maintenance costs'!$L$59)*inflators!$G$12*inflators!$G$15</f>
        <v>1.3266642731902814</v>
      </c>
      <c r="G245" s="220">
        <f>'AC lifetimes'!$I$52</f>
        <v>5</v>
      </c>
      <c r="H245" s="220">
        <f>'AC lifetimes'!$I$52</f>
        <v>5</v>
      </c>
      <c r="I245" s="220">
        <f>G244+$I244</f>
        <v>32.727272727272734</v>
      </c>
      <c r="J245" s="220">
        <f>H244+J244</f>
        <v>29.454545454545453</v>
      </c>
      <c r="K245" s="210">
        <f>$F245*(1/(1+inflators!$B$9)^I245)</f>
        <v>0.3675414235910169</v>
      </c>
      <c r="L245" s="210">
        <f>$F245*(1/(1+inflators!$B$9)^J245)</f>
        <v>0.4178801743305866</v>
      </c>
      <c r="M245" s="560"/>
      <c r="N245" s="559"/>
    </row>
    <row r="246" spans="1:14" ht="12">
      <c r="A246" s="130" t="s">
        <v>593</v>
      </c>
      <c r="B246" s="210">
        <f>('rehabilitation costs'!$L$50+'rehabilitation costs'!$L$52)*inflators!$G$12*inflators!$G$15</f>
        <v>5.189598480420807</v>
      </c>
      <c r="C246" s="196">
        <f>'AC lifetimes'!$I$24</f>
        <v>11</v>
      </c>
      <c r="D246" s="196">
        <f>C245+D245</f>
        <v>23</v>
      </c>
      <c r="E246" s="126">
        <f>B246*(1/(1+inflators!$B$9)^D246)</f>
        <v>2.105556762853214</v>
      </c>
      <c r="F246" s="258">
        <f>('rehabilitation costs'!$L$50+'rehabilitation costs'!$L$52)*inflators!$G$12*inflators!$G$15</f>
        <v>5.189598480420807</v>
      </c>
      <c r="G246" s="230"/>
      <c r="H246" s="230">
        <f>(('AC lifetimes'!$I$24)*(1+'weather data'!$C$32))</f>
        <v>18</v>
      </c>
      <c r="I246" s="230"/>
      <c r="J246" s="230">
        <f>H245+J245</f>
        <v>34.45454545454545</v>
      </c>
      <c r="K246" s="227"/>
      <c r="L246" s="227">
        <f>$F246*(1/(1+inflators!$B$9)^J246)</f>
        <v>1.3435622551097395</v>
      </c>
      <c r="M246" s="561"/>
      <c r="N246" s="562"/>
    </row>
    <row r="247" spans="1:14" ht="12">
      <c r="A247" s="130" t="s">
        <v>713</v>
      </c>
      <c r="B247" s="187">
        <f>('maintenance costs'!$L$48+'maintenance costs'!$L$59)*inflators!$G$12*inflators!$G$15</f>
        <v>1.3266642731902814</v>
      </c>
      <c r="C247" s="196">
        <f>'AC lifetimes'!$I$53</f>
        <v>4</v>
      </c>
      <c r="D247" s="196">
        <f>C246+D246</f>
        <v>34</v>
      </c>
      <c r="E247" s="126">
        <f>B247*(1/(1+inflators!$B$9)^D247)</f>
        <v>0.3496451413390977</v>
      </c>
      <c r="F247" s="235">
        <f>('maintenance costs'!$L$48+'maintenance costs'!$L$59)*inflators!$G$12*inflators!$G$15</f>
        <v>1.3266642731902814</v>
      </c>
      <c r="G247" s="196"/>
      <c r="H247" s="220"/>
      <c r="I247" s="220"/>
      <c r="J247" s="220"/>
      <c r="K247" s="210"/>
      <c r="L247" s="210"/>
      <c r="M247" s="558" t="s">
        <v>117</v>
      </c>
      <c r="N247" s="559"/>
    </row>
    <row r="248" spans="1:14" ht="12">
      <c r="A248" s="131" t="s">
        <v>594</v>
      </c>
      <c r="B248" s="188">
        <f>('rehabilitation costs'!$L$42+'rehabilitation costs'!$L$50+'rehabilitation costs'!$L$52)*inflators!$G$12*inflators!$G$15</f>
        <v>6.529269266093347</v>
      </c>
      <c r="C248" s="205"/>
      <c r="D248" s="205"/>
      <c r="E248" s="126"/>
      <c r="F248" s="236">
        <f>('rehabilitation costs'!$L$42+'rehabilitation costs'!$L$50+'rehabilitation costs'!$L$52)*inflators!$G$12*inflators!$G$15</f>
        <v>6.529269266093347</v>
      </c>
      <c r="G248" s="205"/>
      <c r="H248" s="221"/>
      <c r="I248" s="221"/>
      <c r="J248" s="221"/>
      <c r="K248" s="191"/>
      <c r="L248" s="191"/>
      <c r="M248" s="560"/>
      <c r="N248" s="559"/>
    </row>
    <row r="249" spans="3:14" ht="12">
      <c r="C249" s="201">
        <f>SUM(C244:C248)</f>
        <v>38</v>
      </c>
      <c r="D249" s="193" t="s">
        <v>455</v>
      </c>
      <c r="E249" s="259">
        <f>E244</f>
        <v>18.209117475160724</v>
      </c>
      <c r="G249" s="222">
        <f>SUM(G244:G248)</f>
        <v>37.727272727272734</v>
      </c>
      <c r="H249" s="222">
        <f>SUM(H244:H248)</f>
        <v>52.45454545454545</v>
      </c>
      <c r="J249" s="193" t="s">
        <v>455</v>
      </c>
      <c r="K249" s="187">
        <f>K244</f>
        <v>18.586306337146198</v>
      </c>
      <c r="L249" s="187">
        <f>L244</f>
        <v>18.586306337146198</v>
      </c>
      <c r="M249" s="561"/>
      <c r="N249" s="562"/>
    </row>
    <row r="250" spans="4:12" ht="12">
      <c r="D250" s="146" t="s">
        <v>710</v>
      </c>
      <c r="E250" s="260">
        <f>SUM(E245:E248)</f>
        <v>3.1100806965800754</v>
      </c>
      <c r="J250" s="146" t="s">
        <v>710</v>
      </c>
      <c r="K250" s="187">
        <f>SUM(K245:K248)</f>
        <v>0.3675414235910169</v>
      </c>
      <c r="L250" s="187">
        <f>SUM(L245:L248)</f>
        <v>1.7614424294403261</v>
      </c>
    </row>
    <row r="251" spans="4:12" ht="12">
      <c r="D251" s="193" t="s">
        <v>588</v>
      </c>
      <c r="E251" s="260">
        <f>E247/15*5</f>
        <v>0.1165483804463659</v>
      </c>
      <c r="J251" s="193" t="s">
        <v>588</v>
      </c>
      <c r="K251" s="187">
        <f>K245/5*3</f>
        <v>0.22052485415461015</v>
      </c>
      <c r="L251" s="187">
        <f>L246/18*17</f>
        <v>1.2689199076036428</v>
      </c>
    </row>
    <row r="252" spans="4:12" s="13" customFormat="1" ht="12">
      <c r="D252" s="274" t="s">
        <v>711</v>
      </c>
      <c r="E252" s="275">
        <f>E249+E250-E251</f>
        <v>21.202649791294434</v>
      </c>
      <c r="J252" s="274" t="s">
        <v>711</v>
      </c>
      <c r="K252" s="211">
        <f>K249+K250-K251</f>
        <v>18.733322906582604</v>
      </c>
      <c r="L252" s="211">
        <f>L249+L250-L251</f>
        <v>19.07882885898288</v>
      </c>
    </row>
    <row r="253" spans="4:12" s="13" customFormat="1" ht="12">
      <c r="D253" s="274"/>
      <c r="E253" s="189"/>
      <c r="J253" s="274"/>
      <c r="K253" s="189"/>
      <c r="L253" s="189"/>
    </row>
    <row r="254" s="484" customFormat="1" ht="12">
      <c r="A254" s="482" t="s">
        <v>780</v>
      </c>
    </row>
    <row r="255" spans="1:12" ht="12">
      <c r="A255" s="1" t="s">
        <v>26</v>
      </c>
      <c r="B255" s="592" t="s">
        <v>268</v>
      </c>
      <c r="C255" s="593"/>
      <c r="D255" s="593"/>
      <c r="E255" s="593"/>
      <c r="F255" s="593"/>
      <c r="G255" s="593"/>
      <c r="H255" s="593"/>
      <c r="I255" s="593"/>
      <c r="J255" s="593"/>
      <c r="K255" s="593"/>
      <c r="L255" s="594"/>
    </row>
    <row r="256" spans="1:14" ht="12">
      <c r="A256" s="405" t="s">
        <v>21</v>
      </c>
      <c r="B256" s="583" t="s">
        <v>8</v>
      </c>
      <c r="C256" s="584"/>
      <c r="D256" s="584"/>
      <c r="E256" s="584"/>
      <c r="F256" s="584"/>
      <c r="G256" s="584"/>
      <c r="H256" s="584"/>
      <c r="I256" s="584"/>
      <c r="J256" s="584"/>
      <c r="K256" s="584"/>
      <c r="L256" s="585"/>
      <c r="M256" s="558" t="s">
        <v>375</v>
      </c>
      <c r="N256" s="563"/>
    </row>
    <row r="257" spans="1:14" ht="12">
      <c r="A257" s="218" t="s">
        <v>632</v>
      </c>
      <c r="B257" s="564" t="s">
        <v>715</v>
      </c>
      <c r="C257" s="572" t="s">
        <v>532</v>
      </c>
      <c r="D257" s="564" t="s">
        <v>587</v>
      </c>
      <c r="E257" s="586" t="s">
        <v>533</v>
      </c>
      <c r="F257" s="588" t="s">
        <v>715</v>
      </c>
      <c r="G257" s="590" t="s">
        <v>532</v>
      </c>
      <c r="H257" s="591"/>
      <c r="I257" s="590" t="s">
        <v>587</v>
      </c>
      <c r="J257" s="591"/>
      <c r="K257" s="590" t="s">
        <v>533</v>
      </c>
      <c r="L257" s="591"/>
      <c r="M257" s="558"/>
      <c r="N257" s="563"/>
    </row>
    <row r="258" spans="1:14" ht="12">
      <c r="A258" s="291" t="s">
        <v>716</v>
      </c>
      <c r="B258" s="565"/>
      <c r="C258" s="576"/>
      <c r="D258" s="577"/>
      <c r="E258" s="587"/>
      <c r="F258" s="589"/>
      <c r="G258" s="219" t="s">
        <v>94</v>
      </c>
      <c r="H258" s="219" t="s">
        <v>93</v>
      </c>
      <c r="I258" s="219" t="s">
        <v>94</v>
      </c>
      <c r="J258" s="219" t="s">
        <v>93</v>
      </c>
      <c r="K258" s="219" t="s">
        <v>94</v>
      </c>
      <c r="L258" s="219" t="s">
        <v>93</v>
      </c>
      <c r="M258" s="558"/>
      <c r="N258" s="563"/>
    </row>
    <row r="259" spans="1:14" ht="12">
      <c r="A259" s="129" t="s">
        <v>122</v>
      </c>
      <c r="B259" s="186">
        <f>'rehabilitation costs'!$L$36*inflators!$G$12*inflators!$G$15</f>
        <v>42.19312649244385</v>
      </c>
      <c r="C259" s="200">
        <f>'AC lifetimes'!$G$5</f>
        <v>24</v>
      </c>
      <c r="D259" s="6">
        <v>0</v>
      </c>
      <c r="E259" s="261">
        <f>B259*(1/(1+inflators!$B$9)^D259)</f>
        <v>42.19312649244385</v>
      </c>
      <c r="F259" s="122">
        <f>('rehabilitation costs'!$L$36+'maintenance costs'!$L$49-'maintenance costs'!$L$54)*inflators!$G$12*inflators!$G$15</f>
        <v>42.57031535442932</v>
      </c>
      <c r="G259" s="223">
        <f>(('AC lifetimes'!$G$5)*(1+'weather data'!$F$32))</f>
        <v>43.63636363636364</v>
      </c>
      <c r="H259" s="223">
        <f>(('AC lifetimes'!$G$5)*(1+'weather data'!$C$32))</f>
        <v>39.272727272727266</v>
      </c>
      <c r="I259" s="225">
        <v>0</v>
      </c>
      <c r="J259" s="225">
        <v>0</v>
      </c>
      <c r="K259" s="227">
        <f>$F259*(1/(1+inflators!$B$9)^I259)</f>
        <v>42.57031535442932</v>
      </c>
      <c r="L259" s="227">
        <f>$F259*(1/(1+inflators!$B$9)^J259)</f>
        <v>42.57031535442932</v>
      </c>
      <c r="M259" s="558" t="s">
        <v>118</v>
      </c>
      <c r="N259" s="559"/>
    </row>
    <row r="260" spans="1:14" ht="12">
      <c r="A260" s="130" t="s">
        <v>712</v>
      </c>
      <c r="B260" s="187">
        <f>('maintenance costs'!$L$48+'maintenance costs'!$L$59)*inflators!$G$12*inflators!$G$15</f>
        <v>1.3266642731902814</v>
      </c>
      <c r="C260" s="201">
        <f>'AC lifetimes'!$I$54</f>
        <v>7</v>
      </c>
      <c r="D260" s="198">
        <f>C259+D259</f>
        <v>24</v>
      </c>
      <c r="E260" s="262">
        <f>B260*(1/(1+inflators!$B$9)^D260)</f>
        <v>0.5175602222166662</v>
      </c>
      <c r="F260" s="125">
        <f>('maintenance costs'!$L$48+'maintenance costs'!$L$59)*inflators!$G$12*inflators!$G$15</f>
        <v>1.3266642731902814</v>
      </c>
      <c r="G260" s="222"/>
      <c r="H260" s="222"/>
      <c r="I260" s="220"/>
      <c r="J260" s="220"/>
      <c r="K260" s="210"/>
      <c r="L260" s="210"/>
      <c r="M260" s="560"/>
      <c r="N260" s="559"/>
    </row>
    <row r="261" spans="1:14" ht="12">
      <c r="A261" s="130" t="s">
        <v>593</v>
      </c>
      <c r="B261" s="210">
        <f>('rehabilitation costs'!$L$50+'rehabilitation costs'!$L$52)*inflators!$G$12*inflators!$G$15</f>
        <v>5.189598480420807</v>
      </c>
      <c r="C261" s="201">
        <f>'AC lifetimes'!$I$26</f>
        <v>15</v>
      </c>
      <c r="D261" s="198">
        <f>C260+D260</f>
        <v>31</v>
      </c>
      <c r="E261" s="262">
        <f>B261*(1/(1+inflators!$B$9)^D261)</f>
        <v>1.5385097026925283</v>
      </c>
      <c r="F261" s="128">
        <f>('rehabilitation costs'!$L$50+'rehabilitation costs'!$L$52)*inflators!$G$12*inflators!$G$15</f>
        <v>5.189598480420807</v>
      </c>
      <c r="G261" s="222"/>
      <c r="H261" s="222"/>
      <c r="I261" s="220"/>
      <c r="J261" s="220"/>
      <c r="K261" s="210"/>
      <c r="L261" s="210"/>
      <c r="M261" s="561"/>
      <c r="N261" s="562"/>
    </row>
    <row r="262" spans="1:14" ht="12">
      <c r="A262" s="131" t="s">
        <v>713</v>
      </c>
      <c r="B262" s="188">
        <f>('maintenance costs'!$L$48+'maintenance costs'!$L$59)*inflators!$G$12*inflators!$G$15</f>
        <v>1.3266642731902814</v>
      </c>
      <c r="C262" s="202"/>
      <c r="D262" s="199"/>
      <c r="E262" s="263"/>
      <c r="F262" s="209">
        <f>('maintenance costs'!$L$48+'maintenance costs'!$L$59)*inflators!$G$12*inflators!$G$15</f>
        <v>1.3266642731902814</v>
      </c>
      <c r="G262" s="264"/>
      <c r="H262" s="264"/>
      <c r="I262" s="221"/>
      <c r="J262" s="221"/>
      <c r="K262" s="210"/>
      <c r="L262" s="210"/>
      <c r="M262" s="558" t="s">
        <v>117</v>
      </c>
      <c r="N262" s="559"/>
    </row>
    <row r="263" spans="2:14" ht="12">
      <c r="B263" s="124"/>
      <c r="C263" s="201">
        <f>SUM(C259:C262)</f>
        <v>46</v>
      </c>
      <c r="D263" s="193" t="s">
        <v>455</v>
      </c>
      <c r="E263" s="260">
        <f>E259</f>
        <v>42.19312649244385</v>
      </c>
      <c r="G263" s="222">
        <f>SUM(G259:G262)</f>
        <v>43.63636363636364</v>
      </c>
      <c r="H263" s="222">
        <f>SUM(H259:H262)</f>
        <v>39.272727272727266</v>
      </c>
      <c r="J263" s="193" t="s">
        <v>455</v>
      </c>
      <c r="K263" s="186">
        <f>K259</f>
        <v>42.57031535442932</v>
      </c>
      <c r="L263" s="186">
        <f>L259</f>
        <v>42.57031535442932</v>
      </c>
      <c r="M263" s="560"/>
      <c r="N263" s="559"/>
    </row>
    <row r="264" spans="2:14" ht="12">
      <c r="B264" s="124"/>
      <c r="C264" s="124"/>
      <c r="D264" s="146" t="s">
        <v>710</v>
      </c>
      <c r="E264" s="260">
        <f>SUM(E260:E262)</f>
        <v>2.0560699249091945</v>
      </c>
      <c r="J264" s="146" t="s">
        <v>710</v>
      </c>
      <c r="K264" s="187">
        <f>SUM(K260:K262)</f>
        <v>0</v>
      </c>
      <c r="L264" s="187">
        <f>SUM(L260:L262)</f>
        <v>0</v>
      </c>
      <c r="M264" s="561"/>
      <c r="N264" s="562"/>
    </row>
    <row r="265" spans="2:12" ht="12">
      <c r="B265" s="124"/>
      <c r="C265" s="124"/>
      <c r="D265" s="193" t="s">
        <v>588</v>
      </c>
      <c r="E265" s="260">
        <f>E261/15*11</f>
        <v>1.1282404486411874</v>
      </c>
      <c r="J265" s="193" t="s">
        <v>588</v>
      </c>
      <c r="K265" s="187">
        <f>K259/44*9</f>
        <v>8.707564504315087</v>
      </c>
      <c r="L265" s="187">
        <f>L259/39*4</f>
        <v>4.366186190197879</v>
      </c>
    </row>
    <row r="266" spans="2:12" s="13" customFormat="1" ht="12">
      <c r="B266" s="189"/>
      <c r="C266" s="189"/>
      <c r="D266" s="274" t="s">
        <v>711</v>
      </c>
      <c r="E266" s="275">
        <f>E263+E264-E265</f>
        <v>43.12095596871186</v>
      </c>
      <c r="J266" s="274" t="s">
        <v>711</v>
      </c>
      <c r="K266" s="211">
        <f>K263+K264-K265</f>
        <v>33.86275085011423</v>
      </c>
      <c r="L266" s="211">
        <f>L263+L264-L265</f>
        <v>38.20412916423144</v>
      </c>
    </row>
    <row r="267" ht="12"/>
    <row r="268" spans="2:12" ht="12">
      <c r="B268" s="580" t="s">
        <v>268</v>
      </c>
      <c r="C268" s="581"/>
      <c r="D268" s="581"/>
      <c r="E268" s="581"/>
      <c r="F268" s="581"/>
      <c r="G268" s="581"/>
      <c r="H268" s="581"/>
      <c r="I268" s="581"/>
      <c r="J268" s="581"/>
      <c r="K268" s="581"/>
      <c r="L268" s="582"/>
    </row>
    <row r="269" spans="1:14" ht="12">
      <c r="A269" s="256"/>
      <c r="B269" s="583" t="s">
        <v>8</v>
      </c>
      <c r="C269" s="584"/>
      <c r="D269" s="584"/>
      <c r="E269" s="584"/>
      <c r="F269" s="584"/>
      <c r="G269" s="584"/>
      <c r="H269" s="584"/>
      <c r="I269" s="584"/>
      <c r="J269" s="584"/>
      <c r="K269" s="584"/>
      <c r="L269" s="585"/>
      <c r="M269" s="558" t="s">
        <v>375</v>
      </c>
      <c r="N269" s="563"/>
    </row>
    <row r="270" spans="1:14" ht="12">
      <c r="A270" s="218" t="s">
        <v>633</v>
      </c>
      <c r="B270" s="564" t="s">
        <v>715</v>
      </c>
      <c r="C270" s="572" t="s">
        <v>532</v>
      </c>
      <c r="D270" s="564" t="s">
        <v>587</v>
      </c>
      <c r="E270" s="586" t="s">
        <v>533</v>
      </c>
      <c r="F270" s="588" t="s">
        <v>715</v>
      </c>
      <c r="G270" s="590" t="s">
        <v>532</v>
      </c>
      <c r="H270" s="591"/>
      <c r="I270" s="590" t="s">
        <v>587</v>
      </c>
      <c r="J270" s="591"/>
      <c r="K270" s="590" t="s">
        <v>533</v>
      </c>
      <c r="L270" s="591"/>
      <c r="M270" s="558"/>
      <c r="N270" s="563"/>
    </row>
    <row r="271" spans="1:14" ht="12">
      <c r="A271" s="291" t="s">
        <v>716</v>
      </c>
      <c r="B271" s="565"/>
      <c r="C271" s="576"/>
      <c r="D271" s="577"/>
      <c r="E271" s="587"/>
      <c r="F271" s="589"/>
      <c r="G271" s="219" t="s">
        <v>94</v>
      </c>
      <c r="H271" s="219" t="s">
        <v>93</v>
      </c>
      <c r="I271" s="219" t="s">
        <v>94</v>
      </c>
      <c r="J271" s="219" t="s">
        <v>93</v>
      </c>
      <c r="K271" s="219" t="s">
        <v>94</v>
      </c>
      <c r="L271" s="219" t="s">
        <v>93</v>
      </c>
      <c r="M271" s="558"/>
      <c r="N271" s="563"/>
    </row>
    <row r="272" spans="1:14" ht="12">
      <c r="A272" s="129" t="s">
        <v>618</v>
      </c>
      <c r="B272" s="186">
        <f>'rehabilitation costs'!$L$39*inflators!$G$12*inflators!$G$15</f>
        <v>14.801411204809222</v>
      </c>
      <c r="C272" s="204">
        <f>'AC lifetimes'!$G$12</f>
        <v>18</v>
      </c>
      <c r="D272" s="12">
        <v>0</v>
      </c>
      <c r="E272" s="261">
        <f>B272*(1/(1+inflators!$B$9)^D272)</f>
        <v>14.801411204809222</v>
      </c>
      <c r="F272" s="186">
        <f>('rehabilitation costs'!$L$39+'maintenance costs'!$L$49-'maintenance costs'!$L$54)*inflators!$G$12*inflators!$G$15</f>
        <v>15.178600066794692</v>
      </c>
      <c r="G272" s="224">
        <f>(('AC lifetimes'!$G$12)*(1+'weather data'!$F$32))</f>
        <v>32.727272727272734</v>
      </c>
      <c r="H272" s="224">
        <f>(('AC lifetimes'!$G$12)*(1+'weather data'!$C$32))</f>
        <v>29.454545454545453</v>
      </c>
      <c r="I272" s="225">
        <v>0</v>
      </c>
      <c r="J272" s="225">
        <v>0</v>
      </c>
      <c r="K272" s="227">
        <f>$F272*(1/(1+inflators!$B$9)^I272)</f>
        <v>15.178600066794692</v>
      </c>
      <c r="L272" s="227">
        <f>$F272*(1/(1+inflators!$B$9)^J272)</f>
        <v>15.178600066794692</v>
      </c>
      <c r="M272" s="558" t="s">
        <v>118</v>
      </c>
      <c r="N272" s="559"/>
    </row>
    <row r="273" spans="1:14" ht="12">
      <c r="A273" s="130" t="s">
        <v>712</v>
      </c>
      <c r="B273" s="187">
        <f>('maintenance costs'!$L$48+'maintenance costs'!$L$59)*inflators!$G$12*inflators!$G$15</f>
        <v>1.3266642731902814</v>
      </c>
      <c r="C273" s="196">
        <f>'AC lifetimes'!$I$54</f>
        <v>7</v>
      </c>
      <c r="D273" s="201">
        <f>C272+D272</f>
        <v>18</v>
      </c>
      <c r="E273" s="262">
        <f>B273*(1/(1+inflators!$B$9)^D273)</f>
        <v>0.6548787923877637</v>
      </c>
      <c r="F273" s="187">
        <f>('maintenance costs'!$L$48+'maintenance costs'!$L$59)*inflators!$G$12*inflators!$G$15</f>
        <v>1.3266642731902814</v>
      </c>
      <c r="G273" s="220">
        <f>'AC lifetimes'!$I$54</f>
        <v>7</v>
      </c>
      <c r="H273" s="220">
        <f>'AC lifetimes'!$I$54</f>
        <v>7</v>
      </c>
      <c r="I273" s="220">
        <f>G272+$I272</f>
        <v>32.727272727272734</v>
      </c>
      <c r="J273" s="220">
        <f>H272+$I272</f>
        <v>29.454545454545453</v>
      </c>
      <c r="K273" s="210">
        <f>$F273*(1/(1+inflators!$B$9)^I273)</f>
        <v>0.3675414235910169</v>
      </c>
      <c r="L273" s="210">
        <f>$F273*(1/(1+inflators!$B$9)^J273)</f>
        <v>0.4178801743305866</v>
      </c>
      <c r="M273" s="560"/>
      <c r="N273" s="559"/>
    </row>
    <row r="274" spans="1:14" ht="12">
      <c r="A274" s="130" t="s">
        <v>593</v>
      </c>
      <c r="B274" s="210">
        <f>('rehabilitation costs'!$L$50+'rehabilitation costs'!$L$52)*inflators!$G$12*inflators!$G$15</f>
        <v>5.189598480420807</v>
      </c>
      <c r="C274" s="196">
        <f>'AC lifetimes'!$I$26</f>
        <v>15</v>
      </c>
      <c r="D274" s="201">
        <f>C273+D273</f>
        <v>25</v>
      </c>
      <c r="E274" s="262">
        <f>B274*(1/(1+inflators!$B$9)^D274)</f>
        <v>1.9467055869574827</v>
      </c>
      <c r="F274" s="210">
        <f>('rehabilitation costs'!$L$50+'rehabilitation costs'!$L$52)*inflators!$G$12*inflators!$G$15</f>
        <v>5.189598480420807</v>
      </c>
      <c r="G274" s="230"/>
      <c r="H274" s="230"/>
      <c r="I274" s="230"/>
      <c r="J274" s="230"/>
      <c r="K274" s="227"/>
      <c r="L274" s="227"/>
      <c r="M274" s="561"/>
      <c r="N274" s="562"/>
    </row>
    <row r="275" spans="1:14" ht="12">
      <c r="A275" s="130" t="s">
        <v>713</v>
      </c>
      <c r="B275" s="187">
        <f>('maintenance costs'!$L$48+'maintenance costs'!$L$59)*inflators!$G$12*inflators!$G$15</f>
        <v>1.3266642731902814</v>
      </c>
      <c r="C275" s="196"/>
      <c r="D275" s="201"/>
      <c r="E275" s="262"/>
      <c r="F275" s="187">
        <f>('maintenance costs'!$L$48+'maintenance costs'!$L$59)*inflators!$G$12*inflators!$G$15</f>
        <v>1.3266642731902814</v>
      </c>
      <c r="G275" s="220"/>
      <c r="H275" s="220"/>
      <c r="I275" s="220"/>
      <c r="J275" s="220"/>
      <c r="K275" s="210"/>
      <c r="L275" s="210"/>
      <c r="M275" s="558" t="s">
        <v>117</v>
      </c>
      <c r="N275" s="559"/>
    </row>
    <row r="276" spans="1:14" ht="12">
      <c r="A276" s="131" t="s">
        <v>594</v>
      </c>
      <c r="B276" s="188">
        <f>('rehabilitation costs'!$L$42+'rehabilitation costs'!$L$50+'rehabilitation costs'!$L$52)*inflators!$G$12*inflators!$G$15</f>
        <v>6.529269266093347</v>
      </c>
      <c r="C276" s="205"/>
      <c r="D276" s="202"/>
      <c r="E276" s="263"/>
      <c r="F276" s="188">
        <f>('rehabilitation costs'!$L$42+'rehabilitation costs'!$L$50+'rehabilitation costs'!$L$52)*inflators!$G$12*inflators!$G$15</f>
        <v>6.529269266093347</v>
      </c>
      <c r="G276" s="221"/>
      <c r="H276" s="221"/>
      <c r="I276" s="221"/>
      <c r="J276" s="221"/>
      <c r="K276" s="191"/>
      <c r="L276" s="191"/>
      <c r="M276" s="560"/>
      <c r="N276" s="559"/>
    </row>
    <row r="277" spans="2:14" ht="12">
      <c r="B277" s="124"/>
      <c r="C277" s="201">
        <f>SUM(C272:C276)</f>
        <v>40</v>
      </c>
      <c r="D277" s="193" t="s">
        <v>455</v>
      </c>
      <c r="E277" s="260">
        <f>E272</f>
        <v>14.801411204809222</v>
      </c>
      <c r="G277" s="222">
        <f>SUM(G272:G276)</f>
        <v>39.727272727272734</v>
      </c>
      <c r="H277" s="222">
        <f>SUM(H272:H276)</f>
        <v>36.45454545454545</v>
      </c>
      <c r="J277" s="193" t="s">
        <v>455</v>
      </c>
      <c r="K277" s="187">
        <f>K272</f>
        <v>15.178600066794692</v>
      </c>
      <c r="L277" s="187">
        <f>L272</f>
        <v>15.178600066794692</v>
      </c>
      <c r="M277" s="561"/>
      <c r="N277" s="562"/>
    </row>
    <row r="278" spans="2:12" ht="12">
      <c r="B278" s="124"/>
      <c r="C278" s="124"/>
      <c r="D278" s="146" t="s">
        <v>710</v>
      </c>
      <c r="E278" s="260">
        <f>SUM(E273:E276)</f>
        <v>2.6015843793452467</v>
      </c>
      <c r="J278" s="146" t="s">
        <v>710</v>
      </c>
      <c r="K278" s="187">
        <f>SUM(K273:K276)</f>
        <v>0.3675414235910169</v>
      </c>
      <c r="L278" s="187">
        <f>SUM(L273:L276)</f>
        <v>0.4178801743305866</v>
      </c>
    </row>
    <row r="279" spans="2:12" ht="12">
      <c r="B279" s="124"/>
      <c r="C279" s="124"/>
      <c r="D279" s="193" t="s">
        <v>588</v>
      </c>
      <c r="E279" s="260">
        <f>E274/15*5</f>
        <v>0.6489018623191609</v>
      </c>
      <c r="J279" s="193" t="s">
        <v>588</v>
      </c>
      <c r="K279" s="187">
        <f>K273/7*5</f>
        <v>0.2625295882792978</v>
      </c>
      <c r="L279" s="187">
        <f>L273/7*1</f>
        <v>0.05969716776151237</v>
      </c>
    </row>
    <row r="280" spans="2:12" s="13" customFormat="1" ht="12">
      <c r="B280" s="189"/>
      <c r="C280" s="189"/>
      <c r="D280" s="274" t="s">
        <v>711</v>
      </c>
      <c r="E280" s="275">
        <f>E277+E278-E279</f>
        <v>16.754093721835307</v>
      </c>
      <c r="J280" s="274" t="s">
        <v>711</v>
      </c>
      <c r="K280" s="211">
        <f>K277+K278-K279</f>
        <v>15.283611902106411</v>
      </c>
      <c r="L280" s="211">
        <f>L277+L278-L279</f>
        <v>15.536783073363765</v>
      </c>
    </row>
    <row r="281" spans="2:12" s="13" customFormat="1" ht="12">
      <c r="B281" s="189"/>
      <c r="C281" s="189"/>
      <c r="D281" s="274"/>
      <c r="E281" s="189"/>
      <c r="J281" s="274"/>
      <c r="K281" s="189"/>
      <c r="L281" s="189"/>
    </row>
    <row r="282" s="484" customFormat="1" ht="12">
      <c r="A282" s="482" t="s">
        <v>781</v>
      </c>
    </row>
    <row r="283" spans="1:12" ht="12">
      <c r="A283" s="1" t="s">
        <v>26</v>
      </c>
      <c r="B283" s="592" t="s">
        <v>268</v>
      </c>
      <c r="C283" s="593"/>
      <c r="D283" s="593"/>
      <c r="E283" s="593"/>
      <c r="F283" s="593"/>
      <c r="G283" s="593"/>
      <c r="H283" s="593"/>
      <c r="I283" s="593"/>
      <c r="J283" s="593"/>
      <c r="K283" s="593"/>
      <c r="L283" s="594"/>
    </row>
    <row r="284" spans="1:14" ht="12">
      <c r="A284" s="405" t="s">
        <v>21</v>
      </c>
      <c r="B284" s="583" t="s">
        <v>8</v>
      </c>
      <c r="C284" s="584"/>
      <c r="D284" s="584"/>
      <c r="E284" s="584"/>
      <c r="F284" s="584"/>
      <c r="G284" s="584"/>
      <c r="H284" s="584"/>
      <c r="I284" s="584"/>
      <c r="J284" s="584"/>
      <c r="K284" s="584"/>
      <c r="L284" s="585"/>
      <c r="M284" s="558" t="s">
        <v>375</v>
      </c>
      <c r="N284" s="563"/>
    </row>
    <row r="285" spans="1:14" ht="12">
      <c r="A285" s="218" t="s">
        <v>632</v>
      </c>
      <c r="B285" s="564" t="s">
        <v>715</v>
      </c>
      <c r="C285" s="572" t="s">
        <v>532</v>
      </c>
      <c r="D285" s="564" t="s">
        <v>587</v>
      </c>
      <c r="E285" s="586" t="s">
        <v>533</v>
      </c>
      <c r="F285" s="588" t="s">
        <v>715</v>
      </c>
      <c r="G285" s="590" t="s">
        <v>532</v>
      </c>
      <c r="H285" s="591"/>
      <c r="I285" s="590" t="s">
        <v>587</v>
      </c>
      <c r="J285" s="591"/>
      <c r="K285" s="590" t="s">
        <v>533</v>
      </c>
      <c r="L285" s="591"/>
      <c r="M285" s="558"/>
      <c r="N285" s="563"/>
    </row>
    <row r="286" spans="1:14" ht="12">
      <c r="A286" s="291" t="s">
        <v>716</v>
      </c>
      <c r="B286" s="565"/>
      <c r="C286" s="576"/>
      <c r="D286" s="577"/>
      <c r="E286" s="587"/>
      <c r="F286" s="589"/>
      <c r="G286" s="219" t="s">
        <v>94</v>
      </c>
      <c r="H286" s="219" t="s">
        <v>93</v>
      </c>
      <c r="I286" s="219" t="s">
        <v>94</v>
      </c>
      <c r="J286" s="219" t="s">
        <v>93</v>
      </c>
      <c r="K286" s="219" t="s">
        <v>94</v>
      </c>
      <c r="L286" s="219" t="s">
        <v>93</v>
      </c>
      <c r="M286" s="558"/>
      <c r="N286" s="563"/>
    </row>
    <row r="287" spans="1:14" ht="12">
      <c r="A287" s="72" t="s">
        <v>122</v>
      </c>
      <c r="B287" s="186">
        <f>'rehabilitation costs'!$L$37*inflators!$G$12*inflators!$G$15</f>
        <v>34.792420890039246</v>
      </c>
      <c r="C287" s="200">
        <f>'AC lifetimes'!$G$7</f>
        <v>25</v>
      </c>
      <c r="D287" s="3">
        <v>0</v>
      </c>
      <c r="E287" s="261">
        <f>B287*(1/(1+inflators!$B$9)^D287)</f>
        <v>34.792420890039246</v>
      </c>
      <c r="F287" s="186">
        <f>('rehabilitation costs'!$L$37+'maintenance costs'!$L$49-'maintenance costs'!$L$54)*inflators!$G$12*inflators!$G$15</f>
        <v>35.169609752024726</v>
      </c>
      <c r="G287" s="223">
        <f>(('AC lifetimes'!$G$7)*(1+'weather data'!$F$32))</f>
        <v>45.45454545454546</v>
      </c>
      <c r="H287" s="224">
        <f>(('AC lifetimes'!$G$7)*(1+'weather data'!$C$32))</f>
        <v>40.90909090909091</v>
      </c>
      <c r="I287" s="225">
        <v>0</v>
      </c>
      <c r="J287" s="225">
        <v>0</v>
      </c>
      <c r="K287" s="227">
        <f>$F287*(1/(1+inflators!$B$9)^I287)</f>
        <v>35.169609752024726</v>
      </c>
      <c r="L287" s="227">
        <f>$F287*(1/(1+inflators!$B$9)^J287)</f>
        <v>35.169609752024726</v>
      </c>
      <c r="M287" s="558" t="s">
        <v>118</v>
      </c>
      <c r="N287" s="559"/>
    </row>
    <row r="288" spans="1:14" ht="12">
      <c r="A288" s="184" t="s">
        <v>712</v>
      </c>
      <c r="B288" s="187">
        <f>('maintenance costs'!$L$48+'maintenance costs'!$L$59)*inflators!$G$12*inflators!$G$15</f>
        <v>1.3266642731902814</v>
      </c>
      <c r="C288" s="201">
        <f>'AC lifetimes'!$I$56</f>
        <v>7</v>
      </c>
      <c r="D288" s="196">
        <f>C287+D287</f>
        <v>25</v>
      </c>
      <c r="E288" s="262">
        <f>B288*(1/(1+inflators!$B$9)^D288)</f>
        <v>0.49765405982371735</v>
      </c>
      <c r="F288" s="187">
        <f>('maintenance costs'!$L$48+'maintenance costs'!$L$59)*inflators!$G$12*inflators!$G$15</f>
        <v>1.3266642731902814</v>
      </c>
      <c r="G288" s="222"/>
      <c r="H288" s="220"/>
      <c r="I288" s="220"/>
      <c r="J288" s="220"/>
      <c r="K288" s="210"/>
      <c r="L288" s="210"/>
      <c r="M288" s="560"/>
      <c r="N288" s="559"/>
    </row>
    <row r="289" spans="1:14" ht="12">
      <c r="A289" s="184" t="s">
        <v>712</v>
      </c>
      <c r="B289" s="187">
        <f>('maintenance costs'!$L$48+'maintenance costs'!$L$59)*inflators!$G$12*inflators!$G$15</f>
        <v>1.3266642731902814</v>
      </c>
      <c r="C289" s="201"/>
      <c r="D289" s="196">
        <f>C288+D288</f>
        <v>32</v>
      </c>
      <c r="E289" s="262"/>
      <c r="F289" s="187">
        <f>('maintenance costs'!$L$48+'maintenance costs'!$L$59)*inflators!$G$12*inflators!$G$15</f>
        <v>1.3266642731902814</v>
      </c>
      <c r="G289" s="222"/>
      <c r="H289" s="220"/>
      <c r="I289" s="220"/>
      <c r="J289" s="220"/>
      <c r="K289" s="210"/>
      <c r="L289" s="210"/>
      <c r="M289" s="561"/>
      <c r="N289" s="562"/>
    </row>
    <row r="290" spans="1:14" ht="12">
      <c r="A290" s="130" t="s">
        <v>7</v>
      </c>
      <c r="B290" s="210">
        <f>('maintenance costs'!$L$52+'maintenance costs'!$L$59)*inflators!$G$12*inflators!$G$15</f>
        <v>2.081041997161226</v>
      </c>
      <c r="C290" s="201"/>
      <c r="D290" s="196">
        <f>C289+D289</f>
        <v>32</v>
      </c>
      <c r="E290" s="262"/>
      <c r="F290" s="210">
        <f>('maintenance costs'!$L$52+'maintenance costs'!$L$59)*inflators!$G$12*inflators!$G$15</f>
        <v>2.081041997161226</v>
      </c>
      <c r="G290" s="222"/>
      <c r="H290" s="220"/>
      <c r="I290" s="220"/>
      <c r="J290" s="220"/>
      <c r="K290" s="210"/>
      <c r="L290" s="210"/>
      <c r="M290" s="558" t="s">
        <v>117</v>
      </c>
      <c r="N290" s="559"/>
    </row>
    <row r="291" spans="1:14" ht="12">
      <c r="A291" s="73" t="s">
        <v>593</v>
      </c>
      <c r="B291" s="191">
        <f>('rehabilitation costs'!$L$50+'rehabilitation costs'!$L$52)*inflators!$G$12*inflators!$G$15</f>
        <v>5.189598480420807</v>
      </c>
      <c r="C291" s="202">
        <f>'AC lifetimes'!$I$28</f>
        <v>15</v>
      </c>
      <c r="D291" s="205">
        <f>C288+D288</f>
        <v>32</v>
      </c>
      <c r="E291" s="263">
        <f>B291*(1/(1+inflators!$B$9)^D291)</f>
        <v>1.4793362525889693</v>
      </c>
      <c r="F291" s="191">
        <f>('rehabilitation costs'!$L$50+'rehabilitation costs'!$L$52)*inflators!$G$12*inflators!$G$15</f>
        <v>5.189598480420807</v>
      </c>
      <c r="G291" s="264"/>
      <c r="H291" s="221"/>
      <c r="I291" s="265"/>
      <c r="J291" s="265"/>
      <c r="K291" s="191"/>
      <c r="L291" s="191"/>
      <c r="M291" s="560"/>
      <c r="N291" s="559"/>
    </row>
    <row r="292" spans="2:14" ht="12">
      <c r="B292" s="124"/>
      <c r="C292" s="201">
        <f>SUM(C287:C291)</f>
        <v>47</v>
      </c>
      <c r="D292" s="193" t="s">
        <v>455</v>
      </c>
      <c r="E292" s="260">
        <f>E287</f>
        <v>34.792420890039246</v>
      </c>
      <c r="G292" s="222">
        <f>SUM(G287:G291)</f>
        <v>45.45454545454546</v>
      </c>
      <c r="H292" s="222">
        <f>SUM(H287:H291)</f>
        <v>40.90909090909091</v>
      </c>
      <c r="J292" s="193" t="s">
        <v>455</v>
      </c>
      <c r="K292" s="187">
        <f>K287</f>
        <v>35.169609752024726</v>
      </c>
      <c r="L292" s="187">
        <f>L287</f>
        <v>35.169609752024726</v>
      </c>
      <c r="M292" s="561"/>
      <c r="N292" s="562"/>
    </row>
    <row r="293" spans="2:12" ht="12">
      <c r="B293" s="124"/>
      <c r="C293" s="124"/>
      <c r="D293" s="146" t="s">
        <v>710</v>
      </c>
      <c r="E293" s="260">
        <f>SUM(E288:E291)</f>
        <v>1.9769903124126866</v>
      </c>
      <c r="J293" s="146" t="s">
        <v>710</v>
      </c>
      <c r="K293" s="187">
        <f>SUM(K288:K291)</f>
        <v>0</v>
      </c>
      <c r="L293" s="187">
        <f>SUM(L288:L291)</f>
        <v>0</v>
      </c>
    </row>
    <row r="294" spans="2:12" ht="12">
      <c r="B294" s="124"/>
      <c r="C294" s="124"/>
      <c r="D294" s="193" t="s">
        <v>588</v>
      </c>
      <c r="E294" s="260">
        <f>E291/15*12</f>
        <v>1.1834690020711753</v>
      </c>
      <c r="J294" s="193" t="s">
        <v>588</v>
      </c>
      <c r="K294" s="187">
        <f>K287/45*10</f>
        <v>7.815468833783273</v>
      </c>
      <c r="L294" s="187">
        <f>L287/41*6</f>
        <v>5.146772158832887</v>
      </c>
    </row>
    <row r="295" spans="2:12" s="13" customFormat="1" ht="12">
      <c r="B295" s="189"/>
      <c r="C295" s="189"/>
      <c r="D295" s="274" t="s">
        <v>711</v>
      </c>
      <c r="E295" s="275">
        <f>E292+E293-E294</f>
        <v>35.58594220038076</v>
      </c>
      <c r="J295" s="274" t="s">
        <v>711</v>
      </c>
      <c r="K295" s="211">
        <f>K292+K293-K294</f>
        <v>27.354140918241455</v>
      </c>
      <c r="L295" s="211">
        <f>L292+L293-L294</f>
        <v>30.022837593191838</v>
      </c>
    </row>
    <row r="296" ht="12"/>
    <row r="297" spans="2:12" ht="12">
      <c r="B297" s="580" t="s">
        <v>268</v>
      </c>
      <c r="C297" s="581"/>
      <c r="D297" s="581"/>
      <c r="E297" s="581"/>
      <c r="F297" s="581"/>
      <c r="G297" s="581"/>
      <c r="H297" s="581"/>
      <c r="I297" s="581"/>
      <c r="J297" s="581"/>
      <c r="K297" s="581"/>
      <c r="L297" s="582"/>
    </row>
    <row r="298" spans="1:14" ht="12">
      <c r="A298" s="256"/>
      <c r="B298" s="583" t="s">
        <v>8</v>
      </c>
      <c r="C298" s="584"/>
      <c r="D298" s="584"/>
      <c r="E298" s="584"/>
      <c r="F298" s="584"/>
      <c r="G298" s="584"/>
      <c r="H298" s="584"/>
      <c r="I298" s="584"/>
      <c r="J298" s="584"/>
      <c r="K298" s="584"/>
      <c r="L298" s="585"/>
      <c r="M298" s="558" t="s">
        <v>375</v>
      </c>
      <c r="N298" s="563"/>
    </row>
    <row r="299" spans="1:14" ht="12">
      <c r="A299" s="218" t="s">
        <v>633</v>
      </c>
      <c r="B299" s="564" t="s">
        <v>715</v>
      </c>
      <c r="C299" s="572" t="s">
        <v>532</v>
      </c>
      <c r="D299" s="564" t="s">
        <v>587</v>
      </c>
      <c r="E299" s="586" t="s">
        <v>533</v>
      </c>
      <c r="F299" s="588" t="s">
        <v>715</v>
      </c>
      <c r="G299" s="590" t="s">
        <v>532</v>
      </c>
      <c r="H299" s="591"/>
      <c r="I299" s="590" t="s">
        <v>587</v>
      </c>
      <c r="J299" s="591"/>
      <c r="K299" s="590" t="s">
        <v>533</v>
      </c>
      <c r="L299" s="591"/>
      <c r="M299" s="558"/>
      <c r="N299" s="563"/>
    </row>
    <row r="300" spans="1:14" ht="12">
      <c r="A300" s="291" t="s">
        <v>716</v>
      </c>
      <c r="B300" s="565"/>
      <c r="C300" s="576"/>
      <c r="D300" s="577"/>
      <c r="E300" s="587"/>
      <c r="F300" s="589"/>
      <c r="G300" s="219" t="s">
        <v>94</v>
      </c>
      <c r="H300" s="219" t="s">
        <v>93</v>
      </c>
      <c r="I300" s="219" t="s">
        <v>94</v>
      </c>
      <c r="J300" s="219" t="s">
        <v>93</v>
      </c>
      <c r="K300" s="219" t="s">
        <v>94</v>
      </c>
      <c r="L300" s="219" t="s">
        <v>93</v>
      </c>
      <c r="M300" s="558"/>
      <c r="N300" s="563"/>
    </row>
    <row r="301" spans="1:14" ht="12">
      <c r="A301" s="72" t="s">
        <v>618</v>
      </c>
      <c r="B301" s="186">
        <f>'rehabilitation costs'!$L$40*inflators!$G$12*inflators!$G$15</f>
        <v>11.380698421975454</v>
      </c>
      <c r="C301" s="200">
        <f>'AC lifetimes'!$G$14</f>
        <v>18</v>
      </c>
      <c r="D301" s="3">
        <v>0</v>
      </c>
      <c r="E301" s="261">
        <f>B301*(1/(1+inflators!$B$9)^D301)</f>
        <v>11.380698421975454</v>
      </c>
      <c r="F301" s="186">
        <f>('rehabilitation costs'!$L$40+'maintenance costs'!$L$49-'maintenance costs'!$L$54)*inflators!$G$12*inflators!$G$15</f>
        <v>11.757887283960926</v>
      </c>
      <c r="G301" s="223">
        <f>(('AC lifetimes'!$G$14)*(1+'weather data'!$F$32))</f>
        <v>32.727272727272734</v>
      </c>
      <c r="H301" s="224">
        <f>(('AC lifetimes'!$G$14)*(1+'weather data'!$C$32))</f>
        <v>29.454545454545453</v>
      </c>
      <c r="I301" s="225">
        <v>0</v>
      </c>
      <c r="J301" s="225">
        <v>0</v>
      </c>
      <c r="K301" s="227">
        <f>$F301*(1/(1+inflators!$B$9)^I301)</f>
        <v>11.757887283960926</v>
      </c>
      <c r="L301" s="227">
        <f>$F301*(1/(1+inflators!$B$9)^J301)</f>
        <v>11.757887283960926</v>
      </c>
      <c r="M301" s="558" t="s">
        <v>118</v>
      </c>
      <c r="N301" s="559"/>
    </row>
    <row r="302" spans="1:14" ht="12">
      <c r="A302" s="184" t="s">
        <v>712</v>
      </c>
      <c r="B302" s="187">
        <f>('maintenance costs'!$L$48+'maintenance costs'!$L$59)*inflators!$G$12*inflators!$G$15</f>
        <v>1.3266642731902814</v>
      </c>
      <c r="C302" s="201">
        <f>'AC lifetimes'!$I$56</f>
        <v>7</v>
      </c>
      <c r="D302" s="196">
        <f>C301+D301</f>
        <v>18</v>
      </c>
      <c r="E302" s="262">
        <f>B302*(1/(1+inflators!$B$9)^D302)</f>
        <v>0.6548787923877637</v>
      </c>
      <c r="F302" s="187">
        <f>('maintenance costs'!$L$48+'maintenance costs'!$L$59)*inflators!$G$12*inflators!$G$15</f>
        <v>1.3266642731902814</v>
      </c>
      <c r="G302" s="222">
        <f>'AC lifetimes'!$I$56</f>
        <v>7</v>
      </c>
      <c r="H302" s="220">
        <f>'AC lifetimes'!$I$56</f>
        <v>7</v>
      </c>
      <c r="I302" s="220">
        <f>G301+$I301</f>
        <v>32.727272727272734</v>
      </c>
      <c r="J302" s="220">
        <f>H301+$I301</f>
        <v>29.454545454545453</v>
      </c>
      <c r="K302" s="210">
        <f>$F302*(1/(1+inflators!$B$9)^I302)</f>
        <v>0.3675414235910169</v>
      </c>
      <c r="L302" s="210">
        <f>$F302*(1/(1+inflators!$B$9)^J302)</f>
        <v>0.4178801743305866</v>
      </c>
      <c r="M302" s="560"/>
      <c r="N302" s="559"/>
    </row>
    <row r="303" spans="1:14" ht="12">
      <c r="A303" s="184" t="s">
        <v>712</v>
      </c>
      <c r="B303" s="187">
        <f>('maintenance costs'!$L$48+'maintenance costs'!$L$59)*inflators!$G$12*inflators!$G$15</f>
        <v>1.3266642731902814</v>
      </c>
      <c r="C303" s="201"/>
      <c r="D303" s="196">
        <f>C302+D302</f>
        <v>25</v>
      </c>
      <c r="E303" s="262"/>
      <c r="F303" s="187">
        <f>('maintenance costs'!$L$48+'maintenance costs'!$L$59)*inflators!$G$12*inflators!$G$15</f>
        <v>1.3266642731902814</v>
      </c>
      <c r="G303" s="222"/>
      <c r="H303" s="220"/>
      <c r="I303" s="230"/>
      <c r="J303" s="220"/>
      <c r="K303" s="210"/>
      <c r="L303" s="210"/>
      <c r="M303" s="561"/>
      <c r="N303" s="562"/>
    </row>
    <row r="304" spans="1:14" ht="12">
      <c r="A304" s="130" t="s">
        <v>7</v>
      </c>
      <c r="B304" s="210">
        <f>('maintenance costs'!$L$52+'maintenance costs'!$L$59)*inflators!$G$12*inflators!$G$15</f>
        <v>2.081041997161226</v>
      </c>
      <c r="C304" s="201"/>
      <c r="D304" s="196">
        <f>C303+D303</f>
        <v>25</v>
      </c>
      <c r="E304" s="262"/>
      <c r="F304" s="210">
        <f>('maintenance costs'!$L$52+'maintenance costs'!$L$59)*inflators!$G$12*inflators!$G$15</f>
        <v>2.081041997161226</v>
      </c>
      <c r="G304" s="222"/>
      <c r="H304" s="220"/>
      <c r="I304" s="230"/>
      <c r="J304" s="220"/>
      <c r="K304" s="210"/>
      <c r="L304" s="210"/>
      <c r="M304" s="558" t="s">
        <v>117</v>
      </c>
      <c r="N304" s="559"/>
    </row>
    <row r="305" spans="1:14" ht="12">
      <c r="A305" s="73" t="s">
        <v>593</v>
      </c>
      <c r="B305" s="191">
        <f>('rehabilitation costs'!$L$50+'rehabilitation costs'!$L$52)*inflators!$G$12*inflators!$G$15</f>
        <v>5.189598480420807</v>
      </c>
      <c r="C305" s="202">
        <f>'AC lifetimes'!$I$28</f>
        <v>15</v>
      </c>
      <c r="D305" s="205">
        <f>C302+D302</f>
        <v>25</v>
      </c>
      <c r="E305" s="263">
        <f>B305*(1/(1+inflators!$B$9)^D305)</f>
        <v>1.9467055869574827</v>
      </c>
      <c r="F305" s="191">
        <f>('rehabilitation costs'!$L$50+'rehabilitation costs'!$L$52)*inflators!$G$12*inflators!$G$15</f>
        <v>5.189598480420807</v>
      </c>
      <c r="G305" s="264"/>
      <c r="H305" s="265"/>
      <c r="I305" s="265"/>
      <c r="J305" s="265"/>
      <c r="K305" s="191"/>
      <c r="L305" s="266"/>
      <c r="M305" s="560"/>
      <c r="N305" s="559"/>
    </row>
    <row r="306" spans="2:14" ht="12">
      <c r="B306" s="124"/>
      <c r="C306" s="201">
        <f>SUM(C301:C305)</f>
        <v>40</v>
      </c>
      <c r="D306" s="193" t="s">
        <v>455</v>
      </c>
      <c r="E306" s="260">
        <f>E301</f>
        <v>11.380698421975454</v>
      </c>
      <c r="F306" s="124"/>
      <c r="G306" s="222">
        <f>SUM(G301:G305)</f>
        <v>39.727272727272734</v>
      </c>
      <c r="H306" s="222">
        <f>SUM(H301:H305)</f>
        <v>36.45454545454545</v>
      </c>
      <c r="J306" s="193" t="s">
        <v>455</v>
      </c>
      <c r="K306" s="187">
        <f>K301</f>
        <v>11.757887283960926</v>
      </c>
      <c r="L306" s="187">
        <f>L301</f>
        <v>11.757887283960926</v>
      </c>
      <c r="M306" s="561"/>
      <c r="N306" s="562"/>
    </row>
    <row r="307" spans="2:12" ht="12">
      <c r="B307" s="124"/>
      <c r="C307" s="124"/>
      <c r="D307" s="146" t="s">
        <v>710</v>
      </c>
      <c r="E307" s="260">
        <f>SUM(E302:E305)</f>
        <v>2.6015843793452467</v>
      </c>
      <c r="J307" s="146" t="s">
        <v>710</v>
      </c>
      <c r="K307" s="187">
        <f>SUM(K302:K305)</f>
        <v>0.3675414235910169</v>
      </c>
      <c r="L307" s="187">
        <f>SUM(L302:L305)</f>
        <v>0.4178801743305866</v>
      </c>
    </row>
    <row r="308" spans="2:12" ht="12">
      <c r="B308" s="124"/>
      <c r="C308" s="124"/>
      <c r="D308" s="193" t="s">
        <v>588</v>
      </c>
      <c r="E308" s="260">
        <f>E305/15*5</f>
        <v>0.6489018623191609</v>
      </c>
      <c r="J308" s="193" t="s">
        <v>588</v>
      </c>
      <c r="K308" s="187">
        <f>K302/7*5</f>
        <v>0.2625295882792978</v>
      </c>
      <c r="L308" s="187">
        <f>L302/7*1</f>
        <v>0.05969716776151237</v>
      </c>
    </row>
    <row r="309" spans="2:12" s="13" customFormat="1" ht="12">
      <c r="B309" s="189"/>
      <c r="C309" s="189"/>
      <c r="D309" s="274" t="s">
        <v>711</v>
      </c>
      <c r="E309" s="275">
        <f>E306+E307-E308</f>
        <v>13.33338093900154</v>
      </c>
      <c r="J309" s="274" t="s">
        <v>711</v>
      </c>
      <c r="K309" s="211">
        <f>K306+K307-K308</f>
        <v>11.862899119272646</v>
      </c>
      <c r="L309" s="211">
        <f>L306+L307-L308</f>
        <v>12.116070290529999</v>
      </c>
    </row>
    <row r="310" ht="12"/>
    <row r="311" s="484" customFormat="1" ht="12">
      <c r="A311" s="482" t="s">
        <v>366</v>
      </c>
    </row>
    <row r="312" s="383" customFormat="1" ht="12">
      <c r="A312" s="1" t="s">
        <v>27</v>
      </c>
    </row>
    <row r="313" spans="1:8" ht="12.75" customHeight="1">
      <c r="A313" s="256" t="s">
        <v>108</v>
      </c>
      <c r="B313" s="10"/>
      <c r="C313" s="10"/>
      <c r="D313" s="10"/>
      <c r="E313" s="10"/>
      <c r="G313" s="600" t="s">
        <v>108</v>
      </c>
      <c r="H313" s="600"/>
    </row>
    <row r="314" spans="1:12" ht="12">
      <c r="A314" s="218" t="s">
        <v>633</v>
      </c>
      <c r="B314" s="566" t="s">
        <v>8</v>
      </c>
      <c r="C314" s="567"/>
      <c r="D314" s="567"/>
      <c r="E314" s="568"/>
      <c r="G314" s="593" t="s">
        <v>632</v>
      </c>
      <c r="H314" s="594"/>
      <c r="I314" s="566" t="s">
        <v>8</v>
      </c>
      <c r="J314" s="567"/>
      <c r="K314" s="567"/>
      <c r="L314" s="568"/>
    </row>
    <row r="315" spans="1:12" ht="12">
      <c r="A315" s="218" t="s">
        <v>389</v>
      </c>
      <c r="B315" s="564" t="s">
        <v>715</v>
      </c>
      <c r="C315" s="572" t="s">
        <v>532</v>
      </c>
      <c r="D315" s="564" t="s">
        <v>587</v>
      </c>
      <c r="E315" s="564" t="s">
        <v>533</v>
      </c>
      <c r="G315" s="601" t="s">
        <v>389</v>
      </c>
      <c r="H315" s="602"/>
      <c r="I315" s="564" t="s">
        <v>715</v>
      </c>
      <c r="J315" s="564" t="s">
        <v>532</v>
      </c>
      <c r="K315" s="564" t="s">
        <v>587</v>
      </c>
      <c r="L315" s="564" t="s">
        <v>533</v>
      </c>
    </row>
    <row r="316" spans="1:12" ht="12">
      <c r="A316" s="291" t="s">
        <v>716</v>
      </c>
      <c r="B316" s="565"/>
      <c r="C316" s="576"/>
      <c r="D316" s="577"/>
      <c r="E316" s="578"/>
      <c r="G316" s="603" t="s">
        <v>716</v>
      </c>
      <c r="H316" s="604"/>
      <c r="I316" s="565"/>
      <c r="J316" s="577"/>
      <c r="K316" s="577"/>
      <c r="L316" s="577"/>
    </row>
    <row r="317" spans="1:12" ht="12">
      <c r="A317" s="129" t="s">
        <v>618</v>
      </c>
      <c r="B317" s="186">
        <f>'rehabilitation costs'!$L$38*inflators!$G$12*inflators!$G$15</f>
        <v>18.209117475160724</v>
      </c>
      <c r="C317" s="204">
        <f>'AC lifetimes'!$G$10</f>
        <v>18</v>
      </c>
      <c r="D317" s="3">
        <v>0</v>
      </c>
      <c r="E317" s="194">
        <f>B317*(1/(1+inflators!$B$9)^D317)</f>
        <v>18.209117475160724</v>
      </c>
      <c r="G317" s="72" t="s">
        <v>122</v>
      </c>
      <c r="H317" s="321"/>
      <c r="I317" s="122">
        <f>'rehabilitation costs'!$L$35*inflators!$G$12*inflators!$G$15</f>
        <v>49.593832094848466</v>
      </c>
      <c r="J317" s="200">
        <f>'AC lifetimes'!$G$3</f>
        <v>24</v>
      </c>
      <c r="K317" s="6">
        <v>0</v>
      </c>
      <c r="L317" s="194">
        <f>I317*(1/(1+inflators!$B$9)^K317)</f>
        <v>49.593832094848466</v>
      </c>
    </row>
    <row r="318" spans="1:12" ht="12">
      <c r="A318" s="130" t="s">
        <v>712</v>
      </c>
      <c r="B318" s="187">
        <f>('maintenance costs'!$L$48+'maintenance costs'!$L$59)*inflators!$G$12*inflators!$G$15</f>
        <v>1.3266642731902814</v>
      </c>
      <c r="C318" s="196">
        <f>'AC lifetimes'!$I$52</f>
        <v>5</v>
      </c>
      <c r="D318" s="196">
        <f>C317+D317</f>
        <v>18</v>
      </c>
      <c r="E318" s="210">
        <f>B318*(1/(1+inflators!$B$9)^D318)</f>
        <v>0.6548787923877637</v>
      </c>
      <c r="G318" s="184" t="s">
        <v>712</v>
      </c>
      <c r="H318" s="185"/>
      <c r="I318" s="125">
        <f>('maintenance costs'!$L$48+'maintenance costs'!$L$59)*inflators!$G$12*inflators!$G$15</f>
        <v>1.3266642731902814</v>
      </c>
      <c r="J318" s="201"/>
      <c r="K318" s="198"/>
      <c r="L318" s="210"/>
    </row>
    <row r="319" spans="1:12" ht="12">
      <c r="A319" s="130" t="s">
        <v>593</v>
      </c>
      <c r="B319" s="210">
        <f>('rehabilitation costs'!$L$50+'rehabilitation costs'!$L$52)*inflators!$G$12*inflators!$G$15</f>
        <v>5.189598480420807</v>
      </c>
      <c r="C319" s="196"/>
      <c r="D319" s="196"/>
      <c r="E319" s="210"/>
      <c r="G319" s="184" t="s">
        <v>593</v>
      </c>
      <c r="H319" s="185"/>
      <c r="I319" s="128">
        <f>('rehabilitation costs'!$L$50+'rehabilitation costs'!$L$52)*inflators!$G$12*inflators!$G$15</f>
        <v>5.189598480420807</v>
      </c>
      <c r="J319" s="201"/>
      <c r="K319" s="198"/>
      <c r="L319" s="210"/>
    </row>
    <row r="320" spans="1:12" ht="12">
      <c r="A320" s="130" t="s">
        <v>713</v>
      </c>
      <c r="B320" s="187">
        <f>('maintenance costs'!$L$48+'maintenance costs'!$L$59)*inflators!$G$12*inflators!$G$15</f>
        <v>1.3266642731902814</v>
      </c>
      <c r="C320" s="196"/>
      <c r="D320" s="196"/>
      <c r="E320" s="210"/>
      <c r="G320" s="184" t="s">
        <v>713</v>
      </c>
      <c r="H320" s="185"/>
      <c r="I320" s="125">
        <f>('maintenance costs'!$L$48+'maintenance costs'!$L$59)*inflators!$G$12*inflators!$G$15</f>
        <v>1.3266642731902814</v>
      </c>
      <c r="J320" s="201"/>
      <c r="K320" s="198"/>
      <c r="L320" s="210"/>
    </row>
    <row r="321" spans="1:12" ht="12">
      <c r="A321" s="131" t="s">
        <v>594</v>
      </c>
      <c r="B321" s="188">
        <f>('rehabilitation costs'!$L$42+'rehabilitation costs'!$L$50+'rehabilitation costs'!$L$52)*inflators!$G$12*inflators!$G$15</f>
        <v>6.529269266093347</v>
      </c>
      <c r="C321" s="205"/>
      <c r="D321" s="205"/>
      <c r="E321" s="191"/>
      <c r="G321" s="73"/>
      <c r="H321" s="132"/>
      <c r="I321" s="209"/>
      <c r="J321" s="131"/>
      <c r="K321" s="131"/>
      <c r="L321" s="131"/>
    </row>
    <row r="322" spans="3:12" ht="12">
      <c r="C322" s="201">
        <f>SUM(C317:C321)</f>
        <v>23</v>
      </c>
      <c r="D322" s="193" t="s">
        <v>455</v>
      </c>
      <c r="E322" s="186">
        <f>E317</f>
        <v>18.209117475160724</v>
      </c>
      <c r="I322" s="124"/>
      <c r="J322" s="201">
        <f>SUM(J317:J320)</f>
        <v>24</v>
      </c>
      <c r="K322" s="193" t="s">
        <v>455</v>
      </c>
      <c r="L322" s="187">
        <f>L317</f>
        <v>49.593832094848466</v>
      </c>
    </row>
    <row r="323" spans="4:12" ht="12">
      <c r="D323" s="146" t="s">
        <v>710</v>
      </c>
      <c r="E323" s="187">
        <f>SUM(E318:E321)</f>
        <v>0.6548787923877637</v>
      </c>
      <c r="I323" s="124"/>
      <c r="J323" s="124"/>
      <c r="K323" s="146" t="s">
        <v>710</v>
      </c>
      <c r="L323" s="187">
        <f>SUM(L318:L320)</f>
        <v>0</v>
      </c>
    </row>
    <row r="324" spans="4:12" ht="12">
      <c r="D324" s="193" t="s">
        <v>588</v>
      </c>
      <c r="E324" s="187">
        <f>E318/5*3</f>
        <v>0.39292727543265826</v>
      </c>
      <c r="G324" s="13"/>
      <c r="I324" s="189"/>
      <c r="J324" s="124"/>
      <c r="K324" s="193" t="s">
        <v>588</v>
      </c>
      <c r="L324" s="187">
        <f>L317/27*4</f>
        <v>7.347234384421995</v>
      </c>
    </row>
    <row r="325" spans="1:12" ht="12">
      <c r="A325" s="13"/>
      <c r="B325" s="13"/>
      <c r="C325" s="13"/>
      <c r="D325" s="274" t="s">
        <v>711</v>
      </c>
      <c r="E325" s="211">
        <f>E322+E323-E324</f>
        <v>18.47106899211583</v>
      </c>
      <c r="J325" s="189"/>
      <c r="K325" s="274" t="s">
        <v>711</v>
      </c>
      <c r="L325" s="211">
        <f>L322+L323-L324</f>
        <v>42.24659771042647</v>
      </c>
    </row>
    <row r="326" spans="1:5" ht="12">
      <c r="A326" s="13"/>
      <c r="B326" s="13"/>
      <c r="C326" s="13"/>
      <c r="D326" s="274"/>
      <c r="E326" s="189"/>
    </row>
    <row r="327" spans="1:8" ht="12">
      <c r="A327" s="256" t="s">
        <v>170</v>
      </c>
      <c r="G327" s="600" t="s">
        <v>170</v>
      </c>
      <c r="H327" s="600"/>
    </row>
    <row r="328" spans="1:12" ht="12">
      <c r="A328" s="218" t="s">
        <v>633</v>
      </c>
      <c r="B328" s="566" t="s">
        <v>8</v>
      </c>
      <c r="C328" s="567"/>
      <c r="D328" s="567"/>
      <c r="E328" s="568"/>
      <c r="G328" s="593" t="s">
        <v>632</v>
      </c>
      <c r="H328" s="594"/>
      <c r="I328" s="566" t="s">
        <v>8</v>
      </c>
      <c r="J328" s="567"/>
      <c r="K328" s="567"/>
      <c r="L328" s="568"/>
    </row>
    <row r="329" spans="1:12" ht="12">
      <c r="A329" s="218" t="s">
        <v>389</v>
      </c>
      <c r="B329" s="564" t="s">
        <v>715</v>
      </c>
      <c r="C329" s="572" t="s">
        <v>532</v>
      </c>
      <c r="D329" s="564" t="s">
        <v>587</v>
      </c>
      <c r="E329" s="564" t="s">
        <v>533</v>
      </c>
      <c r="G329" s="601" t="s">
        <v>389</v>
      </c>
      <c r="H329" s="602"/>
      <c r="I329" s="564" t="s">
        <v>715</v>
      </c>
      <c r="J329" s="564" t="s">
        <v>532</v>
      </c>
      <c r="K329" s="564" t="s">
        <v>587</v>
      </c>
      <c r="L329" s="564" t="s">
        <v>533</v>
      </c>
    </row>
    <row r="330" spans="1:12" ht="12">
      <c r="A330" s="291" t="s">
        <v>716</v>
      </c>
      <c r="B330" s="565"/>
      <c r="C330" s="576"/>
      <c r="D330" s="577"/>
      <c r="E330" s="578"/>
      <c r="G330" s="603" t="s">
        <v>716</v>
      </c>
      <c r="H330" s="604"/>
      <c r="I330" s="565"/>
      <c r="J330" s="577"/>
      <c r="K330" s="577"/>
      <c r="L330" s="577"/>
    </row>
    <row r="331" spans="1:12" ht="12">
      <c r="A331" s="129" t="s">
        <v>618</v>
      </c>
      <c r="B331" s="186">
        <f>'rehabilitation costs'!$L$39*inflators!$G$12*inflators!$G$15</f>
        <v>14.801411204809222</v>
      </c>
      <c r="C331" s="204">
        <f>'AC lifetimes'!$G$12</f>
        <v>18</v>
      </c>
      <c r="D331" s="12">
        <v>0</v>
      </c>
      <c r="E331" s="194">
        <f>B331*(1/(1+inflators!$B$9)^D331)</f>
        <v>14.801411204809222</v>
      </c>
      <c r="G331" s="72" t="s">
        <v>122</v>
      </c>
      <c r="H331" s="321"/>
      <c r="I331" s="122">
        <f>'rehabilitation costs'!$L$36*inflators!$G$12*inflators!$G$15</f>
        <v>42.19312649244385</v>
      </c>
      <c r="J331" s="200">
        <f>'AC lifetimes'!$G$5</f>
        <v>24</v>
      </c>
      <c r="K331" s="6">
        <v>0</v>
      </c>
      <c r="L331" s="194">
        <f>I331*(1/(1+inflators!$B$9)^K331)</f>
        <v>42.19312649244385</v>
      </c>
    </row>
    <row r="332" spans="1:12" ht="12">
      <c r="A332" s="130" t="s">
        <v>712</v>
      </c>
      <c r="B332" s="187">
        <f>('maintenance costs'!$L$48+'maintenance costs'!$L$59)*inflators!$G$12*inflators!$G$15</f>
        <v>1.3266642731902814</v>
      </c>
      <c r="C332" s="196">
        <f>'AC lifetimes'!$I$54</f>
        <v>7</v>
      </c>
      <c r="D332" s="201">
        <f>C331+D331</f>
        <v>18</v>
      </c>
      <c r="E332" s="210">
        <f>B332*(1/(1+inflators!$B$9)^D332)</f>
        <v>0.6548787923877637</v>
      </c>
      <c r="G332" s="184" t="s">
        <v>712</v>
      </c>
      <c r="H332" s="185"/>
      <c r="I332" s="125">
        <f>('maintenance costs'!$L$48+'maintenance costs'!$L$59)*inflators!$G$12*inflators!$G$15</f>
        <v>1.3266642731902814</v>
      </c>
      <c r="J332" s="201"/>
      <c r="K332" s="198"/>
      <c r="L332" s="210"/>
    </row>
    <row r="333" spans="1:12" ht="12">
      <c r="A333" s="130" t="s">
        <v>593</v>
      </c>
      <c r="B333" s="210">
        <f>('rehabilitation costs'!$L$50+'rehabilitation costs'!$L$52)*inflators!$G$12*inflators!$G$15</f>
        <v>5.189598480420807</v>
      </c>
      <c r="C333" s="196"/>
      <c r="D333" s="201"/>
      <c r="E333" s="210"/>
      <c r="G333" s="184" t="s">
        <v>593</v>
      </c>
      <c r="H333" s="185"/>
      <c r="I333" s="128">
        <f>('rehabilitation costs'!$L$50+'rehabilitation costs'!$L$52)*inflators!$G$12*inflators!$G$15</f>
        <v>5.189598480420807</v>
      </c>
      <c r="J333" s="201"/>
      <c r="K333" s="198"/>
      <c r="L333" s="210"/>
    </row>
    <row r="334" spans="1:12" ht="12">
      <c r="A334" s="130" t="s">
        <v>713</v>
      </c>
      <c r="B334" s="187">
        <f>('maintenance costs'!$L$48+'maintenance costs'!$L$59)*inflators!$G$12*inflators!$G$15</f>
        <v>1.3266642731902814</v>
      </c>
      <c r="C334" s="196"/>
      <c r="D334" s="201"/>
      <c r="E334" s="210"/>
      <c r="G334" s="184" t="s">
        <v>713</v>
      </c>
      <c r="H334" s="185"/>
      <c r="I334" s="125">
        <f>('maintenance costs'!$L$48+'maintenance costs'!$L$59)*inflators!$G$12*inflators!$G$15</f>
        <v>1.3266642731902814</v>
      </c>
      <c r="J334" s="201"/>
      <c r="K334" s="198"/>
      <c r="L334" s="210"/>
    </row>
    <row r="335" spans="1:12" ht="12">
      <c r="A335" s="131" t="s">
        <v>594</v>
      </c>
      <c r="B335" s="188">
        <f>('rehabilitation costs'!$L$42+'rehabilitation costs'!$L$50+'rehabilitation costs'!$L$52)*inflators!$G$12*inflators!$G$15</f>
        <v>6.529269266093347</v>
      </c>
      <c r="C335" s="205"/>
      <c r="D335" s="202"/>
      <c r="E335" s="191"/>
      <c r="G335" s="73"/>
      <c r="H335" s="132"/>
      <c r="I335" s="209"/>
      <c r="J335" s="131"/>
      <c r="K335" s="131"/>
      <c r="L335" s="131"/>
    </row>
    <row r="336" spans="2:12" ht="12">
      <c r="B336" s="124"/>
      <c r="C336" s="201">
        <f>SUM(C331:C335)</f>
        <v>25</v>
      </c>
      <c r="D336" s="193" t="s">
        <v>455</v>
      </c>
      <c r="E336" s="187">
        <f>E331</f>
        <v>14.801411204809222</v>
      </c>
      <c r="I336" s="124"/>
      <c r="J336" s="201">
        <f>SUM(J331:J334)</f>
        <v>24</v>
      </c>
      <c r="K336" s="193" t="s">
        <v>455</v>
      </c>
      <c r="L336" s="187">
        <f>L331</f>
        <v>42.19312649244385</v>
      </c>
    </row>
    <row r="337" spans="2:12" ht="12">
      <c r="B337" s="124"/>
      <c r="C337" s="124"/>
      <c r="D337" s="146" t="s">
        <v>710</v>
      </c>
      <c r="E337" s="187">
        <f>SUM(E332:E335)</f>
        <v>0.6548787923877637</v>
      </c>
      <c r="I337" s="124"/>
      <c r="J337" s="124"/>
      <c r="K337" s="146" t="s">
        <v>710</v>
      </c>
      <c r="L337" s="187">
        <f>SUM(L332:L334)</f>
        <v>0</v>
      </c>
    </row>
    <row r="338" spans="2:12" ht="12">
      <c r="B338" s="124"/>
      <c r="C338" s="124"/>
      <c r="D338" s="193" t="s">
        <v>588</v>
      </c>
      <c r="E338" s="187">
        <f>E332/7*5</f>
        <v>0.46777056599125977</v>
      </c>
      <c r="G338" s="13"/>
      <c r="I338" s="189"/>
      <c r="J338" s="124"/>
      <c r="K338" s="193" t="s">
        <v>588</v>
      </c>
      <c r="L338" s="187">
        <f>L331/24*4</f>
        <v>7.032187748740642</v>
      </c>
    </row>
    <row r="339" spans="1:12" ht="12">
      <c r="A339" s="13"/>
      <c r="B339" s="189"/>
      <c r="C339" s="189"/>
      <c r="D339" s="274" t="s">
        <v>711</v>
      </c>
      <c r="E339" s="211">
        <f>E336+E337-E338</f>
        <v>14.988519431205727</v>
      </c>
      <c r="J339" s="189"/>
      <c r="K339" s="274" t="s">
        <v>711</v>
      </c>
      <c r="L339" s="211">
        <f>L336+L337-L338</f>
        <v>35.16093874370321</v>
      </c>
    </row>
    <row r="340" spans="1:5" ht="12">
      <c r="A340" s="13"/>
      <c r="B340" s="189"/>
      <c r="C340" s="189"/>
      <c r="D340" s="274"/>
      <c r="E340" s="189"/>
    </row>
    <row r="341" spans="1:8" ht="12">
      <c r="A341" s="256" t="s">
        <v>171</v>
      </c>
      <c r="G341" s="600" t="s">
        <v>171</v>
      </c>
      <c r="H341" s="600"/>
    </row>
    <row r="342" spans="1:12" ht="12">
      <c r="A342" s="218" t="s">
        <v>633</v>
      </c>
      <c r="B342" s="566" t="s">
        <v>8</v>
      </c>
      <c r="C342" s="567"/>
      <c r="D342" s="567"/>
      <c r="E342" s="568"/>
      <c r="G342" s="593" t="s">
        <v>632</v>
      </c>
      <c r="H342" s="594"/>
      <c r="I342" s="566" t="s">
        <v>8</v>
      </c>
      <c r="J342" s="567"/>
      <c r="K342" s="567"/>
      <c r="L342" s="568"/>
    </row>
    <row r="343" spans="1:12" ht="12">
      <c r="A343" s="218" t="s">
        <v>389</v>
      </c>
      <c r="B343" s="564" t="s">
        <v>715</v>
      </c>
      <c r="C343" s="572" t="s">
        <v>532</v>
      </c>
      <c r="D343" s="564" t="s">
        <v>587</v>
      </c>
      <c r="E343" s="564" t="s">
        <v>533</v>
      </c>
      <c r="G343" s="601" t="s">
        <v>389</v>
      </c>
      <c r="H343" s="602"/>
      <c r="I343" s="564" t="s">
        <v>715</v>
      </c>
      <c r="J343" s="564" t="s">
        <v>532</v>
      </c>
      <c r="K343" s="564" t="s">
        <v>587</v>
      </c>
      <c r="L343" s="564" t="s">
        <v>533</v>
      </c>
    </row>
    <row r="344" spans="1:12" ht="12">
      <c r="A344" s="291" t="s">
        <v>716</v>
      </c>
      <c r="B344" s="565"/>
      <c r="C344" s="576"/>
      <c r="D344" s="577"/>
      <c r="E344" s="578"/>
      <c r="G344" s="603" t="s">
        <v>716</v>
      </c>
      <c r="H344" s="604"/>
      <c r="I344" s="565"/>
      <c r="J344" s="577"/>
      <c r="K344" s="577"/>
      <c r="L344" s="577"/>
    </row>
    <row r="345" spans="1:12" ht="12">
      <c r="A345" s="72" t="s">
        <v>618</v>
      </c>
      <c r="B345" s="186">
        <f>'rehabilitation costs'!$L$40*inflators!$G$12*inflators!$G$15</f>
        <v>11.380698421975454</v>
      </c>
      <c r="C345" s="200">
        <f>'AC lifetimes'!$G$14</f>
        <v>18</v>
      </c>
      <c r="D345" s="3">
        <v>0</v>
      </c>
      <c r="E345" s="194">
        <f>B345*(1/(1+inflators!$B$9)^D345)</f>
        <v>11.380698421975454</v>
      </c>
      <c r="G345" s="72" t="s">
        <v>122</v>
      </c>
      <c r="H345" s="321"/>
      <c r="I345" s="122">
        <f>'rehabilitation costs'!$L$37*inflators!$G$12*inflators!$G$15</f>
        <v>34.792420890039246</v>
      </c>
      <c r="J345" s="200">
        <f>'AC lifetimes'!$G$7</f>
        <v>25</v>
      </c>
      <c r="K345" s="3">
        <v>0</v>
      </c>
      <c r="L345" s="194">
        <f>I345*(1/(1+inflators!$B$9)^K345)</f>
        <v>34.792420890039246</v>
      </c>
    </row>
    <row r="346" spans="1:12" ht="12">
      <c r="A346" s="184" t="s">
        <v>712</v>
      </c>
      <c r="B346" s="187">
        <f>('maintenance costs'!$L$48+'maintenance costs'!$L$59)*inflators!$G$12*inflators!$G$15</f>
        <v>1.3266642731902814</v>
      </c>
      <c r="C346" s="201">
        <f>'AC lifetimes'!$I$56</f>
        <v>7</v>
      </c>
      <c r="D346" s="196">
        <f>C345+D345</f>
        <v>18</v>
      </c>
      <c r="E346" s="210">
        <f>B346*(1/(1+inflators!$B$9)^D346)</f>
        <v>0.6548787923877637</v>
      </c>
      <c r="G346" s="184" t="s">
        <v>712</v>
      </c>
      <c r="H346" s="185"/>
      <c r="I346" s="125">
        <f>('maintenance costs'!$L$48+'maintenance costs'!$L$59)*inflators!$G$12*inflators!$G$15</f>
        <v>1.3266642731902814</v>
      </c>
      <c r="J346" s="201"/>
      <c r="K346" s="196"/>
      <c r="L346" s="210"/>
    </row>
    <row r="347" spans="1:12" ht="12">
      <c r="A347" s="184" t="s">
        <v>712</v>
      </c>
      <c r="B347" s="187">
        <f>('maintenance costs'!$L$48+'maintenance costs'!$L$59)*inflators!$G$12*inflators!$G$15</f>
        <v>1.3266642731902814</v>
      </c>
      <c r="C347" s="201"/>
      <c r="D347" s="196"/>
      <c r="E347" s="210"/>
      <c r="G347" s="184" t="s">
        <v>712</v>
      </c>
      <c r="H347" s="185"/>
      <c r="I347" s="125">
        <f>('maintenance costs'!$L$48+'maintenance costs'!$L$59)*inflators!$G$12*inflators!$G$15</f>
        <v>1.3266642731902814</v>
      </c>
      <c r="J347" s="201"/>
      <c r="K347" s="196"/>
      <c r="L347" s="210"/>
    </row>
    <row r="348" spans="1:12" ht="12">
      <c r="A348" s="130" t="s">
        <v>7</v>
      </c>
      <c r="B348" s="210">
        <f>('maintenance costs'!$L$52+'maintenance costs'!$L$59)*inflators!$G$12*inflators!$G$15</f>
        <v>2.081041997161226</v>
      </c>
      <c r="C348" s="201"/>
      <c r="D348" s="196"/>
      <c r="E348" s="210"/>
      <c r="G348" s="184" t="s">
        <v>7</v>
      </c>
      <c r="H348" s="185"/>
      <c r="I348" s="128">
        <f>('maintenance costs'!$L$52+'maintenance costs'!$L$59)*inflators!$G$12*inflators!$G$15</f>
        <v>2.081041997161226</v>
      </c>
      <c r="J348" s="201"/>
      <c r="K348" s="196"/>
      <c r="L348" s="210"/>
    </row>
    <row r="349" spans="1:12" ht="12">
      <c r="A349" s="73" t="s">
        <v>593</v>
      </c>
      <c r="B349" s="191">
        <f>('rehabilitation costs'!$L$50+'rehabilitation costs'!$L$52)*inflators!$G$12*inflators!$G$15</f>
        <v>5.189598480420807</v>
      </c>
      <c r="C349" s="202"/>
      <c r="D349" s="205"/>
      <c r="E349" s="191"/>
      <c r="G349" s="73" t="s">
        <v>593</v>
      </c>
      <c r="H349" s="132"/>
      <c r="I349" s="490">
        <f>('rehabilitation costs'!$L$50+'rehabilitation costs'!$L$52)*inflators!$G$12*inflators!$G$15</f>
        <v>5.189598480420807</v>
      </c>
      <c r="J349" s="202"/>
      <c r="K349" s="205"/>
      <c r="L349" s="191"/>
    </row>
    <row r="350" spans="2:12" ht="12">
      <c r="B350" s="124"/>
      <c r="C350" s="201">
        <f>SUM(C345:C349)</f>
        <v>25</v>
      </c>
      <c r="D350" s="193" t="s">
        <v>455</v>
      </c>
      <c r="E350" s="187">
        <f>E345</f>
        <v>11.380698421975454</v>
      </c>
      <c r="I350" s="124"/>
      <c r="J350" s="201">
        <f>SUM(J345:J349)</f>
        <v>25</v>
      </c>
      <c r="K350" s="193" t="s">
        <v>455</v>
      </c>
      <c r="L350" s="187">
        <f>L345</f>
        <v>34.792420890039246</v>
      </c>
    </row>
    <row r="351" spans="2:12" ht="12">
      <c r="B351" s="124"/>
      <c r="C351" s="124"/>
      <c r="D351" s="146" t="s">
        <v>710</v>
      </c>
      <c r="E351" s="187">
        <f>SUM(E346:E349)</f>
        <v>0.6548787923877637</v>
      </c>
      <c r="I351" s="124"/>
      <c r="J351" s="124"/>
      <c r="K351" s="146" t="s">
        <v>710</v>
      </c>
      <c r="L351" s="187">
        <f>SUM(L346:L349)</f>
        <v>0</v>
      </c>
    </row>
    <row r="352" spans="2:12" ht="12">
      <c r="B352" s="124"/>
      <c r="C352" s="124"/>
      <c r="D352" s="193" t="s">
        <v>588</v>
      </c>
      <c r="E352" s="187">
        <f>E346/7*5</f>
        <v>0.46777056599125977</v>
      </c>
      <c r="I352" s="124"/>
      <c r="J352" s="124"/>
      <c r="K352" s="193" t="s">
        <v>588</v>
      </c>
      <c r="L352" s="187">
        <f>L345/25*5</f>
        <v>6.958484178007849</v>
      </c>
    </row>
    <row r="353" spans="1:12" ht="12">
      <c r="A353" s="13"/>
      <c r="B353" s="189"/>
      <c r="C353" s="189"/>
      <c r="D353" s="274" t="s">
        <v>711</v>
      </c>
      <c r="E353" s="211">
        <f>E350+E351-E352</f>
        <v>11.56780664837196</v>
      </c>
      <c r="G353" s="13"/>
      <c r="I353" s="189"/>
      <c r="J353" s="189"/>
      <c r="K353" s="274" t="s">
        <v>711</v>
      </c>
      <c r="L353" s="211">
        <f>L350+L351-L352</f>
        <v>27.833936712031395</v>
      </c>
    </row>
    <row r="354" spans="1:12" ht="12">
      <c r="A354" s="457" t="s">
        <v>28</v>
      </c>
      <c r="B354" s="189"/>
      <c r="C354" s="189"/>
      <c r="D354" s="274"/>
      <c r="E354" s="189"/>
      <c r="G354" s="13"/>
      <c r="I354" s="189"/>
      <c r="J354" s="189"/>
      <c r="K354" s="274"/>
      <c r="L354" s="189"/>
    </row>
    <row r="355" spans="1:5" ht="12">
      <c r="A355" s="1" t="s">
        <v>21</v>
      </c>
      <c r="B355" s="189"/>
      <c r="C355" s="189"/>
      <c r="D355" s="274"/>
      <c r="E355" s="189"/>
    </row>
    <row r="356" spans="1:5" ht="12">
      <c r="A356" s="256" t="s">
        <v>392</v>
      </c>
      <c r="B356" s="569" t="s">
        <v>545</v>
      </c>
      <c r="C356" s="570"/>
      <c r="D356" s="570"/>
      <c r="E356" s="571"/>
    </row>
    <row r="357" spans="1:5" ht="12">
      <c r="A357" s="218" t="s">
        <v>389</v>
      </c>
      <c r="B357" s="564" t="s">
        <v>715</v>
      </c>
      <c r="C357" s="572" t="s">
        <v>532</v>
      </c>
      <c r="D357" s="564" t="s">
        <v>587</v>
      </c>
      <c r="E357" s="564" t="s">
        <v>533</v>
      </c>
    </row>
    <row r="358" spans="1:5" ht="12">
      <c r="A358" s="291" t="s">
        <v>716</v>
      </c>
      <c r="B358" s="579"/>
      <c r="C358" s="573"/>
      <c r="D358" s="574"/>
      <c r="E358" s="575"/>
    </row>
    <row r="359" spans="1:5" ht="12">
      <c r="A359" s="129" t="s">
        <v>274</v>
      </c>
      <c r="B359" s="121">
        <f>'rehabilitation costs'!$L$124*inflators!$K$15/inflators!$I$15+'rehabilitation costs'!$L$14*inflators!$K$15/100</f>
        <v>20.891766647780926</v>
      </c>
      <c r="C359" s="72"/>
      <c r="D359" s="6">
        <v>0</v>
      </c>
      <c r="E359" s="194">
        <f>B359*(1/(1+inflators!$B$9)^D359)</f>
        <v>20.891766647780926</v>
      </c>
    </row>
    <row r="360" spans="1:5" ht="12">
      <c r="A360" s="131" t="s">
        <v>391</v>
      </c>
      <c r="B360" s="188">
        <f>('rehabilitation costs'!$L$14+'rehabilitation costs'!$L$111*inflators!$L$15/inflators!$I$15)*0.25</f>
        <v>0.41</v>
      </c>
      <c r="C360" s="73"/>
      <c r="D360" s="199">
        <v>15</v>
      </c>
      <c r="E360" s="191">
        <f>B360*(1/(1+inflators!$B$9)^D360)</f>
        <v>0.22765844611244265</v>
      </c>
    </row>
    <row r="361" spans="4:5" ht="12">
      <c r="D361" s="193" t="s">
        <v>455</v>
      </c>
      <c r="E361" s="187">
        <f>E359</f>
        <v>20.891766647780926</v>
      </c>
    </row>
    <row r="362" spans="4:5" ht="12">
      <c r="D362" s="146" t="s">
        <v>710</v>
      </c>
      <c r="E362" s="187">
        <f>SUM(E360:E360)</f>
        <v>0.22765844611244265</v>
      </c>
    </row>
    <row r="363" spans="4:5" ht="12">
      <c r="D363" s="193" t="s">
        <v>588</v>
      </c>
      <c r="E363" s="187">
        <v>0</v>
      </c>
    </row>
    <row r="364" spans="4:5" ht="12">
      <c r="D364" s="274" t="s">
        <v>711</v>
      </c>
      <c r="E364" s="211">
        <f>E361+E362-E363</f>
        <v>21.11942509389337</v>
      </c>
    </row>
    <row r="365" spans="1:5" ht="12">
      <c r="A365" s="13"/>
      <c r="B365" s="189"/>
      <c r="C365" s="189"/>
      <c r="D365" s="274"/>
      <c r="E365" s="189"/>
    </row>
    <row r="378" spans="1:5" ht="12">
      <c r="A378" s="13"/>
      <c r="B378" s="189"/>
      <c r="C378" s="189"/>
      <c r="D378" s="274"/>
      <c r="E378" s="189"/>
    </row>
    <row r="396" ht="10.5" customHeight="1"/>
  </sheetData>
  <mergeCells count="314">
    <mergeCell ref="G344:H344"/>
    <mergeCell ref="G342:H342"/>
    <mergeCell ref="G343:H343"/>
    <mergeCell ref="G316:H316"/>
    <mergeCell ref="G330:H330"/>
    <mergeCell ref="L343:L344"/>
    <mergeCell ref="K343:K344"/>
    <mergeCell ref="J343:J344"/>
    <mergeCell ref="G313:H313"/>
    <mergeCell ref="G314:H314"/>
    <mergeCell ref="G315:H315"/>
    <mergeCell ref="G327:H327"/>
    <mergeCell ref="G328:H328"/>
    <mergeCell ref="G329:H329"/>
    <mergeCell ref="G341:H341"/>
    <mergeCell ref="I314:L314"/>
    <mergeCell ref="I328:L328"/>
    <mergeCell ref="I342:L342"/>
    <mergeCell ref="J315:J316"/>
    <mergeCell ref="K315:K316"/>
    <mergeCell ref="L315:L316"/>
    <mergeCell ref="J329:J330"/>
    <mergeCell ref="K329:K330"/>
    <mergeCell ref="L329:L330"/>
    <mergeCell ref="I315:I316"/>
    <mergeCell ref="B128:E128"/>
    <mergeCell ref="F128:I128"/>
    <mergeCell ref="J128:M128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B129:B130"/>
    <mergeCell ref="C129:C130"/>
    <mergeCell ref="D129:D130"/>
    <mergeCell ref="E129:E130"/>
    <mergeCell ref="J114:J115"/>
    <mergeCell ref="K114:K115"/>
    <mergeCell ref="L114:L115"/>
    <mergeCell ref="M114:M115"/>
    <mergeCell ref="F114:F115"/>
    <mergeCell ref="G114:G115"/>
    <mergeCell ref="H114:H115"/>
    <mergeCell ref="I114:I115"/>
    <mergeCell ref="B114:B115"/>
    <mergeCell ref="C114:C115"/>
    <mergeCell ref="D114:D115"/>
    <mergeCell ref="E114:E115"/>
    <mergeCell ref="M101:M102"/>
    <mergeCell ref="B113:E113"/>
    <mergeCell ref="F113:I113"/>
    <mergeCell ref="J113:M113"/>
    <mergeCell ref="I101:I102"/>
    <mergeCell ref="J101:J102"/>
    <mergeCell ref="K101:K102"/>
    <mergeCell ref="L101:L102"/>
    <mergeCell ref="J100:M100"/>
    <mergeCell ref="F100:I100"/>
    <mergeCell ref="B100:E100"/>
    <mergeCell ref="B101:B102"/>
    <mergeCell ref="C101:C102"/>
    <mergeCell ref="D101:D102"/>
    <mergeCell ref="E101:E102"/>
    <mergeCell ref="F101:F102"/>
    <mergeCell ref="G101:G102"/>
    <mergeCell ref="H101:H102"/>
    <mergeCell ref="J86:J87"/>
    <mergeCell ref="K86:K87"/>
    <mergeCell ref="L86:L87"/>
    <mergeCell ref="M86:M87"/>
    <mergeCell ref="F86:F87"/>
    <mergeCell ref="G86:G87"/>
    <mergeCell ref="H86:H87"/>
    <mergeCell ref="I86:I87"/>
    <mergeCell ref="B86:B87"/>
    <mergeCell ref="C86:C87"/>
    <mergeCell ref="D86:D87"/>
    <mergeCell ref="E86:E87"/>
    <mergeCell ref="B74:B75"/>
    <mergeCell ref="B85:E85"/>
    <mergeCell ref="F85:I85"/>
    <mergeCell ref="J85:M85"/>
    <mergeCell ref="F74:F75"/>
    <mergeCell ref="E74:E75"/>
    <mergeCell ref="D74:D75"/>
    <mergeCell ref="C74:C75"/>
    <mergeCell ref="B73:E73"/>
    <mergeCell ref="F73:I73"/>
    <mergeCell ref="J73:M73"/>
    <mergeCell ref="J74:J75"/>
    <mergeCell ref="K74:K75"/>
    <mergeCell ref="L74:L75"/>
    <mergeCell ref="M74:M75"/>
    <mergeCell ref="I74:I75"/>
    <mergeCell ref="H74:H75"/>
    <mergeCell ref="G74:G75"/>
    <mergeCell ref="J59:J60"/>
    <mergeCell ref="K59:K60"/>
    <mergeCell ref="L59:L60"/>
    <mergeCell ref="M59:M60"/>
    <mergeCell ref="B2:F2"/>
    <mergeCell ref="H2:M2"/>
    <mergeCell ref="B58:E58"/>
    <mergeCell ref="F58:I58"/>
    <mergeCell ref="J58:M58"/>
    <mergeCell ref="B46:E46"/>
    <mergeCell ref="F46:I46"/>
    <mergeCell ref="H47:H48"/>
    <mergeCell ref="D47:D48"/>
    <mergeCell ref="F47:F48"/>
    <mergeCell ref="J46:M46"/>
    <mergeCell ref="J47:J48"/>
    <mergeCell ref="K47:K48"/>
    <mergeCell ref="L47:L48"/>
    <mergeCell ref="M47:M48"/>
    <mergeCell ref="X2:Y2"/>
    <mergeCell ref="V2:W2"/>
    <mergeCell ref="T2:U2"/>
    <mergeCell ref="N2:S2"/>
    <mergeCell ref="B47:B48"/>
    <mergeCell ref="C47:C48"/>
    <mergeCell ref="E47:E48"/>
    <mergeCell ref="G47:G48"/>
    <mergeCell ref="B142:L142"/>
    <mergeCell ref="I47:I48"/>
    <mergeCell ref="B59:B60"/>
    <mergeCell ref="C59:C60"/>
    <mergeCell ref="D59:D60"/>
    <mergeCell ref="E59:E60"/>
    <mergeCell ref="F59:F60"/>
    <mergeCell ref="G59:G60"/>
    <mergeCell ref="H59:H60"/>
    <mergeCell ref="I59:I60"/>
    <mergeCell ref="B143:L143"/>
    <mergeCell ref="B144:B145"/>
    <mergeCell ref="C144:C145"/>
    <mergeCell ref="D144:D145"/>
    <mergeCell ref="E144:E145"/>
    <mergeCell ref="F144:F145"/>
    <mergeCell ref="G144:H144"/>
    <mergeCell ref="I144:J144"/>
    <mergeCell ref="K144:L144"/>
    <mergeCell ref="B155:L155"/>
    <mergeCell ref="B156:L156"/>
    <mergeCell ref="B157:B158"/>
    <mergeCell ref="C157:C158"/>
    <mergeCell ref="D157:D158"/>
    <mergeCell ref="E157:E158"/>
    <mergeCell ref="F157:F158"/>
    <mergeCell ref="G157:H157"/>
    <mergeCell ref="I157:J157"/>
    <mergeCell ref="K157:L157"/>
    <mergeCell ref="B170:L170"/>
    <mergeCell ref="B171:L171"/>
    <mergeCell ref="B172:B173"/>
    <mergeCell ref="C172:C173"/>
    <mergeCell ref="D172:D173"/>
    <mergeCell ref="E172:E173"/>
    <mergeCell ref="F172:F173"/>
    <mergeCell ref="G172:H172"/>
    <mergeCell ref="I172:J172"/>
    <mergeCell ref="K172:L172"/>
    <mergeCell ref="B183:L183"/>
    <mergeCell ref="B184:L184"/>
    <mergeCell ref="B185:B186"/>
    <mergeCell ref="C185:C186"/>
    <mergeCell ref="D185:D186"/>
    <mergeCell ref="E185:E186"/>
    <mergeCell ref="F185:F186"/>
    <mergeCell ref="G185:H185"/>
    <mergeCell ref="I185:J185"/>
    <mergeCell ref="K185:L185"/>
    <mergeCell ref="B198:L198"/>
    <mergeCell ref="B199:L199"/>
    <mergeCell ref="B200:B201"/>
    <mergeCell ref="C200:C201"/>
    <mergeCell ref="D200:D201"/>
    <mergeCell ref="E200:E201"/>
    <mergeCell ref="F200:F201"/>
    <mergeCell ref="G200:H200"/>
    <mergeCell ref="I200:J200"/>
    <mergeCell ref="K200:L200"/>
    <mergeCell ref="B212:L212"/>
    <mergeCell ref="B213:L213"/>
    <mergeCell ref="B214:B215"/>
    <mergeCell ref="C214:C215"/>
    <mergeCell ref="D214:D215"/>
    <mergeCell ref="E214:E215"/>
    <mergeCell ref="F214:F215"/>
    <mergeCell ref="G214:H214"/>
    <mergeCell ref="I214:J214"/>
    <mergeCell ref="K214:L214"/>
    <mergeCell ref="B227:L227"/>
    <mergeCell ref="B228:L228"/>
    <mergeCell ref="B229:B230"/>
    <mergeCell ref="C229:C230"/>
    <mergeCell ref="D229:D230"/>
    <mergeCell ref="E229:E230"/>
    <mergeCell ref="F229:F230"/>
    <mergeCell ref="G229:H229"/>
    <mergeCell ref="I229:J229"/>
    <mergeCell ref="K229:L229"/>
    <mergeCell ref="B240:L240"/>
    <mergeCell ref="B241:L241"/>
    <mergeCell ref="B242:B243"/>
    <mergeCell ref="C242:C243"/>
    <mergeCell ref="D242:D243"/>
    <mergeCell ref="E242:E243"/>
    <mergeCell ref="F242:F243"/>
    <mergeCell ref="G242:H242"/>
    <mergeCell ref="I242:J242"/>
    <mergeCell ref="K242:L242"/>
    <mergeCell ref="B255:L255"/>
    <mergeCell ref="B256:L256"/>
    <mergeCell ref="B257:B258"/>
    <mergeCell ref="C257:C258"/>
    <mergeCell ref="D257:D258"/>
    <mergeCell ref="E257:E258"/>
    <mergeCell ref="F257:F258"/>
    <mergeCell ref="G257:H257"/>
    <mergeCell ref="I257:J257"/>
    <mergeCell ref="K257:L257"/>
    <mergeCell ref="B268:L268"/>
    <mergeCell ref="B269:L269"/>
    <mergeCell ref="B270:B271"/>
    <mergeCell ref="C270:C271"/>
    <mergeCell ref="D270:D271"/>
    <mergeCell ref="E270:E271"/>
    <mergeCell ref="F270:F271"/>
    <mergeCell ref="G270:H270"/>
    <mergeCell ref="I270:J270"/>
    <mergeCell ref="K270:L270"/>
    <mergeCell ref="B283:L283"/>
    <mergeCell ref="B284:L284"/>
    <mergeCell ref="B285:B286"/>
    <mergeCell ref="C285:C286"/>
    <mergeCell ref="D285:D286"/>
    <mergeCell ref="E285:E286"/>
    <mergeCell ref="F285:F286"/>
    <mergeCell ref="G285:H285"/>
    <mergeCell ref="I285:J285"/>
    <mergeCell ref="K285:L285"/>
    <mergeCell ref="B297:L297"/>
    <mergeCell ref="B298:L298"/>
    <mergeCell ref="B299:B300"/>
    <mergeCell ref="C299:C300"/>
    <mergeCell ref="D299:D300"/>
    <mergeCell ref="E299:E300"/>
    <mergeCell ref="F299:F300"/>
    <mergeCell ref="G299:H299"/>
    <mergeCell ref="I299:J299"/>
    <mergeCell ref="K299:L299"/>
    <mergeCell ref="B314:E314"/>
    <mergeCell ref="B329:B330"/>
    <mergeCell ref="C329:C330"/>
    <mergeCell ref="D329:D330"/>
    <mergeCell ref="E329:E330"/>
    <mergeCell ref="B328:E328"/>
    <mergeCell ref="B315:B316"/>
    <mergeCell ref="C315:C316"/>
    <mergeCell ref="D315:D316"/>
    <mergeCell ref="E315:E316"/>
    <mergeCell ref="B342:E342"/>
    <mergeCell ref="B356:E356"/>
    <mergeCell ref="C357:C358"/>
    <mergeCell ref="D357:D358"/>
    <mergeCell ref="E357:E358"/>
    <mergeCell ref="B343:B344"/>
    <mergeCell ref="C343:C344"/>
    <mergeCell ref="D343:D344"/>
    <mergeCell ref="E343:E344"/>
    <mergeCell ref="B357:B358"/>
    <mergeCell ref="I343:I344"/>
    <mergeCell ref="I329:I330"/>
    <mergeCell ref="M143:N145"/>
    <mergeCell ref="M146:N148"/>
    <mergeCell ref="M149:N151"/>
    <mergeCell ref="M156:N158"/>
    <mergeCell ref="M159:N161"/>
    <mergeCell ref="M162:N164"/>
    <mergeCell ref="M171:N173"/>
    <mergeCell ref="M174:N176"/>
    <mergeCell ref="M177:N179"/>
    <mergeCell ref="M184:N186"/>
    <mergeCell ref="M187:N189"/>
    <mergeCell ref="M190:N192"/>
    <mergeCell ref="M199:N201"/>
    <mergeCell ref="M202:N204"/>
    <mergeCell ref="M205:N207"/>
    <mergeCell ref="M213:N215"/>
    <mergeCell ref="M216:N218"/>
    <mergeCell ref="M219:N221"/>
    <mergeCell ref="M228:N230"/>
    <mergeCell ref="M231:N233"/>
    <mergeCell ref="M234:N236"/>
    <mergeCell ref="M241:N243"/>
    <mergeCell ref="M244:N246"/>
    <mergeCell ref="M247:N249"/>
    <mergeCell ref="M256:N258"/>
    <mergeCell ref="M259:N261"/>
    <mergeCell ref="M262:N264"/>
    <mergeCell ref="M269:N271"/>
    <mergeCell ref="M272:N274"/>
    <mergeCell ref="M275:N277"/>
    <mergeCell ref="M284:N286"/>
    <mergeCell ref="M287:N289"/>
    <mergeCell ref="M290:N292"/>
    <mergeCell ref="M298:N300"/>
    <mergeCell ref="M301:N303"/>
    <mergeCell ref="M304:N306"/>
  </mergeCells>
  <printOptions/>
  <pageMargins left="0.75" right="0.75" top="1" bottom="1" header="0.5" footer="0.5"/>
  <pageSetup fitToHeight="0" horizontalDpi="600" verticalDpi="600" orientation="landscape" scale="52" r:id="rId3"/>
  <headerFooter alignWithMargins="0">
    <oddHeader>&amp;L&amp;"Arial,Bold"&amp;12Appendix E. Lifecycle Cost Analyses of Reconstructed Street Pavements</oddHeader>
    <oddFooter>&amp;C&amp;11Page E-&amp;P</oddFooter>
  </headerFooter>
  <rowBreaks count="5" manualBreakCount="5">
    <brk id="97" max="13" man="1"/>
    <brk id="140" max="13" man="1"/>
    <brk id="196" max="13" man="1"/>
    <brk id="253" max="13" man="1"/>
    <brk id="310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5"/>
  <sheetViews>
    <sheetView zoomScale="75" zoomScaleNormal="75" workbookViewId="0" topLeftCell="A1">
      <pane xSplit="1" ySplit="1" topLeftCell="B41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A48" sqref="A48"/>
    </sheetView>
  </sheetViews>
  <sheetFormatPr defaultColWidth="9.00390625" defaultRowHeight="12"/>
  <cols>
    <col min="1" max="1" width="24.375" style="1" customWidth="1"/>
    <col min="2" max="3" width="10.875" style="1" customWidth="1"/>
    <col min="4" max="4" width="11.75390625" style="1" bestFit="1" customWidth="1"/>
    <col min="5" max="16384" width="10.875" style="1" customWidth="1"/>
  </cols>
  <sheetData>
    <row r="1" s="54" customFormat="1" ht="12">
      <c r="A1" s="54" t="s">
        <v>714</v>
      </c>
    </row>
    <row r="2" spans="1:25" ht="12">
      <c r="A2" s="1" t="s">
        <v>228</v>
      </c>
      <c r="B2" s="566" t="s">
        <v>235</v>
      </c>
      <c r="C2" s="567"/>
      <c r="D2" s="567"/>
      <c r="E2" s="567"/>
      <c r="F2" s="567"/>
      <c r="G2" s="567"/>
      <c r="H2" s="567"/>
      <c r="I2" s="568"/>
      <c r="J2" s="566" t="s">
        <v>339</v>
      </c>
      <c r="K2" s="567"/>
      <c r="L2" s="567"/>
      <c r="M2" s="567"/>
      <c r="N2" s="567"/>
      <c r="O2" s="567"/>
      <c r="P2" s="567"/>
      <c r="Q2" s="568"/>
      <c r="R2" s="566" t="s">
        <v>340</v>
      </c>
      <c r="S2" s="567"/>
      <c r="T2" s="567"/>
      <c r="U2" s="567"/>
      <c r="V2" s="567"/>
      <c r="W2" s="567"/>
      <c r="X2" s="567"/>
      <c r="Y2" s="568"/>
    </row>
    <row r="3" spans="1:25" ht="12">
      <c r="A3" s="1" t="s">
        <v>229</v>
      </c>
      <c r="B3" s="74" t="s">
        <v>231</v>
      </c>
      <c r="C3" s="74" t="s">
        <v>232</v>
      </c>
      <c r="D3" s="74" t="s">
        <v>233</v>
      </c>
      <c r="E3" s="74" t="s">
        <v>234</v>
      </c>
      <c r="F3" s="71" t="s">
        <v>231</v>
      </c>
      <c r="G3" s="71" t="s">
        <v>232</v>
      </c>
      <c r="H3" s="71" t="s">
        <v>233</v>
      </c>
      <c r="I3" s="71" t="s">
        <v>234</v>
      </c>
      <c r="J3" s="71" t="s">
        <v>231</v>
      </c>
      <c r="K3" s="71" t="s">
        <v>232</v>
      </c>
      <c r="L3" s="71" t="s">
        <v>233</v>
      </c>
      <c r="M3" s="71" t="s">
        <v>234</v>
      </c>
      <c r="N3" s="71" t="s">
        <v>231</v>
      </c>
      <c r="O3" s="71" t="s">
        <v>232</v>
      </c>
      <c r="P3" s="71" t="s">
        <v>233</v>
      </c>
      <c r="Q3" s="71" t="s">
        <v>234</v>
      </c>
      <c r="R3" s="71" t="s">
        <v>231</v>
      </c>
      <c r="S3" s="71" t="s">
        <v>232</v>
      </c>
      <c r="T3" s="71" t="s">
        <v>233</v>
      </c>
      <c r="U3" s="71" t="s">
        <v>234</v>
      </c>
      <c r="V3" s="71" t="s">
        <v>231</v>
      </c>
      <c r="W3" s="71" t="s">
        <v>232</v>
      </c>
      <c r="X3" s="71" t="s">
        <v>233</v>
      </c>
      <c r="Y3" s="71" t="s">
        <v>234</v>
      </c>
    </row>
    <row r="4" spans="1:25" ht="12">
      <c r="A4" s="132" t="s">
        <v>230</v>
      </c>
      <c r="B4" s="566">
        <v>70</v>
      </c>
      <c r="C4" s="567"/>
      <c r="D4" s="567"/>
      <c r="E4" s="568"/>
      <c r="F4" s="566">
        <v>50</v>
      </c>
      <c r="G4" s="567"/>
      <c r="H4" s="567"/>
      <c r="I4" s="568"/>
      <c r="J4" s="566">
        <v>70</v>
      </c>
      <c r="K4" s="567"/>
      <c r="L4" s="567"/>
      <c r="M4" s="568"/>
      <c r="N4" s="566">
        <v>50</v>
      </c>
      <c r="O4" s="567"/>
      <c r="P4" s="567"/>
      <c r="Q4" s="568"/>
      <c r="R4" s="566">
        <v>70</v>
      </c>
      <c r="S4" s="567"/>
      <c r="T4" s="567"/>
      <c r="U4" s="568"/>
      <c r="V4" s="566">
        <v>50</v>
      </c>
      <c r="W4" s="567"/>
      <c r="X4" s="567"/>
      <c r="Y4" s="568"/>
    </row>
    <row r="5" spans="1:25" ht="12">
      <c r="A5" s="2">
        <v>1</v>
      </c>
      <c r="B5" s="76"/>
      <c r="C5" s="77" t="s">
        <v>620</v>
      </c>
      <c r="D5" s="83" t="s">
        <v>72</v>
      </c>
      <c r="E5" s="78" t="s">
        <v>619</v>
      </c>
      <c r="F5" s="94"/>
      <c r="G5" s="95" t="s">
        <v>620</v>
      </c>
      <c r="H5" s="111" t="s">
        <v>72</v>
      </c>
      <c r="I5" s="96" t="s">
        <v>619</v>
      </c>
      <c r="J5" s="97"/>
      <c r="K5" s="95" t="s">
        <v>620</v>
      </c>
      <c r="L5" s="111" t="s">
        <v>72</v>
      </c>
      <c r="M5" s="96" t="s">
        <v>619</v>
      </c>
      <c r="N5" s="94"/>
      <c r="O5" s="95" t="s">
        <v>620</v>
      </c>
      <c r="P5" s="111" t="s">
        <v>72</v>
      </c>
      <c r="Q5" s="96" t="s">
        <v>619</v>
      </c>
      <c r="R5" s="97"/>
      <c r="S5" s="95" t="s">
        <v>437</v>
      </c>
      <c r="T5" s="95" t="s">
        <v>620</v>
      </c>
      <c r="U5" s="110" t="s">
        <v>72</v>
      </c>
      <c r="V5" s="94"/>
      <c r="W5" s="95" t="s">
        <v>437</v>
      </c>
      <c r="X5" s="95" t="s">
        <v>620</v>
      </c>
      <c r="Y5" s="110" t="s">
        <v>72</v>
      </c>
    </row>
    <row r="6" spans="1:25" ht="12">
      <c r="A6" s="2">
        <v>2</v>
      </c>
      <c r="B6" s="76"/>
      <c r="C6" s="79"/>
      <c r="D6" s="80"/>
      <c r="E6" s="81"/>
      <c r="F6" s="98"/>
      <c r="G6" s="99"/>
      <c r="H6" s="100"/>
      <c r="I6" s="101"/>
      <c r="J6" s="76"/>
      <c r="K6" s="79"/>
      <c r="L6" s="80"/>
      <c r="M6" s="81"/>
      <c r="N6" s="98"/>
      <c r="O6" s="99"/>
      <c r="P6" s="100"/>
      <c r="Q6" s="101"/>
      <c r="R6" s="76"/>
      <c r="S6" s="79"/>
      <c r="T6" s="80"/>
      <c r="U6" s="81"/>
      <c r="V6" s="98"/>
      <c r="W6" s="99"/>
      <c r="X6" s="100"/>
      <c r="Y6" s="101"/>
    </row>
    <row r="7" spans="1:25" ht="12">
      <c r="A7" s="2">
        <v>3</v>
      </c>
      <c r="B7" s="76"/>
      <c r="C7" s="79"/>
      <c r="D7" s="80"/>
      <c r="E7" s="81"/>
      <c r="F7" s="98"/>
      <c r="G7" s="99"/>
      <c r="H7" s="100"/>
      <c r="I7" s="101"/>
      <c r="J7" s="76"/>
      <c r="K7" s="79"/>
      <c r="L7" s="80"/>
      <c r="M7" s="81"/>
      <c r="N7" s="98"/>
      <c r="O7" s="99"/>
      <c r="P7" s="100"/>
      <c r="Q7" s="101"/>
      <c r="R7" s="76"/>
      <c r="S7" s="79"/>
      <c r="T7" s="80"/>
      <c r="U7" s="81"/>
      <c r="V7" s="98"/>
      <c r="W7" s="99"/>
      <c r="X7" s="100"/>
      <c r="Y7" s="101"/>
    </row>
    <row r="8" spans="1:25" ht="12">
      <c r="A8" s="2">
        <v>4</v>
      </c>
      <c r="B8" s="76"/>
      <c r="C8" s="79"/>
      <c r="D8" s="80"/>
      <c r="E8" s="81"/>
      <c r="F8" s="98"/>
      <c r="G8" s="99"/>
      <c r="H8" s="100"/>
      <c r="I8" s="101"/>
      <c r="J8" s="76"/>
      <c r="K8" s="79"/>
      <c r="L8" s="80"/>
      <c r="M8" s="81"/>
      <c r="N8" s="98"/>
      <c r="O8" s="99"/>
      <c r="P8" s="100"/>
      <c r="Q8" s="101"/>
      <c r="R8" s="76"/>
      <c r="S8" s="79"/>
      <c r="T8" s="80"/>
      <c r="U8" s="81"/>
      <c r="V8" s="98"/>
      <c r="W8" s="99"/>
      <c r="X8" s="100"/>
      <c r="Y8" s="101"/>
    </row>
    <row r="9" spans="1:25" ht="12">
      <c r="A9" s="2">
        <v>5</v>
      </c>
      <c r="B9" s="76"/>
      <c r="C9" s="79"/>
      <c r="D9" s="80"/>
      <c r="E9" s="81"/>
      <c r="F9" s="98"/>
      <c r="G9" s="99"/>
      <c r="H9" s="100"/>
      <c r="I9" s="101"/>
      <c r="J9" s="76"/>
      <c r="K9" s="79"/>
      <c r="L9" s="80"/>
      <c r="M9" s="81"/>
      <c r="N9" s="98"/>
      <c r="O9" s="99"/>
      <c r="P9" s="100"/>
      <c r="Q9" s="101"/>
      <c r="R9" s="76"/>
      <c r="S9" s="79"/>
      <c r="T9" s="80"/>
      <c r="U9" s="81"/>
      <c r="V9" s="98"/>
      <c r="W9" s="99"/>
      <c r="X9" s="100"/>
      <c r="Y9" s="101"/>
    </row>
    <row r="10" spans="1:25" ht="12">
      <c r="A10" s="2">
        <v>6</v>
      </c>
      <c r="B10" s="76"/>
      <c r="C10" s="79"/>
      <c r="D10" s="80"/>
      <c r="E10" s="81"/>
      <c r="F10" s="98"/>
      <c r="G10" s="99"/>
      <c r="H10" s="100"/>
      <c r="I10" s="101"/>
      <c r="J10" s="76"/>
      <c r="K10" s="79"/>
      <c r="L10" s="80"/>
      <c r="M10" s="81"/>
      <c r="N10" s="98"/>
      <c r="O10" s="99"/>
      <c r="P10" s="100"/>
      <c r="Q10" s="101"/>
      <c r="R10" s="76"/>
      <c r="S10" s="79"/>
      <c r="T10" s="80"/>
      <c r="U10" s="81"/>
      <c r="V10" s="98"/>
      <c r="W10" s="99"/>
      <c r="X10" s="100"/>
      <c r="Y10" s="101"/>
    </row>
    <row r="11" spans="1:25" ht="12">
      <c r="A11" s="2">
        <v>7</v>
      </c>
      <c r="B11" s="82" t="s">
        <v>437</v>
      </c>
      <c r="C11" s="79"/>
      <c r="D11" s="80"/>
      <c r="E11" s="78" t="s">
        <v>437</v>
      </c>
      <c r="F11" s="98"/>
      <c r="G11" s="99"/>
      <c r="H11" s="100"/>
      <c r="I11" s="101"/>
      <c r="J11" s="82" t="s">
        <v>437</v>
      </c>
      <c r="K11" s="79"/>
      <c r="L11" s="80"/>
      <c r="M11" s="81"/>
      <c r="N11" s="98"/>
      <c r="O11" s="99"/>
      <c r="P11" s="100"/>
      <c r="Q11" s="101"/>
      <c r="R11" s="76"/>
      <c r="S11" s="79"/>
      <c r="T11" s="80"/>
      <c r="U11" s="81"/>
      <c r="V11" s="98"/>
      <c r="W11" s="99"/>
      <c r="X11" s="100"/>
      <c r="Y11" s="101"/>
    </row>
    <row r="12" spans="1:25" ht="12">
      <c r="A12" s="2">
        <v>8</v>
      </c>
      <c r="B12" s="76"/>
      <c r="C12" s="79"/>
      <c r="D12" s="77" t="s">
        <v>437</v>
      </c>
      <c r="E12" s="81"/>
      <c r="F12" s="98"/>
      <c r="G12" s="99"/>
      <c r="H12" s="100"/>
      <c r="I12" s="101"/>
      <c r="J12" s="76"/>
      <c r="K12" s="79"/>
      <c r="L12" s="80"/>
      <c r="M12" s="78" t="s">
        <v>437</v>
      </c>
      <c r="N12" s="98"/>
      <c r="O12" s="99"/>
      <c r="P12" s="100"/>
      <c r="Q12" s="101"/>
      <c r="R12" s="82" t="s">
        <v>437</v>
      </c>
      <c r="S12" s="79"/>
      <c r="T12" s="80"/>
      <c r="U12" s="78" t="s">
        <v>437</v>
      </c>
      <c r="V12" s="98"/>
      <c r="W12" s="99"/>
      <c r="X12" s="100"/>
      <c r="Y12" s="101"/>
    </row>
    <row r="13" spans="1:25" ht="12">
      <c r="A13" s="2">
        <v>9</v>
      </c>
      <c r="B13" s="76"/>
      <c r="C13" s="77" t="s">
        <v>437</v>
      </c>
      <c r="D13" s="80"/>
      <c r="E13" s="81"/>
      <c r="F13" s="98"/>
      <c r="G13" s="99"/>
      <c r="H13" s="100"/>
      <c r="I13" s="101"/>
      <c r="J13" s="76"/>
      <c r="K13" s="77" t="s">
        <v>437</v>
      </c>
      <c r="L13" s="77" t="s">
        <v>437</v>
      </c>
      <c r="M13" s="81"/>
      <c r="N13" s="98"/>
      <c r="O13" s="99"/>
      <c r="P13" s="100"/>
      <c r="Q13" s="101"/>
      <c r="R13" s="76"/>
      <c r="S13" s="77" t="s">
        <v>437</v>
      </c>
      <c r="T13" s="80"/>
      <c r="U13" s="81"/>
      <c r="V13" s="98"/>
      <c r="W13" s="99"/>
      <c r="X13" s="100"/>
      <c r="Y13" s="101"/>
    </row>
    <row r="14" spans="1:25" ht="12">
      <c r="A14" s="2">
        <v>10</v>
      </c>
      <c r="B14" s="76"/>
      <c r="C14" s="79"/>
      <c r="D14" s="80"/>
      <c r="E14" s="81"/>
      <c r="F14" s="98"/>
      <c r="G14" s="99"/>
      <c r="H14" s="100"/>
      <c r="I14" s="101"/>
      <c r="J14" s="76"/>
      <c r="K14" s="79"/>
      <c r="L14" s="80"/>
      <c r="M14" s="81"/>
      <c r="N14" s="98"/>
      <c r="O14" s="99"/>
      <c r="P14" s="100"/>
      <c r="Q14" s="101"/>
      <c r="R14" s="76"/>
      <c r="S14" s="79"/>
      <c r="T14" s="80"/>
      <c r="U14" s="81"/>
      <c r="V14" s="98"/>
      <c r="W14" s="99"/>
      <c r="X14" s="100"/>
      <c r="Y14" s="101"/>
    </row>
    <row r="15" spans="1:25" ht="12">
      <c r="A15" s="2">
        <v>11</v>
      </c>
      <c r="B15" s="76"/>
      <c r="C15" s="79"/>
      <c r="D15" s="80"/>
      <c r="E15" s="81"/>
      <c r="F15" s="82" t="s">
        <v>437</v>
      </c>
      <c r="G15" s="99"/>
      <c r="H15" s="100"/>
      <c r="I15" s="101"/>
      <c r="J15" s="76"/>
      <c r="K15" s="79"/>
      <c r="L15" s="80"/>
      <c r="M15" s="81"/>
      <c r="N15" s="82" t="s">
        <v>437</v>
      </c>
      <c r="O15" s="99"/>
      <c r="P15" s="100"/>
      <c r="Q15" s="101"/>
      <c r="R15" s="76"/>
      <c r="S15" s="79"/>
      <c r="T15" s="77" t="s">
        <v>437</v>
      </c>
      <c r="U15" s="81"/>
      <c r="V15" s="82" t="s">
        <v>437</v>
      </c>
      <c r="W15" s="99"/>
      <c r="X15" s="100"/>
      <c r="Y15" s="101"/>
    </row>
    <row r="16" spans="1:25" ht="12">
      <c r="A16" s="2">
        <v>12</v>
      </c>
      <c r="B16" s="76"/>
      <c r="C16" s="79"/>
      <c r="D16" s="80"/>
      <c r="E16" s="81"/>
      <c r="F16" s="98"/>
      <c r="G16" s="99"/>
      <c r="H16" s="100"/>
      <c r="I16" s="101"/>
      <c r="J16" s="76"/>
      <c r="K16" s="79"/>
      <c r="L16" s="80"/>
      <c r="M16" s="81"/>
      <c r="N16" s="98"/>
      <c r="O16" s="99"/>
      <c r="P16" s="100"/>
      <c r="Q16" s="101"/>
      <c r="R16" s="76"/>
      <c r="S16" s="79"/>
      <c r="T16" s="80"/>
      <c r="U16" s="81"/>
      <c r="V16" s="98"/>
      <c r="W16" s="77" t="s">
        <v>437</v>
      </c>
      <c r="X16" s="100"/>
      <c r="Y16" s="101"/>
    </row>
    <row r="17" spans="1:25" ht="12">
      <c r="A17" s="2">
        <v>13</v>
      </c>
      <c r="B17" s="76"/>
      <c r="C17" s="79"/>
      <c r="D17" s="80"/>
      <c r="E17" s="81"/>
      <c r="F17" s="98"/>
      <c r="G17" s="99"/>
      <c r="H17" s="100"/>
      <c r="I17" s="101"/>
      <c r="J17" s="76"/>
      <c r="K17" s="79"/>
      <c r="L17" s="80"/>
      <c r="M17" s="81"/>
      <c r="N17" s="98"/>
      <c r="O17" s="99"/>
      <c r="P17" s="100"/>
      <c r="Q17" s="101"/>
      <c r="R17" s="76"/>
      <c r="S17" s="79"/>
      <c r="T17" s="80"/>
      <c r="U17" s="81"/>
      <c r="V17" s="98"/>
      <c r="W17" s="99"/>
      <c r="X17" s="100"/>
      <c r="Y17" s="101"/>
    </row>
    <row r="18" spans="1:25" ht="12">
      <c r="A18" s="2">
        <v>14</v>
      </c>
      <c r="B18" s="82" t="s">
        <v>620</v>
      </c>
      <c r="C18" s="79"/>
      <c r="D18" s="80"/>
      <c r="E18" s="78" t="s">
        <v>154</v>
      </c>
      <c r="F18" s="98"/>
      <c r="G18" s="99"/>
      <c r="H18" s="77" t="s">
        <v>437</v>
      </c>
      <c r="I18" s="101"/>
      <c r="J18" s="82" t="s">
        <v>620</v>
      </c>
      <c r="K18" s="79"/>
      <c r="L18" s="80"/>
      <c r="M18" s="81"/>
      <c r="N18" s="98"/>
      <c r="O18" s="99"/>
      <c r="P18" s="100"/>
      <c r="Q18" s="101"/>
      <c r="R18" s="76"/>
      <c r="S18" s="79"/>
      <c r="T18" s="80"/>
      <c r="U18" s="81"/>
      <c r="V18" s="98"/>
      <c r="W18" s="99"/>
      <c r="X18" s="100"/>
      <c r="Y18" s="78" t="s">
        <v>437</v>
      </c>
    </row>
    <row r="19" spans="1:25" ht="12">
      <c r="A19" s="2">
        <v>15</v>
      </c>
      <c r="B19" s="76"/>
      <c r="C19" s="79"/>
      <c r="D19" s="77" t="s">
        <v>154</v>
      </c>
      <c r="E19" s="81"/>
      <c r="F19" s="98"/>
      <c r="G19" s="99"/>
      <c r="H19" s="100"/>
      <c r="I19" s="78" t="s">
        <v>437</v>
      </c>
      <c r="J19" s="76"/>
      <c r="K19" s="79"/>
      <c r="L19" s="77" t="s">
        <v>154</v>
      </c>
      <c r="M19" s="78" t="s">
        <v>154</v>
      </c>
      <c r="N19" s="98"/>
      <c r="O19" s="99"/>
      <c r="P19" s="100"/>
      <c r="Q19" s="78" t="s">
        <v>437</v>
      </c>
      <c r="R19" s="76"/>
      <c r="S19" s="79"/>
      <c r="T19" s="80"/>
      <c r="U19" s="81"/>
      <c r="V19" s="98"/>
      <c r="W19" s="99"/>
      <c r="X19" s="100"/>
      <c r="Y19" s="101"/>
    </row>
    <row r="20" spans="1:25" ht="12">
      <c r="A20" s="2">
        <v>16</v>
      </c>
      <c r="B20" s="76"/>
      <c r="C20" s="77" t="s">
        <v>154</v>
      </c>
      <c r="D20" s="80"/>
      <c r="E20" s="81"/>
      <c r="F20" s="98"/>
      <c r="G20" s="77" t="s">
        <v>437</v>
      </c>
      <c r="H20" s="100"/>
      <c r="I20" s="101"/>
      <c r="J20" s="76"/>
      <c r="K20" s="77" t="s">
        <v>154</v>
      </c>
      <c r="L20" s="80"/>
      <c r="M20" s="81"/>
      <c r="N20" s="98"/>
      <c r="O20" s="77" t="s">
        <v>437</v>
      </c>
      <c r="P20" s="100"/>
      <c r="Q20" s="101"/>
      <c r="R20" s="82" t="s">
        <v>437</v>
      </c>
      <c r="S20" s="79"/>
      <c r="T20" s="80"/>
      <c r="U20" s="78" t="s">
        <v>691</v>
      </c>
      <c r="V20" s="98"/>
      <c r="W20" s="99"/>
      <c r="X20" s="77" t="s">
        <v>437</v>
      </c>
      <c r="Y20" s="101"/>
    </row>
    <row r="21" spans="1:25" ht="12">
      <c r="A21" s="2">
        <v>17</v>
      </c>
      <c r="B21" s="76"/>
      <c r="C21" s="79"/>
      <c r="D21" s="80"/>
      <c r="E21" s="81"/>
      <c r="F21" s="98"/>
      <c r="G21" s="99"/>
      <c r="H21" s="100"/>
      <c r="I21" s="101"/>
      <c r="J21" s="76"/>
      <c r="K21" s="79"/>
      <c r="L21" s="80"/>
      <c r="M21" s="81"/>
      <c r="N21" s="98"/>
      <c r="O21" s="99"/>
      <c r="P21" s="77" t="s">
        <v>437</v>
      </c>
      <c r="Q21" s="101"/>
      <c r="R21" s="76"/>
      <c r="S21" s="77" t="s">
        <v>691</v>
      </c>
      <c r="T21" s="80"/>
      <c r="U21" s="81"/>
      <c r="V21" s="98"/>
      <c r="W21" s="99"/>
      <c r="X21" s="100"/>
      <c r="Y21" s="101"/>
    </row>
    <row r="22" spans="1:25" ht="12">
      <c r="A22" s="2">
        <v>18</v>
      </c>
      <c r="B22" s="76"/>
      <c r="C22" s="79"/>
      <c r="D22" s="80"/>
      <c r="E22" s="81"/>
      <c r="F22" s="98"/>
      <c r="G22" s="99"/>
      <c r="H22" s="100"/>
      <c r="I22" s="101"/>
      <c r="J22" s="76"/>
      <c r="K22" s="79"/>
      <c r="L22" s="80"/>
      <c r="M22" s="81"/>
      <c r="N22" s="98"/>
      <c r="O22" s="99"/>
      <c r="P22" s="100"/>
      <c r="Q22" s="101"/>
      <c r="R22" s="76"/>
      <c r="S22" s="79"/>
      <c r="T22" s="80"/>
      <c r="U22" s="81"/>
      <c r="V22" s="98"/>
      <c r="W22" s="99"/>
      <c r="X22" s="100"/>
      <c r="Y22" s="101"/>
    </row>
    <row r="23" spans="1:25" ht="12">
      <c r="A23" s="2">
        <v>19</v>
      </c>
      <c r="B23" s="76"/>
      <c r="C23" s="79"/>
      <c r="D23" s="80"/>
      <c r="E23" s="81"/>
      <c r="F23" s="98"/>
      <c r="G23" s="99"/>
      <c r="H23" s="77" t="s">
        <v>154</v>
      </c>
      <c r="I23" s="101"/>
      <c r="J23" s="76"/>
      <c r="K23" s="79"/>
      <c r="L23" s="80"/>
      <c r="M23" s="81"/>
      <c r="N23" s="98"/>
      <c r="O23" s="99"/>
      <c r="P23" s="100"/>
      <c r="Q23" s="101"/>
      <c r="R23" s="76"/>
      <c r="S23" s="79"/>
      <c r="T23" s="77" t="s">
        <v>691</v>
      </c>
      <c r="U23" s="81"/>
      <c r="V23" s="98"/>
      <c r="W23" s="99"/>
      <c r="X23" s="100"/>
      <c r="Y23" s="101"/>
    </row>
    <row r="24" spans="1:25" ht="12">
      <c r="A24" s="2">
        <v>20</v>
      </c>
      <c r="B24" s="76"/>
      <c r="C24" s="79"/>
      <c r="D24" s="80"/>
      <c r="E24" s="81"/>
      <c r="F24" s="98"/>
      <c r="G24" s="99"/>
      <c r="H24" s="100"/>
      <c r="I24" s="101"/>
      <c r="J24" s="76"/>
      <c r="K24" s="79"/>
      <c r="L24" s="80"/>
      <c r="M24" s="81"/>
      <c r="N24" s="98"/>
      <c r="O24" s="99"/>
      <c r="P24" s="100"/>
      <c r="Q24" s="101"/>
      <c r="R24" s="76"/>
      <c r="S24" s="79"/>
      <c r="T24" s="80"/>
      <c r="U24" s="81"/>
      <c r="V24" s="98"/>
      <c r="W24" s="99"/>
      <c r="X24" s="100"/>
      <c r="Y24" s="101"/>
    </row>
    <row r="25" spans="1:25" ht="12">
      <c r="A25" s="2">
        <v>21</v>
      </c>
      <c r="B25" s="76"/>
      <c r="C25" s="79"/>
      <c r="D25" s="80"/>
      <c r="E25" s="81"/>
      <c r="F25" s="98"/>
      <c r="G25" s="99"/>
      <c r="H25" s="100"/>
      <c r="I25" s="101"/>
      <c r="J25" s="76"/>
      <c r="K25" s="79"/>
      <c r="L25" s="80"/>
      <c r="M25" s="81"/>
      <c r="N25" s="98"/>
      <c r="O25" s="99"/>
      <c r="P25" s="100"/>
      <c r="Q25" s="101"/>
      <c r="R25" s="76"/>
      <c r="S25" s="79"/>
      <c r="T25" s="80"/>
      <c r="U25" s="81"/>
      <c r="V25" s="98"/>
      <c r="W25" s="99"/>
      <c r="X25" s="100"/>
      <c r="Y25" s="101"/>
    </row>
    <row r="26" spans="1:25" ht="12">
      <c r="A26" s="2">
        <v>22</v>
      </c>
      <c r="B26" s="82" t="s">
        <v>437</v>
      </c>
      <c r="C26" s="79"/>
      <c r="D26" s="80"/>
      <c r="E26" s="78" t="s">
        <v>437</v>
      </c>
      <c r="F26" s="82" t="s">
        <v>620</v>
      </c>
      <c r="G26" s="99"/>
      <c r="H26" s="100"/>
      <c r="I26" s="101"/>
      <c r="J26" s="82" t="s">
        <v>437</v>
      </c>
      <c r="K26" s="79"/>
      <c r="L26" s="80"/>
      <c r="M26" s="81"/>
      <c r="N26" s="82" t="s">
        <v>620</v>
      </c>
      <c r="O26" s="99"/>
      <c r="P26" s="100"/>
      <c r="Q26" s="101"/>
      <c r="R26" s="76"/>
      <c r="S26" s="79"/>
      <c r="T26" s="80"/>
      <c r="U26" s="81"/>
      <c r="V26" s="82" t="s">
        <v>437</v>
      </c>
      <c r="W26" s="99"/>
      <c r="X26" s="100"/>
      <c r="Y26" s="101"/>
    </row>
    <row r="27" spans="1:25" ht="12">
      <c r="A27" s="2">
        <v>23</v>
      </c>
      <c r="B27" s="76"/>
      <c r="C27" s="79"/>
      <c r="D27" s="77" t="s">
        <v>437</v>
      </c>
      <c r="E27" s="81"/>
      <c r="F27" s="98"/>
      <c r="G27" s="99"/>
      <c r="H27" s="100"/>
      <c r="I27" s="101"/>
      <c r="J27" s="76"/>
      <c r="K27" s="79"/>
      <c r="L27" s="77" t="s">
        <v>437</v>
      </c>
      <c r="M27" s="78" t="s">
        <v>437</v>
      </c>
      <c r="N27" s="98"/>
      <c r="O27" s="99"/>
      <c r="P27" s="100"/>
      <c r="Q27" s="101"/>
      <c r="R27" s="76"/>
      <c r="S27" s="79"/>
      <c r="T27" s="80"/>
      <c r="U27" s="81"/>
      <c r="V27" s="98"/>
      <c r="W27" s="77" t="s">
        <v>691</v>
      </c>
      <c r="X27" s="77" t="s">
        <v>691</v>
      </c>
      <c r="Y27" s="101"/>
    </row>
    <row r="28" spans="1:25" ht="12">
      <c r="A28" s="2">
        <v>24</v>
      </c>
      <c r="B28" s="76"/>
      <c r="C28" s="77" t="s">
        <v>437</v>
      </c>
      <c r="D28" s="80"/>
      <c r="E28" s="81"/>
      <c r="F28" s="98"/>
      <c r="G28" s="99"/>
      <c r="H28" s="100"/>
      <c r="I28" s="101"/>
      <c r="J28" s="76"/>
      <c r="K28" s="77" t="s">
        <v>437</v>
      </c>
      <c r="L28" s="80"/>
      <c r="M28" s="81"/>
      <c r="N28" s="98"/>
      <c r="O28" s="99"/>
      <c r="P28" s="77" t="s">
        <v>154</v>
      </c>
      <c r="Q28" s="101"/>
      <c r="R28" s="76"/>
      <c r="S28" s="79"/>
      <c r="T28" s="80"/>
      <c r="U28" s="81"/>
      <c r="V28" s="98"/>
      <c r="W28" s="99"/>
      <c r="X28" s="100"/>
      <c r="Y28" s="101"/>
    </row>
    <row r="29" spans="1:25" ht="12">
      <c r="A29" s="2">
        <v>25</v>
      </c>
      <c r="B29" s="76"/>
      <c r="C29" s="79"/>
      <c r="D29" s="80"/>
      <c r="E29" s="81"/>
      <c r="F29" s="98"/>
      <c r="G29" s="99"/>
      <c r="H29" s="100"/>
      <c r="I29" s="101"/>
      <c r="J29" s="76"/>
      <c r="K29" s="79"/>
      <c r="L29" s="80"/>
      <c r="M29" s="81"/>
      <c r="N29" s="98"/>
      <c r="O29" s="99"/>
      <c r="P29" s="100"/>
      <c r="Q29" s="101"/>
      <c r="R29" s="76"/>
      <c r="S29" s="79"/>
      <c r="T29" s="80"/>
      <c r="U29" s="81"/>
      <c r="V29" s="98"/>
      <c r="W29" s="99"/>
      <c r="X29" s="100"/>
      <c r="Y29" s="78" t="s">
        <v>691</v>
      </c>
    </row>
    <row r="30" spans="1:25" ht="12">
      <c r="A30" s="2">
        <v>26</v>
      </c>
      <c r="B30" s="76"/>
      <c r="C30" s="79"/>
      <c r="D30" s="80"/>
      <c r="E30" s="81"/>
      <c r="F30" s="98"/>
      <c r="G30" s="99"/>
      <c r="H30" s="100"/>
      <c r="I30" s="78" t="s">
        <v>154</v>
      </c>
      <c r="J30" s="76"/>
      <c r="K30" s="79"/>
      <c r="L30" s="80"/>
      <c r="M30" s="81"/>
      <c r="N30" s="98"/>
      <c r="O30" s="99"/>
      <c r="P30" s="100"/>
      <c r="Q30" s="78" t="s">
        <v>154</v>
      </c>
      <c r="R30" s="82" t="s">
        <v>691</v>
      </c>
      <c r="S30" s="79"/>
      <c r="T30" s="80"/>
      <c r="U30" s="78" t="s">
        <v>437</v>
      </c>
      <c r="V30" s="98"/>
      <c r="W30" s="99"/>
      <c r="X30" s="100"/>
      <c r="Y30" s="101"/>
    </row>
    <row r="31" spans="1:25" ht="12">
      <c r="A31" s="2">
        <v>27</v>
      </c>
      <c r="B31" s="76"/>
      <c r="C31" s="79"/>
      <c r="D31" s="80"/>
      <c r="E31" s="81"/>
      <c r="F31" s="98"/>
      <c r="G31" s="77" t="s">
        <v>154</v>
      </c>
      <c r="H31" s="100"/>
      <c r="I31" s="101"/>
      <c r="J31" s="76"/>
      <c r="K31" s="79"/>
      <c r="L31" s="80"/>
      <c r="M31" s="81"/>
      <c r="N31" s="98"/>
      <c r="O31" s="77" t="s">
        <v>154</v>
      </c>
      <c r="P31" s="100"/>
      <c r="Q31" s="101"/>
      <c r="R31" s="76"/>
      <c r="S31" s="77" t="s">
        <v>437</v>
      </c>
      <c r="T31" s="80"/>
      <c r="U31" s="81"/>
      <c r="V31" s="98"/>
      <c r="W31" s="99"/>
      <c r="X31" s="100"/>
      <c r="Y31" s="101"/>
    </row>
    <row r="32" spans="1:25" ht="12">
      <c r="A32" s="2">
        <v>28</v>
      </c>
      <c r="B32" s="76"/>
      <c r="C32" s="79"/>
      <c r="D32" s="80"/>
      <c r="E32" s="81"/>
      <c r="F32" s="98"/>
      <c r="G32" s="99"/>
      <c r="H32" s="100"/>
      <c r="I32" s="101"/>
      <c r="J32" s="76"/>
      <c r="K32" s="79"/>
      <c r="L32" s="80"/>
      <c r="M32" s="81"/>
      <c r="N32" s="98"/>
      <c r="O32" s="99"/>
      <c r="P32" s="100"/>
      <c r="Q32" s="101"/>
      <c r="R32" s="76"/>
      <c r="S32" s="79"/>
      <c r="T32" s="80"/>
      <c r="U32" s="81"/>
      <c r="V32" s="98"/>
      <c r="W32" s="99"/>
      <c r="X32" s="100"/>
      <c r="Y32" s="101"/>
    </row>
    <row r="33" spans="1:25" ht="12">
      <c r="A33" s="2">
        <v>29</v>
      </c>
      <c r="B33" s="82" t="s">
        <v>154</v>
      </c>
      <c r="C33" s="79"/>
      <c r="D33" s="80"/>
      <c r="E33" s="78" t="s">
        <v>620</v>
      </c>
      <c r="F33" s="98"/>
      <c r="G33" s="99"/>
      <c r="H33" s="100"/>
      <c r="I33" s="101"/>
      <c r="J33" s="82" t="s">
        <v>154</v>
      </c>
      <c r="K33" s="79"/>
      <c r="L33" s="80"/>
      <c r="M33" s="81"/>
      <c r="N33" s="98"/>
      <c r="O33" s="99"/>
      <c r="P33" s="100"/>
      <c r="Q33" s="101"/>
      <c r="R33" s="76"/>
      <c r="S33" s="79"/>
      <c r="T33" s="77" t="s">
        <v>437</v>
      </c>
      <c r="U33" s="81"/>
      <c r="V33" s="98"/>
      <c r="W33" s="99"/>
      <c r="X33" s="100"/>
      <c r="Y33" s="101"/>
    </row>
    <row r="34" spans="1:25" ht="12">
      <c r="A34" s="2">
        <v>30</v>
      </c>
      <c r="B34" s="76"/>
      <c r="C34" s="79"/>
      <c r="D34" s="77" t="s">
        <v>620</v>
      </c>
      <c r="E34" s="81"/>
      <c r="F34" s="98"/>
      <c r="G34" s="99"/>
      <c r="H34" s="77" t="s">
        <v>437</v>
      </c>
      <c r="I34" s="101"/>
      <c r="J34" s="76"/>
      <c r="K34" s="79"/>
      <c r="L34" s="77" t="s">
        <v>620</v>
      </c>
      <c r="M34" s="78" t="s">
        <v>620</v>
      </c>
      <c r="N34" s="98"/>
      <c r="O34" s="99"/>
      <c r="P34" s="100"/>
      <c r="Q34" s="101"/>
      <c r="R34" s="76"/>
      <c r="S34" s="79"/>
      <c r="T34" s="80"/>
      <c r="U34" s="81"/>
      <c r="V34" s="98"/>
      <c r="W34" s="99"/>
      <c r="X34" s="100"/>
      <c r="Y34" s="101"/>
    </row>
    <row r="35" spans="1:25" ht="12">
      <c r="A35" s="2">
        <v>31</v>
      </c>
      <c r="B35" s="76"/>
      <c r="C35" s="77" t="s">
        <v>620</v>
      </c>
      <c r="D35" s="80"/>
      <c r="E35" s="81"/>
      <c r="F35" s="98"/>
      <c r="G35" s="99"/>
      <c r="H35" s="100"/>
      <c r="I35" s="101"/>
      <c r="J35" s="76"/>
      <c r="K35" s="77" t="s">
        <v>620</v>
      </c>
      <c r="L35" s="80"/>
      <c r="M35" s="81"/>
      <c r="N35" s="98"/>
      <c r="O35" s="99"/>
      <c r="P35" s="100"/>
      <c r="Q35" s="101"/>
      <c r="R35" s="76"/>
      <c r="S35" s="79"/>
      <c r="T35" s="80"/>
      <c r="U35" s="81"/>
      <c r="V35" s="98"/>
      <c r="W35" s="99"/>
      <c r="X35" s="77" t="s">
        <v>437</v>
      </c>
      <c r="Y35" s="101"/>
    </row>
    <row r="36" spans="1:25" ht="12">
      <c r="A36" s="2">
        <v>32</v>
      </c>
      <c r="B36" s="76"/>
      <c r="C36" s="79"/>
      <c r="D36" s="80"/>
      <c r="E36" s="81"/>
      <c r="F36" s="98"/>
      <c r="G36" s="99"/>
      <c r="H36" s="100"/>
      <c r="I36" s="101"/>
      <c r="J36" s="76"/>
      <c r="K36" s="79"/>
      <c r="L36" s="80"/>
      <c r="M36" s="81"/>
      <c r="N36" s="98"/>
      <c r="O36" s="99"/>
      <c r="P36" s="100"/>
      <c r="Q36" s="101"/>
      <c r="R36" s="76"/>
      <c r="S36" s="79"/>
      <c r="T36" s="80"/>
      <c r="U36" s="81"/>
      <c r="V36" s="98"/>
      <c r="W36" s="99"/>
      <c r="X36" s="100"/>
      <c r="Y36" s="101"/>
    </row>
    <row r="37" spans="1:25" ht="12">
      <c r="A37" s="2">
        <v>33</v>
      </c>
      <c r="B37" s="76"/>
      <c r="C37" s="79"/>
      <c r="D37" s="80"/>
      <c r="E37" s="81"/>
      <c r="F37" s="98"/>
      <c r="G37" s="99"/>
      <c r="H37" s="100"/>
      <c r="I37" s="101"/>
      <c r="J37" s="76"/>
      <c r="K37" s="79"/>
      <c r="L37" s="80"/>
      <c r="M37" s="81"/>
      <c r="N37" s="98"/>
      <c r="O37" s="99"/>
      <c r="P37" s="100"/>
      <c r="Q37" s="101"/>
      <c r="R37" s="76"/>
      <c r="S37" s="79"/>
      <c r="T37" s="80"/>
      <c r="U37" s="81"/>
      <c r="V37" s="82" t="s">
        <v>691</v>
      </c>
      <c r="W37" s="99"/>
      <c r="X37" s="100"/>
      <c r="Y37" s="101"/>
    </row>
    <row r="38" spans="1:25" ht="12">
      <c r="A38" s="2">
        <v>34</v>
      </c>
      <c r="B38" s="76"/>
      <c r="C38" s="79"/>
      <c r="D38" s="80"/>
      <c r="E38" s="81"/>
      <c r="F38" s="98"/>
      <c r="G38" s="99"/>
      <c r="H38" s="100"/>
      <c r="I38" s="101"/>
      <c r="J38" s="76"/>
      <c r="K38" s="79"/>
      <c r="L38" s="80"/>
      <c r="M38" s="81"/>
      <c r="N38" s="98"/>
      <c r="O38" s="99"/>
      <c r="P38" s="100"/>
      <c r="Q38" s="101"/>
      <c r="R38" s="76"/>
      <c r="S38" s="79"/>
      <c r="T38" s="80"/>
      <c r="U38" s="78" t="s">
        <v>154</v>
      </c>
      <c r="V38" s="98"/>
      <c r="W38" s="99"/>
      <c r="X38" s="100"/>
      <c r="Y38" s="101"/>
    </row>
    <row r="39" spans="1:25" ht="12">
      <c r="A39" s="2">
        <v>35</v>
      </c>
      <c r="B39" s="76"/>
      <c r="C39" s="79"/>
      <c r="D39" s="80"/>
      <c r="E39" s="81"/>
      <c r="F39" s="102"/>
      <c r="G39" s="103"/>
      <c r="H39" s="104"/>
      <c r="I39" s="105"/>
      <c r="J39" s="106"/>
      <c r="K39" s="107"/>
      <c r="L39" s="108"/>
      <c r="M39" s="109"/>
      <c r="N39" s="102"/>
      <c r="O39" s="103"/>
      <c r="P39" s="104"/>
      <c r="Q39" s="105"/>
      <c r="R39" s="106"/>
      <c r="S39" s="107"/>
      <c r="T39" s="108"/>
      <c r="U39" s="109"/>
      <c r="V39" s="102"/>
      <c r="W39" s="103"/>
      <c r="X39" s="104"/>
      <c r="Y39" s="105"/>
    </row>
    <row r="40" spans="1:25" s="2" customFormat="1" ht="12">
      <c r="A40" s="71" t="s">
        <v>155</v>
      </c>
      <c r="B40" s="71">
        <v>2</v>
      </c>
      <c r="C40" s="71">
        <v>4</v>
      </c>
      <c r="D40" s="71">
        <v>3</v>
      </c>
      <c r="E40" s="71">
        <v>2</v>
      </c>
      <c r="F40" s="71">
        <v>2</v>
      </c>
      <c r="G40" s="71">
        <v>7</v>
      </c>
      <c r="H40" s="71">
        <v>0</v>
      </c>
      <c r="I40" s="71">
        <v>6</v>
      </c>
      <c r="J40" s="71">
        <v>2</v>
      </c>
      <c r="K40" s="71">
        <v>4</v>
      </c>
      <c r="L40" s="71">
        <v>3</v>
      </c>
      <c r="M40" s="71">
        <v>3</v>
      </c>
      <c r="N40" s="71">
        <v>2</v>
      </c>
      <c r="O40" s="71">
        <v>7</v>
      </c>
      <c r="P40" s="71">
        <v>4</v>
      </c>
      <c r="Q40" s="71">
        <v>6</v>
      </c>
      <c r="R40" s="71">
        <v>1</v>
      </c>
      <c r="S40" s="71">
        <v>0</v>
      </c>
      <c r="T40" s="71">
        <v>2</v>
      </c>
      <c r="U40" s="71">
        <v>9</v>
      </c>
      <c r="V40" s="71">
        <v>12</v>
      </c>
      <c r="W40" s="71">
        <v>2</v>
      </c>
      <c r="X40" s="71">
        <v>3</v>
      </c>
      <c r="Y40" s="71">
        <v>4</v>
      </c>
    </row>
    <row r="41" spans="1:25" s="2" customFormat="1" ht="12">
      <c r="A41" s="146" t="s">
        <v>455</v>
      </c>
      <c r="B41" s="212">
        <f>E54</f>
        <v>0</v>
      </c>
      <c r="C41" s="212">
        <f>E68</f>
        <v>5.777288135593221</v>
      </c>
      <c r="D41" s="212">
        <f>E82</f>
        <v>7.268668280871672</v>
      </c>
      <c r="E41" s="212">
        <f>E96</f>
        <v>9.223389830508475</v>
      </c>
      <c r="F41" s="212">
        <f>I54</f>
        <v>0</v>
      </c>
      <c r="G41" s="212">
        <f>I68</f>
        <v>5.777288135593221</v>
      </c>
      <c r="H41" s="212">
        <f>I82</f>
        <v>7.268668280871672</v>
      </c>
      <c r="I41" s="212">
        <f>I96</f>
        <v>9.223389830508475</v>
      </c>
      <c r="J41" s="212">
        <f>E110</f>
        <v>0</v>
      </c>
      <c r="K41" s="212">
        <f>E124</f>
        <v>5.777288135593221</v>
      </c>
      <c r="L41" s="212">
        <f>E138</f>
        <v>7.268668280871672</v>
      </c>
      <c r="M41" s="212">
        <f>E152</f>
        <v>9.223389830508475</v>
      </c>
      <c r="N41" s="212">
        <f>I110</f>
        <v>0</v>
      </c>
      <c r="O41" s="212">
        <f>I124</f>
        <v>5.777288135593221</v>
      </c>
      <c r="P41" s="212">
        <f>I138</f>
        <v>7.268668280871672</v>
      </c>
      <c r="Q41" s="212">
        <f>I152</f>
        <v>9.223389830508475</v>
      </c>
      <c r="R41" s="212">
        <f>E166</f>
        <v>0</v>
      </c>
      <c r="S41" s="212">
        <f>E180</f>
        <v>1.4769007263922518</v>
      </c>
      <c r="T41" s="212">
        <f>E193</f>
        <v>5.777288135593221</v>
      </c>
      <c r="U41" s="212">
        <f>E207</f>
        <v>7.760968523002422</v>
      </c>
      <c r="V41" s="212">
        <f>I166</f>
        <v>0</v>
      </c>
      <c r="W41" s="212">
        <f>I180</f>
        <v>1.4769007263922518</v>
      </c>
      <c r="X41" s="212">
        <f>I193</f>
        <v>5.777288135593221</v>
      </c>
      <c r="Y41" s="212">
        <f>I207</f>
        <v>7.760968523002422</v>
      </c>
    </row>
    <row r="42" spans="1:25" s="2" customFormat="1" ht="12">
      <c r="A42" s="146" t="s">
        <v>710</v>
      </c>
      <c r="B42" s="212">
        <f>E55</f>
        <v>6.324130883335037</v>
      </c>
      <c r="C42" s="212">
        <f>E69</f>
        <v>6.278326166445711</v>
      </c>
      <c r="D42" s="212">
        <f>E83</f>
        <v>6.52945921310354</v>
      </c>
      <c r="E42" s="212">
        <f>E97</f>
        <v>6.790637581627682</v>
      </c>
      <c r="F42" s="212">
        <f>I55</f>
        <v>3.049118885604633</v>
      </c>
      <c r="G42" s="212">
        <f>I69</f>
        <v>3.769160677099163</v>
      </c>
      <c r="H42" s="212">
        <f>I83</f>
        <v>6.757903107093973</v>
      </c>
      <c r="I42" s="212">
        <f>I97</f>
        <v>4.84722725201431</v>
      </c>
      <c r="J42" s="212">
        <f>E111</f>
        <v>6.324130883335037</v>
      </c>
      <c r="K42" s="212">
        <f>E125</f>
        <v>6.278326166445711</v>
      </c>
      <c r="L42" s="212">
        <f>E139</f>
        <v>6.278326166445711</v>
      </c>
      <c r="M42" s="212">
        <f>E153</f>
        <v>6.52945921310354</v>
      </c>
      <c r="N42" s="212">
        <f>I111</f>
        <v>3.049118885604633</v>
      </c>
      <c r="O42" s="212">
        <f>I125</f>
        <v>3.5466701495624657</v>
      </c>
      <c r="P42" s="212">
        <f>I139</f>
        <v>4.126859774707292</v>
      </c>
      <c r="Q42" s="212">
        <f>I153</f>
        <v>3.688536955544965</v>
      </c>
      <c r="R42" s="212">
        <f>E167</f>
        <v>2.1429533775094955</v>
      </c>
      <c r="S42" s="212">
        <f>E181</f>
        <v>3.3305202158829763</v>
      </c>
      <c r="T42" s="212">
        <f>E194</f>
        <v>1.7705406531972216</v>
      </c>
      <c r="U42" s="212">
        <f>E208</f>
        <v>3.845011711432682</v>
      </c>
      <c r="V42" s="212">
        <f>I167</f>
        <v>1.8949429849720438</v>
      </c>
      <c r="W42" s="212">
        <f>I181</f>
        <v>2.3970177158427806</v>
      </c>
      <c r="X42" s="212">
        <f>I194</f>
        <v>1.7238677063618533</v>
      </c>
      <c r="Y42" s="212">
        <f>I208</f>
        <v>2.2161776218960623</v>
      </c>
    </row>
    <row r="43" spans="1:25" s="217" customFormat="1" ht="12">
      <c r="A43" s="215" t="s">
        <v>588</v>
      </c>
      <c r="B43" s="216">
        <f>E56</f>
        <v>0.309744164564081</v>
      </c>
      <c r="C43" s="216">
        <f>E70</f>
        <v>0.46428461497827983</v>
      </c>
      <c r="D43" s="214">
        <f>E84</f>
        <v>0.24142799978870547</v>
      </c>
      <c r="E43" s="216">
        <f>E98</f>
        <v>0</v>
      </c>
      <c r="F43" s="216">
        <f>I56</f>
        <v>0.32503437987282363</v>
      </c>
      <c r="G43" s="216">
        <f>I70</f>
        <v>0</v>
      </c>
      <c r="H43" s="216">
        <f>I84</f>
        <v>1.1977177127923255</v>
      </c>
      <c r="I43" s="216">
        <f>I98</f>
        <v>0.21892118494722881</v>
      </c>
      <c r="J43" s="216">
        <f>E112</f>
        <v>0.309744164564081</v>
      </c>
      <c r="K43" s="216">
        <f>E126</f>
        <v>0.46428461497827983</v>
      </c>
      <c r="L43" s="216">
        <f>E140</f>
        <v>0.46428461497827983</v>
      </c>
      <c r="M43" s="216">
        <f>E154</f>
        <v>0.24142799978870547</v>
      </c>
      <c r="N43" s="216">
        <f>I112</f>
        <v>0.32503437987282363</v>
      </c>
      <c r="O43" s="216">
        <f>I126</f>
        <v>0.6292152928073995</v>
      </c>
      <c r="P43" s="216">
        <f>I140</f>
        <v>0.33363451929258564</v>
      </c>
      <c r="Q43" s="216">
        <f>I154</f>
        <v>0.43625593634646376</v>
      </c>
      <c r="R43" s="216">
        <f>E168</f>
        <v>0.19347531192310236</v>
      </c>
      <c r="S43" s="216">
        <f>E182</f>
        <v>1.250148169349277</v>
      </c>
      <c r="T43" s="216">
        <f>E195</f>
        <v>0.039232049965664643</v>
      </c>
      <c r="U43" s="216">
        <f>E209</f>
        <v>1.4827154160917142</v>
      </c>
      <c r="V43" s="216">
        <f>I168</f>
        <v>0.48028780462850146</v>
      </c>
      <c r="W43" s="216">
        <f>I182</f>
        <v>0.29470159512126953</v>
      </c>
      <c r="X43" s="216">
        <f>I195</f>
        <v>0</v>
      </c>
      <c r="Y43" s="216">
        <f>I209</f>
        <v>0.35031624525721494</v>
      </c>
    </row>
    <row r="44" spans="1:25" ht="12">
      <c r="A44" s="213" t="s">
        <v>711</v>
      </c>
      <c r="B44" s="212">
        <f>E57</f>
        <v>6.0143867187709565</v>
      </c>
      <c r="C44" s="212">
        <f>E71</f>
        <v>11.591329687060654</v>
      </c>
      <c r="D44" s="212">
        <f>E85</f>
        <v>13.556699494186507</v>
      </c>
      <c r="E44" s="212">
        <f>E99</f>
        <v>16.01402741213616</v>
      </c>
      <c r="F44" s="212">
        <f>I57</f>
        <v>2.7240845057318097</v>
      </c>
      <c r="G44" s="212">
        <f>I71</f>
        <v>9.546448812692383</v>
      </c>
      <c r="H44" s="212">
        <f>I85</f>
        <v>12.828853675173319</v>
      </c>
      <c r="I44" s="212">
        <f>I99</f>
        <v>13.851695897575556</v>
      </c>
      <c r="J44" s="212">
        <f>E113</f>
        <v>6.0143867187709565</v>
      </c>
      <c r="K44" s="212">
        <f>E127</f>
        <v>11.591329687060654</v>
      </c>
      <c r="L44" s="212">
        <f>E141</f>
        <v>13.082709832339104</v>
      </c>
      <c r="M44" s="212">
        <f>E155</f>
        <v>15.511421043823312</v>
      </c>
      <c r="N44" s="212">
        <f>I113</f>
        <v>2.7240845057318097</v>
      </c>
      <c r="O44" s="212">
        <f>I127</f>
        <v>8.694742992348287</v>
      </c>
      <c r="P44" s="212">
        <f>I141</f>
        <v>11.061893536286378</v>
      </c>
      <c r="Q44" s="212">
        <f>I155</f>
        <v>12.475670849706976</v>
      </c>
      <c r="R44" s="212">
        <f>E169</f>
        <v>1.9494780655863932</v>
      </c>
      <c r="S44" s="212">
        <f>E183</f>
        <v>3.557272772925951</v>
      </c>
      <c r="T44" s="212">
        <f>E196</f>
        <v>7.508596738824777</v>
      </c>
      <c r="U44" s="212">
        <f>E210</f>
        <v>10.12326481834339</v>
      </c>
      <c r="V44" s="212">
        <f>I169</f>
        <v>1.4146551803435423</v>
      </c>
      <c r="W44" s="212">
        <f>I183</f>
        <v>3.579216847113763</v>
      </c>
      <c r="X44" s="212">
        <f>I196</f>
        <v>7.5011558419550735</v>
      </c>
      <c r="Y44" s="212">
        <f>I210</f>
        <v>9.626829899641269</v>
      </c>
    </row>
    <row r="45" s="192" customFormat="1" ht="12">
      <c r="A45" s="195" t="s">
        <v>10</v>
      </c>
    </row>
    <row r="46" spans="1:9" s="190" customFormat="1" ht="12">
      <c r="A46" s="1" t="s">
        <v>25</v>
      </c>
      <c r="B46" s="580" t="s">
        <v>589</v>
      </c>
      <c r="C46" s="581"/>
      <c r="D46" s="581"/>
      <c r="E46" s="582"/>
      <c r="F46" s="580" t="s">
        <v>589</v>
      </c>
      <c r="G46" s="581"/>
      <c r="H46" s="581"/>
      <c r="I46" s="582"/>
    </row>
    <row r="47" spans="1:9" s="190" customFormat="1" ht="12">
      <c r="A47" s="405" t="s">
        <v>21</v>
      </c>
      <c r="B47" s="583" t="s">
        <v>590</v>
      </c>
      <c r="C47" s="584"/>
      <c r="D47" s="584"/>
      <c r="E47" s="585"/>
      <c r="F47" s="583" t="s">
        <v>591</v>
      </c>
      <c r="G47" s="584"/>
      <c r="H47" s="584"/>
      <c r="I47" s="585"/>
    </row>
    <row r="48" spans="2:9" s="190" customFormat="1" ht="12">
      <c r="B48" s="564" t="s">
        <v>715</v>
      </c>
      <c r="C48" s="572" t="s">
        <v>532</v>
      </c>
      <c r="D48" s="605" t="s">
        <v>587</v>
      </c>
      <c r="E48" s="605" t="s">
        <v>533</v>
      </c>
      <c r="F48" s="564" t="s">
        <v>715</v>
      </c>
      <c r="G48" s="572" t="s">
        <v>532</v>
      </c>
      <c r="H48" s="605" t="s">
        <v>587</v>
      </c>
      <c r="I48" s="605" t="s">
        <v>533</v>
      </c>
    </row>
    <row r="49" spans="1:9" s="190" customFormat="1" ht="12">
      <c r="A49" s="291" t="s">
        <v>716</v>
      </c>
      <c r="B49" s="565"/>
      <c r="C49" s="576"/>
      <c r="D49" s="606"/>
      <c r="E49" s="615"/>
      <c r="F49" s="565"/>
      <c r="G49" s="576"/>
      <c r="H49" s="606"/>
      <c r="I49" s="615"/>
    </row>
    <row r="50" spans="1:9" s="190" customFormat="1" ht="12">
      <c r="A50" s="129" t="s">
        <v>712</v>
      </c>
      <c r="B50" s="186">
        <f>('maintenance costs'!$L$48+'maintenance costs'!$L$58)*inflators!$G$12</f>
        <v>0.9411622276029056</v>
      </c>
      <c r="C50" s="95">
        <f>'AC lifetimes'!L52</f>
        <v>7</v>
      </c>
      <c r="D50" s="204">
        <v>7</v>
      </c>
      <c r="E50" s="210">
        <f>B50*(1/(1+inflators!$B$9)^D50)</f>
        <v>0.7152059418683826</v>
      </c>
      <c r="F50" s="186">
        <f>('maintenance costs'!$L$48+'maintenance costs'!$L$58)*inflators!$G$12</f>
        <v>0.9411622276029056</v>
      </c>
      <c r="G50" s="3">
        <f>'AC lifetimes'!G52</f>
        <v>11</v>
      </c>
      <c r="H50" s="204">
        <v>11</v>
      </c>
      <c r="I50" s="210">
        <f>F50*(1/(1+inflators!$B$9)^H50)</f>
        <v>0.6113610365584558</v>
      </c>
    </row>
    <row r="51" spans="1:25" ht="12">
      <c r="A51" s="130" t="s">
        <v>593</v>
      </c>
      <c r="B51" s="187">
        <f>('rehabilitation costs'!$L$50+'rehabilitation costs'!$L$51)*inflators!$G$12</f>
        <v>5.270508474576271</v>
      </c>
      <c r="C51" s="9">
        <f>'AC lifetimes'!L24</f>
        <v>8</v>
      </c>
      <c r="D51" s="196">
        <f>C50+D50</f>
        <v>14</v>
      </c>
      <c r="E51" s="210">
        <f>B51*(1/(1+inflators!$B$9)^D51)</f>
        <v>3.0435873178689614</v>
      </c>
      <c r="F51" s="187">
        <f>('rehabilitation costs'!$L$50+'rehabilitation costs'!$L$52)*inflators!$G$12</f>
        <v>5.777288135593221</v>
      </c>
      <c r="G51" s="196">
        <f>'AC lifetimes'!H24</f>
        <v>15</v>
      </c>
      <c r="H51" s="196">
        <f>G50+H50</f>
        <v>22</v>
      </c>
      <c r="I51" s="210">
        <f>F51*(1/(1+inflators!$B$9)^H51)</f>
        <v>2.4377578490461773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9" s="190" customFormat="1" ht="12">
      <c r="A52" s="130" t="s">
        <v>713</v>
      </c>
      <c r="B52" s="187">
        <f>('maintenance costs'!$L$48+'maintenance costs'!$L$58)*inflators!$G$12</f>
        <v>0.9411622276029056</v>
      </c>
      <c r="C52" s="77">
        <f>'AC lifetimes'!L53</f>
        <v>7</v>
      </c>
      <c r="D52" s="196">
        <f>C51+D51</f>
        <v>22</v>
      </c>
      <c r="E52" s="210">
        <f>B52*(1/(1+inflators!$B$9)^D52)</f>
        <v>0.3971284716491266</v>
      </c>
      <c r="F52" s="187">
        <f>('maintenance costs'!$L$48+'maintenance costs'!$L$59)*inflators!$G$12</f>
        <v>1.4769007263922518</v>
      </c>
      <c r="G52" s="4"/>
      <c r="H52" s="196"/>
      <c r="I52" s="210"/>
    </row>
    <row r="53" spans="1:25" ht="12">
      <c r="A53" s="131" t="s">
        <v>594</v>
      </c>
      <c r="B53" s="188">
        <f>('rehabilitation costs'!$L$42+'rehabilitation costs'!$L$50+'rehabilitation costs'!$L$51)*inflators!$G$12</f>
        <v>6.761888619854723</v>
      </c>
      <c r="C53" s="10">
        <f>'AC lifetimes'!L25</f>
        <v>7</v>
      </c>
      <c r="D53" s="205">
        <f>C52+D52</f>
        <v>29</v>
      </c>
      <c r="E53" s="210">
        <f>B53*(1/(1+inflators!$B$9)^D53)</f>
        <v>2.168209151948567</v>
      </c>
      <c r="F53" s="188">
        <f>('rehabilitation costs'!$L$42+'rehabilitation costs'!$L$50+'rehabilitation costs'!$L$52)*inflators!$G$12</f>
        <v>7.268668280871672</v>
      </c>
      <c r="G53" s="74"/>
      <c r="H53" s="205"/>
      <c r="I53" s="21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</row>
    <row r="54" spans="1:25" ht="12">
      <c r="A54" s="278"/>
      <c r="B54" s="124"/>
      <c r="C54" s="9">
        <f>7+SUM(C50:C53)</f>
        <v>36</v>
      </c>
      <c r="D54" s="193" t="s">
        <v>455</v>
      </c>
      <c r="E54" s="186">
        <v>0</v>
      </c>
      <c r="F54" s="119"/>
      <c r="G54" s="9">
        <f>11+SUM(G50:G53)</f>
        <v>37</v>
      </c>
      <c r="H54" s="193" t="s">
        <v>455</v>
      </c>
      <c r="I54" s="186">
        <v>0</v>
      </c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">
      <c r="A55" s="7"/>
      <c r="B55" s="127"/>
      <c r="D55" s="146" t="s">
        <v>710</v>
      </c>
      <c r="E55" s="187">
        <f>SUM(E50:E53)</f>
        <v>6.324130883335037</v>
      </c>
      <c r="F55" s="119"/>
      <c r="G55" s="119"/>
      <c r="H55" s="146" t="s">
        <v>710</v>
      </c>
      <c r="I55" s="187">
        <f>SUM(I50:I53)</f>
        <v>3.049118885604633</v>
      </c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4:25" ht="12">
      <c r="D56" s="193" t="s">
        <v>588</v>
      </c>
      <c r="E56" s="187">
        <f>E53/7*1</f>
        <v>0.309744164564081</v>
      </c>
      <c r="F56" s="119"/>
      <c r="G56" s="119"/>
      <c r="H56" s="193" t="s">
        <v>588</v>
      </c>
      <c r="I56" s="187">
        <f>I51/15*2</f>
        <v>0.32503437987282363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4:25" s="13" customFormat="1" ht="12">
      <c r="D57" s="274" t="s">
        <v>711</v>
      </c>
      <c r="E57" s="211">
        <f>E54+E55-E56</f>
        <v>6.0143867187709565</v>
      </c>
      <c r="F57" s="279"/>
      <c r="G57" s="279"/>
      <c r="H57" s="274" t="s">
        <v>711</v>
      </c>
      <c r="I57" s="211">
        <f>I54+I55-I56</f>
        <v>2.7240845057318097</v>
      </c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</row>
    <row r="58" spans="1:25" ht="12">
      <c r="A58" s="7"/>
      <c r="B58" s="127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</row>
    <row r="59" spans="1:25" ht="12">
      <c r="A59" s="7"/>
      <c r="B59" s="580" t="s">
        <v>592</v>
      </c>
      <c r="C59" s="581"/>
      <c r="D59" s="581"/>
      <c r="E59" s="582"/>
      <c r="F59" s="580" t="s">
        <v>592</v>
      </c>
      <c r="G59" s="581"/>
      <c r="H59" s="581"/>
      <c r="I59" s="582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</row>
    <row r="60" spans="1:25" ht="12">
      <c r="A60" s="7"/>
      <c r="B60" s="583" t="s">
        <v>590</v>
      </c>
      <c r="C60" s="584"/>
      <c r="D60" s="584"/>
      <c r="E60" s="585"/>
      <c r="F60" s="583" t="s">
        <v>591</v>
      </c>
      <c r="G60" s="584"/>
      <c r="H60" s="584"/>
      <c r="I60" s="585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</row>
    <row r="61" spans="1:25" ht="12">
      <c r="A61" s="7"/>
      <c r="B61" s="564" t="s">
        <v>715</v>
      </c>
      <c r="C61" s="572" t="s">
        <v>532</v>
      </c>
      <c r="D61" s="605" t="s">
        <v>587</v>
      </c>
      <c r="E61" s="605" t="s">
        <v>533</v>
      </c>
      <c r="F61" s="564" t="s">
        <v>715</v>
      </c>
      <c r="G61" s="572" t="s">
        <v>532</v>
      </c>
      <c r="H61" s="605" t="s">
        <v>587</v>
      </c>
      <c r="I61" s="605" t="s">
        <v>533</v>
      </c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1:25" ht="12">
      <c r="A62" s="291" t="s">
        <v>716</v>
      </c>
      <c r="B62" s="565"/>
      <c r="C62" s="576"/>
      <c r="D62" s="606"/>
      <c r="E62" s="616"/>
      <c r="F62" s="565"/>
      <c r="G62" s="576"/>
      <c r="H62" s="606"/>
      <c r="I62" s="615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1:9" s="7" customFormat="1" ht="12">
      <c r="A63" s="129" t="s">
        <v>593</v>
      </c>
      <c r="B63" s="186">
        <f>('rehabilitation costs'!$L$50+'rehabilitation costs'!$L$52)*inflators!$G$12</f>
        <v>5.777288135593221</v>
      </c>
      <c r="C63" s="197">
        <f>'AC lifetimes'!M24</f>
        <v>9</v>
      </c>
      <c r="D63" s="6">
        <v>0</v>
      </c>
      <c r="E63" s="194">
        <f>B63*(1/(1+inflators!$B$9)^D63)</f>
        <v>5.777288135593221</v>
      </c>
      <c r="F63" s="122">
        <f>('rehabilitation costs'!$L$50+'rehabilitation costs'!$L$52)*inflators!$G$12</f>
        <v>5.777288135593221</v>
      </c>
      <c r="G63" s="200">
        <f>'AC lifetimes'!H24</f>
        <v>15</v>
      </c>
      <c r="H63" s="6">
        <v>0</v>
      </c>
      <c r="I63" s="194">
        <f>F63*(1/(1+inflators!$B$9)^H63)</f>
        <v>5.777288135593221</v>
      </c>
    </row>
    <row r="64" spans="1:25" s="7" customFormat="1" ht="12">
      <c r="A64" s="130" t="s">
        <v>713</v>
      </c>
      <c r="B64" s="187">
        <f>('maintenance costs'!$L$48+'maintenance costs'!$L$58)*inflators!$G$12</f>
        <v>0.9411622276029056</v>
      </c>
      <c r="C64" s="198">
        <f>'AC lifetimes'!L53</f>
        <v>7</v>
      </c>
      <c r="D64" s="198">
        <f>C63+D63</f>
        <v>9</v>
      </c>
      <c r="E64" s="210">
        <f>B64*(1/(1+inflators!$B$9)^D64)</f>
        <v>0.6612480971416257</v>
      </c>
      <c r="F64" s="125">
        <f>('maintenance costs'!$L$48+'maintenance costs'!$L$59)*inflators!$G$12</f>
        <v>1.4769007263922518</v>
      </c>
      <c r="G64" s="201">
        <f>'AC lifetimes'!H53</f>
        <v>8</v>
      </c>
      <c r="H64" s="198">
        <f>G63+H63</f>
        <v>15</v>
      </c>
      <c r="I64" s="210">
        <f>F64*(1/(1+inflators!$B$9)^H64)</f>
        <v>0.820070547397068</v>
      </c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</row>
    <row r="65" spans="1:25" s="7" customFormat="1" ht="12">
      <c r="A65" s="130" t="s">
        <v>594</v>
      </c>
      <c r="B65" s="187">
        <f>('rehabilitation costs'!$L$42+'rehabilitation costs'!$L$50+'rehabilitation costs'!$L$51)*inflators!$G$12</f>
        <v>6.761888619854723</v>
      </c>
      <c r="C65" s="198">
        <f>'AC lifetimes'!L25</f>
        <v>7</v>
      </c>
      <c r="D65" s="198">
        <f>C64+D64</f>
        <v>16</v>
      </c>
      <c r="E65" s="210">
        <f>B65*(1/(1+inflators!$B$9)^D65)</f>
        <v>3.6102276172174848</v>
      </c>
      <c r="F65" s="125">
        <f>('rehabilitation costs'!$L$42+'rehabilitation costs'!$L$50+'rehabilitation costs'!$L$52)*inflators!$G$12</f>
        <v>7.268668280871672</v>
      </c>
      <c r="G65" s="201">
        <f>'AC lifetimes'!H25</f>
        <v>12</v>
      </c>
      <c r="H65" s="198">
        <f>G64+H64</f>
        <v>23</v>
      </c>
      <c r="I65" s="210">
        <f>F65*(1/(1+inflators!$B$9)^H65)</f>
        <v>2.949090129702095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1:25" s="7" customFormat="1" ht="12">
      <c r="A66" s="130" t="s">
        <v>713</v>
      </c>
      <c r="B66" s="187">
        <f>('maintenance costs'!$L$48+'maintenance costs'!$L$58)*inflators!$G$12</f>
        <v>0.9411622276029056</v>
      </c>
      <c r="C66" s="198">
        <f>'AC lifetimes'!L53</f>
        <v>7</v>
      </c>
      <c r="D66" s="198">
        <f>C65+D65</f>
        <v>23</v>
      </c>
      <c r="E66" s="210">
        <f>B66*(1/(1+inflators!$B$9)^D66)</f>
        <v>0.3818542996626218</v>
      </c>
      <c r="F66" s="125">
        <f>('maintenance costs'!$L$48+'maintenance costs'!$L$59)*inflators!$G$12</f>
        <v>1.4769007263922518</v>
      </c>
      <c r="G66" s="201"/>
      <c r="H66" s="198"/>
      <c r="I66" s="210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</row>
    <row r="67" spans="1:9" s="7" customFormat="1" ht="12">
      <c r="A67" s="131" t="s">
        <v>786</v>
      </c>
      <c r="B67" s="188">
        <f>('rehabilitation costs'!$L$50+'rehabilitation costs'!$L$51)*inflators!$G$12</f>
        <v>5.270508474576271</v>
      </c>
      <c r="C67" s="199">
        <f>'AC lifetimes'!L25</f>
        <v>7</v>
      </c>
      <c r="D67" s="199">
        <f>C66+D66</f>
        <v>30</v>
      </c>
      <c r="E67" s="191">
        <f>B67*(1/(1+inflators!$B$9)^D67)</f>
        <v>1.6249961524239793</v>
      </c>
      <c r="F67" s="209">
        <f>('rehabilitation costs'!$L$50+'rehabilitation costs'!$L$52)*inflators!$G$12</f>
        <v>5.777288135593221</v>
      </c>
      <c r="G67" s="202"/>
      <c r="H67" s="199"/>
      <c r="I67" s="191"/>
    </row>
    <row r="68" spans="3:25" s="7" customFormat="1" ht="12">
      <c r="C68" s="201">
        <f>SUM(C63:C67)</f>
        <v>37</v>
      </c>
      <c r="D68" s="193" t="s">
        <v>455</v>
      </c>
      <c r="E68" s="187">
        <f>E63</f>
        <v>5.777288135593221</v>
      </c>
      <c r="F68" s="124"/>
      <c r="G68" s="201">
        <f>SUM(G63:G67)</f>
        <v>35</v>
      </c>
      <c r="H68" s="193" t="s">
        <v>455</v>
      </c>
      <c r="I68" s="187">
        <f>I63</f>
        <v>5.777288135593221</v>
      </c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</row>
    <row r="69" spans="3:25" s="7" customFormat="1" ht="12">
      <c r="C69" s="124"/>
      <c r="D69" s="146" t="s">
        <v>710</v>
      </c>
      <c r="E69" s="187">
        <f>SUM(E64:E67)</f>
        <v>6.278326166445711</v>
      </c>
      <c r="F69" s="124"/>
      <c r="G69" s="124"/>
      <c r="H69" s="146" t="s">
        <v>710</v>
      </c>
      <c r="I69" s="187">
        <f>SUM(I64:I67)</f>
        <v>3.769160677099163</v>
      </c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</row>
    <row r="70" spans="2:25" s="7" customFormat="1" ht="12">
      <c r="B70" s="127"/>
      <c r="C70" s="124"/>
      <c r="D70" s="193" t="s">
        <v>588</v>
      </c>
      <c r="E70" s="187">
        <f>E67/7*2</f>
        <v>0.46428461497827983</v>
      </c>
      <c r="F70" s="124"/>
      <c r="G70" s="124"/>
      <c r="H70" s="193" t="s">
        <v>588</v>
      </c>
      <c r="I70" s="187">
        <v>0</v>
      </c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</row>
    <row r="71" spans="2:25" s="276" customFormat="1" ht="12">
      <c r="B71" s="277"/>
      <c r="C71" s="189"/>
      <c r="D71" s="274" t="s">
        <v>711</v>
      </c>
      <c r="E71" s="211">
        <f>E68+E69-E70</f>
        <v>11.591329687060654</v>
      </c>
      <c r="F71" s="189"/>
      <c r="G71" s="189"/>
      <c r="H71" s="274" t="s">
        <v>711</v>
      </c>
      <c r="I71" s="211">
        <f>I68+I69-I70</f>
        <v>9.546448812692383</v>
      </c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</row>
    <row r="72" spans="2:25" s="7" customFormat="1" ht="12">
      <c r="B72" s="127"/>
      <c r="C72" s="124"/>
      <c r="D72" s="146"/>
      <c r="F72" s="124"/>
      <c r="G72" s="124"/>
      <c r="H72" s="146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</row>
    <row r="73" spans="2:25" s="7" customFormat="1" ht="12">
      <c r="B73" s="580" t="s">
        <v>787</v>
      </c>
      <c r="C73" s="581"/>
      <c r="D73" s="581"/>
      <c r="E73" s="582"/>
      <c r="F73" s="580" t="s">
        <v>787</v>
      </c>
      <c r="G73" s="581"/>
      <c r="H73" s="581"/>
      <c r="I73" s="582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</row>
    <row r="74" spans="2:25" s="7" customFormat="1" ht="12">
      <c r="B74" s="583" t="s">
        <v>590</v>
      </c>
      <c r="C74" s="584"/>
      <c r="D74" s="584"/>
      <c r="E74" s="585"/>
      <c r="F74" s="583" t="s">
        <v>591</v>
      </c>
      <c r="G74" s="584"/>
      <c r="H74" s="584"/>
      <c r="I74" s="585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</row>
    <row r="75" spans="2:25" s="7" customFormat="1" ht="12">
      <c r="B75" s="564" t="s">
        <v>715</v>
      </c>
      <c r="C75" s="572" t="s">
        <v>532</v>
      </c>
      <c r="D75" s="605" t="s">
        <v>587</v>
      </c>
      <c r="E75" s="605" t="s">
        <v>533</v>
      </c>
      <c r="F75" s="564" t="s">
        <v>715</v>
      </c>
      <c r="G75" s="572" t="s">
        <v>532</v>
      </c>
      <c r="H75" s="605" t="s">
        <v>587</v>
      </c>
      <c r="I75" s="605" t="s">
        <v>533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</row>
    <row r="76" spans="1:25" s="7" customFormat="1" ht="12">
      <c r="A76" s="291" t="s">
        <v>716</v>
      </c>
      <c r="B76" s="565"/>
      <c r="C76" s="576"/>
      <c r="D76" s="606"/>
      <c r="E76" s="615"/>
      <c r="F76" s="565"/>
      <c r="G76" s="576"/>
      <c r="H76" s="606"/>
      <c r="I76" s="615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</row>
    <row r="77" spans="1:9" ht="12">
      <c r="A77" s="129" t="s">
        <v>785</v>
      </c>
      <c r="B77" s="186">
        <f>('rehabilitation costs'!$L$55+'rehabilitation costs'!$L$57)*inflators!$G$12</f>
        <v>7.268668280871672</v>
      </c>
      <c r="C77" s="6">
        <f>'AC lifetimes'!N31</f>
        <v>8</v>
      </c>
      <c r="D77" s="6">
        <v>0</v>
      </c>
      <c r="E77" s="194">
        <f>B77*(1/(1+inflators!$B$9)^D77)</f>
        <v>7.268668280871672</v>
      </c>
      <c r="F77" s="186">
        <f>('rehabilitation costs'!$L$55+'rehabilitation costs'!$L$57)*inflators!$G$12</f>
        <v>7.268668280871672</v>
      </c>
      <c r="G77" s="12">
        <f>'AC lifetimes'!I31</f>
        <v>13</v>
      </c>
      <c r="H77" s="3">
        <v>0</v>
      </c>
      <c r="I77" s="194">
        <f>F77*(1/(1+inflators!$B$9)^H77)</f>
        <v>7.268668280871672</v>
      </c>
    </row>
    <row r="78" spans="1:9" s="7" customFormat="1" ht="12">
      <c r="A78" s="130" t="s">
        <v>713</v>
      </c>
      <c r="B78" s="187">
        <f>('maintenance costs'!$L$48+'maintenance costs'!$L$58)*inflators!$G$12</f>
        <v>0.9411622276029056</v>
      </c>
      <c r="C78" s="5">
        <f>'AC lifetimes'!L53</f>
        <v>7</v>
      </c>
      <c r="D78" s="198">
        <f>C77+D77</f>
        <v>8</v>
      </c>
      <c r="E78" s="210">
        <f>B78*(1/(1+inflators!$B$9)^D78)</f>
        <v>0.6876980210272908</v>
      </c>
      <c r="F78" s="187">
        <f>('maintenance costs'!$L$48+'maintenance costs'!$L$59)*inflators!$G$12</f>
        <v>1.4769007263922518</v>
      </c>
      <c r="G78" s="9">
        <f>'AC lifetimes'!I53</f>
        <v>4</v>
      </c>
      <c r="H78" s="196">
        <f>G77+H77</f>
        <v>13</v>
      </c>
      <c r="I78" s="210">
        <f>F78*(1/(1+inflators!$B$9)^H78)</f>
        <v>0.8869883040646688</v>
      </c>
    </row>
    <row r="79" spans="1:10" ht="12">
      <c r="A79" s="130" t="s">
        <v>594</v>
      </c>
      <c r="B79" s="187">
        <f>('rehabilitation costs'!$L$42+'rehabilitation costs'!$L$50+'rehabilitation costs'!$L$51)*inflators!$G$12</f>
        <v>6.761888619854723</v>
      </c>
      <c r="C79" s="5">
        <f>'AC lifetimes'!L25</f>
        <v>7</v>
      </c>
      <c r="D79" s="198">
        <f>C78+D78</f>
        <v>15</v>
      </c>
      <c r="E79" s="210">
        <f>B79*(1/(1+inflators!$B$9)^D79)</f>
        <v>3.7546367219061847</v>
      </c>
      <c r="F79" s="187">
        <f>('rehabilitation costs'!$L$42+'rehabilitation costs'!$L$50+'rehabilitation costs'!$L$52)*inflators!$G$12</f>
        <v>7.268668280871672</v>
      </c>
      <c r="G79" s="9">
        <f>'AC lifetimes'!I25</f>
        <v>11</v>
      </c>
      <c r="H79" s="196">
        <f>G78+H78</f>
        <v>17</v>
      </c>
      <c r="I79" s="210">
        <f>F79*(1/(1+inflators!$B$9)^H79)</f>
        <v>3.731539828370897</v>
      </c>
      <c r="J79" s="119"/>
    </row>
    <row r="80" spans="1:9" s="7" customFormat="1" ht="12">
      <c r="A80" s="130" t="s">
        <v>713</v>
      </c>
      <c r="B80" s="187">
        <f>('maintenance costs'!$L$48+'maintenance costs'!$L$58)*inflators!$G$12</f>
        <v>0.9411622276029056</v>
      </c>
      <c r="C80" s="5">
        <f>'AC lifetimes'!L53</f>
        <v>7</v>
      </c>
      <c r="D80" s="198">
        <f>C79+D79</f>
        <v>22</v>
      </c>
      <c r="E80" s="210">
        <f>B80*(1/(1+inflators!$B$9)^D80)</f>
        <v>0.3971284716491266</v>
      </c>
      <c r="F80" s="187">
        <f>('maintenance costs'!$L$48+'maintenance costs'!$L$59)*inflators!$G$12</f>
        <v>1.4769007263922518</v>
      </c>
      <c r="G80" s="9">
        <f>'AC lifetimes'!I53</f>
        <v>4</v>
      </c>
      <c r="H80" s="196">
        <f>G79+H79</f>
        <v>28</v>
      </c>
      <c r="I80" s="210">
        <f>F80*(1/(1+inflators!$B$9)^H80)</f>
        <v>0.4925131195689592</v>
      </c>
    </row>
    <row r="81" spans="1:10" ht="12">
      <c r="A81" s="131" t="s">
        <v>786</v>
      </c>
      <c r="B81" s="188">
        <f>('rehabilitation costs'!$L$50+'rehabilitation costs'!$L$51)*inflators!$G$12</f>
        <v>5.270508474576271</v>
      </c>
      <c r="C81" s="61">
        <f>'AC lifetimes'!L25</f>
        <v>7</v>
      </c>
      <c r="D81" s="199">
        <f>C80+D80</f>
        <v>29</v>
      </c>
      <c r="E81" s="191">
        <f>B81*(1/(1+inflators!$B$9)^D81)</f>
        <v>1.6899959985209383</v>
      </c>
      <c r="F81" s="188">
        <f>('rehabilitation costs'!$L$50+'rehabilitation costs'!$L$52)*inflators!$G$12</f>
        <v>5.777288135593221</v>
      </c>
      <c r="G81" s="10">
        <f>'AC lifetimes'!I25</f>
        <v>11</v>
      </c>
      <c r="H81" s="205">
        <f>G80+H80</f>
        <v>32</v>
      </c>
      <c r="I81" s="210">
        <f>F81*(1/(1+inflators!$B$9)^H81)</f>
        <v>1.6468618550894476</v>
      </c>
      <c r="J81" s="119"/>
    </row>
    <row r="82" spans="1:9" ht="12">
      <c r="A82" s="7"/>
      <c r="B82" s="127"/>
      <c r="C82" s="201">
        <f>SUM(C77:C81)</f>
        <v>36</v>
      </c>
      <c r="D82" s="193" t="s">
        <v>455</v>
      </c>
      <c r="E82" s="187">
        <f>E77</f>
        <v>7.268668280871672</v>
      </c>
      <c r="F82" s="124"/>
      <c r="G82" s="201">
        <f>SUM(G77:G81)</f>
        <v>43</v>
      </c>
      <c r="H82" s="193" t="s">
        <v>455</v>
      </c>
      <c r="I82" s="186">
        <f>I77</f>
        <v>7.268668280871672</v>
      </c>
    </row>
    <row r="83" spans="1:9" ht="12">
      <c r="A83" s="7"/>
      <c r="B83" s="127"/>
      <c r="C83" s="124"/>
      <c r="D83" s="146" t="s">
        <v>710</v>
      </c>
      <c r="E83" s="187">
        <f>SUM(E78:E81)</f>
        <v>6.52945921310354</v>
      </c>
      <c r="F83" s="124"/>
      <c r="G83" s="124"/>
      <c r="H83" s="146" t="s">
        <v>710</v>
      </c>
      <c r="I83" s="187">
        <f>SUM(I78:I81)</f>
        <v>6.757903107093973</v>
      </c>
    </row>
    <row r="84" spans="1:9" ht="12">
      <c r="A84" s="7"/>
      <c r="B84" s="127"/>
      <c r="C84" s="124"/>
      <c r="D84" s="193" t="s">
        <v>588</v>
      </c>
      <c r="E84" s="187">
        <f>E81/7*1</f>
        <v>0.24142799978870547</v>
      </c>
      <c r="F84" s="124"/>
      <c r="G84" s="124"/>
      <c r="H84" s="193" t="s">
        <v>588</v>
      </c>
      <c r="I84" s="187">
        <f>I81/11*8</f>
        <v>1.1977177127923255</v>
      </c>
    </row>
    <row r="85" spans="1:9" s="13" customFormat="1" ht="12">
      <c r="A85" s="276"/>
      <c r="B85" s="277"/>
      <c r="D85" s="274" t="s">
        <v>711</v>
      </c>
      <c r="E85" s="211">
        <f>E82+E83-E84</f>
        <v>13.556699494186507</v>
      </c>
      <c r="H85" s="274" t="s">
        <v>711</v>
      </c>
      <c r="I85" s="211">
        <f>I82+I83-I84</f>
        <v>12.828853675173319</v>
      </c>
    </row>
    <row r="86" spans="1:2" ht="12">
      <c r="A86" s="7"/>
      <c r="B86" s="127"/>
    </row>
    <row r="87" spans="2:9" ht="12">
      <c r="B87" s="580" t="s">
        <v>788</v>
      </c>
      <c r="C87" s="581"/>
      <c r="D87" s="581"/>
      <c r="E87" s="582"/>
      <c r="F87" s="580" t="s">
        <v>788</v>
      </c>
      <c r="G87" s="581"/>
      <c r="H87" s="581"/>
      <c r="I87" s="582"/>
    </row>
    <row r="88" spans="2:9" ht="12">
      <c r="B88" s="583" t="s">
        <v>590</v>
      </c>
      <c r="C88" s="584"/>
      <c r="D88" s="584"/>
      <c r="E88" s="585"/>
      <c r="F88" s="583" t="s">
        <v>591</v>
      </c>
      <c r="G88" s="584"/>
      <c r="H88" s="584"/>
      <c r="I88" s="585"/>
    </row>
    <row r="89" spans="1:9" ht="12">
      <c r="A89" s="7"/>
      <c r="B89" s="564" t="s">
        <v>715</v>
      </c>
      <c r="C89" s="572" t="s">
        <v>532</v>
      </c>
      <c r="D89" s="605" t="s">
        <v>587</v>
      </c>
      <c r="E89" s="605" t="s">
        <v>533</v>
      </c>
      <c r="F89" s="564" t="s">
        <v>715</v>
      </c>
      <c r="G89" s="572" t="s">
        <v>532</v>
      </c>
      <c r="H89" s="605" t="s">
        <v>587</v>
      </c>
      <c r="I89" s="605" t="s">
        <v>533</v>
      </c>
    </row>
    <row r="90" spans="1:9" ht="12">
      <c r="A90" s="291" t="s">
        <v>716</v>
      </c>
      <c r="B90" s="565"/>
      <c r="C90" s="576"/>
      <c r="D90" s="606"/>
      <c r="E90" s="615"/>
      <c r="F90" s="565"/>
      <c r="G90" s="576"/>
      <c r="H90" s="606"/>
      <c r="I90" s="615"/>
    </row>
    <row r="91" spans="1:9" ht="12">
      <c r="A91" s="129" t="s">
        <v>789</v>
      </c>
      <c r="B91" s="194">
        <f>('rehabilitation costs'!$L$43+'rehabilitation costs'!$L$48)*inflators!$G$12</f>
        <v>9.223389830508475</v>
      </c>
      <c r="C91" s="6">
        <f>'AC lifetimes'!$O$17</f>
        <v>7</v>
      </c>
      <c r="D91" s="6">
        <v>0</v>
      </c>
      <c r="E91" s="194">
        <f>B91*(1/(1+inflators!$B$9)^D91)</f>
        <v>9.223389830508475</v>
      </c>
      <c r="F91" s="194">
        <f>('rehabilitation costs'!$L$43+'rehabilitation costs'!$L$48)*inflators!$G$12</f>
        <v>9.223389830508475</v>
      </c>
      <c r="G91" s="12">
        <f>'AC lifetimes'!J17</f>
        <v>11</v>
      </c>
      <c r="H91" s="3">
        <v>0</v>
      </c>
      <c r="I91" s="208">
        <f>F91*(1/(1+inflators!$B$9)^H91)</f>
        <v>9.223389830508475</v>
      </c>
    </row>
    <row r="92" spans="1:9" ht="12">
      <c r="A92" s="130" t="s">
        <v>713</v>
      </c>
      <c r="B92" s="187">
        <f>('maintenance costs'!$L$48+'maintenance costs'!$L$58)*inflators!$G$12</f>
        <v>0.9411622276029056</v>
      </c>
      <c r="C92" s="5">
        <f>'AC lifetimes'!$L$53</f>
        <v>7</v>
      </c>
      <c r="D92" s="198">
        <f>C91+D91</f>
        <v>7</v>
      </c>
      <c r="E92" s="210">
        <f>B92*(1/(1+inflators!$B$9)^D92)</f>
        <v>0.7152059418683826</v>
      </c>
      <c r="F92" s="187">
        <f>('maintenance costs'!$L$48+'maintenance costs'!$L$59)*inflators!$G$12</f>
        <v>1.4769007263922518</v>
      </c>
      <c r="G92" s="9">
        <f>'AC lifetimes'!H53</f>
        <v>8</v>
      </c>
      <c r="H92" s="196">
        <f>G91+H91</f>
        <v>11</v>
      </c>
      <c r="I92" s="128">
        <f>F92*(1/(1+inflators!$B$9)^H92)</f>
        <v>0.9593665496763459</v>
      </c>
    </row>
    <row r="93" spans="1:9" ht="12">
      <c r="A93" s="130" t="s">
        <v>594</v>
      </c>
      <c r="B93" s="187">
        <f>('rehabilitation costs'!$L$42+'rehabilitation costs'!$L$50+'rehabilitation costs'!$L$51)*inflators!$G$12</f>
        <v>6.761888619854723</v>
      </c>
      <c r="C93" s="5">
        <f>'AC lifetimes'!$L$25</f>
        <v>7</v>
      </c>
      <c r="D93" s="198">
        <f>C92+D92</f>
        <v>14</v>
      </c>
      <c r="E93" s="210">
        <f>B93*(1/(1+inflators!$B$9)^D93)</f>
        <v>3.9048221907824323</v>
      </c>
      <c r="F93" s="187">
        <f>('rehabilitation costs'!$L$42+'rehabilitation costs'!$L$50+'rehabilitation costs'!$L$52)*inflators!$G$12</f>
        <v>7.268668280871672</v>
      </c>
      <c r="G93" s="9">
        <f>'AC lifetimes'!H25</f>
        <v>12</v>
      </c>
      <c r="H93" s="196">
        <f>G92+H92</f>
        <v>19</v>
      </c>
      <c r="I93" s="128">
        <f>F93*(1/(1+inflators!$B$9)^H93)</f>
        <v>3.4500183324435065</v>
      </c>
    </row>
    <row r="94" spans="1:9" ht="12">
      <c r="A94" s="130" t="s">
        <v>713</v>
      </c>
      <c r="B94" s="187">
        <f>('maintenance costs'!$L$48+'maintenance costs'!$L$58)*inflators!$G$12</f>
        <v>0.9411622276029056</v>
      </c>
      <c r="C94" s="5">
        <f>'AC lifetimes'!$L$53</f>
        <v>7</v>
      </c>
      <c r="D94" s="198">
        <f>C93+D93</f>
        <v>21</v>
      </c>
      <c r="E94" s="210">
        <f>B94*(1/(1+inflators!$B$9)^D94)</f>
        <v>0.41301361051509167</v>
      </c>
      <c r="F94" s="187">
        <f>('maintenance costs'!$L$48+'maintenance costs'!$L$59)*inflators!$G$12</f>
        <v>1.4769007263922518</v>
      </c>
      <c r="G94" s="9">
        <f>'AC lifetimes'!H53</f>
        <v>8</v>
      </c>
      <c r="H94" s="196">
        <f>G93+H93</f>
        <v>31</v>
      </c>
      <c r="I94" s="128">
        <f>F94*(1/(1+inflators!$B$9)^H94)</f>
        <v>0.43784236989445763</v>
      </c>
    </row>
    <row r="95" spans="1:9" ht="12">
      <c r="A95" s="131" t="s">
        <v>786</v>
      </c>
      <c r="B95" s="188">
        <f>('rehabilitation costs'!$L$50+'rehabilitation costs'!$L$51)*inflators!$G$12</f>
        <v>5.270508474576271</v>
      </c>
      <c r="C95" s="61">
        <f>'AC lifetimes'!$L$25</f>
        <v>7</v>
      </c>
      <c r="D95" s="199">
        <f>C94+D94</f>
        <v>28</v>
      </c>
      <c r="E95" s="191">
        <f>B95*(1/(1+inflators!$B$9)^D95)</f>
        <v>1.757595838461776</v>
      </c>
      <c r="F95" s="188">
        <f>('rehabilitation costs'!$L$50+'rehabilitation costs'!$L$52)*inflators!$G$12</f>
        <v>5.777288135593221</v>
      </c>
      <c r="G95" s="10"/>
      <c r="H95" s="74"/>
      <c r="I95" s="132"/>
    </row>
    <row r="96" spans="3:9" ht="12">
      <c r="C96" s="201">
        <f>SUM(C91:C95)</f>
        <v>35</v>
      </c>
      <c r="D96" s="193" t="s">
        <v>455</v>
      </c>
      <c r="E96" s="187">
        <f>E91</f>
        <v>9.223389830508475</v>
      </c>
      <c r="F96" s="124"/>
      <c r="G96" s="201">
        <f>SUM(G91:G95)</f>
        <v>39</v>
      </c>
      <c r="H96" s="193" t="s">
        <v>455</v>
      </c>
      <c r="I96" s="186">
        <f>I91</f>
        <v>9.223389830508475</v>
      </c>
    </row>
    <row r="97" spans="4:9" ht="12">
      <c r="D97" s="146" t="s">
        <v>710</v>
      </c>
      <c r="E97" s="187">
        <f>SUM(E92:E95)</f>
        <v>6.790637581627682</v>
      </c>
      <c r="F97" s="124"/>
      <c r="G97" s="124"/>
      <c r="H97" s="146" t="s">
        <v>710</v>
      </c>
      <c r="I97" s="187">
        <f>SUM(I92:I95)</f>
        <v>4.84722725201431</v>
      </c>
    </row>
    <row r="98" spans="4:9" ht="12">
      <c r="D98" s="193" t="s">
        <v>588</v>
      </c>
      <c r="E98" s="187">
        <v>0</v>
      </c>
      <c r="F98" s="124"/>
      <c r="G98" s="124"/>
      <c r="H98" s="193" t="s">
        <v>588</v>
      </c>
      <c r="I98" s="187">
        <f>I94/8*4</f>
        <v>0.21892118494722881</v>
      </c>
    </row>
    <row r="99" spans="4:9" s="13" customFormat="1" ht="12">
      <c r="D99" s="274" t="s">
        <v>711</v>
      </c>
      <c r="E99" s="211">
        <f>E96+E97-E98</f>
        <v>16.01402741213616</v>
      </c>
      <c r="H99" s="274" t="s">
        <v>711</v>
      </c>
      <c r="I99" s="211">
        <f>I96+I97-I98</f>
        <v>13.851695897575556</v>
      </c>
    </row>
    <row r="100" ht="12"/>
    <row r="101" s="192" customFormat="1" ht="12">
      <c r="A101" s="195" t="s">
        <v>630</v>
      </c>
    </row>
    <row r="102" spans="1:9" s="190" customFormat="1" ht="12">
      <c r="A102" s="1" t="s">
        <v>25</v>
      </c>
      <c r="B102" s="580" t="s">
        <v>589</v>
      </c>
      <c r="C102" s="581"/>
      <c r="D102" s="581"/>
      <c r="E102" s="582"/>
      <c r="F102" s="580" t="s">
        <v>589</v>
      </c>
      <c r="G102" s="581"/>
      <c r="H102" s="581"/>
      <c r="I102" s="582"/>
    </row>
    <row r="103" spans="1:9" s="190" customFormat="1" ht="12">
      <c r="A103" s="405" t="s">
        <v>21</v>
      </c>
      <c r="B103" s="583" t="s">
        <v>590</v>
      </c>
      <c r="C103" s="584"/>
      <c r="D103" s="584"/>
      <c r="E103" s="585"/>
      <c r="F103" s="583" t="s">
        <v>591</v>
      </c>
      <c r="G103" s="584"/>
      <c r="H103" s="584"/>
      <c r="I103" s="585"/>
    </row>
    <row r="104" spans="2:9" s="190" customFormat="1" ht="12">
      <c r="B104" s="564" t="s">
        <v>715</v>
      </c>
      <c r="C104" s="572" t="s">
        <v>532</v>
      </c>
      <c r="D104" s="605" t="s">
        <v>587</v>
      </c>
      <c r="E104" s="605" t="s">
        <v>533</v>
      </c>
      <c r="F104" s="564" t="s">
        <v>715</v>
      </c>
      <c r="G104" s="572" t="s">
        <v>532</v>
      </c>
      <c r="H104" s="605" t="s">
        <v>587</v>
      </c>
      <c r="I104" s="605" t="s">
        <v>533</v>
      </c>
    </row>
    <row r="105" spans="1:9" s="190" customFormat="1" ht="12">
      <c r="A105" s="291" t="s">
        <v>716</v>
      </c>
      <c r="B105" s="565"/>
      <c r="C105" s="576"/>
      <c r="D105" s="606"/>
      <c r="E105" s="615"/>
      <c r="F105" s="565"/>
      <c r="G105" s="576"/>
      <c r="H105" s="606"/>
      <c r="I105" s="615"/>
    </row>
    <row r="106" spans="1:9" s="190" customFormat="1" ht="12">
      <c r="A106" s="129" t="s">
        <v>712</v>
      </c>
      <c r="B106" s="186">
        <f>('maintenance costs'!$L$48+'maintenance costs'!$L$58)*inflators!$G$12</f>
        <v>0.9411622276029056</v>
      </c>
      <c r="C106" s="95">
        <f>'AC lifetimes'!L54</f>
        <v>7</v>
      </c>
      <c r="D106" s="204">
        <v>7</v>
      </c>
      <c r="E106" s="210">
        <f>B106*(1/(1+inflators!$B$9)^D106)</f>
        <v>0.7152059418683826</v>
      </c>
      <c r="F106" s="186">
        <f>('maintenance costs'!$L$48+'maintenance costs'!$L$58)*inflators!$G$12</f>
        <v>0.9411622276029056</v>
      </c>
      <c r="G106" s="204">
        <f>'AC lifetimes'!G54</f>
        <v>11</v>
      </c>
      <c r="H106" s="204">
        <v>11</v>
      </c>
      <c r="I106" s="210">
        <f>F106*(1/(1+inflators!$B$9)^H106)</f>
        <v>0.6113610365584558</v>
      </c>
    </row>
    <row r="107" spans="1:25" ht="12">
      <c r="A107" s="130" t="s">
        <v>593</v>
      </c>
      <c r="B107" s="187">
        <f>('rehabilitation costs'!$L$50+'rehabilitation costs'!$L$51)*inflators!$G$12</f>
        <v>5.270508474576271</v>
      </c>
      <c r="C107" s="9">
        <f>'AC lifetimes'!L26</f>
        <v>8</v>
      </c>
      <c r="D107" s="196">
        <f>C106+D106</f>
        <v>14</v>
      </c>
      <c r="E107" s="210">
        <f>B107*(1/(1+inflators!$B$9)^D107)</f>
        <v>3.0435873178689614</v>
      </c>
      <c r="F107" s="187">
        <f>('rehabilitation costs'!$L$50+'rehabilitation costs'!$L$52)*inflators!$G$12</f>
        <v>5.777288135593221</v>
      </c>
      <c r="G107" s="196">
        <f>'AC lifetimes'!H26</f>
        <v>15</v>
      </c>
      <c r="H107" s="196">
        <f>G106+H106</f>
        <v>22</v>
      </c>
      <c r="I107" s="210">
        <f>F107*(1/(1+inflators!$B$9)^H107)</f>
        <v>2.4377578490461773</v>
      </c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9" s="190" customFormat="1" ht="12">
      <c r="A108" s="130" t="s">
        <v>713</v>
      </c>
      <c r="B108" s="187">
        <f>('maintenance costs'!$L$48+'maintenance costs'!$L$58)*inflators!$G$12</f>
        <v>0.9411622276029056</v>
      </c>
      <c r="C108" s="77">
        <f>'AC lifetimes'!L55</f>
        <v>7</v>
      </c>
      <c r="D108" s="196">
        <f>C107+D107</f>
        <v>22</v>
      </c>
      <c r="E108" s="210">
        <f>B108*(1/(1+inflators!$B$9)^D108)</f>
        <v>0.3971284716491266</v>
      </c>
      <c r="F108" s="187">
        <f>('maintenance costs'!$L$48+'maintenance costs'!$L$59)*inflators!$G$12</f>
        <v>1.4769007263922518</v>
      </c>
      <c r="G108" s="196"/>
      <c r="H108" s="196"/>
      <c r="I108" s="210"/>
    </row>
    <row r="109" spans="1:25" ht="12">
      <c r="A109" s="131" t="s">
        <v>594</v>
      </c>
      <c r="B109" s="188">
        <f>('rehabilitation costs'!$L$42+'rehabilitation costs'!$L$50+'rehabilitation costs'!$L$51)*inflators!$G$12</f>
        <v>6.761888619854723</v>
      </c>
      <c r="C109" s="10">
        <f>'AC lifetimes'!L27</f>
        <v>7</v>
      </c>
      <c r="D109" s="205">
        <f>C108+D108</f>
        <v>29</v>
      </c>
      <c r="E109" s="210">
        <f>B109*(1/(1+inflators!$B$9)^D109)</f>
        <v>2.168209151948567</v>
      </c>
      <c r="F109" s="188">
        <f>('rehabilitation costs'!$L$42+'rehabilitation costs'!$L$50+'rehabilitation costs'!$L$52)*inflators!$G$12</f>
        <v>7.268668280871672</v>
      </c>
      <c r="G109" s="205"/>
      <c r="H109" s="205"/>
      <c r="I109" s="21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</row>
    <row r="110" spans="1:25" ht="12">
      <c r="A110" s="278"/>
      <c r="B110" s="124"/>
      <c r="C110" s="201">
        <f>7+SUM(C105:C109)</f>
        <v>36</v>
      </c>
      <c r="D110" s="193" t="s">
        <v>455</v>
      </c>
      <c r="E110" s="186">
        <v>0</v>
      </c>
      <c r="F110" s="119"/>
      <c r="G110" s="201">
        <f>11+SUM(G106:G109)</f>
        <v>37</v>
      </c>
      <c r="H110" s="193" t="s">
        <v>455</v>
      </c>
      <c r="I110" s="186">
        <v>0</v>
      </c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spans="1:25" ht="12">
      <c r="A111" s="7"/>
      <c r="B111" s="127"/>
      <c r="D111" s="146" t="s">
        <v>710</v>
      </c>
      <c r="E111" s="187">
        <f>SUM(E106:E109)</f>
        <v>6.324130883335037</v>
      </c>
      <c r="F111" s="119"/>
      <c r="G111" s="119"/>
      <c r="H111" s="146" t="s">
        <v>710</v>
      </c>
      <c r="I111" s="187">
        <f>SUM(I106:I109)</f>
        <v>3.049118885604633</v>
      </c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spans="4:25" ht="12">
      <c r="D112" s="193" t="s">
        <v>588</v>
      </c>
      <c r="E112" s="187">
        <f>E109/7*1</f>
        <v>0.309744164564081</v>
      </c>
      <c r="F112" s="119"/>
      <c r="G112" s="119"/>
      <c r="H112" s="193" t="s">
        <v>588</v>
      </c>
      <c r="I112" s="187">
        <f>I107/15*2</f>
        <v>0.32503437987282363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spans="4:25" s="13" customFormat="1" ht="12">
      <c r="D113" s="274" t="s">
        <v>711</v>
      </c>
      <c r="E113" s="211">
        <f>E110+E111-E112</f>
        <v>6.0143867187709565</v>
      </c>
      <c r="F113" s="279"/>
      <c r="G113" s="279"/>
      <c r="H113" s="274" t="s">
        <v>711</v>
      </c>
      <c r="I113" s="211">
        <f>I110+I111-I112</f>
        <v>2.7240845057318097</v>
      </c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</row>
    <row r="114" spans="1:25" ht="12">
      <c r="A114" s="7"/>
      <c r="B114" s="127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</row>
    <row r="115" spans="1:25" ht="12">
      <c r="A115" s="7"/>
      <c r="B115" s="580" t="s">
        <v>592</v>
      </c>
      <c r="C115" s="581"/>
      <c r="D115" s="581"/>
      <c r="E115" s="582"/>
      <c r="F115" s="580" t="s">
        <v>592</v>
      </c>
      <c r="G115" s="581"/>
      <c r="H115" s="581"/>
      <c r="I115" s="582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</row>
    <row r="116" spans="1:25" ht="12">
      <c r="A116" s="7"/>
      <c r="B116" s="583" t="s">
        <v>590</v>
      </c>
      <c r="C116" s="584"/>
      <c r="D116" s="584"/>
      <c r="E116" s="585"/>
      <c r="F116" s="583" t="s">
        <v>591</v>
      </c>
      <c r="G116" s="584"/>
      <c r="H116" s="584"/>
      <c r="I116" s="585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</row>
    <row r="117" spans="1:25" ht="12">
      <c r="A117" s="7"/>
      <c r="B117" s="564" t="s">
        <v>715</v>
      </c>
      <c r="C117" s="572" t="s">
        <v>532</v>
      </c>
      <c r="D117" s="605" t="s">
        <v>587</v>
      </c>
      <c r="E117" s="605" t="s">
        <v>533</v>
      </c>
      <c r="F117" s="564" t="s">
        <v>715</v>
      </c>
      <c r="G117" s="572" t="s">
        <v>532</v>
      </c>
      <c r="H117" s="605" t="s">
        <v>587</v>
      </c>
      <c r="I117" s="605" t="s">
        <v>533</v>
      </c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</row>
    <row r="118" spans="1:25" ht="12">
      <c r="A118" s="291" t="s">
        <v>716</v>
      </c>
      <c r="B118" s="565"/>
      <c r="C118" s="576"/>
      <c r="D118" s="606"/>
      <c r="E118" s="615"/>
      <c r="F118" s="565"/>
      <c r="G118" s="576"/>
      <c r="H118" s="606"/>
      <c r="I118" s="615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</row>
    <row r="119" spans="1:9" s="7" customFormat="1" ht="12">
      <c r="A119" s="129" t="s">
        <v>593</v>
      </c>
      <c r="B119" s="186">
        <f>('rehabilitation costs'!$L$50+'rehabilitation costs'!$L$52)*inflators!$G$12</f>
        <v>5.777288135593221</v>
      </c>
      <c r="C119" s="197">
        <f>'AC lifetimes'!M26</f>
        <v>9</v>
      </c>
      <c r="D119" s="6">
        <v>0</v>
      </c>
      <c r="E119" s="194">
        <f>B119*(1/(1+inflators!$B$9)^D119)</f>
        <v>5.777288135593221</v>
      </c>
      <c r="F119" s="186">
        <f>('rehabilitation costs'!$L$50+'rehabilitation costs'!$L$52)*inflators!$G$12</f>
        <v>5.777288135593221</v>
      </c>
      <c r="G119" s="204">
        <f>'AC lifetimes'!H26</f>
        <v>15</v>
      </c>
      <c r="H119" s="3">
        <v>0</v>
      </c>
      <c r="I119" s="208">
        <f>F119*(1/(1+inflators!$B$9)^H119)</f>
        <v>5.777288135593221</v>
      </c>
    </row>
    <row r="120" spans="1:25" s="7" customFormat="1" ht="12">
      <c r="A120" s="130" t="s">
        <v>713</v>
      </c>
      <c r="B120" s="187">
        <f>('maintenance costs'!$L$48+'maintenance costs'!$L$58)*inflators!$G$12</f>
        <v>0.9411622276029056</v>
      </c>
      <c r="C120" s="198">
        <f>'AC lifetimes'!L55</f>
        <v>7</v>
      </c>
      <c r="D120" s="198">
        <f>C119+D119</f>
        <v>9</v>
      </c>
      <c r="E120" s="210">
        <f>B120*(1/(1+inflators!$B$9)^D120)</f>
        <v>0.6612480971416257</v>
      </c>
      <c r="F120" s="187">
        <f>('maintenance costs'!$L$48+'maintenance costs'!$L$59)*inflators!$G$12</f>
        <v>1.4769007263922518</v>
      </c>
      <c r="G120" s="196">
        <f>'AC lifetimes'!H55</f>
        <v>10</v>
      </c>
      <c r="H120" s="196">
        <f>G119+H119</f>
        <v>15</v>
      </c>
      <c r="I120" s="128">
        <f>F120*(1/(1+inflators!$B$9)^H120)</f>
        <v>0.820070547397068</v>
      </c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</row>
    <row r="121" spans="1:25" s="7" customFormat="1" ht="12">
      <c r="A121" s="130" t="s">
        <v>594</v>
      </c>
      <c r="B121" s="187">
        <f>('rehabilitation costs'!$L$42+'rehabilitation costs'!$L$50+'rehabilitation costs'!$L$51)*inflators!$G$12</f>
        <v>6.761888619854723</v>
      </c>
      <c r="C121" s="198">
        <f>'AC lifetimes'!L27</f>
        <v>7</v>
      </c>
      <c r="D121" s="198">
        <f>C120+D120</f>
        <v>16</v>
      </c>
      <c r="E121" s="210">
        <f>B121*(1/(1+inflators!$B$9)^D121)</f>
        <v>3.6102276172174848</v>
      </c>
      <c r="F121" s="187">
        <f>('rehabilitation costs'!$L$42+'rehabilitation costs'!$L$50+'rehabilitation costs'!$L$52)*inflators!$G$12</f>
        <v>7.268668280871672</v>
      </c>
      <c r="G121" s="196">
        <f>'AC lifetimes'!H27</f>
        <v>13</v>
      </c>
      <c r="H121" s="196">
        <f>G120+H120</f>
        <v>25</v>
      </c>
      <c r="I121" s="128">
        <f>F121*(1/(1+inflators!$B$9)^H121)</f>
        <v>2.7265996021653978</v>
      </c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</row>
    <row r="122" spans="1:25" s="7" customFormat="1" ht="12">
      <c r="A122" s="130" t="s">
        <v>713</v>
      </c>
      <c r="B122" s="187">
        <f>('maintenance costs'!$L$48+'maintenance costs'!$L$58)*inflators!$G$12</f>
        <v>0.9411622276029056</v>
      </c>
      <c r="C122" s="198">
        <f>'AC lifetimes'!L55</f>
        <v>7</v>
      </c>
      <c r="D122" s="198">
        <f>C121+D121</f>
        <v>23</v>
      </c>
      <c r="E122" s="210">
        <f>B122*(1/(1+inflators!$B$9)^D122)</f>
        <v>0.3818542996626218</v>
      </c>
      <c r="F122" s="187">
        <f>('maintenance costs'!$L$48+'maintenance costs'!$L$59)*inflators!$G$12</f>
        <v>1.4769007263922518</v>
      </c>
      <c r="G122" s="196"/>
      <c r="H122" s="196"/>
      <c r="I122" s="128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</row>
    <row r="123" spans="1:9" s="7" customFormat="1" ht="12">
      <c r="A123" s="131" t="s">
        <v>786</v>
      </c>
      <c r="B123" s="188">
        <f>('rehabilitation costs'!$L$50+'rehabilitation costs'!$L$51)*inflators!$G$12</f>
        <v>5.270508474576271</v>
      </c>
      <c r="C123" s="199">
        <f>'AC lifetimes'!L27</f>
        <v>7</v>
      </c>
      <c r="D123" s="199">
        <f>C122+D122</f>
        <v>30</v>
      </c>
      <c r="E123" s="191">
        <f>B123*(1/(1+inflators!$B$9)^D123)</f>
        <v>1.6249961524239793</v>
      </c>
      <c r="F123" s="188">
        <f>('rehabilitation costs'!$L$50+'rehabilitation costs'!$L$52)*inflators!$G$12</f>
        <v>5.777288135593221</v>
      </c>
      <c r="G123" s="205"/>
      <c r="H123" s="131"/>
      <c r="I123" s="132"/>
    </row>
    <row r="124" spans="3:25" s="7" customFormat="1" ht="12">
      <c r="C124" s="201">
        <f>SUM(C119:C123)</f>
        <v>37</v>
      </c>
      <c r="D124" s="193" t="s">
        <v>455</v>
      </c>
      <c r="E124" s="187">
        <f>E119</f>
        <v>5.777288135593221</v>
      </c>
      <c r="F124" s="124"/>
      <c r="G124" s="201">
        <f>SUM(G119:G123)</f>
        <v>38</v>
      </c>
      <c r="H124" s="193" t="s">
        <v>455</v>
      </c>
      <c r="I124" s="186">
        <f>I119</f>
        <v>5.777288135593221</v>
      </c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</row>
    <row r="125" spans="3:25" s="7" customFormat="1" ht="12">
      <c r="C125" s="124"/>
      <c r="D125" s="146" t="s">
        <v>710</v>
      </c>
      <c r="E125" s="187">
        <f>SUM(E120:E123)</f>
        <v>6.278326166445711</v>
      </c>
      <c r="F125" s="124"/>
      <c r="G125" s="124"/>
      <c r="H125" s="146" t="s">
        <v>710</v>
      </c>
      <c r="I125" s="187">
        <f>SUM(I120:I123)</f>
        <v>3.5466701495624657</v>
      </c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</row>
    <row r="126" spans="2:25" s="7" customFormat="1" ht="12">
      <c r="B126" s="127"/>
      <c r="C126" s="124"/>
      <c r="D126" s="193" t="s">
        <v>588</v>
      </c>
      <c r="E126" s="187">
        <f>E123/7*2</f>
        <v>0.46428461497827983</v>
      </c>
      <c r="F126" s="124"/>
      <c r="G126" s="124"/>
      <c r="H126" s="193" t="s">
        <v>588</v>
      </c>
      <c r="I126" s="187">
        <f>I121/13*3</f>
        <v>0.6292152928073995</v>
      </c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</row>
    <row r="127" spans="2:25" s="276" customFormat="1" ht="12">
      <c r="B127" s="277"/>
      <c r="C127" s="189"/>
      <c r="D127" s="274" t="s">
        <v>711</v>
      </c>
      <c r="E127" s="211">
        <f>E124+E125-E126</f>
        <v>11.591329687060654</v>
      </c>
      <c r="F127" s="189"/>
      <c r="G127" s="189"/>
      <c r="H127" s="274" t="s">
        <v>711</v>
      </c>
      <c r="I127" s="211">
        <f>I124+I125-I126</f>
        <v>8.694742992348287</v>
      </c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s="7" customFormat="1" ht="12">
      <c r="B128" s="127"/>
      <c r="C128" s="124"/>
      <c r="D128" s="146"/>
      <c r="F128" s="124"/>
      <c r="G128" s="124"/>
      <c r="H128" s="146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</row>
    <row r="129" spans="2:25" s="7" customFormat="1" ht="12">
      <c r="B129" s="580" t="s">
        <v>787</v>
      </c>
      <c r="C129" s="581"/>
      <c r="D129" s="581"/>
      <c r="E129" s="582"/>
      <c r="F129" s="580" t="s">
        <v>787</v>
      </c>
      <c r="G129" s="581"/>
      <c r="H129" s="581"/>
      <c r="I129" s="582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</row>
    <row r="130" spans="2:25" s="7" customFormat="1" ht="12">
      <c r="B130" s="583" t="s">
        <v>590</v>
      </c>
      <c r="C130" s="584"/>
      <c r="D130" s="584"/>
      <c r="E130" s="585"/>
      <c r="F130" s="583" t="s">
        <v>591</v>
      </c>
      <c r="G130" s="584"/>
      <c r="H130" s="584"/>
      <c r="I130" s="585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</row>
    <row r="131" spans="2:25" s="7" customFormat="1" ht="12">
      <c r="B131" s="564" t="s">
        <v>715</v>
      </c>
      <c r="C131" s="572" t="s">
        <v>532</v>
      </c>
      <c r="D131" s="605" t="s">
        <v>587</v>
      </c>
      <c r="E131" s="605" t="s">
        <v>533</v>
      </c>
      <c r="F131" s="564" t="s">
        <v>715</v>
      </c>
      <c r="G131" s="572" t="s">
        <v>532</v>
      </c>
      <c r="H131" s="605" t="s">
        <v>587</v>
      </c>
      <c r="I131" s="605" t="s">
        <v>533</v>
      </c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</row>
    <row r="132" spans="1:25" s="7" customFormat="1" ht="12">
      <c r="A132" s="291" t="s">
        <v>716</v>
      </c>
      <c r="B132" s="565"/>
      <c r="C132" s="576"/>
      <c r="D132" s="606"/>
      <c r="E132" s="615"/>
      <c r="F132" s="565"/>
      <c r="G132" s="576"/>
      <c r="H132" s="606"/>
      <c r="I132" s="615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1:9" ht="12">
      <c r="A133" s="129" t="s">
        <v>785</v>
      </c>
      <c r="B133" s="186">
        <f>('rehabilitation costs'!$L$55+'rehabilitation costs'!$L$57)*inflators!$G$12</f>
        <v>7.268668280871672</v>
      </c>
      <c r="C133" s="6">
        <f>'AC lifetimes'!N33</f>
        <v>9</v>
      </c>
      <c r="D133" s="6">
        <v>0</v>
      </c>
      <c r="E133" s="194">
        <f>B133*(1/(1+inflators!$B$9)^D133)</f>
        <v>7.268668280871672</v>
      </c>
      <c r="F133" s="186">
        <f>('rehabilitation costs'!$L$55+'rehabilitation costs'!$L$57)*inflators!$G$12</f>
        <v>7.268668280871672</v>
      </c>
      <c r="G133" s="3">
        <f>'AC lifetimes'!I33</f>
        <v>16</v>
      </c>
      <c r="H133" s="3">
        <v>0</v>
      </c>
      <c r="I133" s="208">
        <f>F133*(1/(1+inflators!$B$9)^H133)</f>
        <v>7.268668280871672</v>
      </c>
    </row>
    <row r="134" spans="1:9" s="7" customFormat="1" ht="12">
      <c r="A134" s="130" t="s">
        <v>713</v>
      </c>
      <c r="B134" s="187">
        <f>('maintenance costs'!$L$48+'maintenance costs'!$L$58)*inflators!$G$12</f>
        <v>0.9411622276029056</v>
      </c>
      <c r="C134" s="5">
        <f>'AC lifetimes'!L55</f>
        <v>7</v>
      </c>
      <c r="D134" s="198">
        <f>C133+D133</f>
        <v>9</v>
      </c>
      <c r="E134" s="210">
        <f>B134*(1/(1+inflators!$B$9)^D134)</f>
        <v>0.6612480971416257</v>
      </c>
      <c r="F134" s="187">
        <f>('maintenance costs'!$L$48+'maintenance costs'!$L$59)*inflators!$G$12</f>
        <v>1.4769007263922518</v>
      </c>
      <c r="G134" s="4">
        <f>'AC lifetimes'!I55</f>
        <v>7</v>
      </c>
      <c r="H134" s="196">
        <f>G133+H133</f>
        <v>16</v>
      </c>
      <c r="I134" s="128">
        <f>F134*(1/(1+inflators!$B$9)^H134)</f>
        <v>0.7885293724971806</v>
      </c>
    </row>
    <row r="135" spans="1:9" ht="12">
      <c r="A135" s="130" t="s">
        <v>594</v>
      </c>
      <c r="B135" s="187">
        <f>('rehabilitation costs'!$L$42+'rehabilitation costs'!$L$50+'rehabilitation costs'!$L$51)*inflators!$G$12</f>
        <v>6.761888619854723</v>
      </c>
      <c r="C135" s="5">
        <f>'AC lifetimes'!L27</f>
        <v>7</v>
      </c>
      <c r="D135" s="198">
        <f>C134+D134</f>
        <v>16</v>
      </c>
      <c r="E135" s="210">
        <f>B135*(1/(1+inflators!$B$9)^D135)</f>
        <v>3.6102276172174848</v>
      </c>
      <c r="F135" s="187">
        <f>('rehabilitation costs'!$L$42+'rehabilitation costs'!$L$50+'rehabilitation costs'!$L$52)*inflators!$G$12</f>
        <v>7.268668280871672</v>
      </c>
      <c r="G135" s="4">
        <f>'AC lifetimes'!I27</f>
        <v>11</v>
      </c>
      <c r="H135" s="196">
        <f>G134+H134</f>
        <v>23</v>
      </c>
      <c r="I135" s="128">
        <f>F135*(1/(1+inflators!$B$9)^H135)</f>
        <v>2.949090129702095</v>
      </c>
    </row>
    <row r="136" spans="1:9" s="7" customFormat="1" ht="12">
      <c r="A136" s="130" t="s">
        <v>713</v>
      </c>
      <c r="B136" s="187">
        <f>('maintenance costs'!$L$48+'maintenance costs'!$L$58)*inflators!$G$12</f>
        <v>0.9411622276029056</v>
      </c>
      <c r="C136" s="5">
        <f>'AC lifetimes'!L55</f>
        <v>7</v>
      </c>
      <c r="D136" s="198">
        <f>C135+D135</f>
        <v>23</v>
      </c>
      <c r="E136" s="210">
        <f>B136*(1/(1+inflators!$B$9)^D136)</f>
        <v>0.3818542996626218</v>
      </c>
      <c r="F136" s="187">
        <f>('maintenance costs'!$L$48+'maintenance costs'!$L$59)*inflators!$G$12</f>
        <v>1.4769007263922518</v>
      </c>
      <c r="G136" s="4">
        <f>'AC lifetimes'!I55</f>
        <v>7</v>
      </c>
      <c r="H136" s="196">
        <f>G135+H135</f>
        <v>34</v>
      </c>
      <c r="I136" s="128">
        <f>F136*(1/(1+inflators!$B$9)^H136)</f>
        <v>0.38924027250801657</v>
      </c>
    </row>
    <row r="137" spans="1:9" ht="12">
      <c r="A137" s="131" t="s">
        <v>786</v>
      </c>
      <c r="B137" s="188">
        <f>('rehabilitation costs'!$L$50+'rehabilitation costs'!$L$51)*inflators!$G$12</f>
        <v>5.270508474576271</v>
      </c>
      <c r="C137" s="61">
        <f>'AC lifetimes'!L27</f>
        <v>7</v>
      </c>
      <c r="D137" s="199">
        <f>C136+D136</f>
        <v>30</v>
      </c>
      <c r="E137" s="191">
        <f>B137*(1/(1+inflators!$B$9)^D137)</f>
        <v>1.6249961524239793</v>
      </c>
      <c r="F137" s="188">
        <f>('rehabilitation costs'!$L$50+'rehabilitation costs'!$L$52)*inflators!$G$12</f>
        <v>5.777288135593221</v>
      </c>
      <c r="G137" s="74"/>
      <c r="H137" s="131"/>
      <c r="I137" s="132"/>
    </row>
    <row r="138" spans="1:9" ht="12">
      <c r="A138" s="7"/>
      <c r="B138" s="127"/>
      <c r="C138" s="201">
        <f>SUM(C133:C137)</f>
        <v>37</v>
      </c>
      <c r="D138" s="193" t="s">
        <v>455</v>
      </c>
      <c r="E138" s="187">
        <f>E133</f>
        <v>7.268668280871672</v>
      </c>
      <c r="F138" s="124"/>
      <c r="G138" s="201">
        <f>SUM(G133:G137)</f>
        <v>41</v>
      </c>
      <c r="H138" s="193" t="s">
        <v>455</v>
      </c>
      <c r="I138" s="186">
        <f>I133</f>
        <v>7.268668280871672</v>
      </c>
    </row>
    <row r="139" spans="1:9" ht="12">
      <c r="A139" s="7"/>
      <c r="B139" s="127"/>
      <c r="C139" s="124"/>
      <c r="D139" s="146" t="s">
        <v>710</v>
      </c>
      <c r="E139" s="187">
        <f>SUM(E134:E137)</f>
        <v>6.278326166445711</v>
      </c>
      <c r="F139" s="124"/>
      <c r="G139" s="124"/>
      <c r="H139" s="146" t="s">
        <v>710</v>
      </c>
      <c r="I139" s="187">
        <f>SUM(I134:I137)</f>
        <v>4.126859774707292</v>
      </c>
    </row>
    <row r="140" spans="1:9" ht="12">
      <c r="A140" s="7"/>
      <c r="B140" s="127"/>
      <c r="C140" s="124"/>
      <c r="D140" s="193" t="s">
        <v>588</v>
      </c>
      <c r="E140" s="187">
        <f>E137/7*2</f>
        <v>0.46428461497827983</v>
      </c>
      <c r="F140" s="124"/>
      <c r="G140" s="124"/>
      <c r="H140" s="193" t="s">
        <v>588</v>
      </c>
      <c r="I140" s="187">
        <f>I136/7*6</f>
        <v>0.33363451929258564</v>
      </c>
    </row>
    <row r="141" spans="1:9" s="13" customFormat="1" ht="12">
      <c r="A141" s="276"/>
      <c r="B141" s="277"/>
      <c r="D141" s="274" t="s">
        <v>711</v>
      </c>
      <c r="E141" s="211">
        <f>E138+E139-E140</f>
        <v>13.082709832339104</v>
      </c>
      <c r="H141" s="274" t="s">
        <v>711</v>
      </c>
      <c r="I141" s="211">
        <f>I138+I139-I140</f>
        <v>11.061893536286378</v>
      </c>
    </row>
    <row r="142" spans="1:2" ht="12">
      <c r="A142" s="7"/>
      <c r="B142" s="127"/>
    </row>
    <row r="143" spans="2:9" ht="12">
      <c r="B143" s="580" t="s">
        <v>788</v>
      </c>
      <c r="C143" s="581"/>
      <c r="D143" s="581"/>
      <c r="E143" s="582"/>
      <c r="F143" s="580" t="s">
        <v>788</v>
      </c>
      <c r="G143" s="581"/>
      <c r="H143" s="581"/>
      <c r="I143" s="582"/>
    </row>
    <row r="144" spans="2:9" ht="12">
      <c r="B144" s="583" t="s">
        <v>590</v>
      </c>
      <c r="C144" s="584"/>
      <c r="D144" s="584"/>
      <c r="E144" s="585"/>
      <c r="F144" s="583" t="s">
        <v>591</v>
      </c>
      <c r="G144" s="584"/>
      <c r="H144" s="584"/>
      <c r="I144" s="585"/>
    </row>
    <row r="145" spans="1:9" ht="12">
      <c r="A145" s="7"/>
      <c r="B145" s="564" t="s">
        <v>715</v>
      </c>
      <c r="C145" s="572" t="s">
        <v>532</v>
      </c>
      <c r="D145" s="605" t="s">
        <v>587</v>
      </c>
      <c r="E145" s="605" t="s">
        <v>533</v>
      </c>
      <c r="F145" s="564" t="s">
        <v>715</v>
      </c>
      <c r="G145" s="572" t="s">
        <v>532</v>
      </c>
      <c r="H145" s="605" t="s">
        <v>587</v>
      </c>
      <c r="I145" s="605" t="s">
        <v>533</v>
      </c>
    </row>
    <row r="146" spans="1:9" ht="12">
      <c r="A146" s="291" t="s">
        <v>716</v>
      </c>
      <c r="B146" s="565"/>
      <c r="C146" s="576"/>
      <c r="D146" s="606"/>
      <c r="E146" s="615"/>
      <c r="F146" s="565"/>
      <c r="G146" s="576"/>
      <c r="H146" s="606"/>
      <c r="I146" s="615"/>
    </row>
    <row r="147" spans="1:9" ht="12">
      <c r="A147" s="129" t="s">
        <v>789</v>
      </c>
      <c r="B147" s="194">
        <f>('rehabilitation costs'!$L$43+'rehabilitation costs'!$L$48)*inflators!$G$12</f>
        <v>9.223389830508475</v>
      </c>
      <c r="C147" s="6">
        <f>'AC lifetimes'!O19</f>
        <v>8</v>
      </c>
      <c r="D147" s="6">
        <v>0</v>
      </c>
      <c r="E147" s="194">
        <f>B147*(1/(1+inflators!$B$9)^D147)</f>
        <v>9.223389830508475</v>
      </c>
      <c r="F147" s="194">
        <f>('rehabilitation costs'!$L$43+'rehabilitation costs'!$L$48)*inflators!$G$12</f>
        <v>9.223389830508475</v>
      </c>
      <c r="G147" s="3">
        <f>'AC lifetimes'!J19</f>
        <v>14</v>
      </c>
      <c r="H147" s="3">
        <v>0</v>
      </c>
      <c r="I147" s="208">
        <f>F147*(1/(1+inflators!$B$9)^H147)</f>
        <v>9.223389830508475</v>
      </c>
    </row>
    <row r="148" spans="1:9" ht="12">
      <c r="A148" s="130" t="s">
        <v>713</v>
      </c>
      <c r="B148" s="187">
        <f>('maintenance costs'!$L$48+'maintenance costs'!$L$58)*inflators!$G$12</f>
        <v>0.9411622276029056</v>
      </c>
      <c r="C148" s="5">
        <f>'AC lifetimes'!L55</f>
        <v>7</v>
      </c>
      <c r="D148" s="198">
        <f>C147+D147</f>
        <v>8</v>
      </c>
      <c r="E148" s="210">
        <f>B148*(1/(1+inflators!$B$9)^D148)</f>
        <v>0.6876980210272908</v>
      </c>
      <c r="F148" s="187">
        <f>('maintenance costs'!$L$48+'maintenance costs'!$L$59)*inflators!$G$12</f>
        <v>1.4769007263922518</v>
      </c>
      <c r="G148" s="4">
        <f>'AC lifetimes'!H55</f>
        <v>10</v>
      </c>
      <c r="H148" s="196">
        <f>G147+H147</f>
        <v>14</v>
      </c>
      <c r="I148" s="128">
        <f>F148*(1/(1+inflators!$B$9)^H148)</f>
        <v>0.8528733692929508</v>
      </c>
    </row>
    <row r="149" spans="1:9" ht="12">
      <c r="A149" s="130" t="s">
        <v>594</v>
      </c>
      <c r="B149" s="187">
        <f>('rehabilitation costs'!$L$42+'rehabilitation costs'!$L$50+'rehabilitation costs'!$L$51)*inflators!$G$12</f>
        <v>6.761888619854723</v>
      </c>
      <c r="C149" s="5">
        <f>'AC lifetimes'!L27</f>
        <v>7</v>
      </c>
      <c r="D149" s="198">
        <f>C148+D148</f>
        <v>15</v>
      </c>
      <c r="E149" s="210">
        <f>B149*(1/(1+inflators!$B$9)^D149)</f>
        <v>3.7546367219061847</v>
      </c>
      <c r="F149" s="187">
        <f>('rehabilitation costs'!$L$42+'rehabilitation costs'!$L$50+'rehabilitation costs'!$L$52)*inflators!$G$12</f>
        <v>7.268668280871672</v>
      </c>
      <c r="G149" s="4">
        <f>'AC lifetimes'!H27</f>
        <v>13</v>
      </c>
      <c r="H149" s="196">
        <f>G148+H148</f>
        <v>24</v>
      </c>
      <c r="I149" s="128">
        <f>F149*(1/(1+inflators!$B$9)^H149)</f>
        <v>2.8356635862520143</v>
      </c>
    </row>
    <row r="150" spans="1:9" ht="12">
      <c r="A150" s="130" t="s">
        <v>713</v>
      </c>
      <c r="B150" s="187">
        <f>('maintenance costs'!$L$48+'maintenance costs'!$L$58)*inflators!$G$12</f>
        <v>0.9411622276029056</v>
      </c>
      <c r="C150" s="5">
        <f>'AC lifetimes'!L55</f>
        <v>7</v>
      </c>
      <c r="D150" s="198">
        <f>C149+D149</f>
        <v>22</v>
      </c>
      <c r="E150" s="210">
        <f>B150*(1/(1+inflators!$B$9)^D150)</f>
        <v>0.3971284716491266</v>
      </c>
      <c r="F150" s="187">
        <f>('maintenance costs'!$L$48+'maintenance costs'!$L$59)*inflators!$G$12</f>
        <v>1.4769007263922518</v>
      </c>
      <c r="G150" s="4"/>
      <c r="H150" s="130"/>
      <c r="I150" s="185"/>
    </row>
    <row r="151" spans="1:9" ht="12">
      <c r="A151" s="131" t="s">
        <v>786</v>
      </c>
      <c r="B151" s="188">
        <f>('rehabilitation costs'!$L$50+'rehabilitation costs'!$L$51)*inflators!$G$12</f>
        <v>5.270508474576271</v>
      </c>
      <c r="C151" s="61">
        <f>'AC lifetimes'!L27</f>
        <v>7</v>
      </c>
      <c r="D151" s="199">
        <f>C150+D150</f>
        <v>29</v>
      </c>
      <c r="E151" s="191">
        <f>B151*(1/(1+inflators!$B$9)^D151)</f>
        <v>1.6899959985209383</v>
      </c>
      <c r="F151" s="188">
        <f>('rehabilitation costs'!$L$50+'rehabilitation costs'!$L$52)*inflators!$G$12</f>
        <v>5.777288135593221</v>
      </c>
      <c r="G151" s="74"/>
      <c r="H151" s="131"/>
      <c r="I151" s="132"/>
    </row>
    <row r="152" spans="3:9" ht="12">
      <c r="C152" s="201">
        <f>SUM(C147:C151)</f>
        <v>36</v>
      </c>
      <c r="D152" s="193" t="s">
        <v>455</v>
      </c>
      <c r="E152" s="187">
        <f>E147</f>
        <v>9.223389830508475</v>
      </c>
      <c r="F152" s="124"/>
      <c r="G152" s="201">
        <f>SUM(G147:G151)</f>
        <v>37</v>
      </c>
      <c r="H152" s="193" t="s">
        <v>455</v>
      </c>
      <c r="I152" s="186">
        <f>I147</f>
        <v>9.223389830508475</v>
      </c>
    </row>
    <row r="153" spans="4:9" ht="12">
      <c r="D153" s="146" t="s">
        <v>710</v>
      </c>
      <c r="E153" s="187">
        <f>SUM(E148:E151)</f>
        <v>6.52945921310354</v>
      </c>
      <c r="F153" s="124"/>
      <c r="G153" s="124"/>
      <c r="H153" s="146" t="s">
        <v>710</v>
      </c>
      <c r="I153" s="187">
        <f>SUM(I148:I151)</f>
        <v>3.688536955544965</v>
      </c>
    </row>
    <row r="154" spans="4:9" ht="12">
      <c r="D154" s="193" t="s">
        <v>588</v>
      </c>
      <c r="E154" s="187">
        <f>E151/7*1</f>
        <v>0.24142799978870547</v>
      </c>
      <c r="F154" s="124"/>
      <c r="G154" s="124"/>
      <c r="H154" s="193" t="s">
        <v>588</v>
      </c>
      <c r="I154" s="187">
        <f>I149/13*2</f>
        <v>0.43625593634646376</v>
      </c>
    </row>
    <row r="155" spans="4:9" s="13" customFormat="1" ht="12">
      <c r="D155" s="274" t="s">
        <v>711</v>
      </c>
      <c r="E155" s="211">
        <f>E152+E153-E154</f>
        <v>15.511421043823312</v>
      </c>
      <c r="H155" s="274" t="s">
        <v>711</v>
      </c>
      <c r="I155" s="211">
        <f>I152+I153-I154</f>
        <v>12.475670849706976</v>
      </c>
    </row>
    <row r="156" ht="12"/>
    <row r="157" s="192" customFormat="1" ht="12">
      <c r="A157" s="195" t="s">
        <v>631</v>
      </c>
    </row>
    <row r="158" spans="1:9" s="190" customFormat="1" ht="12">
      <c r="A158" s="1" t="s">
        <v>25</v>
      </c>
      <c r="B158" s="580" t="s">
        <v>589</v>
      </c>
      <c r="C158" s="581"/>
      <c r="D158" s="581"/>
      <c r="E158" s="582"/>
      <c r="F158" s="580" t="s">
        <v>589</v>
      </c>
      <c r="G158" s="581"/>
      <c r="H158" s="581"/>
      <c r="I158" s="582"/>
    </row>
    <row r="159" spans="1:9" s="190" customFormat="1" ht="12">
      <c r="A159" s="405" t="s">
        <v>21</v>
      </c>
      <c r="B159" s="583" t="s">
        <v>590</v>
      </c>
      <c r="C159" s="584"/>
      <c r="D159" s="584"/>
      <c r="E159" s="585"/>
      <c r="F159" s="583" t="s">
        <v>591</v>
      </c>
      <c r="G159" s="584"/>
      <c r="H159" s="584"/>
      <c r="I159" s="585"/>
    </row>
    <row r="160" spans="2:9" s="190" customFormat="1" ht="12">
      <c r="B160" s="564" t="s">
        <v>715</v>
      </c>
      <c r="C160" s="572" t="s">
        <v>532</v>
      </c>
      <c r="D160" s="605" t="s">
        <v>587</v>
      </c>
      <c r="E160" s="605" t="s">
        <v>533</v>
      </c>
      <c r="F160" s="564" t="s">
        <v>715</v>
      </c>
      <c r="G160" s="572" t="s">
        <v>532</v>
      </c>
      <c r="H160" s="605" t="s">
        <v>587</v>
      </c>
      <c r="I160" s="605" t="s">
        <v>533</v>
      </c>
    </row>
    <row r="161" spans="1:9" s="190" customFormat="1" ht="12">
      <c r="A161" s="291" t="s">
        <v>716</v>
      </c>
      <c r="B161" s="565"/>
      <c r="C161" s="576"/>
      <c r="D161" s="606"/>
      <c r="E161" s="615"/>
      <c r="F161" s="565"/>
      <c r="G161" s="576"/>
      <c r="H161" s="606"/>
      <c r="I161" s="615"/>
    </row>
    <row r="162" spans="1:9" s="190" customFormat="1" ht="12">
      <c r="A162" s="129" t="s">
        <v>712</v>
      </c>
      <c r="B162" s="186">
        <f>('maintenance costs'!$L$48+'maintenance costs'!$L$58)*inflators!$G$12</f>
        <v>0.9411622276029056</v>
      </c>
      <c r="C162" s="95">
        <f>'AC lifetimes'!L56</f>
        <v>8</v>
      </c>
      <c r="D162" s="204">
        <v>8</v>
      </c>
      <c r="E162" s="210">
        <f>B162*(1/(1+inflators!$B$9)^D162)</f>
        <v>0.6876980210272908</v>
      </c>
      <c r="F162" s="186">
        <f>('maintenance costs'!$L$48+'maintenance costs'!$L$58)*inflators!$G$12</f>
        <v>0.9411622276029056</v>
      </c>
      <c r="G162" s="204">
        <f>'AC lifetimes'!G56</f>
        <v>11</v>
      </c>
      <c r="H162" s="204">
        <v>11</v>
      </c>
      <c r="I162" s="210">
        <f>F162*(1/(1+inflators!$B$9)^H162)</f>
        <v>0.6113610365584558</v>
      </c>
    </row>
    <row r="163" spans="1:25" s="7" customFormat="1" ht="12">
      <c r="A163" s="130" t="s">
        <v>713</v>
      </c>
      <c r="B163" s="187">
        <f>('maintenance costs'!$L$48+'maintenance costs'!$L$58)*inflators!$G$12</f>
        <v>0.9411622276029056</v>
      </c>
      <c r="C163" s="196">
        <f>'AC lifetimes'!L57</f>
        <v>8</v>
      </c>
      <c r="D163" s="196">
        <f>C162+D162</f>
        <v>16</v>
      </c>
      <c r="E163" s="210">
        <f>B163*(1/(1+inflators!$B$9)^D163)</f>
        <v>0.5024942079638897</v>
      </c>
      <c r="F163" s="187">
        <f>('maintenance costs'!$L$48+'maintenance costs'!$L$59)*inflators!$G$12</f>
        <v>1.4769007263922518</v>
      </c>
      <c r="G163" s="196">
        <f>'AC lifetimes'!H57</f>
        <v>10</v>
      </c>
      <c r="H163" s="196">
        <f>G162+H162</f>
        <v>22</v>
      </c>
      <c r="I163" s="210">
        <f>F163*(1/(1+inflators!$B$9)^H163)</f>
        <v>0.6231862170493987</v>
      </c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1:25" ht="12">
      <c r="A164" s="130" t="s">
        <v>169</v>
      </c>
      <c r="B164" s="187">
        <f>('maintenance costs'!$L$52+'maintenance costs'!$L$58)*inflators!$G$12</f>
        <v>1.7809685230024213</v>
      </c>
      <c r="C164" s="9">
        <f>'AC lifetimes'!L85</f>
        <v>9</v>
      </c>
      <c r="D164" s="196">
        <f>C163+D163</f>
        <v>24</v>
      </c>
      <c r="E164" s="210">
        <f>B164*(1/(1+inflators!$B$9)^D164)</f>
        <v>0.6947940659541787</v>
      </c>
      <c r="F164" s="187">
        <f>('maintenance costs'!$L$52+'maintenance costs'!$L$59)*inflators!$G$12</f>
        <v>2.3167070217917676</v>
      </c>
      <c r="G164" s="196">
        <f>'AC lifetimes'!H85</f>
        <v>11</v>
      </c>
      <c r="H164" s="196">
        <f>G163+H163</f>
        <v>32</v>
      </c>
      <c r="I164" s="210">
        <f>F164*(1/(1+inflators!$B$9)^H164)</f>
        <v>0.6603957313641895</v>
      </c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</row>
    <row r="165" spans="1:9" s="190" customFormat="1" ht="12">
      <c r="A165" s="131" t="s">
        <v>713</v>
      </c>
      <c r="B165" s="188">
        <f>('maintenance costs'!$L$48+'maintenance costs'!$L$58)*inflators!$G$12</f>
        <v>0.9411622276029056</v>
      </c>
      <c r="C165" s="206">
        <f>'AC lifetimes'!L57</f>
        <v>8</v>
      </c>
      <c r="D165" s="205">
        <f>C164+D164</f>
        <v>33</v>
      </c>
      <c r="E165" s="210">
        <f>B165*(1/(1+inflators!$B$9)^D165)</f>
        <v>0.2579670825641365</v>
      </c>
      <c r="F165" s="188">
        <f>('maintenance costs'!$L$48+'maintenance costs'!$L$59)*inflators!$G$12</f>
        <v>1.4769007263922518</v>
      </c>
      <c r="G165" s="205"/>
      <c r="H165" s="74"/>
      <c r="I165" s="74"/>
    </row>
    <row r="166" spans="1:25" ht="12">
      <c r="A166" s="278"/>
      <c r="B166" s="124"/>
      <c r="C166" s="201">
        <f>8+SUM(C161:C165)</f>
        <v>41</v>
      </c>
      <c r="D166" s="193" t="s">
        <v>455</v>
      </c>
      <c r="E166" s="186">
        <v>0</v>
      </c>
      <c r="F166" s="119"/>
      <c r="G166" s="201">
        <f>11+SUM(G161:G165)</f>
        <v>43</v>
      </c>
      <c r="H166" s="193" t="s">
        <v>455</v>
      </c>
      <c r="I166" s="186">
        <v>0</v>
      </c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</row>
    <row r="167" spans="1:25" ht="12">
      <c r="A167" s="7"/>
      <c r="B167" s="127"/>
      <c r="D167" s="146" t="s">
        <v>710</v>
      </c>
      <c r="E167" s="187">
        <f>SUM(E162:E165)</f>
        <v>2.1429533775094955</v>
      </c>
      <c r="F167" s="119"/>
      <c r="G167" s="119"/>
      <c r="H167" s="146" t="s">
        <v>710</v>
      </c>
      <c r="I167" s="187">
        <f>SUM(I162:I165)</f>
        <v>1.8949429849720438</v>
      </c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</row>
    <row r="168" spans="4:25" ht="12">
      <c r="D168" s="193" t="s">
        <v>588</v>
      </c>
      <c r="E168" s="187">
        <f>E165/8*6</f>
        <v>0.19347531192310236</v>
      </c>
      <c r="F168" s="119"/>
      <c r="G168" s="119"/>
      <c r="H168" s="193" t="s">
        <v>588</v>
      </c>
      <c r="I168" s="187">
        <f>I164/11*8</f>
        <v>0.48028780462850146</v>
      </c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</row>
    <row r="169" spans="4:25" s="13" customFormat="1" ht="12">
      <c r="D169" s="274" t="s">
        <v>711</v>
      </c>
      <c r="E169" s="211">
        <f>E166+E167-E168</f>
        <v>1.9494780655863932</v>
      </c>
      <c r="F169" s="279"/>
      <c r="G169" s="279"/>
      <c r="H169" s="274" t="s">
        <v>711</v>
      </c>
      <c r="I169" s="211">
        <f>I166+I167-I168</f>
        <v>1.4146551803435423</v>
      </c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</row>
    <row r="170" spans="1:25" ht="12">
      <c r="A170" s="7"/>
      <c r="B170" s="127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</row>
    <row r="171" spans="1:25" ht="12">
      <c r="A171" s="7"/>
      <c r="B171" s="580" t="s">
        <v>592</v>
      </c>
      <c r="C171" s="581"/>
      <c r="D171" s="581"/>
      <c r="E171" s="582"/>
      <c r="F171" s="580" t="s">
        <v>592</v>
      </c>
      <c r="G171" s="581"/>
      <c r="H171" s="581"/>
      <c r="I171" s="582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</row>
    <row r="172" spans="1:25" ht="12">
      <c r="A172" s="7"/>
      <c r="B172" s="583" t="s">
        <v>590</v>
      </c>
      <c r="C172" s="584"/>
      <c r="D172" s="584"/>
      <c r="E172" s="585"/>
      <c r="F172" s="583" t="s">
        <v>591</v>
      </c>
      <c r="G172" s="584"/>
      <c r="H172" s="584"/>
      <c r="I172" s="585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</row>
    <row r="173" spans="1:25" ht="12">
      <c r="A173" s="7"/>
      <c r="B173" s="564" t="s">
        <v>715</v>
      </c>
      <c r="C173" s="572" t="s">
        <v>532</v>
      </c>
      <c r="D173" s="605" t="s">
        <v>587</v>
      </c>
      <c r="E173" s="605" t="s">
        <v>533</v>
      </c>
      <c r="F173" s="564" t="s">
        <v>715</v>
      </c>
      <c r="G173" s="572" t="s">
        <v>532</v>
      </c>
      <c r="H173" s="605" t="s">
        <v>587</v>
      </c>
      <c r="I173" s="605" t="s">
        <v>533</v>
      </c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</row>
    <row r="174" spans="1:25" ht="12">
      <c r="A174" s="291" t="s">
        <v>716</v>
      </c>
      <c r="B174" s="565"/>
      <c r="C174" s="576"/>
      <c r="D174" s="606"/>
      <c r="E174" s="615"/>
      <c r="F174" s="565"/>
      <c r="G174" s="576"/>
      <c r="H174" s="606"/>
      <c r="I174" s="615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</row>
    <row r="175" spans="1:9" s="7" customFormat="1" ht="12">
      <c r="A175" s="129" t="s">
        <v>712</v>
      </c>
      <c r="B175" s="186">
        <f>('maintenance costs'!$L$48+'maintenance costs'!$L$59)*inflators!$G$12</f>
        <v>1.4769007263922518</v>
      </c>
      <c r="C175" s="95">
        <f>'AC lifetimes'!M56</f>
        <v>8</v>
      </c>
      <c r="D175" s="3">
        <v>0</v>
      </c>
      <c r="E175" s="194">
        <f>B175*(1/(1+inflators!$B$9)^D175)</f>
        <v>1.4769007263922518</v>
      </c>
      <c r="F175" s="186">
        <f>('maintenance costs'!$L$48+'maintenance costs'!$L$59)*inflators!$G$12</f>
        <v>1.4769007263922518</v>
      </c>
      <c r="G175" s="204">
        <f>'AC lifetimes'!H56</f>
        <v>11</v>
      </c>
      <c r="H175" s="3">
        <v>0</v>
      </c>
      <c r="I175" s="208">
        <f>F175*(1/(1+inflators!$B$9)^H175)</f>
        <v>1.4769007263922518</v>
      </c>
    </row>
    <row r="176" spans="1:25" s="7" customFormat="1" ht="12">
      <c r="A176" s="130" t="s">
        <v>713</v>
      </c>
      <c r="B176" s="187">
        <f>('maintenance costs'!$L$48+'maintenance costs'!$L$58)*inflators!$G$12</f>
        <v>0.9411622276029056</v>
      </c>
      <c r="C176" s="196">
        <f>'AC lifetimes'!L64</f>
        <v>9</v>
      </c>
      <c r="D176" s="196">
        <f>C175+D175</f>
        <v>8</v>
      </c>
      <c r="E176" s="210">
        <f>B176*(1/(1+inflators!$B$9)^D176)</f>
        <v>0.6876980210272908</v>
      </c>
      <c r="F176" s="187">
        <f>('maintenance costs'!$L$48+'maintenance costs'!$L$59)*inflators!$G$12</f>
        <v>1.4769007263922518</v>
      </c>
      <c r="G176" s="196">
        <f>'AC lifetimes'!H57</f>
        <v>10</v>
      </c>
      <c r="H176" s="196">
        <f>G175+H175</f>
        <v>11</v>
      </c>
      <c r="I176" s="128">
        <f>F176*(1/(1+inflators!$B$9)^H176)</f>
        <v>0.9593665496763459</v>
      </c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</row>
    <row r="177" spans="1:25" s="7" customFormat="1" ht="12">
      <c r="A177" s="130" t="s">
        <v>169</v>
      </c>
      <c r="B177" s="187">
        <f>('maintenance costs'!$L$52+'maintenance costs'!$L$58)*inflators!$G$12</f>
        <v>1.7809685230024213</v>
      </c>
      <c r="C177" s="9">
        <f>'AC lifetimes'!L85</f>
        <v>9</v>
      </c>
      <c r="D177" s="196">
        <f>C176+D176</f>
        <v>17</v>
      </c>
      <c r="E177" s="210">
        <f>B177*(1/(1+inflators!$B$9)^D177)</f>
        <v>0.9143015914135861</v>
      </c>
      <c r="F177" s="187">
        <f>('maintenance costs'!$L$52+'maintenance costs'!$L$59)*inflators!$G$12</f>
        <v>2.3167070217917676</v>
      </c>
      <c r="G177" s="196">
        <f>'AC lifetimes'!H85</f>
        <v>11</v>
      </c>
      <c r="H177" s="196">
        <f>G176+H176</f>
        <v>21</v>
      </c>
      <c r="I177" s="128">
        <f>F177*(1/(1+inflators!$B$9)^H177)</f>
        <v>1.016648887421764</v>
      </c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</row>
    <row r="178" spans="1:25" s="7" customFormat="1" ht="12">
      <c r="A178" s="130" t="s">
        <v>713</v>
      </c>
      <c r="B178" s="187">
        <f>('maintenance costs'!$L$48+'maintenance costs'!$L$58)*inflators!$G$12</f>
        <v>0.9411622276029056</v>
      </c>
      <c r="C178" s="77">
        <f>'AC lifetimes'!L57</f>
        <v>8</v>
      </c>
      <c r="D178" s="196">
        <f>C177+D177</f>
        <v>26</v>
      </c>
      <c r="E178" s="210">
        <f>B178*(1/(1+inflators!$B$9)^D178)</f>
        <v>0.3394670819429031</v>
      </c>
      <c r="F178" s="187">
        <f>('maintenance costs'!$L$48+'maintenance costs'!$L$59)*inflators!$G$12</f>
        <v>1.4769007263922518</v>
      </c>
      <c r="G178" s="196">
        <f>'AC lifetimes'!H57</f>
        <v>10</v>
      </c>
      <c r="H178" s="196">
        <f>G177+H177</f>
        <v>32</v>
      </c>
      <c r="I178" s="128">
        <f>F178*(1/(1+inflators!$B$9)^H178)</f>
        <v>0.4210022787446708</v>
      </c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</row>
    <row r="179" spans="1:25" s="7" customFormat="1" ht="12">
      <c r="A179" s="131" t="s">
        <v>593</v>
      </c>
      <c r="B179" s="188">
        <f>('rehabilitation costs'!$L$50+'rehabilitation costs'!$L$51)*inflators!$G$12</f>
        <v>5.270508474576271</v>
      </c>
      <c r="C179" s="206">
        <f>'AC lifetimes'!L29</f>
        <v>10</v>
      </c>
      <c r="D179" s="205">
        <f>C178+D178</f>
        <v>34</v>
      </c>
      <c r="E179" s="191">
        <f>B179*(1/(1+inflators!$B$9)^D179)</f>
        <v>1.3890535214991966</v>
      </c>
      <c r="F179" s="188">
        <f>('rehabilitation costs'!$L$50+'rehabilitation costs'!$L$52)*inflators!$G$12</f>
        <v>5.777288135593221</v>
      </c>
      <c r="G179" s="205"/>
      <c r="H179" s="211"/>
      <c r="I179" s="207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</row>
    <row r="180" spans="3:25" s="7" customFormat="1" ht="12">
      <c r="C180" s="201">
        <f>SUM(C175:C179)</f>
        <v>44</v>
      </c>
      <c r="D180" s="193" t="s">
        <v>455</v>
      </c>
      <c r="E180" s="187">
        <f>E175</f>
        <v>1.4769007263922518</v>
      </c>
      <c r="F180" s="124"/>
      <c r="G180" s="201">
        <f>SUM(G175:G178)</f>
        <v>42</v>
      </c>
      <c r="H180" s="193" t="s">
        <v>455</v>
      </c>
      <c r="I180" s="186">
        <f>I175</f>
        <v>1.4769007263922518</v>
      </c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</row>
    <row r="181" spans="3:25" s="7" customFormat="1" ht="12">
      <c r="C181" s="124"/>
      <c r="D181" s="146" t="s">
        <v>710</v>
      </c>
      <c r="E181" s="187">
        <f>SUM(E176:E179)</f>
        <v>3.3305202158829763</v>
      </c>
      <c r="F181" s="124"/>
      <c r="G181" s="124"/>
      <c r="H181" s="146" t="s">
        <v>710</v>
      </c>
      <c r="I181" s="187">
        <f>SUM(I176:I179)</f>
        <v>2.3970177158427806</v>
      </c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</row>
    <row r="182" spans="2:25" s="7" customFormat="1" ht="12">
      <c r="B182" s="127"/>
      <c r="C182" s="124"/>
      <c r="D182" s="193" t="s">
        <v>588</v>
      </c>
      <c r="E182" s="187">
        <f>E179/10*9</f>
        <v>1.250148169349277</v>
      </c>
      <c r="F182" s="124"/>
      <c r="G182" s="124"/>
      <c r="H182" s="193" t="s">
        <v>588</v>
      </c>
      <c r="I182" s="187">
        <f>I178/10*7</f>
        <v>0.29470159512126953</v>
      </c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</row>
    <row r="183" spans="2:25" s="276" customFormat="1" ht="12">
      <c r="B183" s="277"/>
      <c r="C183" s="189"/>
      <c r="D183" s="274" t="s">
        <v>711</v>
      </c>
      <c r="E183" s="211">
        <f>E180+E181-E182</f>
        <v>3.557272772925951</v>
      </c>
      <c r="F183" s="189"/>
      <c r="G183" s="189"/>
      <c r="H183" s="274" t="s">
        <v>711</v>
      </c>
      <c r="I183" s="211">
        <f>I180+I181-I182</f>
        <v>3.579216847113763</v>
      </c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</row>
    <row r="184" spans="2:25" s="7" customFormat="1" ht="12">
      <c r="B184" s="127"/>
      <c r="C184" s="124"/>
      <c r="D184" s="146"/>
      <c r="F184" s="124"/>
      <c r="G184" s="124"/>
      <c r="H184" s="146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</row>
    <row r="185" spans="2:25" s="7" customFormat="1" ht="12">
      <c r="B185" s="580" t="s">
        <v>787</v>
      </c>
      <c r="C185" s="581"/>
      <c r="D185" s="581"/>
      <c r="E185" s="582"/>
      <c r="F185" s="580" t="s">
        <v>787</v>
      </c>
      <c r="G185" s="581"/>
      <c r="H185" s="581"/>
      <c r="I185" s="582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</row>
    <row r="186" spans="2:25" s="7" customFormat="1" ht="12">
      <c r="B186" s="583" t="s">
        <v>590</v>
      </c>
      <c r="C186" s="584"/>
      <c r="D186" s="584"/>
      <c r="E186" s="585"/>
      <c r="F186" s="583" t="s">
        <v>591</v>
      </c>
      <c r="G186" s="584"/>
      <c r="H186" s="584"/>
      <c r="I186" s="585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</row>
    <row r="187" spans="2:25" s="7" customFormat="1" ht="12">
      <c r="B187" s="564" t="s">
        <v>715</v>
      </c>
      <c r="C187" s="572" t="s">
        <v>532</v>
      </c>
      <c r="D187" s="605" t="s">
        <v>587</v>
      </c>
      <c r="E187" s="605" t="s">
        <v>533</v>
      </c>
      <c r="F187" s="564" t="s">
        <v>715</v>
      </c>
      <c r="G187" s="572" t="s">
        <v>532</v>
      </c>
      <c r="H187" s="605" t="s">
        <v>587</v>
      </c>
      <c r="I187" s="605" t="s">
        <v>533</v>
      </c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</row>
    <row r="188" spans="1:25" s="7" customFormat="1" ht="12">
      <c r="A188" s="291" t="s">
        <v>716</v>
      </c>
      <c r="B188" s="565"/>
      <c r="C188" s="576"/>
      <c r="D188" s="606"/>
      <c r="E188" s="615"/>
      <c r="F188" s="565"/>
      <c r="G188" s="576"/>
      <c r="H188" s="606"/>
      <c r="I188" s="615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</row>
    <row r="189" spans="1:9" ht="12">
      <c r="A189" s="129" t="s">
        <v>593</v>
      </c>
      <c r="B189" s="186">
        <f>('rehabilitation costs'!$L$50+'rehabilitation costs'!$L$52)*inflators!$G$12</f>
        <v>5.777288135593221</v>
      </c>
      <c r="C189" s="197">
        <f>'AC lifetimes'!N28</f>
        <v>11</v>
      </c>
      <c r="D189" s="3">
        <v>0</v>
      </c>
      <c r="E189" s="194">
        <f>B189*(1/(1+inflators!$B$9)^D189)</f>
        <v>5.777288135593221</v>
      </c>
      <c r="F189" s="186">
        <f>('rehabilitation costs'!$L$50+'rehabilitation costs'!$L$52)*inflators!$G$12</f>
        <v>5.777288135593221</v>
      </c>
      <c r="G189" s="3">
        <f>'AC lifetimes'!I28</f>
        <v>15</v>
      </c>
      <c r="H189" s="3">
        <v>0</v>
      </c>
      <c r="I189" s="208">
        <f>F189*(1/(1+inflators!$B$9)^H189)</f>
        <v>5.777288135593221</v>
      </c>
    </row>
    <row r="190" spans="1:9" s="7" customFormat="1" ht="12">
      <c r="A190" s="130" t="s">
        <v>713</v>
      </c>
      <c r="B190" s="187">
        <f>('maintenance costs'!$L$48+'maintenance costs'!$L$58)*inflators!$G$12</f>
        <v>0.9411622276029056</v>
      </c>
      <c r="C190" s="198">
        <f>'AC lifetimes'!L57</f>
        <v>8</v>
      </c>
      <c r="D190" s="196">
        <f>C189+D189</f>
        <v>11</v>
      </c>
      <c r="E190" s="210">
        <f>B190*(1/(1+inflators!$B$9)^D190)</f>
        <v>0.6113610365584558</v>
      </c>
      <c r="F190" s="187">
        <f>('maintenance costs'!$L$48+'maintenance costs'!$L$59)*inflators!$G$12</f>
        <v>1.4769007263922518</v>
      </c>
      <c r="G190" s="4">
        <f>'AC lifetimes'!I57</f>
        <v>9</v>
      </c>
      <c r="H190" s="196">
        <f>G189+H189</f>
        <v>15</v>
      </c>
      <c r="I190" s="128">
        <f>F190*(1/(1+inflators!$B$9)^H190)</f>
        <v>0.820070547397068</v>
      </c>
    </row>
    <row r="191" spans="1:9" ht="12">
      <c r="A191" s="130" t="s">
        <v>169</v>
      </c>
      <c r="B191" s="187">
        <f>('maintenance costs'!$L$52+'maintenance costs'!$L$58)*inflators!$G$12</f>
        <v>1.7809685230024213</v>
      </c>
      <c r="C191" s="198">
        <f>'AC lifetimes'!L85</f>
        <v>9</v>
      </c>
      <c r="D191" s="196">
        <f>C190+D190</f>
        <v>19</v>
      </c>
      <c r="E191" s="210">
        <f>B191*(1/(1+inflators!$B$9)^D191)</f>
        <v>0.8453232169134487</v>
      </c>
      <c r="F191" s="187">
        <f>('maintenance costs'!$L$52+'maintenance costs'!$L$59)*inflators!$G$12</f>
        <v>2.3167070217917676</v>
      </c>
      <c r="G191" s="4">
        <f>'AC lifetimes'!I85</f>
        <v>11</v>
      </c>
      <c r="H191" s="196">
        <f>G190+H190</f>
        <v>24</v>
      </c>
      <c r="I191" s="128">
        <f>F191*(1/(1+inflators!$B$9)^H191)</f>
        <v>0.9037971589647853</v>
      </c>
    </row>
    <row r="192" spans="1:9" s="7" customFormat="1" ht="12">
      <c r="A192" s="131" t="s">
        <v>713</v>
      </c>
      <c r="B192" s="188">
        <f>('maintenance costs'!$L$48+'maintenance costs'!$L$58)*inflators!$G$12</f>
        <v>0.9411622276029056</v>
      </c>
      <c r="C192" s="199">
        <f>'AC lifetimes'!L57</f>
        <v>8</v>
      </c>
      <c r="D192" s="205">
        <f>C191+D191</f>
        <v>28</v>
      </c>
      <c r="E192" s="210">
        <f>B192*(1/(1+inflators!$B$9)^D192)</f>
        <v>0.31385639972531715</v>
      </c>
      <c r="F192" s="188">
        <f>('maintenance costs'!$L$48+'maintenance costs'!$L$59)*inflators!$G$12</f>
        <v>1.4769007263922518</v>
      </c>
      <c r="G192" s="74"/>
      <c r="H192" s="131"/>
      <c r="I192" s="132"/>
    </row>
    <row r="193" spans="1:9" ht="12">
      <c r="A193" s="7"/>
      <c r="B193" s="127"/>
      <c r="C193" s="201">
        <f>SUM(C189:C192)</f>
        <v>36</v>
      </c>
      <c r="D193" s="193" t="s">
        <v>455</v>
      </c>
      <c r="E193" s="186">
        <f>E189</f>
        <v>5.777288135593221</v>
      </c>
      <c r="F193" s="124"/>
      <c r="G193" s="201">
        <f>SUM(G189:G192)</f>
        <v>35</v>
      </c>
      <c r="H193" s="193" t="s">
        <v>455</v>
      </c>
      <c r="I193" s="186">
        <f>I189</f>
        <v>5.777288135593221</v>
      </c>
    </row>
    <row r="194" spans="1:9" ht="12">
      <c r="A194" s="7"/>
      <c r="B194" s="127"/>
      <c r="C194" s="124"/>
      <c r="D194" s="146" t="s">
        <v>710</v>
      </c>
      <c r="E194" s="187">
        <f>SUM(E190:E192)</f>
        <v>1.7705406531972216</v>
      </c>
      <c r="F194" s="124"/>
      <c r="G194" s="124"/>
      <c r="H194" s="146" t="s">
        <v>710</v>
      </c>
      <c r="I194" s="187">
        <f>SUM(I190:I192)</f>
        <v>1.7238677063618533</v>
      </c>
    </row>
    <row r="195" spans="1:9" ht="12">
      <c r="A195" s="7"/>
      <c r="B195" s="127"/>
      <c r="C195" s="124"/>
      <c r="D195" s="193" t="s">
        <v>588</v>
      </c>
      <c r="E195" s="187">
        <f>E192/8*1</f>
        <v>0.039232049965664643</v>
      </c>
      <c r="F195" s="124"/>
      <c r="G195" s="124"/>
      <c r="H195" s="193" t="s">
        <v>588</v>
      </c>
      <c r="I195" s="187">
        <v>0</v>
      </c>
    </row>
    <row r="196" spans="1:9" s="13" customFormat="1" ht="12">
      <c r="A196" s="276"/>
      <c r="B196" s="277"/>
      <c r="D196" s="274" t="s">
        <v>711</v>
      </c>
      <c r="E196" s="211">
        <f>E193+E194-E195</f>
        <v>7.508596738824777</v>
      </c>
      <c r="H196" s="274" t="s">
        <v>711</v>
      </c>
      <c r="I196" s="211">
        <f>I193+I194-I195</f>
        <v>7.5011558419550735</v>
      </c>
    </row>
    <row r="197" spans="1:2" ht="12">
      <c r="A197" s="7"/>
      <c r="B197" s="127"/>
    </row>
    <row r="198" spans="2:9" ht="12">
      <c r="B198" s="580" t="s">
        <v>788</v>
      </c>
      <c r="C198" s="581"/>
      <c r="D198" s="581"/>
      <c r="E198" s="582"/>
      <c r="F198" s="580" t="s">
        <v>788</v>
      </c>
      <c r="G198" s="581"/>
      <c r="H198" s="581"/>
      <c r="I198" s="582"/>
    </row>
    <row r="199" spans="2:9" ht="12">
      <c r="B199" s="583" t="s">
        <v>590</v>
      </c>
      <c r="C199" s="584"/>
      <c r="D199" s="584"/>
      <c r="E199" s="585"/>
      <c r="F199" s="583" t="s">
        <v>591</v>
      </c>
      <c r="G199" s="584"/>
      <c r="H199" s="584"/>
      <c r="I199" s="585"/>
    </row>
    <row r="200" spans="1:9" ht="12">
      <c r="A200" s="7"/>
      <c r="B200" s="564" t="s">
        <v>715</v>
      </c>
      <c r="C200" s="572" t="s">
        <v>532</v>
      </c>
      <c r="D200" s="605" t="s">
        <v>587</v>
      </c>
      <c r="E200" s="605" t="s">
        <v>533</v>
      </c>
      <c r="F200" s="564" t="s">
        <v>715</v>
      </c>
      <c r="G200" s="572" t="s">
        <v>532</v>
      </c>
      <c r="H200" s="605" t="s">
        <v>587</v>
      </c>
      <c r="I200" s="605" t="s">
        <v>533</v>
      </c>
    </row>
    <row r="201" spans="1:9" ht="12">
      <c r="A201" s="291" t="s">
        <v>716</v>
      </c>
      <c r="B201" s="565"/>
      <c r="C201" s="576"/>
      <c r="D201" s="606"/>
      <c r="E201" s="615"/>
      <c r="F201" s="565"/>
      <c r="G201" s="576"/>
      <c r="H201" s="606"/>
      <c r="I201" s="615"/>
    </row>
    <row r="202" spans="1:9" ht="12">
      <c r="A202" s="129" t="s">
        <v>785</v>
      </c>
      <c r="B202" s="194">
        <f>('rehabilitation costs'!$L$55+'rehabilitation costs'!$L$58)*inflators!$G$12</f>
        <v>7.760968523002422</v>
      </c>
      <c r="C202" s="6">
        <f>'AC lifetimes'!O35</f>
        <v>8</v>
      </c>
      <c r="D202" s="3">
        <v>0</v>
      </c>
      <c r="E202" s="194">
        <f>B202*(1/(1+inflators!$B$9)^D202)</f>
        <v>7.760968523002422</v>
      </c>
      <c r="F202" s="194">
        <f>('rehabilitation costs'!$L$55+'rehabilitation costs'!$L$58)*inflators!$G$12</f>
        <v>7.760968523002422</v>
      </c>
      <c r="G202" s="12">
        <f>'AC lifetimes'!J35</f>
        <v>13</v>
      </c>
      <c r="H202" s="3">
        <v>0</v>
      </c>
      <c r="I202" s="208">
        <f>F202*(1/(1+inflators!$B$9)^H202)</f>
        <v>7.760968523002422</v>
      </c>
    </row>
    <row r="203" spans="1:9" ht="12">
      <c r="A203" s="130" t="s">
        <v>713</v>
      </c>
      <c r="B203" s="187">
        <f>('maintenance costs'!$L$48+'maintenance costs'!$L$58)*inflators!$G$12</f>
        <v>0.9411622276029056</v>
      </c>
      <c r="C203" s="5">
        <f>'AC lifetimes'!L57</f>
        <v>8</v>
      </c>
      <c r="D203" s="196">
        <f>C202+D202</f>
        <v>8</v>
      </c>
      <c r="E203" s="210">
        <f>B203*(1/(1+inflators!$B$9)^D203)</f>
        <v>0.6876980210272908</v>
      </c>
      <c r="F203" s="187">
        <f>('maintenance costs'!$L$48+'maintenance costs'!$L$59)*inflators!$G$12</f>
        <v>1.4769007263922518</v>
      </c>
      <c r="G203" s="9">
        <f>'AC lifetimes'!H57</f>
        <v>10</v>
      </c>
      <c r="H203" s="196">
        <f>G202+H202</f>
        <v>13</v>
      </c>
      <c r="I203" s="128">
        <f>F203*(1/(1+inflators!$B$9)^H203)</f>
        <v>0.8869883040646688</v>
      </c>
    </row>
    <row r="204" spans="1:9" ht="12">
      <c r="A204" s="130" t="s">
        <v>169</v>
      </c>
      <c r="B204" s="187">
        <f>('maintenance costs'!$L$52+'maintenance costs'!$L$58)*inflators!$G$12</f>
        <v>1.7809685230024213</v>
      </c>
      <c r="C204" s="5">
        <f>'AC lifetimes'!L85</f>
        <v>9</v>
      </c>
      <c r="D204" s="196">
        <f>C203+D203</f>
        <v>16</v>
      </c>
      <c r="E204" s="210">
        <f>B204*(1/(1+inflators!$B$9)^D204)</f>
        <v>0.9508736550701296</v>
      </c>
      <c r="F204" s="187">
        <f>('maintenance costs'!$L$52+'maintenance costs'!$L$59)*inflators!$G$12</f>
        <v>2.3167070217917676</v>
      </c>
      <c r="G204" s="9">
        <f>'AC lifetimes'!H85</f>
        <v>11</v>
      </c>
      <c r="H204" s="196">
        <f>G203+H203</f>
        <v>23</v>
      </c>
      <c r="I204" s="128">
        <f>F204*(1/(1+inflators!$B$9)^H204)</f>
        <v>0.9399490453233768</v>
      </c>
    </row>
    <row r="205" spans="1:9" ht="12">
      <c r="A205" s="130" t="s">
        <v>713</v>
      </c>
      <c r="B205" s="187">
        <f>('maintenance costs'!$L$48+'maintenance costs'!$L$58)*inflators!$G$12</f>
        <v>0.9411622276029056</v>
      </c>
      <c r="C205" s="5">
        <f>'AC lifetimes'!L57</f>
        <v>8</v>
      </c>
      <c r="D205" s="196">
        <f>C204+D204</f>
        <v>25</v>
      </c>
      <c r="E205" s="210">
        <f>B205*(1/(1+inflators!$B$9)^D205)</f>
        <v>0.35304576522061915</v>
      </c>
      <c r="F205" s="187">
        <f>('maintenance costs'!$L$48+'maintenance costs'!$L$59)*inflators!$G$12</f>
        <v>1.4769007263922518</v>
      </c>
      <c r="G205" s="9">
        <f>'AC lifetimes'!H57</f>
        <v>10</v>
      </c>
      <c r="H205" s="196">
        <f>G204+H204</f>
        <v>34</v>
      </c>
      <c r="I205" s="128">
        <f>F205*(1/(1+inflators!$B$9)^H205)</f>
        <v>0.38924027250801657</v>
      </c>
    </row>
    <row r="206" spans="1:9" ht="12">
      <c r="A206" s="131" t="s">
        <v>594</v>
      </c>
      <c r="B206" s="188">
        <f>('rehabilitation costs'!$L$42+'rehabilitation costs'!$L$50+'rehabilitation costs'!$L$51)*inflators!$G$12</f>
        <v>6.761888619854723</v>
      </c>
      <c r="C206" s="61">
        <f>'AC lifetimes'!L29</f>
        <v>10</v>
      </c>
      <c r="D206" s="205">
        <f>C205+D205</f>
        <v>33</v>
      </c>
      <c r="E206" s="191">
        <f>B206*(1/(1+inflators!$B$9)^D206)</f>
        <v>1.8533942701146426</v>
      </c>
      <c r="F206" s="188">
        <f>('rehabilitation costs'!$L$42+'rehabilitation costs'!$L$50+'rehabilitation costs'!$L$52)*inflators!$G$12</f>
        <v>7.268668280871672</v>
      </c>
      <c r="G206" s="10"/>
      <c r="H206" s="211"/>
      <c r="I206" s="207"/>
    </row>
    <row r="207" spans="3:9" ht="12">
      <c r="C207" s="201">
        <f>SUM(C202:C206)</f>
        <v>43</v>
      </c>
      <c r="D207" s="193" t="s">
        <v>455</v>
      </c>
      <c r="E207" s="187">
        <f>E202</f>
        <v>7.760968523002422</v>
      </c>
      <c r="F207" s="124"/>
      <c r="G207" s="201">
        <f>SUM(G202:G206)</f>
        <v>44</v>
      </c>
      <c r="H207" s="193" t="s">
        <v>455</v>
      </c>
      <c r="I207" s="186">
        <f>I202</f>
        <v>7.760968523002422</v>
      </c>
    </row>
    <row r="208" spans="4:9" ht="12">
      <c r="D208" s="146" t="s">
        <v>710</v>
      </c>
      <c r="E208" s="187">
        <f>SUM(E203:E206)</f>
        <v>3.845011711432682</v>
      </c>
      <c r="F208" s="124"/>
      <c r="G208" s="124"/>
      <c r="H208" s="146" t="s">
        <v>710</v>
      </c>
      <c r="I208" s="187">
        <f>SUM(I203:I206)</f>
        <v>2.2161776218960623</v>
      </c>
    </row>
    <row r="209" spans="4:9" ht="12">
      <c r="D209" s="193" t="s">
        <v>588</v>
      </c>
      <c r="E209" s="187">
        <f>E206/10*8</f>
        <v>1.4827154160917142</v>
      </c>
      <c r="F209" s="124"/>
      <c r="G209" s="124"/>
      <c r="H209" s="193" t="s">
        <v>588</v>
      </c>
      <c r="I209" s="187">
        <f>I205/10*9</f>
        <v>0.35031624525721494</v>
      </c>
    </row>
    <row r="210" spans="4:9" s="13" customFormat="1" ht="12">
      <c r="D210" s="274" t="s">
        <v>711</v>
      </c>
      <c r="E210" s="211">
        <f>E207+E208-E209</f>
        <v>10.12326481834339</v>
      </c>
      <c r="H210" s="274" t="s">
        <v>711</v>
      </c>
      <c r="I210" s="211">
        <f>I207+I208-I209</f>
        <v>9.626829899641269</v>
      </c>
    </row>
    <row r="211" ht="12"/>
    <row r="212" s="192" customFormat="1" ht="12">
      <c r="A212" s="195" t="s">
        <v>364</v>
      </c>
    </row>
    <row r="213" spans="1:12" s="190" customFormat="1" ht="10.5" customHeight="1">
      <c r="A213" s="1" t="s">
        <v>25</v>
      </c>
      <c r="B213" s="580" t="s">
        <v>365</v>
      </c>
      <c r="C213" s="581"/>
      <c r="D213" s="581"/>
      <c r="E213" s="581"/>
      <c r="F213" s="581"/>
      <c r="G213" s="581"/>
      <c r="H213" s="581"/>
      <c r="I213" s="581"/>
      <c r="J213" s="581"/>
      <c r="K213" s="581"/>
      <c r="L213" s="582"/>
    </row>
    <row r="214" spans="1:12" s="190" customFormat="1" ht="10.5" customHeight="1">
      <c r="A214" s="405" t="s">
        <v>21</v>
      </c>
      <c r="B214" s="583" t="s">
        <v>499</v>
      </c>
      <c r="C214" s="584"/>
      <c r="D214" s="584"/>
      <c r="E214" s="584"/>
      <c r="F214" s="584"/>
      <c r="G214" s="584"/>
      <c r="H214" s="584"/>
      <c r="I214" s="584"/>
      <c r="J214" s="584"/>
      <c r="K214" s="584"/>
      <c r="L214" s="585"/>
    </row>
    <row r="215" spans="1:14" s="190" customFormat="1" ht="12">
      <c r="A215" s="218" t="s">
        <v>108</v>
      </c>
      <c r="B215" s="564" t="s">
        <v>715</v>
      </c>
      <c r="C215" s="572" t="s">
        <v>532</v>
      </c>
      <c r="D215" s="605" t="s">
        <v>587</v>
      </c>
      <c r="E215" s="613" t="s">
        <v>533</v>
      </c>
      <c r="F215" s="588" t="s">
        <v>715</v>
      </c>
      <c r="G215" s="590" t="s">
        <v>532</v>
      </c>
      <c r="H215" s="591"/>
      <c r="I215" s="590" t="s">
        <v>587</v>
      </c>
      <c r="J215" s="591"/>
      <c r="K215" s="590" t="s">
        <v>533</v>
      </c>
      <c r="L215" s="591"/>
      <c r="M215" s="558" t="s">
        <v>375</v>
      </c>
      <c r="N215" s="563"/>
    </row>
    <row r="216" spans="1:14" s="190" customFormat="1" ht="10.5" customHeight="1">
      <c r="A216" s="291" t="s">
        <v>716</v>
      </c>
      <c r="B216" s="565"/>
      <c r="C216" s="576"/>
      <c r="D216" s="606"/>
      <c r="E216" s="614"/>
      <c r="F216" s="589"/>
      <c r="G216" s="219" t="s">
        <v>94</v>
      </c>
      <c r="H216" s="219" t="s">
        <v>93</v>
      </c>
      <c r="I216" s="219" t="s">
        <v>94</v>
      </c>
      <c r="J216" s="219" t="s">
        <v>93</v>
      </c>
      <c r="K216" s="219" t="s">
        <v>94</v>
      </c>
      <c r="L216" s="219" t="s">
        <v>93</v>
      </c>
      <c r="M216" s="558"/>
      <c r="N216" s="563"/>
    </row>
    <row r="217" spans="1:14" s="190" customFormat="1" ht="12">
      <c r="A217" s="129" t="s">
        <v>785</v>
      </c>
      <c r="B217" s="186">
        <f>('rehabilitation costs'!$L$55+'rehabilitation costs'!$L$57)*inflators!$G$12*inflators!$G$15</f>
        <v>6.529269266093347</v>
      </c>
      <c r="C217" s="12">
        <f>'AC lifetimes'!$I$31</f>
        <v>13</v>
      </c>
      <c r="D217" s="3">
        <v>0</v>
      </c>
      <c r="E217" s="234">
        <f>B217*(1/(1+inflators!$B$9)^D217)</f>
        <v>6.529269266093347</v>
      </c>
      <c r="F217" s="239">
        <f>('rehabilitation costs'!$L$55+'rehabilitation costs'!$L$57)*inflators!$G$12*inflators!$G$15</f>
        <v>6.529269266093347</v>
      </c>
      <c r="G217" s="223">
        <f>(('AC lifetimes'!$I$31-6)*(1+'weather data'!$F$32))+6</f>
        <v>18.727272727272727</v>
      </c>
      <c r="H217" s="224">
        <f>(('AC lifetimes'!$I$31-6)*(1+'weather data'!$C$32))+6</f>
        <v>17.454545454545453</v>
      </c>
      <c r="I217" s="225">
        <v>0</v>
      </c>
      <c r="J217" s="226">
        <v>0</v>
      </c>
      <c r="K217" s="227">
        <f>$F217*(1/(1+inflators!$B$9)^I217)</f>
        <v>6.529269266093347</v>
      </c>
      <c r="L217" s="228">
        <f>$F217*(1/(1+inflators!$B$9)^J217)</f>
        <v>6.529269266093347</v>
      </c>
      <c r="M217" s="558"/>
      <c r="N217" s="563"/>
    </row>
    <row r="218" spans="1:21" s="7" customFormat="1" ht="12">
      <c r="A218" s="130" t="s">
        <v>713</v>
      </c>
      <c r="B218" s="187">
        <f>('maintenance costs'!$L$48+'maintenance costs'!$L$59)*inflators!$G$12*inflators!$G$15</f>
        <v>1.3266642731902814</v>
      </c>
      <c r="C218" s="9">
        <f>'AC lifetimes'!$I$53</f>
        <v>4</v>
      </c>
      <c r="D218" s="196">
        <f>C217+D217</f>
        <v>13</v>
      </c>
      <c r="E218" s="126">
        <f>B218*(1/(1+inflators!$B$9)^D218)</f>
        <v>0.79676018347878</v>
      </c>
      <c r="F218" s="235">
        <f>('maintenance costs'!$L$48+'maintenance costs'!$L$59)*inflators!$G$12*inflators!$G$15</f>
        <v>1.3266642731902814</v>
      </c>
      <c r="G218" s="9">
        <f>'AC lifetimes'!$I$53</f>
        <v>4</v>
      </c>
      <c r="H218" s="4">
        <f>'AC lifetimes'!$I$53</f>
        <v>4</v>
      </c>
      <c r="I218" s="220">
        <f>G217+$I217</f>
        <v>18.727272727272727</v>
      </c>
      <c r="J218" s="220">
        <f>H217+J217</f>
        <v>17.454545454545453</v>
      </c>
      <c r="K218" s="210">
        <f>$F218*(1/(1+inflators!$B$9)^I218)</f>
        <v>0.6364628267509699</v>
      </c>
      <c r="L218" s="210">
        <f>$F218*(1/(1+inflators!$B$9)^J218)</f>
        <v>0.6690396226039486</v>
      </c>
      <c r="M218" s="558" t="s">
        <v>116</v>
      </c>
      <c r="N218" s="559"/>
      <c r="O218" s="189"/>
      <c r="P218" s="189"/>
      <c r="Q218" s="189"/>
      <c r="R218" s="189"/>
      <c r="S218" s="189"/>
      <c r="T218" s="189"/>
      <c r="U218" s="189"/>
    </row>
    <row r="219" spans="1:21" ht="12">
      <c r="A219" s="130" t="s">
        <v>594</v>
      </c>
      <c r="B219" s="187">
        <f>('rehabilitation costs'!$L$42+'rehabilitation costs'!$L$50+'rehabilitation costs'!$L$52)*inflators!$G$12*inflators!$G$15</f>
        <v>6.529269266093347</v>
      </c>
      <c r="C219" s="9">
        <f>'AC lifetimes'!$I$25</f>
        <v>11</v>
      </c>
      <c r="D219" s="196">
        <f>C218+D218</f>
        <v>17</v>
      </c>
      <c r="E219" s="126">
        <f>B219*(1/(1+inflators!$B$9)^D219)</f>
        <v>3.3519521561745473</v>
      </c>
      <c r="F219" s="235">
        <f>('rehabilitation costs'!$L$42+'rehabilitation costs'!$L$50+'rehabilitation costs'!$L$52)*inflators!$G$12*inflators!$G$15</f>
        <v>6.529269266093347</v>
      </c>
      <c r="G219" s="229">
        <f>(('AC lifetimes'!$I$25-6)*(1+'weather data'!$F$32))+6</f>
        <v>15.090909090909092</v>
      </c>
      <c r="H219" s="230">
        <f>(('AC lifetimes'!$I$25-6)*(1+'weather data'!$C$32))+6</f>
        <v>14.181818181818182</v>
      </c>
      <c r="I219" s="230">
        <f>G218+I218</f>
        <v>22.727272727272727</v>
      </c>
      <c r="J219" s="230">
        <f>H218+J218</f>
        <v>21.454545454545453</v>
      </c>
      <c r="K219" s="227">
        <f>$F219*(1/(1+inflators!$B$9)^I219)</f>
        <v>2.677584784844709</v>
      </c>
      <c r="L219" s="227">
        <f>$F219*(1/(1+inflators!$B$9)^J219)</f>
        <v>2.814634631667983</v>
      </c>
      <c r="M219" s="560"/>
      <c r="N219" s="559"/>
      <c r="O219" s="119"/>
      <c r="P219" s="119"/>
      <c r="Q219" s="119"/>
      <c r="R219" s="119"/>
      <c r="S219" s="119"/>
      <c r="T219" s="119"/>
      <c r="U219" s="119"/>
    </row>
    <row r="220" spans="1:14" s="190" customFormat="1" ht="12">
      <c r="A220" s="130" t="s">
        <v>713</v>
      </c>
      <c r="B220" s="187">
        <f>('maintenance costs'!$L$48+'maintenance costs'!$L$59)*inflators!$G$12*inflators!$G$15</f>
        <v>1.3266642731902814</v>
      </c>
      <c r="C220" s="9">
        <f>'AC lifetimes'!$I$53</f>
        <v>4</v>
      </c>
      <c r="D220" s="196">
        <f>C219+D219</f>
        <v>28</v>
      </c>
      <c r="E220" s="126">
        <f>B220*(1/(1+inflators!$B$9)^D220)</f>
        <v>0.4424126470610823</v>
      </c>
      <c r="F220" s="235">
        <f>('maintenance costs'!$L$48+'maintenance costs'!$L$59)*inflators!$G$12*inflators!$G$15</f>
        <v>1.3266642731902814</v>
      </c>
      <c r="G220" s="9"/>
      <c r="H220" s="4"/>
      <c r="I220" s="220"/>
      <c r="J220" s="220"/>
      <c r="K220" s="210"/>
      <c r="L220" s="86"/>
      <c r="M220" s="561"/>
      <c r="N220" s="562"/>
    </row>
    <row r="221" spans="1:21" ht="12">
      <c r="A221" s="131" t="s">
        <v>786</v>
      </c>
      <c r="B221" s="188">
        <f>('rehabilitation costs'!$L$50+'rehabilitation costs'!$L$52)*inflators!$G$12*inflators!$G$15</f>
        <v>5.189598480420807</v>
      </c>
      <c r="C221" s="10">
        <f>'AC lifetimes'!$I$25</f>
        <v>11</v>
      </c>
      <c r="D221" s="205">
        <f>C220+D220</f>
        <v>32</v>
      </c>
      <c r="E221" s="126">
        <f>B221*(1/(1+inflators!$B$9)^D221)</f>
        <v>1.4793362525889693</v>
      </c>
      <c r="F221" s="236">
        <f>('rehabilitation costs'!$L$50+'rehabilitation costs'!$L$52)*inflators!$G$12*inflators!$G$15</f>
        <v>5.189598480420807</v>
      </c>
      <c r="G221" s="10"/>
      <c r="H221" s="74"/>
      <c r="I221" s="221"/>
      <c r="J221" s="221"/>
      <c r="K221" s="210"/>
      <c r="L221" s="188"/>
      <c r="M221" s="558" t="s">
        <v>117</v>
      </c>
      <c r="N221" s="559"/>
      <c r="O221" s="119"/>
      <c r="P221" s="119"/>
      <c r="Q221" s="119"/>
      <c r="R221" s="119"/>
      <c r="S221" s="119"/>
      <c r="T221" s="119"/>
      <c r="U221" s="119"/>
    </row>
    <row r="222" spans="1:21" ht="12">
      <c r="A222" s="7"/>
      <c r="B222" s="124"/>
      <c r="C222" s="201">
        <f>SUM(C217:C221)</f>
        <v>43</v>
      </c>
      <c r="D222" s="193" t="s">
        <v>455</v>
      </c>
      <c r="E222" s="121">
        <f>E217</f>
        <v>6.529269266093347</v>
      </c>
      <c r="F222" s="237"/>
      <c r="G222" s="222">
        <f>SUM(G217:G221)</f>
        <v>37.81818181818182</v>
      </c>
      <c r="H222" s="222">
        <f>SUM(H217:H221)</f>
        <v>35.63636363636363</v>
      </c>
      <c r="J222" s="193" t="s">
        <v>455</v>
      </c>
      <c r="K222" s="186">
        <f>K217</f>
        <v>6.529269266093347</v>
      </c>
      <c r="L222" s="186">
        <f>L217</f>
        <v>6.529269266093347</v>
      </c>
      <c r="M222" s="560"/>
      <c r="N222" s="559"/>
      <c r="O222" s="119"/>
      <c r="P222" s="119"/>
      <c r="Q222" s="119"/>
      <c r="R222" s="119"/>
      <c r="S222" s="119"/>
      <c r="T222" s="119"/>
      <c r="U222" s="119"/>
    </row>
    <row r="223" spans="1:21" ht="12">
      <c r="A223" s="7"/>
      <c r="B223" s="124"/>
      <c r="C223" s="124"/>
      <c r="D223" s="146" t="s">
        <v>710</v>
      </c>
      <c r="E223" s="123">
        <f>SUM(E218:E221)</f>
        <v>6.070461239303379</v>
      </c>
      <c r="F223" s="238"/>
      <c r="G223" s="124"/>
      <c r="J223" s="146" t="s">
        <v>710</v>
      </c>
      <c r="K223" s="187">
        <f>SUM(K218:K221)</f>
        <v>3.314047611595679</v>
      </c>
      <c r="L223" s="187">
        <f>SUM(L218:L221)</f>
        <v>3.4836742542719317</v>
      </c>
      <c r="M223" s="561"/>
      <c r="N223" s="562"/>
      <c r="O223" s="119"/>
      <c r="P223" s="119"/>
      <c r="Q223" s="119"/>
      <c r="R223" s="119"/>
      <c r="S223" s="119"/>
      <c r="T223" s="119"/>
      <c r="U223" s="119"/>
    </row>
    <row r="224" spans="1:21" ht="12">
      <c r="A224" s="7"/>
      <c r="B224" s="124"/>
      <c r="C224" s="124"/>
      <c r="D224" s="193" t="s">
        <v>588</v>
      </c>
      <c r="E224" s="123">
        <f>E221/11*8</f>
        <v>1.075880910973796</v>
      </c>
      <c r="F224" s="238"/>
      <c r="G224" s="124"/>
      <c r="J224" s="193" t="s">
        <v>588</v>
      </c>
      <c r="K224" s="187">
        <f>K219/15*3</f>
        <v>0.5355169569689417</v>
      </c>
      <c r="L224" s="187">
        <f>L219/14*1</f>
        <v>0.20104533083342738</v>
      </c>
      <c r="M224" s="120"/>
      <c r="N224" s="120"/>
      <c r="O224" s="120"/>
      <c r="P224" s="120"/>
      <c r="Q224" s="120"/>
      <c r="R224" s="120"/>
      <c r="S224" s="120"/>
      <c r="T224" s="120"/>
      <c r="U224" s="120"/>
    </row>
    <row r="225" spans="1:21" s="13" customFormat="1" ht="12">
      <c r="A225" s="276"/>
      <c r="D225" s="274" t="s">
        <v>711</v>
      </c>
      <c r="E225" s="280">
        <f>E222+E223-E224</f>
        <v>11.523849594422929</v>
      </c>
      <c r="F225" s="281"/>
      <c r="J225" s="274" t="s">
        <v>711</v>
      </c>
      <c r="K225" s="211">
        <f>K222+K223-K224</f>
        <v>9.307799920720083</v>
      </c>
      <c r="L225" s="211">
        <f>L222+L223-L224</f>
        <v>9.811898189531851</v>
      </c>
      <c r="M225" s="279"/>
      <c r="N225" s="279"/>
      <c r="O225" s="279"/>
      <c r="P225" s="279"/>
      <c r="Q225" s="279"/>
      <c r="R225" s="279"/>
      <c r="S225" s="279"/>
      <c r="T225" s="279"/>
      <c r="U225" s="279"/>
    </row>
    <row r="226" spans="6:21" ht="12"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</row>
    <row r="227" spans="1:21" ht="12">
      <c r="A227" s="7"/>
      <c r="B227" s="580" t="s">
        <v>365</v>
      </c>
      <c r="C227" s="581"/>
      <c r="D227" s="581"/>
      <c r="E227" s="581"/>
      <c r="F227" s="581"/>
      <c r="G227" s="581"/>
      <c r="H227" s="581"/>
      <c r="I227" s="581"/>
      <c r="J227" s="581"/>
      <c r="K227" s="581"/>
      <c r="L227" s="582"/>
      <c r="M227" s="190"/>
      <c r="N227" s="120"/>
      <c r="O227" s="120"/>
      <c r="P227" s="120"/>
      <c r="Q227" s="120"/>
      <c r="R227" s="120"/>
      <c r="S227" s="120"/>
      <c r="T227" s="120"/>
      <c r="U227" s="120"/>
    </row>
    <row r="228" spans="1:21" ht="12">
      <c r="A228" s="7"/>
      <c r="B228" s="583" t="s">
        <v>499</v>
      </c>
      <c r="C228" s="584"/>
      <c r="D228" s="584"/>
      <c r="E228" s="584"/>
      <c r="F228" s="584"/>
      <c r="G228" s="584"/>
      <c r="H228" s="584"/>
      <c r="I228" s="584"/>
      <c r="J228" s="584"/>
      <c r="K228" s="584"/>
      <c r="L228" s="585"/>
      <c r="M228" s="190"/>
      <c r="N228" s="120"/>
      <c r="O228" s="120"/>
      <c r="P228" s="120"/>
      <c r="Q228" s="120"/>
      <c r="R228" s="120"/>
      <c r="S228" s="120"/>
      <c r="T228" s="120"/>
      <c r="U228" s="120"/>
    </row>
    <row r="229" spans="1:21" ht="12">
      <c r="A229" s="218" t="s">
        <v>170</v>
      </c>
      <c r="B229" s="564" t="s">
        <v>715</v>
      </c>
      <c r="C229" s="572" t="s">
        <v>532</v>
      </c>
      <c r="D229" s="605" t="s">
        <v>587</v>
      </c>
      <c r="E229" s="613" t="s">
        <v>533</v>
      </c>
      <c r="F229" s="588" t="s">
        <v>715</v>
      </c>
      <c r="G229" s="590" t="s">
        <v>532</v>
      </c>
      <c r="H229" s="591"/>
      <c r="I229" s="590" t="s">
        <v>587</v>
      </c>
      <c r="J229" s="591"/>
      <c r="K229" s="590" t="s">
        <v>533</v>
      </c>
      <c r="L229" s="591"/>
      <c r="M229" s="558" t="s">
        <v>375</v>
      </c>
      <c r="N229" s="563"/>
      <c r="O229" s="120"/>
      <c r="P229" s="120"/>
      <c r="Q229" s="120"/>
      <c r="R229" s="120"/>
      <c r="S229" s="120"/>
      <c r="T229" s="120"/>
      <c r="U229" s="120"/>
    </row>
    <row r="230" spans="1:14" s="7" customFormat="1" ht="10.5" customHeight="1">
      <c r="A230" s="291" t="s">
        <v>716</v>
      </c>
      <c r="B230" s="565"/>
      <c r="C230" s="576"/>
      <c r="D230" s="606"/>
      <c r="E230" s="614"/>
      <c r="F230" s="589"/>
      <c r="G230" s="219" t="s">
        <v>94</v>
      </c>
      <c r="H230" s="219" t="s">
        <v>93</v>
      </c>
      <c r="I230" s="219" t="s">
        <v>94</v>
      </c>
      <c r="J230" s="219" t="s">
        <v>93</v>
      </c>
      <c r="K230" s="219" t="s">
        <v>94</v>
      </c>
      <c r="L230" s="219" t="s">
        <v>93</v>
      </c>
      <c r="M230" s="558"/>
      <c r="N230" s="563"/>
    </row>
    <row r="231" spans="1:21" s="7" customFormat="1" ht="12">
      <c r="A231" s="129" t="s">
        <v>785</v>
      </c>
      <c r="B231" s="186">
        <f>('rehabilitation costs'!$L$55+'rehabilitation costs'!$L$57)*inflators!$G$12*inflators!$G$15</f>
        <v>6.529269266093347</v>
      </c>
      <c r="C231" s="12">
        <f>'AC lifetimes'!$I$34</f>
        <v>16</v>
      </c>
      <c r="D231" s="3">
        <v>0</v>
      </c>
      <c r="E231" s="234">
        <f>B231*(1/(1+inflators!$B$9)^D231)</f>
        <v>6.529269266093347</v>
      </c>
      <c r="F231" s="239">
        <f>('rehabilitation costs'!$L$55+'rehabilitation costs'!$L$57)*inflators!$G$12*inflators!$G$15</f>
        <v>6.529269266093347</v>
      </c>
      <c r="G231" s="223">
        <f>(('AC lifetimes'!$I$34-6)*(1+'weather data'!$F$32))+6</f>
        <v>24.181818181818183</v>
      </c>
      <c r="H231" s="224">
        <f>(('AC lifetimes'!$I$34-6)*(1+'weather data'!$C$32))+6</f>
        <v>22.363636363636363</v>
      </c>
      <c r="I231" s="225">
        <v>0</v>
      </c>
      <c r="J231" s="226">
        <v>0</v>
      </c>
      <c r="K231" s="227">
        <f>$F231*(1/(1+inflators!$B$9)^I231)</f>
        <v>6.529269266093347</v>
      </c>
      <c r="L231" s="228">
        <f>$F231*(1/(1+inflators!$B$9)^J231)</f>
        <v>6.529269266093347</v>
      </c>
      <c r="M231" s="558"/>
      <c r="N231" s="563"/>
      <c r="O231" s="189"/>
      <c r="P231" s="189"/>
      <c r="Q231" s="189"/>
      <c r="R231" s="189"/>
      <c r="S231" s="189"/>
      <c r="T231" s="189"/>
      <c r="U231" s="189"/>
    </row>
    <row r="232" spans="1:21" s="7" customFormat="1" ht="12">
      <c r="A232" s="130" t="s">
        <v>713</v>
      </c>
      <c r="B232" s="187">
        <f>('maintenance costs'!$L$48+'maintenance costs'!$L$59)*inflators!$G$12*inflators!$G$15</f>
        <v>1.3266642731902814</v>
      </c>
      <c r="C232" s="9">
        <f>'AC lifetimes'!$I$55</f>
        <v>7</v>
      </c>
      <c r="D232" s="196">
        <f>C231+D231</f>
        <v>16</v>
      </c>
      <c r="E232" s="126">
        <f>B232*(1/(1+inflators!$B$9)^D232)</f>
        <v>0.7083169018466053</v>
      </c>
      <c r="F232" s="235">
        <f>('maintenance costs'!$L$48+'maintenance costs'!$L$59)*inflators!$G$12*inflators!$G$15</f>
        <v>1.3266642731902814</v>
      </c>
      <c r="G232" s="9">
        <f>'AC lifetimes'!$I$55</f>
        <v>7</v>
      </c>
      <c r="H232" s="4">
        <f>'AC lifetimes'!$I$55</f>
        <v>7</v>
      </c>
      <c r="I232" s="220">
        <f>G231+$I231</f>
        <v>24.181818181818183</v>
      </c>
      <c r="J232" s="220">
        <f>H231+J231</f>
        <v>22.363636363636363</v>
      </c>
      <c r="K232" s="210">
        <f>$F232*(1/(1+inflators!$B$9)^I232)</f>
        <v>0.5138826084016405</v>
      </c>
      <c r="L232" s="210">
        <f>$F232*(1/(1+inflators!$B$9)^J232)</f>
        <v>0.5518659864317494</v>
      </c>
      <c r="M232" s="558" t="s">
        <v>116</v>
      </c>
      <c r="N232" s="559"/>
      <c r="O232" s="189"/>
      <c r="P232" s="189"/>
      <c r="Q232" s="189"/>
      <c r="R232" s="189"/>
      <c r="S232" s="189"/>
      <c r="T232" s="189"/>
      <c r="U232" s="189"/>
    </row>
    <row r="233" spans="1:21" s="7" customFormat="1" ht="12">
      <c r="A233" s="130" t="s">
        <v>594</v>
      </c>
      <c r="B233" s="187">
        <f>('rehabilitation costs'!$L$42+'rehabilitation costs'!$L$50+'rehabilitation costs'!$L$52)*inflators!$G$12*inflators!$G$15</f>
        <v>6.529269266093347</v>
      </c>
      <c r="C233" s="9">
        <f>'AC lifetimes'!$I$27</f>
        <v>11</v>
      </c>
      <c r="D233" s="196">
        <f>C232+D232</f>
        <v>23</v>
      </c>
      <c r="E233" s="126">
        <f>B233*(1/(1+inflators!$B$9)^D233)</f>
        <v>2.649096478577227</v>
      </c>
      <c r="F233" s="235">
        <f>('rehabilitation costs'!$L$42+'rehabilitation costs'!$L$50+'rehabilitation costs'!$L$52)*inflators!$G$12*inflators!$G$15</f>
        <v>6.529269266093347</v>
      </c>
      <c r="G233" s="229">
        <f>(('AC lifetimes'!$I$27-6)*(1+'weather data'!$F$32))+6</f>
        <v>15.090909090909092</v>
      </c>
      <c r="H233" s="230">
        <f>(('AC lifetimes'!$I$27-6)*(1+'weather data'!$C$32))+6</f>
        <v>14.181818181818182</v>
      </c>
      <c r="I233" s="230">
        <f>G232+I232</f>
        <v>31.181818181818183</v>
      </c>
      <c r="J233" s="230">
        <f>H232+J232</f>
        <v>29.363636363636363</v>
      </c>
      <c r="K233" s="227">
        <f>$F233*(1/(1+inflators!$B$9)^I233)</f>
        <v>1.9219146186824683</v>
      </c>
      <c r="L233" s="227">
        <f>$F233*(1/(1+inflators!$B$9)^J233)</f>
        <v>2.0639719841381075</v>
      </c>
      <c r="M233" s="560"/>
      <c r="N233" s="559"/>
      <c r="O233" s="189"/>
      <c r="P233" s="189"/>
      <c r="Q233" s="189"/>
      <c r="R233" s="189"/>
      <c r="S233" s="189"/>
      <c r="T233" s="189"/>
      <c r="U233" s="189"/>
    </row>
    <row r="234" spans="1:21" s="7" customFormat="1" ht="12">
      <c r="A234" s="131" t="s">
        <v>713</v>
      </c>
      <c r="B234" s="188">
        <f>('maintenance costs'!$L$48+'maintenance costs'!$L$59)*inflators!$G$12*inflators!$G$15</f>
        <v>1.3266642731902814</v>
      </c>
      <c r="C234" s="10">
        <f>'AC lifetimes'!$I$55</f>
        <v>7</v>
      </c>
      <c r="D234" s="205">
        <f>C233+D233</f>
        <v>34</v>
      </c>
      <c r="E234" s="240">
        <f>B234*(1/(1+inflators!$B$9)^D234)</f>
        <v>0.3496451413390977</v>
      </c>
      <c r="F234" s="236">
        <f>('maintenance costs'!$L$48+'maintenance costs'!$L$59)*inflators!$G$12*inflators!$G$15</f>
        <v>1.3266642731902814</v>
      </c>
      <c r="G234" s="10"/>
      <c r="H234" s="74"/>
      <c r="I234" s="221"/>
      <c r="J234" s="221"/>
      <c r="K234" s="191"/>
      <c r="L234" s="144"/>
      <c r="M234" s="561"/>
      <c r="N234" s="562"/>
      <c r="O234" s="189"/>
      <c r="P234" s="189"/>
      <c r="Q234" s="189"/>
      <c r="R234" s="189"/>
      <c r="S234" s="189"/>
      <c r="T234" s="189"/>
      <c r="U234" s="189"/>
    </row>
    <row r="235" spans="2:21" s="7" customFormat="1" ht="12">
      <c r="B235" s="124"/>
      <c r="C235" s="201">
        <f>SUM(C231:C234)</f>
        <v>41</v>
      </c>
      <c r="D235" s="193" t="s">
        <v>455</v>
      </c>
      <c r="E235" s="123">
        <f>E231</f>
        <v>6.529269266093347</v>
      </c>
      <c r="F235" s="238"/>
      <c r="G235" s="222">
        <f>SUM(G231:G234)</f>
        <v>46.27272727272727</v>
      </c>
      <c r="H235" s="222">
        <f>SUM(H231:H234)</f>
        <v>43.54545454545455</v>
      </c>
      <c r="I235" s="1"/>
      <c r="J235" s="193" t="s">
        <v>455</v>
      </c>
      <c r="K235" s="187">
        <f>K231</f>
        <v>6.529269266093347</v>
      </c>
      <c r="L235" s="187">
        <f>L231</f>
        <v>6.529269266093347</v>
      </c>
      <c r="M235" s="558" t="s">
        <v>117</v>
      </c>
      <c r="N235" s="559"/>
      <c r="O235" s="124"/>
      <c r="P235" s="124"/>
      <c r="Q235" s="124"/>
      <c r="R235" s="124"/>
      <c r="S235" s="124"/>
      <c r="T235" s="124"/>
      <c r="U235" s="124"/>
    </row>
    <row r="236" spans="2:21" s="7" customFormat="1" ht="12">
      <c r="B236" s="124"/>
      <c r="C236" s="124"/>
      <c r="D236" s="146" t="s">
        <v>710</v>
      </c>
      <c r="E236" s="123">
        <f>SUM(E232:E234)</f>
        <v>3.7070585217629297</v>
      </c>
      <c r="F236" s="238"/>
      <c r="G236" s="124"/>
      <c r="H236" s="1"/>
      <c r="I236" s="1"/>
      <c r="J236" s="146" t="s">
        <v>710</v>
      </c>
      <c r="K236" s="187">
        <f>SUM(K232:K234)</f>
        <v>2.435797227084109</v>
      </c>
      <c r="L236" s="187">
        <f>SUM(L232:L234)</f>
        <v>2.615837970569857</v>
      </c>
      <c r="M236" s="560"/>
      <c r="N236" s="559"/>
      <c r="O236" s="124"/>
      <c r="P236" s="124"/>
      <c r="Q236" s="124"/>
      <c r="R236" s="124"/>
      <c r="S236" s="124"/>
      <c r="T236" s="124"/>
      <c r="U236" s="124"/>
    </row>
    <row r="237" spans="2:21" s="7" customFormat="1" ht="12">
      <c r="B237" s="124"/>
      <c r="C237" s="124"/>
      <c r="D237" s="193" t="s">
        <v>588</v>
      </c>
      <c r="E237" s="123">
        <f>E234/7*6</f>
        <v>0.2996958354335123</v>
      </c>
      <c r="F237" s="238"/>
      <c r="G237" s="124"/>
      <c r="H237" s="1"/>
      <c r="I237" s="1"/>
      <c r="J237" s="193" t="s">
        <v>588</v>
      </c>
      <c r="K237" s="187">
        <f>K233/15*11</f>
        <v>1.4094040537004768</v>
      </c>
      <c r="L237" s="187">
        <f>L233/14*9</f>
        <v>1.3268391326602118</v>
      </c>
      <c r="M237" s="561"/>
      <c r="N237" s="562"/>
      <c r="O237" s="124"/>
      <c r="P237" s="124"/>
      <c r="Q237" s="124"/>
      <c r="R237" s="124"/>
      <c r="S237" s="124"/>
      <c r="T237" s="124"/>
      <c r="U237" s="124"/>
    </row>
    <row r="238" spans="2:21" s="276" customFormat="1" ht="12">
      <c r="B238" s="13"/>
      <c r="C238" s="13"/>
      <c r="D238" s="274" t="s">
        <v>711</v>
      </c>
      <c r="E238" s="280">
        <f>E235+E236-E237</f>
        <v>9.936631952422763</v>
      </c>
      <c r="F238" s="281"/>
      <c r="G238" s="13"/>
      <c r="H238" s="13"/>
      <c r="I238" s="13"/>
      <c r="J238" s="274" t="s">
        <v>711</v>
      </c>
      <c r="K238" s="211">
        <f>K235+K236-K237</f>
        <v>7.555662439476979</v>
      </c>
      <c r="L238" s="211">
        <f>L235+L236-L237</f>
        <v>7.818268104002993</v>
      </c>
      <c r="M238" s="279"/>
      <c r="N238" s="189"/>
      <c r="O238" s="189"/>
      <c r="P238" s="189"/>
      <c r="Q238" s="189"/>
      <c r="R238" s="189"/>
      <c r="S238" s="189"/>
      <c r="T238" s="189"/>
      <c r="U238" s="189"/>
    </row>
    <row r="239" spans="1:21" s="7" customFormat="1" ht="12">
      <c r="A239" s="1"/>
      <c r="B239" s="1"/>
      <c r="C239" s="1"/>
      <c r="D239" s="1"/>
      <c r="E239" s="1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</row>
    <row r="240" spans="2:21" s="7" customFormat="1" ht="12">
      <c r="B240" s="580" t="s">
        <v>365</v>
      </c>
      <c r="C240" s="581"/>
      <c r="D240" s="581"/>
      <c r="E240" s="581"/>
      <c r="F240" s="581"/>
      <c r="G240" s="581"/>
      <c r="H240" s="581"/>
      <c r="I240" s="581"/>
      <c r="J240" s="581"/>
      <c r="K240" s="581"/>
      <c r="L240" s="582"/>
      <c r="M240" s="190"/>
      <c r="N240" s="124"/>
      <c r="O240" s="124"/>
      <c r="P240" s="124"/>
      <c r="Q240" s="124"/>
      <c r="R240" s="124"/>
      <c r="S240" s="124"/>
      <c r="T240" s="124"/>
      <c r="U240" s="124"/>
    </row>
    <row r="241" spans="2:21" s="7" customFormat="1" ht="12">
      <c r="B241" s="583" t="s">
        <v>499</v>
      </c>
      <c r="C241" s="584"/>
      <c r="D241" s="584"/>
      <c r="E241" s="584"/>
      <c r="F241" s="584"/>
      <c r="G241" s="584"/>
      <c r="H241" s="584"/>
      <c r="I241" s="584"/>
      <c r="J241" s="584"/>
      <c r="K241" s="584"/>
      <c r="L241" s="585"/>
      <c r="M241" s="190"/>
      <c r="N241" s="124"/>
      <c r="O241" s="124"/>
      <c r="P241" s="124"/>
      <c r="Q241" s="124"/>
      <c r="R241" s="124"/>
      <c r="S241" s="124"/>
      <c r="T241" s="124"/>
      <c r="U241" s="124"/>
    </row>
    <row r="242" spans="1:21" s="7" customFormat="1" ht="12">
      <c r="A242" s="218" t="s">
        <v>171</v>
      </c>
      <c r="B242" s="564" t="s">
        <v>715</v>
      </c>
      <c r="C242" s="572" t="s">
        <v>532</v>
      </c>
      <c r="D242" s="605" t="s">
        <v>587</v>
      </c>
      <c r="E242" s="613" t="s">
        <v>533</v>
      </c>
      <c r="F242" s="588" t="s">
        <v>715</v>
      </c>
      <c r="G242" s="590" t="s">
        <v>532</v>
      </c>
      <c r="H242" s="591"/>
      <c r="I242" s="590" t="s">
        <v>587</v>
      </c>
      <c r="J242" s="591"/>
      <c r="K242" s="590" t="s">
        <v>533</v>
      </c>
      <c r="L242" s="591"/>
      <c r="M242" s="558" t="s">
        <v>375</v>
      </c>
      <c r="N242" s="563"/>
      <c r="O242" s="189"/>
      <c r="P242" s="189"/>
      <c r="Q242" s="189"/>
      <c r="R242" s="189"/>
      <c r="S242" s="189"/>
      <c r="T242" s="189"/>
      <c r="U242" s="189"/>
    </row>
    <row r="243" spans="1:14" ht="10.5" customHeight="1">
      <c r="A243" s="291" t="s">
        <v>716</v>
      </c>
      <c r="B243" s="565"/>
      <c r="C243" s="576"/>
      <c r="D243" s="606"/>
      <c r="E243" s="614"/>
      <c r="F243" s="589"/>
      <c r="G243" s="219" t="s">
        <v>94</v>
      </c>
      <c r="H243" s="219" t="s">
        <v>93</v>
      </c>
      <c r="I243" s="219" t="s">
        <v>94</v>
      </c>
      <c r="J243" s="219" t="s">
        <v>93</v>
      </c>
      <c r="K243" s="219" t="s">
        <v>94</v>
      </c>
      <c r="L243" s="219" t="s">
        <v>93</v>
      </c>
      <c r="M243" s="558"/>
      <c r="N243" s="563"/>
    </row>
    <row r="244" spans="1:14" s="7" customFormat="1" ht="12">
      <c r="A244" s="129" t="s">
        <v>593</v>
      </c>
      <c r="B244" s="186">
        <f>('rehabilitation costs'!$L$50+'rehabilitation costs'!$L$52)*inflators!$G$12*inflators!$G$15</f>
        <v>5.189598480420807</v>
      </c>
      <c r="C244" s="12">
        <f>'AC lifetimes'!$I$28</f>
        <v>15</v>
      </c>
      <c r="D244" s="3">
        <v>0</v>
      </c>
      <c r="E244" s="234">
        <f>B244*(1/(1+inflators!$B$9)^D244)</f>
        <v>5.189598480420807</v>
      </c>
      <c r="F244" s="239">
        <f>('rehabilitation costs'!$L$50+'rehabilitation costs'!$L$52)*inflators!$G$12*inflators!$G$15</f>
        <v>5.189598480420807</v>
      </c>
      <c r="G244" s="223">
        <f>(('AC lifetimes'!$I$28-6)*(1+'weather data'!$F$32))+6</f>
        <v>22.363636363636367</v>
      </c>
      <c r="H244" s="224">
        <f>(('AC lifetimes'!$I$28-6)*(1+'weather data'!$C$32))+6</f>
        <v>20.727272727272727</v>
      </c>
      <c r="I244" s="225">
        <v>0</v>
      </c>
      <c r="J244" s="226">
        <v>0</v>
      </c>
      <c r="K244" s="227">
        <f>$F244*(1/(1+inflators!$B$9)^I244)</f>
        <v>5.189598480420807</v>
      </c>
      <c r="L244" s="228">
        <f>$F244*(1/(1+inflators!$B$9)^J244)</f>
        <v>5.189598480420807</v>
      </c>
      <c r="M244" s="558"/>
      <c r="N244" s="563"/>
    </row>
    <row r="245" spans="1:14" ht="12">
      <c r="A245" s="130" t="s">
        <v>713</v>
      </c>
      <c r="B245" s="187">
        <f>('maintenance costs'!$L$48+'maintenance costs'!$L$59)*inflators!$G$12*inflators!$G$15</f>
        <v>1.3266642731902814</v>
      </c>
      <c r="C245" s="9">
        <f>'AC lifetimes'!$I$57</f>
        <v>9</v>
      </c>
      <c r="D245" s="196">
        <f>C244+D244</f>
        <v>15</v>
      </c>
      <c r="E245" s="126">
        <f>B245*(1/(1+inflators!$B$9)^D245)</f>
        <v>0.7366495779204697</v>
      </c>
      <c r="F245" s="235">
        <f>('maintenance costs'!$L$48+'maintenance costs'!$L$59)*inflators!$G$12*inflators!$G$15</f>
        <v>1.3266642731902814</v>
      </c>
      <c r="G245" s="9">
        <f>'AC lifetimes'!$I$57</f>
        <v>9</v>
      </c>
      <c r="H245" s="4">
        <f>'AC lifetimes'!$I$57</f>
        <v>9</v>
      </c>
      <c r="I245" s="220">
        <f>G244+$I244</f>
        <v>22.363636363636367</v>
      </c>
      <c r="J245" s="220">
        <f>H244+J244</f>
        <v>20.727272727272727</v>
      </c>
      <c r="K245" s="210">
        <f>$F245*(1/(1+inflators!$B$9)^I245)</f>
        <v>0.5518659864317494</v>
      </c>
      <c r="L245" s="210">
        <f>$F245*(1/(1+inflators!$B$9)^J245)</f>
        <v>0.5884456608274499</v>
      </c>
      <c r="M245" s="558" t="s">
        <v>116</v>
      </c>
      <c r="N245" s="559"/>
    </row>
    <row r="246" spans="1:14" s="7" customFormat="1" ht="12">
      <c r="A246" s="130" t="s">
        <v>169</v>
      </c>
      <c r="B246" s="187">
        <f>('maintenance costs'!$L$52+'maintenance costs'!$L$59)*inflators!$G$12*inflators!$G$15</f>
        <v>2.081041997161226</v>
      </c>
      <c r="C246" s="9">
        <f>'AC lifetimes'!$I$85</f>
        <v>11</v>
      </c>
      <c r="D246" s="196">
        <f>C245+D245</f>
        <v>24</v>
      </c>
      <c r="E246" s="126">
        <f>B246*(1/(1+inflators!$B$9)^D246)</f>
        <v>0.8118591721045745</v>
      </c>
      <c r="F246" s="235">
        <f>('maintenance costs'!$L$52+'maintenance costs'!$L$59)*inflators!$G$12*inflators!$G$15</f>
        <v>2.081041997161226</v>
      </c>
      <c r="G246" s="9">
        <f>'AC lifetimes'!$I$85</f>
        <v>11</v>
      </c>
      <c r="H246" s="4">
        <f>'AC lifetimes'!$I$85</f>
        <v>11</v>
      </c>
      <c r="I246" s="220">
        <f>G245+I245</f>
        <v>31.363636363636367</v>
      </c>
      <c r="J246" s="220">
        <f>H245+J245</f>
        <v>29.727272727272727</v>
      </c>
      <c r="K246" s="210">
        <f>$F246*(1/(1+inflators!$B$9)^I246)</f>
        <v>0.6082097598181556</v>
      </c>
      <c r="L246" s="210">
        <f>$F246*(1/(1+inflators!$B$9)^J246)</f>
        <v>0.648524103382409</v>
      </c>
      <c r="M246" s="560"/>
      <c r="N246" s="559"/>
    </row>
    <row r="247" spans="1:14" ht="12">
      <c r="A247" s="131" t="s">
        <v>713</v>
      </c>
      <c r="B247" s="188">
        <f>('maintenance costs'!$L$48+'maintenance costs'!$L$59)*inflators!$G$12*inflators!$G$15</f>
        <v>1.3266642731902814</v>
      </c>
      <c r="C247" s="10"/>
      <c r="D247" s="205"/>
      <c r="E247" s="240"/>
      <c r="F247" s="236">
        <f>('maintenance costs'!$L$48+'maintenance costs'!$L$59)*inflators!$G$12*inflators!$G$15</f>
        <v>1.3266642731902814</v>
      </c>
      <c r="G247" s="10"/>
      <c r="H247" s="74"/>
      <c r="I247" s="221"/>
      <c r="J247" s="221"/>
      <c r="K247" s="210"/>
      <c r="L247" s="86"/>
      <c r="M247" s="561"/>
      <c r="N247" s="562"/>
    </row>
    <row r="248" spans="1:14" ht="12">
      <c r="A248" s="7"/>
      <c r="B248" s="124"/>
      <c r="C248" s="201">
        <f>SUM(C244:C247)</f>
        <v>35</v>
      </c>
      <c r="D248" s="193" t="s">
        <v>455</v>
      </c>
      <c r="E248" s="123">
        <f>E244</f>
        <v>5.189598480420807</v>
      </c>
      <c r="F248" s="238"/>
      <c r="G248" s="222">
        <f>SUM(G244:G247)</f>
        <v>42.36363636363637</v>
      </c>
      <c r="H248" s="222">
        <f>SUM(H244:H247)</f>
        <v>40.72727272727273</v>
      </c>
      <c r="J248" s="193" t="s">
        <v>455</v>
      </c>
      <c r="K248" s="186">
        <f>K244</f>
        <v>5.189598480420807</v>
      </c>
      <c r="L248" s="186">
        <f>L244</f>
        <v>5.189598480420807</v>
      </c>
      <c r="M248" s="558" t="s">
        <v>117</v>
      </c>
      <c r="N248" s="559"/>
    </row>
    <row r="249" spans="1:14" ht="12">
      <c r="A249" s="7"/>
      <c r="B249" s="124"/>
      <c r="C249" s="124"/>
      <c r="D249" s="146" t="s">
        <v>710</v>
      </c>
      <c r="E249" s="123">
        <f>SUM(E245:E247)</f>
        <v>1.5485087500250443</v>
      </c>
      <c r="F249" s="238"/>
      <c r="G249" s="124"/>
      <c r="J249" s="146" t="s">
        <v>710</v>
      </c>
      <c r="K249" s="187">
        <f>SUM(K245:K247)</f>
        <v>1.160075746249905</v>
      </c>
      <c r="L249" s="187">
        <f>SUM(L245:L247)</f>
        <v>1.2369697642098587</v>
      </c>
      <c r="M249" s="560"/>
      <c r="N249" s="559"/>
    </row>
    <row r="250" spans="1:14" ht="12">
      <c r="A250" s="7"/>
      <c r="B250" s="124"/>
      <c r="C250" s="124"/>
      <c r="D250" s="193" t="s">
        <v>588</v>
      </c>
      <c r="E250" s="123">
        <v>0</v>
      </c>
      <c r="F250" s="238"/>
      <c r="G250" s="124"/>
      <c r="J250" s="193" t="s">
        <v>588</v>
      </c>
      <c r="K250" s="187">
        <f>K246/11*7</f>
        <v>0.3870425744297354</v>
      </c>
      <c r="L250" s="187">
        <f>L246/11*6</f>
        <v>0.35374042002676853</v>
      </c>
      <c r="M250" s="561"/>
      <c r="N250" s="562"/>
    </row>
    <row r="251" spans="4:13" s="13" customFormat="1" ht="12">
      <c r="D251" s="274" t="s">
        <v>711</v>
      </c>
      <c r="E251" s="280">
        <f>E248+E249-E250</f>
        <v>6.738107230445852</v>
      </c>
      <c r="F251" s="281"/>
      <c r="J251" s="274" t="s">
        <v>711</v>
      </c>
      <c r="K251" s="211">
        <f>K248+K249-K250</f>
        <v>5.962631652240978</v>
      </c>
      <c r="L251" s="211">
        <f>L248+L249-L250</f>
        <v>6.072827824603897</v>
      </c>
      <c r="M251" s="279"/>
    </row>
    <row r="252" ht="12"/>
    <row r="253" s="192" customFormat="1" ht="12">
      <c r="A253" s="195" t="s">
        <v>522</v>
      </c>
    </row>
    <row r="254" spans="1:14" s="190" customFormat="1" ht="10.5" customHeight="1">
      <c r="A254" s="1" t="s">
        <v>25</v>
      </c>
      <c r="B254" s="580" t="s">
        <v>350</v>
      </c>
      <c r="C254" s="581"/>
      <c r="D254" s="581"/>
      <c r="E254" s="581"/>
      <c r="F254" s="581"/>
      <c r="G254" s="581"/>
      <c r="H254" s="581"/>
      <c r="I254" s="581"/>
      <c r="J254" s="581"/>
      <c r="K254" s="581"/>
      <c r="L254" s="582"/>
      <c r="M254" s="558" t="s">
        <v>375</v>
      </c>
      <c r="N254" s="563"/>
    </row>
    <row r="255" spans="1:14" s="190" customFormat="1" ht="10.5" customHeight="1">
      <c r="A255" s="405" t="s">
        <v>21</v>
      </c>
      <c r="B255" s="583" t="s">
        <v>499</v>
      </c>
      <c r="C255" s="584"/>
      <c r="D255" s="584"/>
      <c r="E255" s="584"/>
      <c r="F255" s="584"/>
      <c r="G255" s="584"/>
      <c r="H255" s="584"/>
      <c r="I255" s="584"/>
      <c r="J255" s="584"/>
      <c r="K255" s="584"/>
      <c r="L255" s="585"/>
      <c r="M255" s="558"/>
      <c r="N255" s="563"/>
    </row>
    <row r="256" spans="1:14" s="190" customFormat="1" ht="12">
      <c r="A256" s="218" t="s">
        <v>108</v>
      </c>
      <c r="B256" s="564" t="s">
        <v>715</v>
      </c>
      <c r="C256" s="572" t="s">
        <v>532</v>
      </c>
      <c r="D256" s="605" t="s">
        <v>587</v>
      </c>
      <c r="E256" s="613" t="s">
        <v>533</v>
      </c>
      <c r="F256" s="588" t="s">
        <v>715</v>
      </c>
      <c r="G256" s="590" t="s">
        <v>532</v>
      </c>
      <c r="H256" s="591"/>
      <c r="I256" s="590" t="s">
        <v>587</v>
      </c>
      <c r="J256" s="591"/>
      <c r="K256" s="590" t="s">
        <v>533</v>
      </c>
      <c r="L256" s="591"/>
      <c r="M256" s="558"/>
      <c r="N256" s="563"/>
    </row>
    <row r="257" spans="1:14" s="190" customFormat="1" ht="10.5" customHeight="1">
      <c r="A257" s="291" t="s">
        <v>716</v>
      </c>
      <c r="B257" s="565"/>
      <c r="C257" s="576"/>
      <c r="D257" s="606"/>
      <c r="E257" s="614"/>
      <c r="F257" s="589"/>
      <c r="G257" s="219" t="s">
        <v>94</v>
      </c>
      <c r="H257" s="219" t="s">
        <v>93</v>
      </c>
      <c r="I257" s="219" t="s">
        <v>94</v>
      </c>
      <c r="J257" s="219" t="s">
        <v>93</v>
      </c>
      <c r="K257" s="219" t="s">
        <v>94</v>
      </c>
      <c r="L257" s="219" t="s">
        <v>93</v>
      </c>
      <c r="M257" s="558" t="s">
        <v>116</v>
      </c>
      <c r="N257" s="559"/>
    </row>
    <row r="258" spans="1:14" s="190" customFormat="1" ht="10.5" customHeight="1">
      <c r="A258" s="129" t="s">
        <v>785</v>
      </c>
      <c r="B258" s="186">
        <f>('rehabilitation costs'!$L$55+'rehabilitation costs'!$L$57)*inflators!$G$12*inflators!$G$15</f>
        <v>6.529269266093347</v>
      </c>
      <c r="C258" s="12">
        <f>'AC lifetimes'!$I$31</f>
        <v>13</v>
      </c>
      <c r="D258" s="3">
        <v>0</v>
      </c>
      <c r="E258" s="234">
        <f>B258*(1/(1+inflators!$B$9)^D258)</f>
        <v>6.529269266093347</v>
      </c>
      <c r="F258" s="239">
        <f>('rehabilitation costs'!$L$55+'rehabilitation costs'!$L$57+'maintenance costs'!$L$49)*inflators!$G$12*inflators!$G$15</f>
        <v>7.192601402688487</v>
      </c>
      <c r="G258" s="223">
        <f>(('AC lifetimes'!$I$31)*(1+'weather data'!$F$32))</f>
        <v>23.63636363636364</v>
      </c>
      <c r="H258" s="224">
        <f>(('AC lifetimes'!$I$31)*(1+'weather data'!$C$32))</f>
        <v>21.27272727272727</v>
      </c>
      <c r="I258" s="225">
        <v>0</v>
      </c>
      <c r="J258" s="226">
        <v>0</v>
      </c>
      <c r="K258" s="227">
        <f>$F258*(1/(1+inflators!$B$9)^I258)</f>
        <v>7.192601402688487</v>
      </c>
      <c r="L258" s="228">
        <f>$F258*(1/(1+inflators!$B$9)^J258)</f>
        <v>7.192601402688487</v>
      </c>
      <c r="M258" s="560"/>
      <c r="N258" s="559"/>
    </row>
    <row r="259" spans="1:21" s="7" customFormat="1" ht="12">
      <c r="A259" s="130" t="s">
        <v>713</v>
      </c>
      <c r="B259" s="187">
        <f>('maintenance costs'!$L$48+'maintenance costs'!$L$59)*inflators!$G$12*inflators!$G$15</f>
        <v>1.3266642731902814</v>
      </c>
      <c r="C259" s="9">
        <f>'AC lifetimes'!$I$53</f>
        <v>4</v>
      </c>
      <c r="D259" s="196">
        <f>C258+D258</f>
        <v>13</v>
      </c>
      <c r="E259" s="126">
        <f>B259*(1/(1+inflators!$B$9)^D259)</f>
        <v>0.79676018347878</v>
      </c>
      <c r="F259" s="235">
        <f>('maintenance costs'!$L$48+'maintenance costs'!$L$59)*inflators!$G$12*inflators!$G$15</f>
        <v>1.3266642731902814</v>
      </c>
      <c r="G259" s="9">
        <f>'AC lifetimes'!$I$53</f>
        <v>4</v>
      </c>
      <c r="H259" s="4">
        <f>'AC lifetimes'!$I$53</f>
        <v>4</v>
      </c>
      <c r="I259" s="220">
        <f>G258+$I258</f>
        <v>23.63636363636364</v>
      </c>
      <c r="J259" s="220">
        <f>H258+$I258</f>
        <v>21.27272727272727</v>
      </c>
      <c r="K259" s="210">
        <f>$F259*(1/(1+inflators!$B$9)^I259)</f>
        <v>0.5249945950062042</v>
      </c>
      <c r="L259" s="210">
        <f>$F259*(1/(1+inflators!$B$9)^J259)</f>
        <v>0.5759906748850689</v>
      </c>
      <c r="M259" s="561"/>
      <c r="N259" s="562"/>
      <c r="O259" s="189"/>
      <c r="P259" s="189"/>
      <c r="Q259" s="189"/>
      <c r="R259" s="189"/>
      <c r="S259" s="189"/>
      <c r="T259" s="189"/>
      <c r="U259" s="189"/>
    </row>
    <row r="260" spans="1:21" ht="12">
      <c r="A260" s="130" t="s">
        <v>594</v>
      </c>
      <c r="B260" s="187">
        <f>('rehabilitation costs'!$L$42+'rehabilitation costs'!$L$50+'rehabilitation costs'!$L$52)*inflators!$G$12*inflators!$G$15</f>
        <v>6.529269266093347</v>
      </c>
      <c r="C260" s="9">
        <f>'AC lifetimes'!$I$25</f>
        <v>11</v>
      </c>
      <c r="D260" s="196">
        <f>C259+D259</f>
        <v>17</v>
      </c>
      <c r="E260" s="126">
        <f>B260*(1/(1+inflators!$B$9)^D260)</f>
        <v>3.3519521561745473</v>
      </c>
      <c r="F260" s="235">
        <f>('rehabilitation costs'!$L$42+'rehabilitation costs'!$L$50+'rehabilitation costs'!$L$52+'maintenance costs'!$L$49)*inflators!$G$12*inflators!$G$15</f>
        <v>7.192601402688487</v>
      </c>
      <c r="G260" s="229">
        <f>(('AC lifetimes'!$I$25)*(1+'weather data'!$F$32))</f>
        <v>20</v>
      </c>
      <c r="H260" s="230">
        <f>(('AC lifetimes'!$I$25)*(1+'weather data'!$C$32))</f>
        <v>18</v>
      </c>
      <c r="I260" s="230">
        <f>G259+I259</f>
        <v>27.63636363636364</v>
      </c>
      <c r="J260" s="230">
        <f>H259+J259</f>
        <v>25.27272727272727</v>
      </c>
      <c r="K260" s="227">
        <f>$F260*(1/(1+inflators!$B$9)^I260)</f>
        <v>2.433024233174795</v>
      </c>
      <c r="L260" s="227">
        <f>$F260*(1/(1+inflators!$B$9)^J260)</f>
        <v>2.6693594246651555</v>
      </c>
      <c r="M260" s="558" t="s">
        <v>117</v>
      </c>
      <c r="N260" s="559"/>
      <c r="O260" s="119"/>
      <c r="P260" s="119"/>
      <c r="Q260" s="119"/>
      <c r="R260" s="119"/>
      <c r="S260" s="119"/>
      <c r="T260" s="119"/>
      <c r="U260" s="119"/>
    </row>
    <row r="261" spans="1:14" s="190" customFormat="1" ht="10.5" customHeight="1">
      <c r="A261" s="130" t="s">
        <v>713</v>
      </c>
      <c r="B261" s="187">
        <f>('maintenance costs'!$L$48+'maintenance costs'!$L$59)*inflators!$G$12*inflators!$G$15</f>
        <v>1.3266642731902814</v>
      </c>
      <c r="C261" s="9">
        <f>'AC lifetimes'!$I$53</f>
        <v>4</v>
      </c>
      <c r="D261" s="196">
        <f>C260+D260</f>
        <v>28</v>
      </c>
      <c r="E261" s="126">
        <f>B261*(1/(1+inflators!$B$9)^D261)</f>
        <v>0.4424126470610823</v>
      </c>
      <c r="F261" s="235">
        <f>('maintenance costs'!$L$48+'maintenance costs'!$L$59)*inflators!$G$12*inflators!$G$15</f>
        <v>1.3266642731902814</v>
      </c>
      <c r="G261" s="9"/>
      <c r="H261" s="4"/>
      <c r="I261" s="220"/>
      <c r="J261" s="220"/>
      <c r="K261" s="210"/>
      <c r="L261" s="86"/>
      <c r="M261" s="560"/>
      <c r="N261" s="559"/>
    </row>
    <row r="262" spans="1:21" ht="10.5" customHeight="1">
      <c r="A262" s="131" t="s">
        <v>786</v>
      </c>
      <c r="B262" s="188">
        <f>('rehabilitation costs'!$L$50+'rehabilitation costs'!$L$52)*inflators!$G$12*inflators!$G$15</f>
        <v>5.189598480420807</v>
      </c>
      <c r="C262" s="10">
        <f>'AC lifetimes'!$I$25</f>
        <v>11</v>
      </c>
      <c r="D262" s="205">
        <f>C261+D261</f>
        <v>32</v>
      </c>
      <c r="E262" s="126">
        <f>B262*(1/(1+inflators!$B$9)^D262)</f>
        <v>1.4793362525889693</v>
      </c>
      <c r="F262" s="236">
        <f>('rehabilitation costs'!$L$50+'rehabilitation costs'!$L$52)*inflators!$G$12*inflators!$G$15</f>
        <v>5.189598480420807</v>
      </c>
      <c r="G262" s="10"/>
      <c r="H262" s="74"/>
      <c r="I262" s="221"/>
      <c r="J262" s="221"/>
      <c r="K262" s="210"/>
      <c r="L262" s="188"/>
      <c r="M262" s="561"/>
      <c r="N262" s="562"/>
      <c r="O262" s="119"/>
      <c r="P262" s="119"/>
      <c r="Q262" s="119"/>
      <c r="R262" s="119"/>
      <c r="S262" s="119"/>
      <c r="T262" s="119"/>
      <c r="U262" s="119"/>
    </row>
    <row r="263" spans="1:21" ht="10.5" customHeight="1">
      <c r="A263" s="7"/>
      <c r="B263" s="124"/>
      <c r="C263" s="201">
        <f>SUM(C258:C262)</f>
        <v>43</v>
      </c>
      <c r="D263" s="193" t="s">
        <v>455</v>
      </c>
      <c r="E263" s="121">
        <f>E258</f>
        <v>6.529269266093347</v>
      </c>
      <c r="F263" s="237"/>
      <c r="G263" s="222">
        <f>SUM(G258:G262)</f>
        <v>47.63636363636364</v>
      </c>
      <c r="H263" s="222">
        <f>SUM(H258:H262)</f>
        <v>43.272727272727266</v>
      </c>
      <c r="J263" s="193" t="s">
        <v>455</v>
      </c>
      <c r="K263" s="186">
        <f>K258</f>
        <v>7.192601402688487</v>
      </c>
      <c r="L263" s="186">
        <f>L258</f>
        <v>7.192601402688487</v>
      </c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1:21" ht="10.5" customHeight="1">
      <c r="A264" s="7"/>
      <c r="B264" s="124"/>
      <c r="C264" s="124"/>
      <c r="D264" s="146" t="s">
        <v>710</v>
      </c>
      <c r="E264" s="123">
        <f>SUM(E259:E262)</f>
        <v>6.070461239303379</v>
      </c>
      <c r="F264" s="238"/>
      <c r="G264" s="124"/>
      <c r="J264" s="146" t="s">
        <v>710</v>
      </c>
      <c r="K264" s="187">
        <f>SUM(K259:K262)</f>
        <v>2.9580188281809994</v>
      </c>
      <c r="L264" s="187">
        <f>SUM(L259:L262)</f>
        <v>3.2453500995502242</v>
      </c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1:21" ht="10.5" customHeight="1">
      <c r="A265" s="7"/>
      <c r="B265" s="124"/>
      <c r="C265" s="124"/>
      <c r="D265" s="193" t="s">
        <v>588</v>
      </c>
      <c r="E265" s="123">
        <f>E262/11*8</f>
        <v>1.075880910973796</v>
      </c>
      <c r="F265" s="238"/>
      <c r="G265" s="124"/>
      <c r="J265" s="193" t="s">
        <v>588</v>
      </c>
      <c r="K265" s="187">
        <f>K260/20*13</f>
        <v>1.5814657515636168</v>
      </c>
      <c r="L265" s="187">
        <f>L260/18*8</f>
        <v>1.186381966517847</v>
      </c>
      <c r="M265" s="120"/>
      <c r="N265" s="120"/>
      <c r="O265" s="120"/>
      <c r="P265" s="120"/>
      <c r="Q265" s="120"/>
      <c r="R265" s="120"/>
      <c r="S265" s="120"/>
      <c r="T265" s="120"/>
      <c r="U265" s="120"/>
    </row>
    <row r="266" spans="1:21" s="13" customFormat="1" ht="10.5" customHeight="1">
      <c r="A266" s="276"/>
      <c r="D266" s="274" t="s">
        <v>711</v>
      </c>
      <c r="E266" s="280">
        <f>E263+E264-E265</f>
        <v>11.523849594422929</v>
      </c>
      <c r="F266" s="281"/>
      <c r="J266" s="274" t="s">
        <v>711</v>
      </c>
      <c r="K266" s="211">
        <f>K263+K264-K265</f>
        <v>8.569154479305869</v>
      </c>
      <c r="L266" s="211">
        <f>L263+L264-L265</f>
        <v>9.251569535720865</v>
      </c>
      <c r="M266" s="279"/>
      <c r="N266" s="279"/>
      <c r="O266" s="279"/>
      <c r="P266" s="279"/>
      <c r="Q266" s="279"/>
      <c r="R266" s="279"/>
      <c r="S266" s="279"/>
      <c r="T266" s="279"/>
      <c r="U266" s="279"/>
    </row>
    <row r="267" spans="6:21" ht="12"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</row>
    <row r="268" spans="1:21" ht="12">
      <c r="A268" s="7"/>
      <c r="B268" s="580" t="s">
        <v>350</v>
      </c>
      <c r="C268" s="581"/>
      <c r="D268" s="581"/>
      <c r="E268" s="581"/>
      <c r="F268" s="581"/>
      <c r="G268" s="581"/>
      <c r="H268" s="581"/>
      <c r="I268" s="581"/>
      <c r="J268" s="581"/>
      <c r="K268" s="581"/>
      <c r="L268" s="582"/>
      <c r="M268" s="558" t="s">
        <v>375</v>
      </c>
      <c r="N268" s="563"/>
      <c r="O268" s="120"/>
      <c r="P268" s="120"/>
      <c r="Q268" s="120"/>
      <c r="R268" s="120"/>
      <c r="S268" s="120"/>
      <c r="T268" s="120"/>
      <c r="U268" s="120"/>
    </row>
    <row r="269" spans="1:21" ht="12">
      <c r="A269" s="7"/>
      <c r="B269" s="583" t="s">
        <v>499</v>
      </c>
      <c r="C269" s="584"/>
      <c r="D269" s="584"/>
      <c r="E269" s="584"/>
      <c r="F269" s="584"/>
      <c r="G269" s="584"/>
      <c r="H269" s="584"/>
      <c r="I269" s="584"/>
      <c r="J269" s="584"/>
      <c r="K269" s="584"/>
      <c r="L269" s="585"/>
      <c r="M269" s="558"/>
      <c r="N269" s="563"/>
      <c r="O269" s="120"/>
      <c r="P269" s="120"/>
      <c r="Q269" s="120"/>
      <c r="R269" s="120"/>
      <c r="S269" s="120"/>
      <c r="T269" s="120"/>
      <c r="U269" s="120"/>
    </row>
    <row r="270" spans="1:21" ht="12">
      <c r="A270" s="218" t="s">
        <v>170</v>
      </c>
      <c r="B270" s="564" t="s">
        <v>715</v>
      </c>
      <c r="C270" s="572" t="s">
        <v>532</v>
      </c>
      <c r="D270" s="605" t="s">
        <v>587</v>
      </c>
      <c r="E270" s="613" t="s">
        <v>533</v>
      </c>
      <c r="F270" s="588" t="s">
        <v>715</v>
      </c>
      <c r="G270" s="590" t="s">
        <v>532</v>
      </c>
      <c r="H270" s="591"/>
      <c r="I270" s="590" t="s">
        <v>587</v>
      </c>
      <c r="J270" s="591"/>
      <c r="K270" s="590" t="s">
        <v>533</v>
      </c>
      <c r="L270" s="591"/>
      <c r="M270" s="558"/>
      <c r="N270" s="563"/>
      <c r="O270" s="120"/>
      <c r="P270" s="120"/>
      <c r="Q270" s="120"/>
      <c r="R270" s="120"/>
      <c r="S270" s="120"/>
      <c r="T270" s="120"/>
      <c r="U270" s="120"/>
    </row>
    <row r="271" spans="1:14" s="7" customFormat="1" ht="10.5" customHeight="1">
      <c r="A271" s="291" t="s">
        <v>716</v>
      </c>
      <c r="B271" s="565"/>
      <c r="C271" s="576"/>
      <c r="D271" s="606"/>
      <c r="E271" s="614"/>
      <c r="F271" s="589"/>
      <c r="G271" s="219" t="s">
        <v>94</v>
      </c>
      <c r="H271" s="219" t="s">
        <v>93</v>
      </c>
      <c r="I271" s="219" t="s">
        <v>94</v>
      </c>
      <c r="J271" s="219" t="s">
        <v>93</v>
      </c>
      <c r="K271" s="219" t="s">
        <v>94</v>
      </c>
      <c r="L271" s="219" t="s">
        <v>93</v>
      </c>
      <c r="M271" s="558" t="s">
        <v>116</v>
      </c>
      <c r="N271" s="559"/>
    </row>
    <row r="272" spans="1:21" s="7" customFormat="1" ht="12">
      <c r="A272" s="129" t="s">
        <v>785</v>
      </c>
      <c r="B272" s="186">
        <f>('rehabilitation costs'!$L$55+'rehabilitation costs'!$L$57)*inflators!$G$12*inflators!$G$15</f>
        <v>6.529269266093347</v>
      </c>
      <c r="C272" s="12">
        <f>'AC lifetimes'!$I$34</f>
        <v>16</v>
      </c>
      <c r="D272" s="3">
        <v>0</v>
      </c>
      <c r="E272" s="234">
        <f>B272*(1/(1+inflators!$B$9)^D272)</f>
        <v>6.529269266093347</v>
      </c>
      <c r="F272" s="239">
        <f>('rehabilitation costs'!$L$55+'rehabilitation costs'!$L$57+'maintenance costs'!$L$49)*inflators!$G$12*inflators!$G$15</f>
        <v>7.192601402688487</v>
      </c>
      <c r="G272" s="223">
        <f>(('AC lifetimes'!$I$34)*(1+'weather data'!$F$32))</f>
        <v>29.090909090909093</v>
      </c>
      <c r="H272" s="224">
        <f>(('AC lifetimes'!$I$34)*(1+'weather data'!$C$32))</f>
        <v>26.18181818181818</v>
      </c>
      <c r="I272" s="225">
        <v>0</v>
      </c>
      <c r="J272" s="226">
        <v>0</v>
      </c>
      <c r="K272" s="227">
        <f>$F272*(1/(1+inflators!$B$9)^I272)</f>
        <v>7.192601402688487</v>
      </c>
      <c r="L272" s="228">
        <f>$F272*(1/(1+inflators!$B$9)^J272)</f>
        <v>7.192601402688487</v>
      </c>
      <c r="M272" s="560"/>
      <c r="N272" s="559"/>
      <c r="O272" s="189"/>
      <c r="P272" s="189"/>
      <c r="Q272" s="189"/>
      <c r="R272" s="189"/>
      <c r="S272" s="189"/>
      <c r="T272" s="189"/>
      <c r="U272" s="189"/>
    </row>
    <row r="273" spans="1:21" s="7" customFormat="1" ht="12">
      <c r="A273" s="130" t="s">
        <v>713</v>
      </c>
      <c r="B273" s="187">
        <f>('maintenance costs'!$L$48+'maintenance costs'!$L$59)*inflators!$G$12*inflators!$G$15</f>
        <v>1.3266642731902814</v>
      </c>
      <c r="C273" s="9">
        <f>'AC lifetimes'!$I$55</f>
        <v>7</v>
      </c>
      <c r="D273" s="196">
        <f>C272+D272</f>
        <v>16</v>
      </c>
      <c r="E273" s="126">
        <f>B273*(1/(1+inflators!$B$9)^D273)</f>
        <v>0.7083169018466053</v>
      </c>
      <c r="F273" s="235">
        <f>('maintenance costs'!$L$48+'maintenance costs'!$L$59)*inflators!$G$12*inflators!$G$15</f>
        <v>1.3266642731902814</v>
      </c>
      <c r="G273" s="9">
        <f>'AC lifetimes'!$I$55</f>
        <v>7</v>
      </c>
      <c r="H273" s="4">
        <f>'AC lifetimes'!$I$55</f>
        <v>7</v>
      </c>
      <c r="I273" s="220">
        <f>G272+$I272</f>
        <v>29.090909090909093</v>
      </c>
      <c r="J273" s="220">
        <f>H272+$I272</f>
        <v>26.18181818181818</v>
      </c>
      <c r="K273" s="210">
        <f>$F273*(1/(1+inflators!$B$9)^I273)</f>
        <v>0.42388271638071756</v>
      </c>
      <c r="L273" s="210">
        <f>$F273*(1/(1+inflators!$B$9)^J273)</f>
        <v>0.4751133583595049</v>
      </c>
      <c r="M273" s="561"/>
      <c r="N273" s="562"/>
      <c r="O273" s="189"/>
      <c r="P273" s="189"/>
      <c r="Q273" s="189"/>
      <c r="R273" s="189"/>
      <c r="S273" s="189"/>
      <c r="T273" s="189"/>
      <c r="U273" s="189"/>
    </row>
    <row r="274" spans="1:21" s="7" customFormat="1" ht="12">
      <c r="A274" s="130" t="s">
        <v>594</v>
      </c>
      <c r="B274" s="187">
        <f>('rehabilitation costs'!$L$42+'rehabilitation costs'!$L$50+'rehabilitation costs'!$L$52)*inflators!$G$12*inflators!$G$15</f>
        <v>6.529269266093347</v>
      </c>
      <c r="C274" s="9">
        <f>'AC lifetimes'!$I$27</f>
        <v>11</v>
      </c>
      <c r="D274" s="196">
        <f>C273+D273</f>
        <v>23</v>
      </c>
      <c r="E274" s="126">
        <f>B274*(1/(1+inflators!$B$9)^D274)</f>
        <v>2.649096478577227</v>
      </c>
      <c r="F274" s="235">
        <f>('rehabilitation costs'!$L$42+'rehabilitation costs'!$L$50+'rehabilitation costs'!$L$52+'maintenance costs'!$L$49)*inflators!$G$12*inflators!$G$15</f>
        <v>7.192601402688487</v>
      </c>
      <c r="G274" s="229"/>
      <c r="H274" s="230">
        <f>(('AC lifetimes'!$I$27)*(1+'weather data'!$C$32))</f>
        <v>18</v>
      </c>
      <c r="I274" s="230"/>
      <c r="J274" s="230">
        <f>H273+J273</f>
        <v>33.18181818181818</v>
      </c>
      <c r="K274" s="227"/>
      <c r="L274" s="227">
        <f>$F274*(1/(1+inflators!$B$9)^J274)</f>
        <v>1.9574416537463402</v>
      </c>
      <c r="M274" s="558" t="s">
        <v>117</v>
      </c>
      <c r="N274" s="559"/>
      <c r="O274" s="189"/>
      <c r="P274" s="189"/>
      <c r="Q274" s="189"/>
      <c r="R274" s="189"/>
      <c r="S274" s="189"/>
      <c r="T274" s="189"/>
      <c r="U274" s="189"/>
    </row>
    <row r="275" spans="1:21" s="7" customFormat="1" ht="12">
      <c r="A275" s="131" t="s">
        <v>713</v>
      </c>
      <c r="B275" s="188">
        <f>('maintenance costs'!$L$48+'maintenance costs'!$L$59)*inflators!$G$12*inflators!$G$15</f>
        <v>1.3266642731902814</v>
      </c>
      <c r="C275" s="10">
        <f>'AC lifetimes'!$I$55</f>
        <v>7</v>
      </c>
      <c r="D275" s="205">
        <f>C274+D274</f>
        <v>34</v>
      </c>
      <c r="E275" s="240">
        <f>B275*(1/(1+inflators!$B$9)^D275)</f>
        <v>0.3496451413390977</v>
      </c>
      <c r="F275" s="236">
        <f>('maintenance costs'!$L$48+'maintenance costs'!$L$59)*inflators!$G$12*inflators!$G$15</f>
        <v>1.3266642731902814</v>
      </c>
      <c r="G275" s="10"/>
      <c r="H275" s="74"/>
      <c r="I275" s="221"/>
      <c r="J275" s="221"/>
      <c r="K275" s="191"/>
      <c r="L275" s="144"/>
      <c r="M275" s="560"/>
      <c r="N275" s="559"/>
      <c r="O275" s="189"/>
      <c r="P275" s="189"/>
      <c r="Q275" s="189"/>
      <c r="R275" s="189"/>
      <c r="S275" s="189"/>
      <c r="T275" s="189"/>
      <c r="U275" s="189"/>
    </row>
    <row r="276" spans="2:21" s="7" customFormat="1" ht="12">
      <c r="B276" s="124"/>
      <c r="C276" s="201">
        <f>SUM(C272:C275)</f>
        <v>41</v>
      </c>
      <c r="D276" s="193" t="s">
        <v>455</v>
      </c>
      <c r="E276" s="123">
        <f>E272</f>
        <v>6.529269266093347</v>
      </c>
      <c r="F276" s="238"/>
      <c r="G276" s="222">
        <f>SUM(G272:G275)</f>
        <v>36.09090909090909</v>
      </c>
      <c r="H276" s="222">
        <f>SUM(H272:H275)</f>
        <v>51.18181818181818</v>
      </c>
      <c r="I276" s="1"/>
      <c r="J276" s="193" t="s">
        <v>455</v>
      </c>
      <c r="K276" s="187">
        <f>K272</f>
        <v>7.192601402688487</v>
      </c>
      <c r="L276" s="187">
        <f>L272</f>
        <v>7.192601402688487</v>
      </c>
      <c r="M276" s="561"/>
      <c r="N276" s="562"/>
      <c r="O276" s="124"/>
      <c r="P276" s="124"/>
      <c r="Q276" s="124"/>
      <c r="R276" s="124"/>
      <c r="S276" s="124"/>
      <c r="T276" s="124"/>
      <c r="U276" s="124"/>
    </row>
    <row r="277" spans="2:21" s="7" customFormat="1" ht="12">
      <c r="B277" s="124"/>
      <c r="C277" s="124"/>
      <c r="D277" s="146" t="s">
        <v>710</v>
      </c>
      <c r="E277" s="123">
        <f>SUM(E273:E275)</f>
        <v>3.7070585217629297</v>
      </c>
      <c r="F277" s="238"/>
      <c r="G277" s="124"/>
      <c r="H277" s="1"/>
      <c r="I277" s="1"/>
      <c r="J277" s="146" t="s">
        <v>710</v>
      </c>
      <c r="K277" s="187">
        <f>SUM(K273:K275)</f>
        <v>0.42388271638071756</v>
      </c>
      <c r="L277" s="187">
        <f>SUM(L273:L275)</f>
        <v>2.432555012105845</v>
      </c>
      <c r="M277" s="119"/>
      <c r="N277" s="124"/>
      <c r="O277" s="124"/>
      <c r="P277" s="124"/>
      <c r="Q277" s="124"/>
      <c r="R277" s="124"/>
      <c r="S277" s="124"/>
      <c r="T277" s="124"/>
      <c r="U277" s="124"/>
    </row>
    <row r="278" spans="2:21" s="7" customFormat="1" ht="12">
      <c r="B278" s="124"/>
      <c r="C278" s="124"/>
      <c r="D278" s="193" t="s">
        <v>588</v>
      </c>
      <c r="E278" s="123">
        <f>E275/7*6</f>
        <v>0.2996958354335123</v>
      </c>
      <c r="F278" s="238"/>
      <c r="G278" s="124"/>
      <c r="H278" s="1"/>
      <c r="I278" s="1"/>
      <c r="J278" s="193" t="s">
        <v>588</v>
      </c>
      <c r="K278" s="187">
        <f>K273/7*1</f>
        <v>0.06055467376867394</v>
      </c>
      <c r="L278" s="187">
        <f>L274/18*16</f>
        <v>1.7399481366634135</v>
      </c>
      <c r="M278" s="120"/>
      <c r="N278" s="124"/>
      <c r="O278" s="124"/>
      <c r="P278" s="124"/>
      <c r="Q278" s="124"/>
      <c r="R278" s="124"/>
      <c r="S278" s="124"/>
      <c r="T278" s="124"/>
      <c r="U278" s="124"/>
    </row>
    <row r="279" spans="2:21" s="276" customFormat="1" ht="12">
      <c r="B279" s="13"/>
      <c r="C279" s="13"/>
      <c r="D279" s="274" t="s">
        <v>711</v>
      </c>
      <c r="E279" s="280">
        <f>E276+E277-E278</f>
        <v>9.936631952422763</v>
      </c>
      <c r="F279" s="281"/>
      <c r="G279" s="13"/>
      <c r="H279" s="13"/>
      <c r="I279" s="13"/>
      <c r="J279" s="274" t="s">
        <v>711</v>
      </c>
      <c r="K279" s="211">
        <f>K276+K277-K278</f>
        <v>7.555929445300531</v>
      </c>
      <c r="L279" s="211">
        <f>L276+L277-L278</f>
        <v>7.88520827813092</v>
      </c>
      <c r="M279" s="279"/>
      <c r="N279" s="189"/>
      <c r="O279" s="189"/>
      <c r="P279" s="189"/>
      <c r="Q279" s="189"/>
      <c r="R279" s="189"/>
      <c r="S279" s="189"/>
      <c r="T279" s="189"/>
      <c r="U279" s="189"/>
    </row>
    <row r="280" spans="1:21" s="7" customFormat="1" ht="12">
      <c r="A280" s="1"/>
      <c r="B280" s="1"/>
      <c r="C280" s="1"/>
      <c r="D280" s="1"/>
      <c r="E280" s="1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</row>
    <row r="281" spans="2:21" s="7" customFormat="1" ht="12">
      <c r="B281" s="580" t="s">
        <v>350</v>
      </c>
      <c r="C281" s="581"/>
      <c r="D281" s="581"/>
      <c r="E281" s="581"/>
      <c r="F281" s="581"/>
      <c r="G281" s="581"/>
      <c r="H281" s="581"/>
      <c r="I281" s="581"/>
      <c r="J281" s="581"/>
      <c r="K281" s="581"/>
      <c r="L281" s="582"/>
      <c r="M281" s="558" t="s">
        <v>375</v>
      </c>
      <c r="N281" s="563"/>
      <c r="O281" s="124"/>
      <c r="P281" s="124"/>
      <c r="Q281" s="124"/>
      <c r="R281" s="124"/>
      <c r="S281" s="124"/>
      <c r="T281" s="124"/>
      <c r="U281" s="124"/>
    </row>
    <row r="282" spans="2:21" s="7" customFormat="1" ht="12">
      <c r="B282" s="583" t="s">
        <v>499</v>
      </c>
      <c r="C282" s="584"/>
      <c r="D282" s="584"/>
      <c r="E282" s="584"/>
      <c r="F282" s="584"/>
      <c r="G282" s="584"/>
      <c r="H282" s="584"/>
      <c r="I282" s="584"/>
      <c r="J282" s="584"/>
      <c r="K282" s="584"/>
      <c r="L282" s="585"/>
      <c r="M282" s="558"/>
      <c r="N282" s="563"/>
      <c r="O282" s="124"/>
      <c r="P282" s="124"/>
      <c r="Q282" s="124"/>
      <c r="R282" s="124"/>
      <c r="S282" s="124"/>
      <c r="T282" s="124"/>
      <c r="U282" s="124"/>
    </row>
    <row r="283" spans="1:21" s="7" customFormat="1" ht="12">
      <c r="A283" s="218" t="s">
        <v>171</v>
      </c>
      <c r="B283" s="564" t="s">
        <v>715</v>
      </c>
      <c r="C283" s="572" t="s">
        <v>532</v>
      </c>
      <c r="D283" s="605" t="s">
        <v>587</v>
      </c>
      <c r="E283" s="613" t="s">
        <v>533</v>
      </c>
      <c r="F283" s="588" t="s">
        <v>715</v>
      </c>
      <c r="G283" s="590" t="s">
        <v>532</v>
      </c>
      <c r="H283" s="591"/>
      <c r="I283" s="590" t="s">
        <v>587</v>
      </c>
      <c r="J283" s="591"/>
      <c r="K283" s="590" t="s">
        <v>533</v>
      </c>
      <c r="L283" s="591"/>
      <c r="M283" s="558"/>
      <c r="N283" s="563"/>
      <c r="O283" s="189"/>
      <c r="P283" s="189"/>
      <c r="Q283" s="189"/>
      <c r="R283" s="189"/>
      <c r="S283" s="189"/>
      <c r="T283" s="189"/>
      <c r="U283" s="189"/>
    </row>
    <row r="284" spans="1:14" ht="10.5" customHeight="1">
      <c r="A284" s="291" t="s">
        <v>716</v>
      </c>
      <c r="B284" s="565"/>
      <c r="C284" s="576"/>
      <c r="D284" s="606"/>
      <c r="E284" s="614"/>
      <c r="F284" s="589"/>
      <c r="G284" s="219" t="s">
        <v>94</v>
      </c>
      <c r="H284" s="219" t="s">
        <v>93</v>
      </c>
      <c r="I284" s="219" t="s">
        <v>94</v>
      </c>
      <c r="J284" s="219" t="s">
        <v>93</v>
      </c>
      <c r="K284" s="219" t="s">
        <v>94</v>
      </c>
      <c r="L284" s="219" t="s">
        <v>93</v>
      </c>
      <c r="M284" s="558" t="s">
        <v>116</v>
      </c>
      <c r="N284" s="559"/>
    </row>
    <row r="285" spans="1:14" s="7" customFormat="1" ht="12">
      <c r="A285" s="129" t="s">
        <v>593</v>
      </c>
      <c r="B285" s="186">
        <f>('rehabilitation costs'!$L$50+'rehabilitation costs'!$L$52)*inflators!$G$12*inflators!$G$15</f>
        <v>5.189598480420807</v>
      </c>
      <c r="C285" s="12">
        <f>'AC lifetimes'!$I$28</f>
        <v>15</v>
      </c>
      <c r="D285" s="3">
        <v>0</v>
      </c>
      <c r="E285" s="234">
        <f>B285*(1/(1+inflators!$B$9)^D285)</f>
        <v>5.189598480420807</v>
      </c>
      <c r="F285" s="239">
        <f>('rehabilitation costs'!$L$50+'rehabilitation costs'!$L$52+'maintenance costs'!$L$49)*inflators!$G$12*inflators!$G$15</f>
        <v>5.852930617015948</v>
      </c>
      <c r="G285" s="223">
        <f>(('AC lifetimes'!$I$28)*(1+'weather data'!$F$32))</f>
        <v>27.272727272727273</v>
      </c>
      <c r="H285" s="224">
        <f>(('AC lifetimes'!$I$28)*(1+'weather data'!$C$32))</f>
        <v>24.545454545454543</v>
      </c>
      <c r="I285" s="225">
        <v>0</v>
      </c>
      <c r="J285" s="226">
        <v>0</v>
      </c>
      <c r="K285" s="227">
        <f>$F285*(1/(1+inflators!$B$9)^I285)</f>
        <v>5.852930617015948</v>
      </c>
      <c r="L285" s="228">
        <f>$F285*(1/(1+inflators!$B$9)^J285)</f>
        <v>5.852930617015948</v>
      </c>
      <c r="M285" s="560"/>
      <c r="N285" s="559"/>
    </row>
    <row r="286" spans="1:14" ht="12">
      <c r="A286" s="130" t="s">
        <v>713</v>
      </c>
      <c r="B286" s="187">
        <f>('maintenance costs'!$L$48+'maintenance costs'!$L$59)*inflators!$G$12*inflators!$G$15</f>
        <v>1.3266642731902814</v>
      </c>
      <c r="C286" s="9">
        <f>'AC lifetimes'!$I$57</f>
        <v>9</v>
      </c>
      <c r="D286" s="196">
        <f>C285+D285</f>
        <v>15</v>
      </c>
      <c r="E286" s="126">
        <f>B286*(1/(1+inflators!$B$9)^D286)</f>
        <v>0.7366495779204697</v>
      </c>
      <c r="F286" s="235">
        <f>('maintenance costs'!$L$48+'maintenance costs'!$L$59)*inflators!$G$12*inflators!$G$15</f>
        <v>1.3266642731902814</v>
      </c>
      <c r="G286" s="9">
        <f>'AC lifetimes'!$I$57</f>
        <v>9</v>
      </c>
      <c r="H286" s="4">
        <f>'AC lifetimes'!$I$57</f>
        <v>9</v>
      </c>
      <c r="I286" s="220">
        <f>G285+$I285</f>
        <v>27.272727272727273</v>
      </c>
      <c r="J286" s="220">
        <f>H285+$I285</f>
        <v>24.545454545454543</v>
      </c>
      <c r="K286" s="210">
        <f>$F286*(1/(1+inflators!$B$9)^I286)</f>
        <v>0.45521379704677983</v>
      </c>
      <c r="L286" s="210">
        <f>$F286*(1/(1+inflators!$B$9)^J286)</f>
        <v>0.5066055908527783</v>
      </c>
      <c r="M286" s="561"/>
      <c r="N286" s="562"/>
    </row>
    <row r="287" spans="1:14" s="7" customFormat="1" ht="12">
      <c r="A287" s="130" t="s">
        <v>169</v>
      </c>
      <c r="B287" s="187">
        <f>('maintenance costs'!$L$52+'maintenance costs'!$L$59)*inflators!$G$12*inflators!$G$15</f>
        <v>2.081041997161226</v>
      </c>
      <c r="C287" s="9">
        <f>'AC lifetimes'!$I$85</f>
        <v>11</v>
      </c>
      <c r="D287" s="196">
        <f>C286+D286</f>
        <v>24</v>
      </c>
      <c r="E287" s="126">
        <f>B287*(1/(1+inflators!$B$9)^D287)</f>
        <v>0.8118591721045745</v>
      </c>
      <c r="F287" s="235">
        <f>('maintenance costs'!$L$52+'maintenance costs'!$L$59)*inflators!$G$12*inflators!$G$15</f>
        <v>2.081041997161226</v>
      </c>
      <c r="G287" s="9"/>
      <c r="H287" s="4">
        <f>'AC lifetimes'!$I$85</f>
        <v>11</v>
      </c>
      <c r="I287" s="220"/>
      <c r="J287" s="220">
        <f>H286+J286</f>
        <v>33.54545454545455</v>
      </c>
      <c r="K287" s="210"/>
      <c r="L287" s="210">
        <f>$F287*(1/(1+inflators!$B$9)^J287)</f>
        <v>0.5583284208678247</v>
      </c>
      <c r="M287" s="558" t="s">
        <v>117</v>
      </c>
      <c r="N287" s="559"/>
    </row>
    <row r="288" spans="1:14" ht="12">
      <c r="A288" s="131" t="s">
        <v>713</v>
      </c>
      <c r="B288" s="188">
        <f>('maintenance costs'!$L$48+'maintenance costs'!$L$59)*inflators!$G$12*inflators!$G$15</f>
        <v>1.3266642731902814</v>
      </c>
      <c r="C288" s="10"/>
      <c r="D288" s="205"/>
      <c r="E288" s="240"/>
      <c r="F288" s="236">
        <f>('maintenance costs'!$L$48+'maintenance costs'!$L$59)*inflators!$G$12*inflators!$G$15</f>
        <v>1.3266642731902814</v>
      </c>
      <c r="G288" s="10"/>
      <c r="H288" s="74"/>
      <c r="I288" s="221"/>
      <c r="J288" s="221"/>
      <c r="K288" s="210"/>
      <c r="L288" s="86"/>
      <c r="M288" s="560"/>
      <c r="N288" s="559"/>
    </row>
    <row r="289" spans="1:14" ht="12">
      <c r="A289" s="7"/>
      <c r="B289" s="124"/>
      <c r="C289" s="201">
        <f>SUM(C285:C288)</f>
        <v>35</v>
      </c>
      <c r="D289" s="193" t="s">
        <v>455</v>
      </c>
      <c r="E289" s="123">
        <f>E285</f>
        <v>5.189598480420807</v>
      </c>
      <c r="F289" s="238"/>
      <c r="G289" s="222">
        <f>SUM(G285:G288)</f>
        <v>36.27272727272727</v>
      </c>
      <c r="H289" s="222">
        <f>SUM(H285:H288)</f>
        <v>44.54545454545455</v>
      </c>
      <c r="J289" s="193" t="s">
        <v>455</v>
      </c>
      <c r="K289" s="186">
        <f>K285</f>
        <v>5.852930617015948</v>
      </c>
      <c r="L289" s="186">
        <f>L285</f>
        <v>5.852930617015948</v>
      </c>
      <c r="M289" s="561"/>
      <c r="N289" s="562"/>
    </row>
    <row r="290" spans="1:13" ht="12">
      <c r="A290" s="7"/>
      <c r="B290" s="124"/>
      <c r="C290" s="124"/>
      <c r="D290" s="146" t="s">
        <v>710</v>
      </c>
      <c r="E290" s="123">
        <f>SUM(E286:E288)</f>
        <v>1.5485087500250443</v>
      </c>
      <c r="F290" s="238"/>
      <c r="G290" s="124"/>
      <c r="J290" s="146" t="s">
        <v>710</v>
      </c>
      <c r="K290" s="187">
        <f>SUM(K286:K288)</f>
        <v>0.45521379704677983</v>
      </c>
      <c r="L290" s="187">
        <f>SUM(L286:L288)</f>
        <v>1.0649340117206032</v>
      </c>
      <c r="M290" s="119"/>
    </row>
    <row r="291" spans="1:13" ht="12">
      <c r="A291" s="7"/>
      <c r="B291" s="124"/>
      <c r="C291" s="124"/>
      <c r="D291" s="193" t="s">
        <v>588</v>
      </c>
      <c r="E291" s="123">
        <v>0</v>
      </c>
      <c r="F291" s="238"/>
      <c r="G291" s="124"/>
      <c r="J291" s="193" t="s">
        <v>588</v>
      </c>
      <c r="K291" s="187">
        <f>K286/9*1</f>
        <v>0.050579310782975534</v>
      </c>
      <c r="L291" s="187">
        <f>L287/11*10</f>
        <v>0.5075712916980225</v>
      </c>
      <c r="M291" s="120"/>
    </row>
    <row r="292" spans="4:13" s="13" customFormat="1" ht="12">
      <c r="D292" s="274" t="s">
        <v>711</v>
      </c>
      <c r="E292" s="280">
        <f>E289+E290-E291</f>
        <v>6.738107230445852</v>
      </c>
      <c r="F292" s="281"/>
      <c r="J292" s="274" t="s">
        <v>711</v>
      </c>
      <c r="K292" s="211">
        <f>K289+K290-K291</f>
        <v>6.257565103279753</v>
      </c>
      <c r="L292" s="211">
        <f>L289+L290-L291</f>
        <v>6.410293337038529</v>
      </c>
      <c r="M292" s="279"/>
    </row>
    <row r="293" ht="12"/>
    <row r="294" s="192" customFormat="1" ht="12">
      <c r="A294" s="195" t="s">
        <v>709</v>
      </c>
    </row>
    <row r="295" spans="1:11" ht="12">
      <c r="A295" s="1" t="s">
        <v>25</v>
      </c>
      <c r="B295" s="580" t="s">
        <v>628</v>
      </c>
      <c r="C295" s="581"/>
      <c r="D295" s="581"/>
      <c r="E295" s="582"/>
      <c r="F295" s="607" t="s">
        <v>29</v>
      </c>
      <c r="G295" s="608"/>
      <c r="H295" s="580" t="s">
        <v>628</v>
      </c>
      <c r="I295" s="581"/>
      <c r="J295" s="581"/>
      <c r="K295" s="582"/>
    </row>
    <row r="296" spans="1:11" ht="12">
      <c r="A296" s="405" t="s">
        <v>21</v>
      </c>
      <c r="B296" s="583" t="s">
        <v>48</v>
      </c>
      <c r="C296" s="584"/>
      <c r="D296" s="584"/>
      <c r="E296" s="585"/>
      <c r="F296" s="609"/>
      <c r="G296" s="610"/>
      <c r="H296" s="583" t="s">
        <v>706</v>
      </c>
      <c r="I296" s="584"/>
      <c r="J296" s="584"/>
      <c r="K296" s="585"/>
    </row>
    <row r="297" spans="1:11" ht="12" customHeight="1">
      <c r="A297" s="218"/>
      <c r="B297" s="564" t="s">
        <v>715</v>
      </c>
      <c r="C297" s="572" t="s">
        <v>532</v>
      </c>
      <c r="D297" s="605" t="s">
        <v>587</v>
      </c>
      <c r="E297" s="617" t="s">
        <v>533</v>
      </c>
      <c r="F297" s="611"/>
      <c r="G297" s="612"/>
      <c r="H297" s="564" t="s">
        <v>715</v>
      </c>
      <c r="I297" s="564" t="s">
        <v>532</v>
      </c>
      <c r="J297" s="605" t="s">
        <v>587</v>
      </c>
      <c r="K297" s="605" t="s">
        <v>533</v>
      </c>
    </row>
    <row r="298" spans="1:11" ht="10.5" customHeight="1">
      <c r="A298" s="291" t="s">
        <v>716</v>
      </c>
      <c r="B298" s="565"/>
      <c r="C298" s="576"/>
      <c r="D298" s="606"/>
      <c r="E298" s="618"/>
      <c r="F298" s="621" t="s">
        <v>716</v>
      </c>
      <c r="G298" s="604"/>
      <c r="H298" s="577"/>
      <c r="I298" s="577"/>
      <c r="J298" s="606"/>
      <c r="K298" s="606"/>
    </row>
    <row r="299" spans="1:11" ht="10.5" customHeight="1">
      <c r="A299" s="129" t="s">
        <v>789</v>
      </c>
      <c r="B299" s="194">
        <f>('rehabilitation costs'!$L$43+'rehabilitation costs'!$L$48)*inflators!$G$12*inflators!$E$15/100</f>
        <v>9.610772203389832</v>
      </c>
      <c r="C299" s="3">
        <v>4</v>
      </c>
      <c r="D299" s="12">
        <v>0</v>
      </c>
      <c r="E299" s="261">
        <f>B299*(1/(1+inflators!$B$9)^D299)</f>
        <v>9.610772203389832</v>
      </c>
      <c r="F299" s="278" t="s">
        <v>731</v>
      </c>
      <c r="G299" s="321"/>
      <c r="H299" s="121">
        <f>'rehabilitation costs'!$L$111*inflators!$E$15/inflators!$I$15+'rehabilitation costs'!$L$14*inflators!$E$15/100</f>
        <v>24.477416355051936</v>
      </c>
      <c r="I299" s="72"/>
      <c r="J299" s="6">
        <v>0</v>
      </c>
      <c r="K299" s="194">
        <f>H299*(1/(1+inflators!$B$9)^J299)</f>
        <v>24.477416355051936</v>
      </c>
    </row>
    <row r="300" spans="1:11" ht="12">
      <c r="A300" s="130" t="s">
        <v>594</v>
      </c>
      <c r="B300" s="187">
        <f>('rehabilitation costs'!$L$42+'rehabilitation costs'!$L$50+'rehabilitation costs'!$L$51)*inflators!$G$12*inflators!$E$15/100</f>
        <v>7.045887941888622</v>
      </c>
      <c r="C300" s="4">
        <v>4</v>
      </c>
      <c r="D300" s="201">
        <f aca="true" t="shared" si="0" ref="D300:D307">C299+D299</f>
        <v>4</v>
      </c>
      <c r="E300" s="262">
        <f>B300*(1/(1+inflators!$B$9)^D300)</f>
        <v>6.022854542252202</v>
      </c>
      <c r="F300" s="1" t="s">
        <v>391</v>
      </c>
      <c r="G300" s="185"/>
      <c r="H300" s="187">
        <f>('rehabilitation costs'!$L$14+'rehabilitation costs'!$L$111*inflators!$E$15/inflators!$I$15)*0.25</f>
        <v>6.102134088762984</v>
      </c>
      <c r="I300" s="184"/>
      <c r="J300" s="198">
        <v>15</v>
      </c>
      <c r="K300" s="210">
        <f>H300*(1/(1+inflators!$B$9)^J300)</f>
        <v>3.3882984502867</v>
      </c>
    </row>
    <row r="301" spans="1:11" ht="12">
      <c r="A301" s="130" t="s">
        <v>594</v>
      </c>
      <c r="B301" s="187">
        <f>('rehabilitation costs'!$L$42+'rehabilitation costs'!$L$50+'rehabilitation costs'!$L$51)*inflators!$G$12*inflators!$E$15/100</f>
        <v>7.045887941888622</v>
      </c>
      <c r="C301" s="4">
        <v>4</v>
      </c>
      <c r="D301" s="201">
        <f t="shared" si="0"/>
        <v>8</v>
      </c>
      <c r="E301" s="262">
        <f>B301*(1/(1+inflators!$B$9)^D301)</f>
        <v>5.148361304679603</v>
      </c>
      <c r="F301" s="1" t="s">
        <v>390</v>
      </c>
      <c r="G301" s="185"/>
      <c r="H301" s="187">
        <f>('rehabilitation costs'!$L$14+'rehabilitation costs'!$L$111*inflators!$E$15/inflators!$I$15)*0.5</f>
        <v>12.204268177525968</v>
      </c>
      <c r="I301" s="184"/>
      <c r="J301" s="198">
        <v>22</v>
      </c>
      <c r="K301" s="210">
        <f>H301*(1/(1+inflators!$B$9)^J301)</f>
        <v>5.149656697635617</v>
      </c>
    </row>
    <row r="302" spans="1:11" ht="12">
      <c r="A302" s="130" t="s">
        <v>594</v>
      </c>
      <c r="B302" s="187">
        <f>('rehabilitation costs'!$L$42+'rehabilitation costs'!$L$50+'rehabilitation costs'!$L$51)*inflators!$G$12*inflators!$E$15/100</f>
        <v>7.045887941888622</v>
      </c>
      <c r="C302" s="4">
        <v>4</v>
      </c>
      <c r="D302" s="201">
        <f t="shared" si="0"/>
        <v>12</v>
      </c>
      <c r="E302" s="262">
        <f>B302*(1/(1+inflators!$B$9)^D302)</f>
        <v>4.40084082017539</v>
      </c>
      <c r="F302" s="1" t="s">
        <v>390</v>
      </c>
      <c r="G302" s="185"/>
      <c r="H302" s="187">
        <f>('rehabilitation costs'!$L$14+'rehabilitation costs'!$L$111*inflators!$E$15/inflators!$I$15)*0.5</f>
        <v>12.204268177525968</v>
      </c>
      <c r="I302" s="184"/>
      <c r="J302" s="198">
        <v>27</v>
      </c>
      <c r="K302" s="210">
        <f>H302*(1/(1+inflators!$B$9)^J302)</f>
        <v>4.23264243029156</v>
      </c>
    </row>
    <row r="303" spans="1:11" ht="12">
      <c r="A303" s="130" t="s">
        <v>594</v>
      </c>
      <c r="B303" s="187">
        <f>('rehabilitation costs'!$L$42+'rehabilitation costs'!$L$50+'rehabilitation costs'!$L$51)*inflators!$G$12*inflators!$E$15/100</f>
        <v>7.045887941888622</v>
      </c>
      <c r="C303" s="4">
        <v>4</v>
      </c>
      <c r="D303" s="201">
        <f t="shared" si="0"/>
        <v>16</v>
      </c>
      <c r="E303" s="262">
        <f>B303*(1/(1+inflators!$B$9)^D303)</f>
        <v>3.761857177140619</v>
      </c>
      <c r="F303" s="1" t="s">
        <v>390</v>
      </c>
      <c r="G303" s="185"/>
      <c r="H303" s="187">
        <f>('rehabilitation costs'!$L$14+'rehabilitation costs'!$L$111*inflators!$E$15/inflators!$I$15)*0.5</f>
        <v>12.204268177525968</v>
      </c>
      <c r="I303" s="184"/>
      <c r="J303" s="5">
        <v>32</v>
      </c>
      <c r="K303" s="210">
        <f>H303*(1/(1+inflators!$B$9)^J303)</f>
        <v>3.4789235466764126</v>
      </c>
    </row>
    <row r="304" spans="1:11" ht="12">
      <c r="A304" s="130" t="s">
        <v>594</v>
      </c>
      <c r="B304" s="187">
        <f>('rehabilitation costs'!$L$42+'rehabilitation costs'!$L$50+'rehabilitation costs'!$L$51)*inflators!$G$12*inflators!$E$15/100</f>
        <v>7.045887941888622</v>
      </c>
      <c r="C304" s="4">
        <v>4</v>
      </c>
      <c r="D304" s="201">
        <f t="shared" si="0"/>
        <v>20</v>
      </c>
      <c r="E304" s="262">
        <f>B304*(1/(1+inflators!$B$9)^D304)</f>
        <v>3.2156512810750546</v>
      </c>
      <c r="F304" s="7"/>
      <c r="G304" s="185"/>
      <c r="H304" s="123"/>
      <c r="I304" s="184"/>
      <c r="J304" s="198"/>
      <c r="K304" s="210"/>
    </row>
    <row r="305" spans="1:11" ht="12">
      <c r="A305" s="130" t="s">
        <v>594</v>
      </c>
      <c r="B305" s="187">
        <f>('rehabilitation costs'!$L$42+'rehabilitation costs'!$L$50+'rehabilitation costs'!$L$51)*inflators!$G$12*inflators!$E$15/100</f>
        <v>7.045887941888622</v>
      </c>
      <c r="C305" s="4">
        <v>4</v>
      </c>
      <c r="D305" s="201">
        <f t="shared" si="0"/>
        <v>24</v>
      </c>
      <c r="E305" s="262">
        <f>B305*(1/(1+inflators!$B$9)^D305)</f>
        <v>2.7487521919530633</v>
      </c>
      <c r="F305" s="7"/>
      <c r="G305" s="185"/>
      <c r="H305" s="184"/>
      <c r="I305" s="184"/>
      <c r="J305" s="184"/>
      <c r="K305" s="130"/>
    </row>
    <row r="306" spans="1:11" ht="12">
      <c r="A306" s="130" t="s">
        <v>594</v>
      </c>
      <c r="B306" s="187">
        <f>('rehabilitation costs'!$L$42+'rehabilitation costs'!$L$50+'rehabilitation costs'!$L$51)*inflators!$G$12*inflators!$E$15/100</f>
        <v>7.045887941888622</v>
      </c>
      <c r="C306" s="4">
        <v>4</v>
      </c>
      <c r="D306" s="201">
        <f t="shared" si="0"/>
        <v>28</v>
      </c>
      <c r="E306" s="262">
        <f>B306*(1/(1+inflators!$B$9)^D306)</f>
        <v>2.349644893783623</v>
      </c>
      <c r="F306" s="7"/>
      <c r="G306" s="185"/>
      <c r="H306" s="184"/>
      <c r="I306" s="184"/>
      <c r="J306" s="184"/>
      <c r="K306" s="130"/>
    </row>
    <row r="307" spans="1:11" ht="12">
      <c r="A307" s="131" t="s">
        <v>594</v>
      </c>
      <c r="B307" s="188">
        <f>('rehabilitation costs'!$L$42+'rehabilitation costs'!$L$50+'rehabilitation costs'!$L$51)*inflators!$G$12*inflators!$E$15/100</f>
        <v>7.045887941888622</v>
      </c>
      <c r="C307" s="74">
        <v>4</v>
      </c>
      <c r="D307" s="202">
        <f t="shared" si="0"/>
        <v>32</v>
      </c>
      <c r="E307" s="263">
        <f>B307*(1/(1+inflators!$B$9)^D307)</f>
        <v>2.008486302637836</v>
      </c>
      <c r="F307" s="11"/>
      <c r="G307" s="132"/>
      <c r="H307" s="73"/>
      <c r="I307" s="73"/>
      <c r="J307" s="73"/>
      <c r="K307" s="131"/>
    </row>
    <row r="308" spans="3:11" ht="12">
      <c r="C308" s="201">
        <f>SUM(C299:C307)</f>
        <v>36</v>
      </c>
      <c r="D308" s="193" t="s">
        <v>455</v>
      </c>
      <c r="E308" s="260">
        <f>E299</f>
        <v>9.610772203389832</v>
      </c>
      <c r="J308" s="193" t="s">
        <v>455</v>
      </c>
      <c r="K308" s="187">
        <f>K299</f>
        <v>24.477416355051936</v>
      </c>
    </row>
    <row r="309" spans="4:11" ht="12">
      <c r="D309" s="146" t="s">
        <v>710</v>
      </c>
      <c r="E309" s="260">
        <f>SUM(E300:E306)</f>
        <v>27.647962211059554</v>
      </c>
      <c r="J309" s="146" t="s">
        <v>710</v>
      </c>
      <c r="K309" s="187">
        <f>SUM(K300:K304)</f>
        <v>16.24952112489029</v>
      </c>
    </row>
    <row r="310" spans="4:11" ht="12">
      <c r="D310" s="193" t="s">
        <v>588</v>
      </c>
      <c r="E310" s="260">
        <f>E307/4*1</f>
        <v>0.502121575659459</v>
      </c>
      <c r="J310" s="193" t="s">
        <v>588</v>
      </c>
      <c r="K310" s="187">
        <v>0</v>
      </c>
    </row>
    <row r="311" spans="1:11" ht="12">
      <c r="A311" s="13"/>
      <c r="B311" s="13"/>
      <c r="C311" s="13"/>
      <c r="D311" s="274" t="s">
        <v>711</v>
      </c>
      <c r="E311" s="275">
        <f>E308+E309-E310</f>
        <v>36.75661283878993</v>
      </c>
      <c r="J311" s="274" t="s">
        <v>711</v>
      </c>
      <c r="K311" s="211">
        <f>K308+K309-K310</f>
        <v>40.72693747994222</v>
      </c>
    </row>
    <row r="312" ht="12"/>
    <row r="313" spans="2:11" ht="12">
      <c r="B313" s="580" t="s">
        <v>628</v>
      </c>
      <c r="C313" s="581"/>
      <c r="D313" s="581"/>
      <c r="E313" s="582"/>
      <c r="H313" s="580" t="s">
        <v>628</v>
      </c>
      <c r="I313" s="581"/>
      <c r="J313" s="581"/>
      <c r="K313" s="582"/>
    </row>
    <row r="314" spans="1:11" ht="12">
      <c r="A314" s="256"/>
      <c r="B314" s="583" t="s">
        <v>48</v>
      </c>
      <c r="C314" s="584"/>
      <c r="D314" s="584"/>
      <c r="E314" s="585"/>
      <c r="H314" s="583" t="s">
        <v>545</v>
      </c>
      <c r="I314" s="584"/>
      <c r="J314" s="584"/>
      <c r="K314" s="585"/>
    </row>
    <row r="315" spans="1:11" ht="12" customHeight="1">
      <c r="A315" s="489" t="s">
        <v>389</v>
      </c>
      <c r="B315" s="564" t="s">
        <v>715</v>
      </c>
      <c r="C315" s="572" t="s">
        <v>532</v>
      </c>
      <c r="D315" s="605" t="s">
        <v>587</v>
      </c>
      <c r="E315" s="617" t="s">
        <v>533</v>
      </c>
      <c r="F315" s="567" t="s">
        <v>389</v>
      </c>
      <c r="G315" s="568"/>
      <c r="H315" s="564" t="s">
        <v>715</v>
      </c>
      <c r="I315" s="564" t="s">
        <v>532</v>
      </c>
      <c r="J315" s="605" t="s">
        <v>587</v>
      </c>
      <c r="K315" s="605" t="s">
        <v>533</v>
      </c>
    </row>
    <row r="316" spans="1:11" ht="12">
      <c r="A316" s="291" t="s">
        <v>716</v>
      </c>
      <c r="B316" s="565"/>
      <c r="C316" s="576"/>
      <c r="D316" s="606"/>
      <c r="E316" s="618"/>
      <c r="F316" s="619" t="s">
        <v>716</v>
      </c>
      <c r="G316" s="620"/>
      <c r="H316" s="577"/>
      <c r="I316" s="577"/>
      <c r="J316" s="606"/>
      <c r="K316" s="606"/>
    </row>
    <row r="317" spans="1:11" ht="12">
      <c r="A317" s="129" t="s">
        <v>789</v>
      </c>
      <c r="B317" s="194">
        <f>('rehabilitation costs'!$L$43+'rehabilitation costs'!$L$48)*inflators!$G$12*inflators!$E$15/100</f>
        <v>9.610772203389832</v>
      </c>
      <c r="C317" s="3">
        <v>4</v>
      </c>
      <c r="D317" s="12">
        <v>0</v>
      </c>
      <c r="E317" s="261">
        <f>B317*(1/(1+inflators!$B$9)^D317)</f>
        <v>9.610772203389832</v>
      </c>
      <c r="F317" s="278" t="s">
        <v>731</v>
      </c>
      <c r="G317" s="321"/>
      <c r="H317" s="121">
        <f>'rehabilitation costs'!$L$111*inflators!$E$15/inflators!$I$15+'rehabilitation costs'!$L$14*inflators!$E$15/100</f>
        <v>24.477416355051936</v>
      </c>
      <c r="I317" s="72"/>
      <c r="J317" s="6">
        <v>0</v>
      </c>
      <c r="K317" s="194">
        <f>H317*(1/(1+inflators!$B$9)^J317)</f>
        <v>24.477416355051936</v>
      </c>
    </row>
    <row r="318" spans="1:11" ht="12">
      <c r="A318" s="130" t="s">
        <v>594</v>
      </c>
      <c r="B318" s="187">
        <f>('rehabilitation costs'!$L$42+'rehabilitation costs'!$L$50+'rehabilitation costs'!$L$51)*inflators!$G$12*inflators!$E$15/100</f>
        <v>7.045887941888622</v>
      </c>
      <c r="C318" s="4">
        <v>4</v>
      </c>
      <c r="D318" s="201">
        <f>C317+D317</f>
        <v>4</v>
      </c>
      <c r="E318" s="262">
        <f>B318*(1/(1+inflators!$B$9)^D318)</f>
        <v>6.022854542252202</v>
      </c>
      <c r="F318" s="1" t="s">
        <v>391</v>
      </c>
      <c r="G318" s="185"/>
      <c r="H318" s="187">
        <f>('rehabilitation costs'!$L$14+'rehabilitation costs'!$L$111*inflators!$E$15/inflators!$I$15)*0.25</f>
        <v>6.102134088762984</v>
      </c>
      <c r="I318" s="184"/>
      <c r="J318" s="198">
        <v>15</v>
      </c>
      <c r="K318" s="210">
        <f>H318*(1/(1+inflators!$B$9)^J318)</f>
        <v>3.3882984502867</v>
      </c>
    </row>
    <row r="319" spans="1:11" ht="12">
      <c r="A319" s="130" t="s">
        <v>594</v>
      </c>
      <c r="B319" s="187">
        <f>('rehabilitation costs'!$L$42+'rehabilitation costs'!$L$50+'rehabilitation costs'!$L$51)*inflators!$G$12*inflators!$E$15/100</f>
        <v>7.045887941888622</v>
      </c>
      <c r="C319" s="4">
        <v>4</v>
      </c>
      <c r="D319" s="201">
        <f>C318+D318</f>
        <v>8</v>
      </c>
      <c r="E319" s="262">
        <f>B319*(1/(1+inflators!$B$9)^D319)</f>
        <v>5.148361304679603</v>
      </c>
      <c r="G319" s="185"/>
      <c r="H319" s="187"/>
      <c r="I319" s="184"/>
      <c r="J319" s="198"/>
      <c r="K319" s="210"/>
    </row>
    <row r="320" spans="1:11" ht="12">
      <c r="A320" s="130" t="s">
        <v>594</v>
      </c>
      <c r="B320" s="187">
        <f>('rehabilitation costs'!$L$42+'rehabilitation costs'!$L$50+'rehabilitation costs'!$L$51)*inflators!$G$12*inflators!$E$15/100</f>
        <v>7.045887941888622</v>
      </c>
      <c r="C320" s="4">
        <v>4</v>
      </c>
      <c r="D320" s="201">
        <f>C319+D319</f>
        <v>12</v>
      </c>
      <c r="E320" s="262">
        <f>B320*(1/(1+inflators!$B$9)^D320)</f>
        <v>4.40084082017539</v>
      </c>
      <c r="G320" s="185"/>
      <c r="H320" s="187"/>
      <c r="I320" s="184"/>
      <c r="J320" s="198"/>
      <c r="K320" s="210"/>
    </row>
    <row r="321" spans="1:11" ht="12">
      <c r="A321" s="131" t="s">
        <v>594</v>
      </c>
      <c r="B321" s="188">
        <f>('rehabilitation costs'!$L$42+'rehabilitation costs'!$L$50+'rehabilitation costs'!$L$51)*inflators!$G$12*inflators!$E$15/100</f>
        <v>7.045887941888622</v>
      </c>
      <c r="C321" s="74">
        <v>4</v>
      </c>
      <c r="D321" s="202">
        <f>C320+D320</f>
        <v>16</v>
      </c>
      <c r="E321" s="263">
        <f>B321*(1/(1+inflators!$B$9)^D321)</f>
        <v>3.761857177140619</v>
      </c>
      <c r="F321" s="11"/>
      <c r="G321" s="132"/>
      <c r="H321" s="188"/>
      <c r="I321" s="73"/>
      <c r="J321" s="61"/>
      <c r="K321" s="191"/>
    </row>
    <row r="322" spans="3:11" ht="12">
      <c r="C322" s="201">
        <f>SUM(C317:C321)</f>
        <v>20</v>
      </c>
      <c r="D322" s="193" t="s">
        <v>455</v>
      </c>
      <c r="E322" s="260">
        <f>E317</f>
        <v>9.610772203389832</v>
      </c>
      <c r="J322" s="193" t="s">
        <v>455</v>
      </c>
      <c r="K322" s="187">
        <f>K317</f>
        <v>24.477416355051936</v>
      </c>
    </row>
    <row r="323" spans="4:11" ht="12">
      <c r="D323" s="146" t="s">
        <v>710</v>
      </c>
      <c r="E323" s="260">
        <f>SUM(E318:E321)</f>
        <v>19.333913844247814</v>
      </c>
      <c r="J323" s="146" t="s">
        <v>710</v>
      </c>
      <c r="K323" s="187">
        <f>SUM(K318:K321)</f>
        <v>3.3882984502867</v>
      </c>
    </row>
    <row r="324" spans="4:11" ht="12">
      <c r="D324" s="193" t="s">
        <v>588</v>
      </c>
      <c r="E324" s="260">
        <v>0</v>
      </c>
      <c r="J324" s="193" t="s">
        <v>588</v>
      </c>
      <c r="K324" s="187">
        <v>0</v>
      </c>
    </row>
    <row r="325" spans="1:11" ht="12">
      <c r="A325" s="13"/>
      <c r="B325" s="13"/>
      <c r="C325" s="13"/>
      <c r="D325" s="274" t="s">
        <v>711</v>
      </c>
      <c r="E325" s="275">
        <f>E322+E323-E324</f>
        <v>28.944686047637646</v>
      </c>
      <c r="J325" s="274" t="s">
        <v>711</v>
      </c>
      <c r="K325" s="211">
        <f>K322+K323-K324</f>
        <v>27.865714805338637</v>
      </c>
    </row>
  </sheetData>
  <mergeCells count="259">
    <mergeCell ref="F316:G316"/>
    <mergeCell ref="F298:G298"/>
    <mergeCell ref="F315:G315"/>
    <mergeCell ref="J297:J298"/>
    <mergeCell ref="J315:J316"/>
    <mergeCell ref="H297:H298"/>
    <mergeCell ref="I297:I298"/>
    <mergeCell ref="H315:H316"/>
    <mergeCell ref="I315:I316"/>
    <mergeCell ref="B315:B316"/>
    <mergeCell ref="C315:C316"/>
    <mergeCell ref="D315:D316"/>
    <mergeCell ref="E315:E316"/>
    <mergeCell ref="B313:E313"/>
    <mergeCell ref="B314:E314"/>
    <mergeCell ref="H295:K295"/>
    <mergeCell ref="H296:K296"/>
    <mergeCell ref="B295:E295"/>
    <mergeCell ref="B296:E296"/>
    <mergeCell ref="B297:B298"/>
    <mergeCell ref="C297:C298"/>
    <mergeCell ref="D297:D298"/>
    <mergeCell ref="E297:E298"/>
    <mergeCell ref="F145:F146"/>
    <mergeCell ref="G145:G146"/>
    <mergeCell ref="H145:H146"/>
    <mergeCell ref="I145:I146"/>
    <mergeCell ref="B145:B146"/>
    <mergeCell ref="C145:C146"/>
    <mergeCell ref="D145:D146"/>
    <mergeCell ref="E145:E146"/>
    <mergeCell ref="B143:E143"/>
    <mergeCell ref="F143:I143"/>
    <mergeCell ref="B144:E144"/>
    <mergeCell ref="F144:I144"/>
    <mergeCell ref="F131:F132"/>
    <mergeCell ref="G131:G132"/>
    <mergeCell ref="H131:H132"/>
    <mergeCell ref="I131:I132"/>
    <mergeCell ref="B131:B132"/>
    <mergeCell ref="C131:C132"/>
    <mergeCell ref="D131:D132"/>
    <mergeCell ref="E131:E132"/>
    <mergeCell ref="B129:E129"/>
    <mergeCell ref="F129:I129"/>
    <mergeCell ref="B130:E130"/>
    <mergeCell ref="F130:I130"/>
    <mergeCell ref="F117:F118"/>
    <mergeCell ref="G117:G118"/>
    <mergeCell ref="H117:H118"/>
    <mergeCell ref="I117:I118"/>
    <mergeCell ref="B117:B118"/>
    <mergeCell ref="C117:C118"/>
    <mergeCell ref="D117:D118"/>
    <mergeCell ref="E117:E118"/>
    <mergeCell ref="B115:E115"/>
    <mergeCell ref="F115:I115"/>
    <mergeCell ref="B116:E116"/>
    <mergeCell ref="F116:I116"/>
    <mergeCell ref="F104:F105"/>
    <mergeCell ref="G104:G105"/>
    <mergeCell ref="H104:H105"/>
    <mergeCell ref="I104:I105"/>
    <mergeCell ref="B104:B105"/>
    <mergeCell ref="C104:C105"/>
    <mergeCell ref="D104:D105"/>
    <mergeCell ref="E104:E105"/>
    <mergeCell ref="B102:E102"/>
    <mergeCell ref="F102:I102"/>
    <mergeCell ref="B103:E103"/>
    <mergeCell ref="F103:I103"/>
    <mergeCell ref="F89:F90"/>
    <mergeCell ref="G89:G90"/>
    <mergeCell ref="H89:H90"/>
    <mergeCell ref="I89:I90"/>
    <mergeCell ref="B89:B90"/>
    <mergeCell ref="C89:C90"/>
    <mergeCell ref="D89:D90"/>
    <mergeCell ref="E89:E90"/>
    <mergeCell ref="B87:E87"/>
    <mergeCell ref="F87:I87"/>
    <mergeCell ref="B88:E88"/>
    <mergeCell ref="F88:I88"/>
    <mergeCell ref="F75:F76"/>
    <mergeCell ref="G75:G76"/>
    <mergeCell ref="H75:H76"/>
    <mergeCell ref="I75:I76"/>
    <mergeCell ref="B75:B76"/>
    <mergeCell ref="C75:C76"/>
    <mergeCell ref="D75:D76"/>
    <mergeCell ref="E75:E76"/>
    <mergeCell ref="B73:E73"/>
    <mergeCell ref="F73:I73"/>
    <mergeCell ref="B74:E74"/>
    <mergeCell ref="F74:I74"/>
    <mergeCell ref="F61:F62"/>
    <mergeCell ref="G61:G62"/>
    <mergeCell ref="H61:H62"/>
    <mergeCell ref="I61:I62"/>
    <mergeCell ref="B61:B62"/>
    <mergeCell ref="C61:C62"/>
    <mergeCell ref="D61:D62"/>
    <mergeCell ref="E61:E62"/>
    <mergeCell ref="B59:E59"/>
    <mergeCell ref="F59:I59"/>
    <mergeCell ref="B60:E60"/>
    <mergeCell ref="F60:I60"/>
    <mergeCell ref="F48:F49"/>
    <mergeCell ref="G48:G49"/>
    <mergeCell ref="H48:H49"/>
    <mergeCell ref="I48:I49"/>
    <mergeCell ref="B46:E46"/>
    <mergeCell ref="B47:E47"/>
    <mergeCell ref="F46:I46"/>
    <mergeCell ref="F47:I47"/>
    <mergeCell ref="C48:C49"/>
    <mergeCell ref="E48:E49"/>
    <mergeCell ref="D48:D49"/>
    <mergeCell ref="B48:B49"/>
    <mergeCell ref="R2:Y2"/>
    <mergeCell ref="R4:U4"/>
    <mergeCell ref="V4:Y4"/>
    <mergeCell ref="B4:E4"/>
    <mergeCell ref="B2:I2"/>
    <mergeCell ref="F4:I4"/>
    <mergeCell ref="J2:Q2"/>
    <mergeCell ref="J4:M4"/>
    <mergeCell ref="N4:Q4"/>
    <mergeCell ref="B158:E158"/>
    <mergeCell ref="F158:I158"/>
    <mergeCell ref="B159:E159"/>
    <mergeCell ref="F159:I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B171:E171"/>
    <mergeCell ref="F171:I171"/>
    <mergeCell ref="B172:E172"/>
    <mergeCell ref="F172:I172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85:E185"/>
    <mergeCell ref="F185:I185"/>
    <mergeCell ref="B186:E186"/>
    <mergeCell ref="F186:I186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B198:E198"/>
    <mergeCell ref="F198:I198"/>
    <mergeCell ref="B199:E199"/>
    <mergeCell ref="F199:I199"/>
    <mergeCell ref="B200:B201"/>
    <mergeCell ref="C200:C201"/>
    <mergeCell ref="D200:D201"/>
    <mergeCell ref="E200:E201"/>
    <mergeCell ref="K242:L242"/>
    <mergeCell ref="F200:F201"/>
    <mergeCell ref="G200:G201"/>
    <mergeCell ref="H200:H201"/>
    <mergeCell ref="I200:I201"/>
    <mergeCell ref="B214:L214"/>
    <mergeCell ref="B213:L213"/>
    <mergeCell ref="I229:J229"/>
    <mergeCell ref="K229:L229"/>
    <mergeCell ref="D215:D216"/>
    <mergeCell ref="B241:L241"/>
    <mergeCell ref="B242:B243"/>
    <mergeCell ref="D229:D230"/>
    <mergeCell ref="B215:B216"/>
    <mergeCell ref="C215:C216"/>
    <mergeCell ref="E215:E216"/>
    <mergeCell ref="D242:D243"/>
    <mergeCell ref="E242:E243"/>
    <mergeCell ref="F242:F243"/>
    <mergeCell ref="I242:J242"/>
    <mergeCell ref="B229:B230"/>
    <mergeCell ref="C229:C230"/>
    <mergeCell ref="G229:H229"/>
    <mergeCell ref="E229:E230"/>
    <mergeCell ref="C242:C243"/>
    <mergeCell ref="F229:F230"/>
    <mergeCell ref="B240:L240"/>
    <mergeCell ref="F215:F216"/>
    <mergeCell ref="I215:J215"/>
    <mergeCell ref="K215:L215"/>
    <mergeCell ref="G215:H215"/>
    <mergeCell ref="G242:H242"/>
    <mergeCell ref="B227:L227"/>
    <mergeCell ref="B228:L228"/>
    <mergeCell ref="B254:L254"/>
    <mergeCell ref="B255:L255"/>
    <mergeCell ref="B256:B257"/>
    <mergeCell ref="C256:C257"/>
    <mergeCell ref="D256:D257"/>
    <mergeCell ref="E256:E257"/>
    <mergeCell ref="F256:F257"/>
    <mergeCell ref="G256:H256"/>
    <mergeCell ref="I256:J256"/>
    <mergeCell ref="K256:L256"/>
    <mergeCell ref="K283:L283"/>
    <mergeCell ref="F270:F271"/>
    <mergeCell ref="G270:H270"/>
    <mergeCell ref="I270:J270"/>
    <mergeCell ref="K270:L270"/>
    <mergeCell ref="B283:B284"/>
    <mergeCell ref="C283:C284"/>
    <mergeCell ref="D283:D284"/>
    <mergeCell ref="E283:E284"/>
    <mergeCell ref="M242:N244"/>
    <mergeCell ref="M215:N217"/>
    <mergeCell ref="B281:L281"/>
    <mergeCell ref="B282:L282"/>
    <mergeCell ref="B268:L268"/>
    <mergeCell ref="B269:L269"/>
    <mergeCell ref="B270:B271"/>
    <mergeCell ref="C270:C271"/>
    <mergeCell ref="D270:D271"/>
    <mergeCell ref="E270:E271"/>
    <mergeCell ref="M218:N220"/>
    <mergeCell ref="M221:N223"/>
    <mergeCell ref="M232:N234"/>
    <mergeCell ref="M235:N237"/>
    <mergeCell ref="M229:N231"/>
    <mergeCell ref="M254:N256"/>
    <mergeCell ref="M257:N259"/>
    <mergeCell ref="M260:N262"/>
    <mergeCell ref="M245:N247"/>
    <mergeCell ref="M248:N250"/>
    <mergeCell ref="M268:N270"/>
    <mergeCell ref="M271:N273"/>
    <mergeCell ref="M274:N276"/>
    <mergeCell ref="M281:N283"/>
    <mergeCell ref="K315:K316"/>
    <mergeCell ref="F295:G297"/>
    <mergeCell ref="M284:N286"/>
    <mergeCell ref="M287:N289"/>
    <mergeCell ref="H313:K313"/>
    <mergeCell ref="H314:K314"/>
    <mergeCell ref="K297:K298"/>
    <mergeCell ref="F283:F284"/>
    <mergeCell ref="G283:H283"/>
    <mergeCell ref="I283:J283"/>
  </mergeCells>
  <printOptions/>
  <pageMargins left="0.75" right="0.75" top="1" bottom="1" header="0.5" footer="0.5"/>
  <pageSetup fitToHeight="0" horizontalDpi="600" verticalDpi="600" orientation="landscape" scale="65" r:id="rId3"/>
  <headerFooter alignWithMargins="0">
    <oddHeader>&amp;L&amp;"Arial,Bold"&amp;12Appendix D. Lifecycle Cost Analyses of Existing  Street Pavements</oddHeader>
    <oddFooter>&amp;C&amp;11Page D-&amp;P</oddFooter>
  </headerFooter>
  <rowBreaks count="5" manualBreakCount="5">
    <brk id="100" max="13" man="1"/>
    <brk id="156" max="13" man="1"/>
    <brk id="211" max="13" man="1"/>
    <brk id="252" max="13" man="1"/>
    <brk id="293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8"/>
  <sheetViews>
    <sheetView zoomScale="75" zoomScaleNormal="75" workbookViewId="0" topLeftCell="A1">
      <pane xSplit="1" ySplit="1" topLeftCell="H260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K287" sqref="K287"/>
    </sheetView>
  </sheetViews>
  <sheetFormatPr defaultColWidth="9.00390625" defaultRowHeight="12"/>
  <cols>
    <col min="1" max="1" width="42.125" style="1" customWidth="1"/>
    <col min="2" max="13" width="13.875" style="1" customWidth="1"/>
    <col min="14" max="17" width="15.00390625" style="1" customWidth="1"/>
    <col min="18" max="18" width="13.125" style="1" customWidth="1"/>
    <col min="19" max="19" width="15.25390625" style="1" customWidth="1"/>
    <col min="20" max="20" width="13.25390625" style="1" customWidth="1"/>
    <col min="21" max="21" width="20.00390625" style="1" customWidth="1"/>
    <col min="22" max="16384" width="10.875" style="1" customWidth="1"/>
  </cols>
  <sheetData>
    <row r="1" spans="1:17" s="75" customFormat="1" ht="12">
      <c r="A1" s="54" t="s">
        <v>369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151" customFormat="1" ht="12.75" customHeight="1">
      <c r="A2" s="293" t="s">
        <v>310</v>
      </c>
      <c r="B2" s="569" t="s">
        <v>269</v>
      </c>
      <c r="C2" s="570"/>
      <c r="D2" s="571"/>
      <c r="E2" s="569" t="s">
        <v>270</v>
      </c>
      <c r="F2" s="570"/>
      <c r="G2" s="571"/>
      <c r="H2" s="569" t="s">
        <v>266</v>
      </c>
      <c r="I2" s="570"/>
      <c r="J2" s="571"/>
      <c r="K2" s="569" t="s">
        <v>267</v>
      </c>
      <c r="L2" s="627"/>
      <c r="M2" s="628"/>
      <c r="N2" s="569" t="s">
        <v>624</v>
      </c>
      <c r="O2" s="570"/>
      <c r="P2" s="571"/>
      <c r="Q2" s="328" t="s">
        <v>433</v>
      </c>
    </row>
    <row r="3" spans="1:17" s="143" customFormat="1" ht="48">
      <c r="A3" s="294"/>
      <c r="B3" s="142" t="s">
        <v>173</v>
      </c>
      <c r="C3" s="142" t="s">
        <v>175</v>
      </c>
      <c r="D3" s="142" t="s">
        <v>174</v>
      </c>
      <c r="E3" s="142" t="s">
        <v>173</v>
      </c>
      <c r="F3" s="142" t="s">
        <v>175</v>
      </c>
      <c r="G3" s="142" t="s">
        <v>174</v>
      </c>
      <c r="H3" s="142" t="s">
        <v>443</v>
      </c>
      <c r="I3" s="142" t="s">
        <v>444</v>
      </c>
      <c r="J3" s="142" t="s">
        <v>453</v>
      </c>
      <c r="K3" s="142" t="s">
        <v>443</v>
      </c>
      <c r="L3" s="142" t="s">
        <v>444</v>
      </c>
      <c r="M3" s="142" t="s">
        <v>453</v>
      </c>
      <c r="N3" s="142" t="s">
        <v>673</v>
      </c>
      <c r="O3" s="142" t="s">
        <v>674</v>
      </c>
      <c r="P3" s="142" t="s">
        <v>675</v>
      </c>
      <c r="Q3" s="142" t="s">
        <v>223</v>
      </c>
    </row>
    <row r="4" spans="1:17" ht="12">
      <c r="A4" s="2">
        <v>0</v>
      </c>
      <c r="B4" s="3" t="s">
        <v>445</v>
      </c>
      <c r="C4" s="3" t="s">
        <v>445</v>
      </c>
      <c r="D4" s="3" t="s">
        <v>445</v>
      </c>
      <c r="E4" s="3" t="s">
        <v>445</v>
      </c>
      <c r="F4" s="3" t="s">
        <v>445</v>
      </c>
      <c r="G4" s="3" t="s">
        <v>445</v>
      </c>
      <c r="H4" s="87" t="s">
        <v>445</v>
      </c>
      <c r="I4" s="87" t="s">
        <v>445</v>
      </c>
      <c r="J4" s="87" t="s">
        <v>445</v>
      </c>
      <c r="K4" s="87" t="s">
        <v>445</v>
      </c>
      <c r="L4" s="87" t="s">
        <v>445</v>
      </c>
      <c r="M4" s="87" t="s">
        <v>445</v>
      </c>
      <c r="N4" s="87" t="s">
        <v>445</v>
      </c>
      <c r="O4" s="87" t="s">
        <v>445</v>
      </c>
      <c r="P4" s="87" t="s">
        <v>445</v>
      </c>
      <c r="Q4" s="4" t="s">
        <v>445</v>
      </c>
    </row>
    <row r="5" spans="1:17" ht="12">
      <c r="A5" s="2">
        <v>1</v>
      </c>
      <c r="B5" s="89"/>
      <c r="C5" s="89"/>
      <c r="D5" s="89"/>
      <c r="E5" s="324"/>
      <c r="F5" s="324"/>
      <c r="G5" s="324"/>
      <c r="H5" s="88"/>
      <c r="I5" s="88"/>
      <c r="J5" s="88"/>
      <c r="K5" s="310"/>
      <c r="L5" s="310"/>
      <c r="M5" s="310"/>
      <c r="N5" s="306" t="s">
        <v>156</v>
      </c>
      <c r="O5" s="306" t="s">
        <v>156</v>
      </c>
      <c r="P5" s="306" t="s">
        <v>156</v>
      </c>
      <c r="Q5" s="308"/>
    </row>
    <row r="6" spans="1:17" ht="12">
      <c r="A6" s="2">
        <v>2</v>
      </c>
      <c r="B6" s="89"/>
      <c r="C6" s="89"/>
      <c r="D6" s="89"/>
      <c r="E6" s="324"/>
      <c r="F6" s="324"/>
      <c r="G6" s="324"/>
      <c r="H6" s="92" t="s">
        <v>176</v>
      </c>
      <c r="I6" s="88"/>
      <c r="J6" s="88"/>
      <c r="K6" s="310"/>
      <c r="L6" s="310"/>
      <c r="M6" s="310"/>
      <c r="N6" s="306" t="s">
        <v>156</v>
      </c>
      <c r="O6" s="306" t="s">
        <v>156</v>
      </c>
      <c r="P6" s="306" t="s">
        <v>156</v>
      </c>
      <c r="Q6" s="308"/>
    </row>
    <row r="7" spans="1:17" ht="12">
      <c r="A7" s="2">
        <v>3</v>
      </c>
      <c r="B7" s="4" t="s">
        <v>176</v>
      </c>
      <c r="C7" s="89"/>
      <c r="D7" s="89"/>
      <c r="E7" s="324"/>
      <c r="F7" s="324"/>
      <c r="G7" s="324"/>
      <c r="H7" s="88"/>
      <c r="I7" s="88"/>
      <c r="J7" s="88"/>
      <c r="K7" s="310"/>
      <c r="L7" s="310"/>
      <c r="M7" s="310"/>
      <c r="N7" s="306" t="s">
        <v>156</v>
      </c>
      <c r="O7" s="306" t="s">
        <v>156</v>
      </c>
      <c r="P7" s="306" t="s">
        <v>156</v>
      </c>
      <c r="Q7" s="308"/>
    </row>
    <row r="8" spans="1:17" ht="12">
      <c r="A8" s="2">
        <v>4</v>
      </c>
      <c r="B8" s="89"/>
      <c r="C8" s="89"/>
      <c r="D8" s="89"/>
      <c r="E8" s="324"/>
      <c r="F8" s="324"/>
      <c r="G8" s="324"/>
      <c r="H8" s="92" t="s">
        <v>271</v>
      </c>
      <c r="I8" s="88"/>
      <c r="J8" s="88"/>
      <c r="K8" s="310"/>
      <c r="L8" s="310"/>
      <c r="M8" s="310"/>
      <c r="N8" s="306" t="s">
        <v>156</v>
      </c>
      <c r="O8" s="306" t="s">
        <v>156</v>
      </c>
      <c r="P8" s="306" t="s">
        <v>156</v>
      </c>
      <c r="Q8" s="308"/>
    </row>
    <row r="9" spans="1:17" ht="12">
      <c r="A9" s="2">
        <v>5</v>
      </c>
      <c r="B9" s="89"/>
      <c r="C9" s="4" t="s">
        <v>176</v>
      </c>
      <c r="D9" s="4" t="s">
        <v>176</v>
      </c>
      <c r="E9" s="324"/>
      <c r="F9" s="324"/>
      <c r="G9" s="324"/>
      <c r="H9" s="92" t="s">
        <v>176</v>
      </c>
      <c r="I9" s="92" t="s">
        <v>442</v>
      </c>
      <c r="J9" s="92" t="s">
        <v>442</v>
      </c>
      <c r="K9" s="310"/>
      <c r="L9" s="310"/>
      <c r="M9" s="310"/>
      <c r="N9" s="306" t="s">
        <v>156</v>
      </c>
      <c r="O9" s="306" t="s">
        <v>156</v>
      </c>
      <c r="P9" s="306" t="s">
        <v>156</v>
      </c>
      <c r="Q9" s="92" t="s">
        <v>265</v>
      </c>
    </row>
    <row r="10" spans="1:17" ht="12">
      <c r="A10" s="2">
        <v>6</v>
      </c>
      <c r="B10" s="4" t="s">
        <v>361</v>
      </c>
      <c r="C10" s="89"/>
      <c r="D10" s="89"/>
      <c r="E10" s="324"/>
      <c r="F10" s="324"/>
      <c r="G10" s="324"/>
      <c r="H10" s="88"/>
      <c r="I10" s="88"/>
      <c r="J10" s="88"/>
      <c r="K10" s="92" t="s">
        <v>517</v>
      </c>
      <c r="L10" s="310"/>
      <c r="M10" s="310"/>
      <c r="N10" s="306" t="s">
        <v>156</v>
      </c>
      <c r="O10" s="306" t="s">
        <v>156</v>
      </c>
      <c r="P10" s="306" t="s">
        <v>156</v>
      </c>
      <c r="Q10" s="308"/>
    </row>
    <row r="11" spans="1:17" ht="12">
      <c r="A11" s="2">
        <v>7</v>
      </c>
      <c r="B11" s="89"/>
      <c r="C11" s="89"/>
      <c r="D11" s="89"/>
      <c r="E11" s="92" t="s">
        <v>351</v>
      </c>
      <c r="F11" s="92" t="s">
        <v>517</v>
      </c>
      <c r="G11" s="92" t="s">
        <v>517</v>
      </c>
      <c r="H11" s="88"/>
      <c r="I11" s="88"/>
      <c r="J11" s="92" t="s">
        <v>283</v>
      </c>
      <c r="K11" s="310"/>
      <c r="L11" s="310"/>
      <c r="M11" s="310"/>
      <c r="N11" s="306" t="s">
        <v>156</v>
      </c>
      <c r="O11" s="306" t="s">
        <v>156</v>
      </c>
      <c r="P11" s="306" t="s">
        <v>156</v>
      </c>
      <c r="Q11" s="308"/>
    </row>
    <row r="12" spans="1:17" ht="12">
      <c r="A12" s="2">
        <v>8</v>
      </c>
      <c r="B12" s="89"/>
      <c r="C12" s="327"/>
      <c r="D12" s="89"/>
      <c r="E12" s="324"/>
      <c r="F12" s="325"/>
      <c r="G12" s="324"/>
      <c r="H12" s="92" t="s">
        <v>451</v>
      </c>
      <c r="I12" s="88"/>
      <c r="J12" s="88"/>
      <c r="K12" s="92" t="s">
        <v>770</v>
      </c>
      <c r="L12" s="310"/>
      <c r="M12" s="310"/>
      <c r="N12" s="306" t="s">
        <v>156</v>
      </c>
      <c r="O12" s="306" t="s">
        <v>156</v>
      </c>
      <c r="P12" s="306" t="s">
        <v>156</v>
      </c>
      <c r="Q12" s="308"/>
    </row>
    <row r="13" spans="1:17" ht="12">
      <c r="A13" s="2">
        <v>9</v>
      </c>
      <c r="B13" s="89"/>
      <c r="C13" s="89"/>
      <c r="D13" s="89"/>
      <c r="E13" s="324"/>
      <c r="F13" s="324"/>
      <c r="G13" s="324"/>
      <c r="H13" s="88"/>
      <c r="I13" s="88"/>
      <c r="J13" s="88"/>
      <c r="K13" s="310"/>
      <c r="L13" s="310"/>
      <c r="M13" s="310"/>
      <c r="N13" s="306" t="s">
        <v>156</v>
      </c>
      <c r="O13" s="306" t="s">
        <v>156</v>
      </c>
      <c r="P13" s="306" t="s">
        <v>156</v>
      </c>
      <c r="Q13" s="308"/>
    </row>
    <row r="14" spans="1:17" ht="12">
      <c r="A14" s="2">
        <v>10</v>
      </c>
      <c r="B14" s="92" t="s">
        <v>362</v>
      </c>
      <c r="C14" s="4" t="s">
        <v>361</v>
      </c>
      <c r="D14" s="4" t="s">
        <v>361</v>
      </c>
      <c r="E14" s="324"/>
      <c r="F14" s="92" t="s">
        <v>770</v>
      </c>
      <c r="G14" s="324"/>
      <c r="H14" s="88"/>
      <c r="I14" s="92" t="s">
        <v>458</v>
      </c>
      <c r="J14" s="88"/>
      <c r="K14" s="310"/>
      <c r="L14" s="310"/>
      <c r="M14" s="310"/>
      <c r="N14" s="306" t="s">
        <v>156</v>
      </c>
      <c r="O14" s="306" t="s">
        <v>156</v>
      </c>
      <c r="P14" s="306" t="s">
        <v>156</v>
      </c>
      <c r="Q14" s="92" t="s">
        <v>265</v>
      </c>
    </row>
    <row r="15" spans="1:17" ht="12">
      <c r="A15" s="2">
        <v>11</v>
      </c>
      <c r="B15" s="89"/>
      <c r="C15" s="89"/>
      <c r="D15" s="89"/>
      <c r="E15" s="324"/>
      <c r="F15" s="324"/>
      <c r="G15" s="324"/>
      <c r="H15" s="92" t="s">
        <v>176</v>
      </c>
      <c r="I15" s="88"/>
      <c r="J15" s="88"/>
      <c r="K15" s="310"/>
      <c r="L15" s="310"/>
      <c r="M15" s="310"/>
      <c r="N15" s="306" t="s">
        <v>156</v>
      </c>
      <c r="O15" s="306" t="s">
        <v>156</v>
      </c>
      <c r="P15" s="306" t="s">
        <v>156</v>
      </c>
      <c r="Q15" s="308"/>
    </row>
    <row r="16" spans="1:17" ht="12">
      <c r="A16" s="2">
        <v>12</v>
      </c>
      <c r="B16" s="89"/>
      <c r="C16" s="89"/>
      <c r="D16" s="89"/>
      <c r="E16" s="324"/>
      <c r="F16" s="324"/>
      <c r="G16" s="324"/>
      <c r="H16" s="88"/>
      <c r="I16" s="88"/>
      <c r="J16" s="88"/>
      <c r="K16" s="92" t="s">
        <v>517</v>
      </c>
      <c r="L16" s="310"/>
      <c r="M16" s="310"/>
      <c r="N16" s="306" t="s">
        <v>156</v>
      </c>
      <c r="O16" s="306" t="s">
        <v>156</v>
      </c>
      <c r="P16" s="306" t="s">
        <v>156</v>
      </c>
      <c r="Q16" s="308"/>
    </row>
    <row r="17" spans="1:17" ht="12">
      <c r="A17" s="2">
        <v>13</v>
      </c>
      <c r="B17" s="4" t="s">
        <v>176</v>
      </c>
      <c r="C17" s="89"/>
      <c r="D17" s="89"/>
      <c r="E17" s="324"/>
      <c r="F17" s="324"/>
      <c r="G17" s="324"/>
      <c r="H17" s="92" t="s">
        <v>271</v>
      </c>
      <c r="I17" s="88"/>
      <c r="J17" s="88"/>
      <c r="K17" s="310"/>
      <c r="L17" s="310"/>
      <c r="M17" s="310"/>
      <c r="N17" s="306" t="s">
        <v>156</v>
      </c>
      <c r="O17" s="306" t="s">
        <v>156</v>
      </c>
      <c r="P17" s="306" t="s">
        <v>156</v>
      </c>
      <c r="Q17" s="308"/>
    </row>
    <row r="18" spans="1:17" ht="12">
      <c r="A18" s="2">
        <v>14</v>
      </c>
      <c r="B18" s="89"/>
      <c r="C18" s="89"/>
      <c r="D18" s="89"/>
      <c r="E18" s="92" t="s">
        <v>351</v>
      </c>
      <c r="F18" s="92" t="s">
        <v>517</v>
      </c>
      <c r="G18" s="92" t="s">
        <v>517</v>
      </c>
      <c r="H18" s="92" t="s">
        <v>176</v>
      </c>
      <c r="I18" s="88"/>
      <c r="J18" s="92" t="s">
        <v>446</v>
      </c>
      <c r="K18" s="310"/>
      <c r="L18" s="310"/>
      <c r="M18" s="310"/>
      <c r="N18" s="306" t="s">
        <v>156</v>
      </c>
      <c r="O18" s="306" t="s">
        <v>156</v>
      </c>
      <c r="P18" s="306" t="s">
        <v>156</v>
      </c>
      <c r="Q18" s="308"/>
    </row>
    <row r="19" spans="1:17" ht="12">
      <c r="A19" s="2">
        <v>15</v>
      </c>
      <c r="B19" s="89"/>
      <c r="C19" s="92" t="s">
        <v>362</v>
      </c>
      <c r="D19" s="4" t="s">
        <v>363</v>
      </c>
      <c r="E19" s="324"/>
      <c r="F19" s="324"/>
      <c r="G19" s="324"/>
      <c r="H19" s="88"/>
      <c r="I19" s="92" t="s">
        <v>459</v>
      </c>
      <c r="J19" s="88"/>
      <c r="K19" s="310"/>
      <c r="L19" s="92" t="s">
        <v>770</v>
      </c>
      <c r="M19" s="310"/>
      <c r="N19" s="306" t="s">
        <v>156</v>
      </c>
      <c r="O19" s="306" t="s">
        <v>156</v>
      </c>
      <c r="P19" s="306" t="s">
        <v>156</v>
      </c>
      <c r="Q19" s="92" t="s">
        <v>265</v>
      </c>
    </row>
    <row r="20" spans="1:17" ht="12">
      <c r="A20" s="2">
        <v>16</v>
      </c>
      <c r="B20" s="4" t="s">
        <v>363</v>
      </c>
      <c r="C20" s="89"/>
      <c r="D20" s="89"/>
      <c r="E20" s="324"/>
      <c r="F20" s="324"/>
      <c r="G20" s="324"/>
      <c r="H20" s="88"/>
      <c r="I20" s="88"/>
      <c r="J20" s="88"/>
      <c r="K20" s="92" t="s">
        <v>770</v>
      </c>
      <c r="L20" s="310"/>
      <c r="M20" s="310"/>
      <c r="N20" s="306" t="s">
        <v>156</v>
      </c>
      <c r="O20" s="306" t="s">
        <v>156</v>
      </c>
      <c r="P20" s="306" t="s">
        <v>156</v>
      </c>
      <c r="Q20" s="308"/>
    </row>
    <row r="21" spans="1:17" ht="12">
      <c r="A21" s="2">
        <v>17</v>
      </c>
      <c r="B21" s="89"/>
      <c r="C21" s="89"/>
      <c r="D21" s="89"/>
      <c r="E21" s="324"/>
      <c r="F21" s="324"/>
      <c r="G21" s="324"/>
      <c r="H21" s="92" t="s">
        <v>451</v>
      </c>
      <c r="I21" s="88"/>
      <c r="J21" s="92" t="s">
        <v>442</v>
      </c>
      <c r="K21" s="310"/>
      <c r="L21" s="310"/>
      <c r="M21" s="310"/>
      <c r="N21" s="306" t="s">
        <v>156</v>
      </c>
      <c r="O21" s="306" t="s">
        <v>156</v>
      </c>
      <c r="P21" s="306" t="s">
        <v>156</v>
      </c>
      <c r="Q21" s="308"/>
    </row>
    <row r="22" spans="1:17" ht="12">
      <c r="A22" s="2">
        <v>18</v>
      </c>
      <c r="B22" s="89"/>
      <c r="C22" s="89"/>
      <c r="D22" s="89"/>
      <c r="E22" s="324"/>
      <c r="F22" s="324"/>
      <c r="G22" s="324"/>
      <c r="H22" s="88"/>
      <c r="I22" s="88"/>
      <c r="J22" s="88"/>
      <c r="K22" s="92" t="s">
        <v>517</v>
      </c>
      <c r="L22" s="310"/>
      <c r="M22" s="310"/>
      <c r="N22" s="306" t="s">
        <v>156</v>
      </c>
      <c r="O22" s="306" t="s">
        <v>156</v>
      </c>
      <c r="P22" s="306" t="s">
        <v>156</v>
      </c>
      <c r="Q22" s="308"/>
    </row>
    <row r="23" spans="1:17" ht="12">
      <c r="A23" s="2">
        <v>19</v>
      </c>
      <c r="B23" s="89"/>
      <c r="C23" s="89"/>
      <c r="D23" s="89"/>
      <c r="E23" s="324"/>
      <c r="F23" s="324"/>
      <c r="G23" s="324"/>
      <c r="H23" s="88"/>
      <c r="I23" s="88"/>
      <c r="J23" s="88"/>
      <c r="K23" s="310"/>
      <c r="L23" s="310"/>
      <c r="M23" s="310"/>
      <c r="N23" s="306" t="s">
        <v>156</v>
      </c>
      <c r="O23" s="306" t="s">
        <v>156</v>
      </c>
      <c r="P23" s="306" t="s">
        <v>156</v>
      </c>
      <c r="Q23" s="308"/>
    </row>
    <row r="24" spans="1:17" ht="12">
      <c r="A24" s="2">
        <v>20</v>
      </c>
      <c r="B24" s="4" t="s">
        <v>362</v>
      </c>
      <c r="C24" s="4" t="s">
        <v>176</v>
      </c>
      <c r="D24" s="323" t="s">
        <v>521</v>
      </c>
      <c r="E24" s="92" t="s">
        <v>717</v>
      </c>
      <c r="F24" s="92" t="s">
        <v>717</v>
      </c>
      <c r="G24" s="92" t="s">
        <v>717</v>
      </c>
      <c r="H24" s="92" t="s">
        <v>176</v>
      </c>
      <c r="I24" s="92" t="s">
        <v>446</v>
      </c>
      <c r="J24" s="92" t="s">
        <v>284</v>
      </c>
      <c r="K24" s="310"/>
      <c r="L24" s="310"/>
      <c r="M24" s="92" t="s">
        <v>288</v>
      </c>
      <c r="N24" s="306" t="s">
        <v>156</v>
      </c>
      <c r="O24" s="306" t="s">
        <v>156</v>
      </c>
      <c r="P24" s="306" t="s">
        <v>156</v>
      </c>
      <c r="Q24" s="92" t="s">
        <v>265</v>
      </c>
    </row>
    <row r="25" spans="1:17" ht="12">
      <c r="A25" s="2">
        <v>21</v>
      </c>
      <c r="B25" s="89"/>
      <c r="C25" s="89"/>
      <c r="D25" s="89"/>
      <c r="E25" s="324"/>
      <c r="F25" s="324"/>
      <c r="G25" s="324"/>
      <c r="H25" s="88"/>
      <c r="I25" s="88"/>
      <c r="J25" s="88"/>
      <c r="K25" s="310"/>
      <c r="L25" s="310"/>
      <c r="M25" s="310"/>
      <c r="N25" s="306" t="s">
        <v>156</v>
      </c>
      <c r="O25" s="306" t="s">
        <v>156</v>
      </c>
      <c r="P25" s="306" t="s">
        <v>156</v>
      </c>
      <c r="Q25" s="308"/>
    </row>
    <row r="26" spans="1:17" ht="12">
      <c r="A26" s="2">
        <v>22</v>
      </c>
      <c r="B26" s="89"/>
      <c r="C26" s="89"/>
      <c r="D26" s="89"/>
      <c r="E26" s="324"/>
      <c r="F26" s="324"/>
      <c r="G26" s="324"/>
      <c r="H26" s="92" t="s">
        <v>271</v>
      </c>
      <c r="I26" s="88"/>
      <c r="J26" s="88"/>
      <c r="K26" s="310"/>
      <c r="L26" s="310"/>
      <c r="M26" s="310"/>
      <c r="N26" s="306" t="s">
        <v>156</v>
      </c>
      <c r="O26" s="306" t="s">
        <v>156</v>
      </c>
      <c r="P26" s="306" t="s">
        <v>156</v>
      </c>
      <c r="Q26" s="308"/>
    </row>
    <row r="27" spans="1:17" ht="12">
      <c r="A27" s="2">
        <v>23</v>
      </c>
      <c r="B27" s="4" t="s">
        <v>176</v>
      </c>
      <c r="C27" s="327"/>
      <c r="D27" s="89"/>
      <c r="E27" s="324"/>
      <c r="F27" s="325"/>
      <c r="G27" s="324"/>
      <c r="H27" s="92" t="s">
        <v>176</v>
      </c>
      <c r="I27" s="88"/>
      <c r="J27" s="88"/>
      <c r="K27" s="310"/>
      <c r="L27" s="310"/>
      <c r="M27" s="310"/>
      <c r="N27" s="306" t="s">
        <v>156</v>
      </c>
      <c r="O27" s="306" t="s">
        <v>156</v>
      </c>
      <c r="P27" s="306" t="s">
        <v>156</v>
      </c>
      <c r="Q27" s="308"/>
    </row>
    <row r="28" spans="1:17" ht="12">
      <c r="A28" s="2">
        <v>24</v>
      </c>
      <c r="B28" s="89"/>
      <c r="C28" s="89"/>
      <c r="D28" s="89"/>
      <c r="E28" s="324"/>
      <c r="F28" s="324"/>
      <c r="G28" s="324"/>
      <c r="H28" s="88"/>
      <c r="I28" s="88"/>
      <c r="J28" s="88"/>
      <c r="K28" s="92" t="s">
        <v>351</v>
      </c>
      <c r="L28" s="310"/>
      <c r="M28" s="310"/>
      <c r="N28" s="306" t="s">
        <v>156</v>
      </c>
      <c r="O28" s="306" t="s">
        <v>156</v>
      </c>
      <c r="P28" s="306" t="s">
        <v>156</v>
      </c>
      <c r="Q28" s="308"/>
    </row>
    <row r="29" spans="1:17" ht="12">
      <c r="A29" s="2">
        <v>25</v>
      </c>
      <c r="B29" s="89"/>
      <c r="C29" s="4" t="s">
        <v>363</v>
      </c>
      <c r="D29" s="4" t="s">
        <v>176</v>
      </c>
      <c r="E29" s="324"/>
      <c r="F29" s="324"/>
      <c r="G29" s="324"/>
      <c r="H29" s="88"/>
      <c r="I29" s="92" t="s">
        <v>442</v>
      </c>
      <c r="J29" s="88"/>
      <c r="K29" s="310"/>
      <c r="L29" s="310"/>
      <c r="M29" s="310"/>
      <c r="N29" s="306" t="s">
        <v>156</v>
      </c>
      <c r="O29" s="306" t="s">
        <v>156</v>
      </c>
      <c r="P29" s="306" t="s">
        <v>156</v>
      </c>
      <c r="Q29" s="92" t="s">
        <v>265</v>
      </c>
    </row>
    <row r="30" spans="1:17" ht="12">
      <c r="A30" s="2">
        <v>26</v>
      </c>
      <c r="B30" s="4" t="s">
        <v>520</v>
      </c>
      <c r="C30" s="89"/>
      <c r="D30" s="89"/>
      <c r="E30" s="324"/>
      <c r="F30" s="324"/>
      <c r="G30" s="324"/>
      <c r="H30" s="92" t="s">
        <v>451</v>
      </c>
      <c r="I30" s="88"/>
      <c r="J30" s="92" t="s">
        <v>442</v>
      </c>
      <c r="K30" s="310"/>
      <c r="L30" s="310"/>
      <c r="M30" s="310"/>
      <c r="N30" s="306" t="s">
        <v>156</v>
      </c>
      <c r="O30" s="306" t="s">
        <v>156</v>
      </c>
      <c r="P30" s="306" t="s">
        <v>156</v>
      </c>
      <c r="Q30" s="308"/>
    </row>
    <row r="31" spans="1:17" ht="12">
      <c r="A31" s="2">
        <v>27</v>
      </c>
      <c r="B31" s="89"/>
      <c r="C31" s="89"/>
      <c r="D31" s="89"/>
      <c r="E31" s="92" t="s">
        <v>351</v>
      </c>
      <c r="F31" s="92" t="s">
        <v>517</v>
      </c>
      <c r="G31" s="92" t="s">
        <v>517</v>
      </c>
      <c r="H31" s="88"/>
      <c r="I31" s="88"/>
      <c r="J31" s="88"/>
      <c r="K31" s="310"/>
      <c r="L31" s="310"/>
      <c r="M31" s="310"/>
      <c r="N31" s="306" t="s">
        <v>156</v>
      </c>
      <c r="O31" s="306" t="s">
        <v>156</v>
      </c>
      <c r="P31" s="306" t="s">
        <v>156</v>
      </c>
      <c r="Q31" s="308"/>
    </row>
    <row r="32" spans="1:17" ht="12">
      <c r="A32" s="2">
        <v>28</v>
      </c>
      <c r="B32" s="89"/>
      <c r="C32" s="89"/>
      <c r="D32" s="89"/>
      <c r="E32" s="324"/>
      <c r="F32" s="324"/>
      <c r="G32" s="324"/>
      <c r="H32" s="88"/>
      <c r="I32" s="88"/>
      <c r="J32" s="92" t="s">
        <v>457</v>
      </c>
      <c r="K32" s="310"/>
      <c r="L32" s="310"/>
      <c r="M32" s="310"/>
      <c r="N32" s="306" t="s">
        <v>156</v>
      </c>
      <c r="O32" s="306" t="s">
        <v>156</v>
      </c>
      <c r="P32" s="306" t="s">
        <v>156</v>
      </c>
      <c r="Q32" s="308"/>
    </row>
    <row r="33" spans="1:17" ht="12">
      <c r="A33" s="2">
        <v>29</v>
      </c>
      <c r="B33" s="89"/>
      <c r="C33" s="89"/>
      <c r="D33" s="89"/>
      <c r="E33" s="324"/>
      <c r="F33" s="324"/>
      <c r="G33" s="324"/>
      <c r="H33" s="92" t="s">
        <v>176</v>
      </c>
      <c r="I33" s="88"/>
      <c r="J33" s="88"/>
      <c r="K33" s="310"/>
      <c r="L33" s="310"/>
      <c r="M33" s="310"/>
      <c r="N33" s="306" t="s">
        <v>156</v>
      </c>
      <c r="O33" s="306" t="s">
        <v>156</v>
      </c>
      <c r="P33" s="306" t="s">
        <v>156</v>
      </c>
      <c r="Q33" s="308"/>
    </row>
    <row r="34" spans="1:17" ht="12">
      <c r="A34" s="2">
        <v>30</v>
      </c>
      <c r="B34" s="4" t="s">
        <v>362</v>
      </c>
      <c r="C34" s="4" t="s">
        <v>362</v>
      </c>
      <c r="D34" s="4" t="s">
        <v>363</v>
      </c>
      <c r="E34" s="324"/>
      <c r="F34" s="92" t="s">
        <v>770</v>
      </c>
      <c r="G34" s="324"/>
      <c r="H34" s="88"/>
      <c r="I34" s="92" t="s">
        <v>446</v>
      </c>
      <c r="J34" s="88"/>
      <c r="K34" s="92" t="s">
        <v>517</v>
      </c>
      <c r="L34" s="92" t="s">
        <v>770</v>
      </c>
      <c r="M34" s="310"/>
      <c r="N34" s="306" t="s">
        <v>156</v>
      </c>
      <c r="O34" s="306" t="s">
        <v>156</v>
      </c>
      <c r="P34" s="306" t="s">
        <v>156</v>
      </c>
      <c r="Q34" s="92" t="s">
        <v>265</v>
      </c>
    </row>
    <row r="35" spans="1:17" ht="12">
      <c r="A35" s="2">
        <v>31</v>
      </c>
      <c r="B35" s="89"/>
      <c r="C35" s="89"/>
      <c r="D35" s="89"/>
      <c r="E35" s="324"/>
      <c r="F35" s="324"/>
      <c r="G35" s="324"/>
      <c r="H35" s="92" t="s">
        <v>271</v>
      </c>
      <c r="I35" s="88"/>
      <c r="J35" s="88"/>
      <c r="K35" s="310"/>
      <c r="L35" s="310"/>
      <c r="M35" s="310"/>
      <c r="N35" s="306" t="s">
        <v>156</v>
      </c>
      <c r="O35" s="306" t="s">
        <v>156</v>
      </c>
      <c r="P35" s="306" t="s">
        <v>156</v>
      </c>
      <c r="Q35" s="308"/>
    </row>
    <row r="36" spans="1:17" ht="12">
      <c r="A36" s="2">
        <v>32</v>
      </c>
      <c r="B36" s="89"/>
      <c r="C36" s="89"/>
      <c r="D36" s="89"/>
      <c r="E36" s="324"/>
      <c r="F36" s="324"/>
      <c r="G36" s="324"/>
      <c r="H36" s="92" t="s">
        <v>176</v>
      </c>
      <c r="I36" s="88"/>
      <c r="J36" s="88"/>
      <c r="K36" s="92" t="s">
        <v>770</v>
      </c>
      <c r="L36" s="310"/>
      <c r="M36" s="310"/>
      <c r="N36" s="306" t="s">
        <v>156</v>
      </c>
      <c r="O36" s="306" t="s">
        <v>156</v>
      </c>
      <c r="P36" s="306" t="s">
        <v>156</v>
      </c>
      <c r="Q36" s="308"/>
    </row>
    <row r="37" spans="1:17" ht="12">
      <c r="A37" s="2">
        <v>33</v>
      </c>
      <c r="B37" s="89"/>
      <c r="C37" s="89"/>
      <c r="D37" s="89"/>
      <c r="E37" s="324"/>
      <c r="F37" s="324"/>
      <c r="G37" s="324"/>
      <c r="H37" s="88"/>
      <c r="I37" s="88"/>
      <c r="J37" s="88"/>
      <c r="K37" s="310"/>
      <c r="L37" s="310"/>
      <c r="M37" s="310"/>
      <c r="N37" s="306" t="s">
        <v>156</v>
      </c>
      <c r="O37" s="306" t="s">
        <v>156</v>
      </c>
      <c r="P37" s="306" t="s">
        <v>156</v>
      </c>
      <c r="Q37" s="308"/>
    </row>
    <row r="38" spans="1:17" ht="12">
      <c r="A38" s="2">
        <v>34</v>
      </c>
      <c r="B38" s="89"/>
      <c r="C38" s="89"/>
      <c r="D38" s="89"/>
      <c r="E38" s="92" t="s">
        <v>351</v>
      </c>
      <c r="F38" s="92" t="s">
        <v>517</v>
      </c>
      <c r="G38" s="92" t="s">
        <v>517</v>
      </c>
      <c r="H38" s="88"/>
      <c r="I38" s="88"/>
      <c r="J38" s="88"/>
      <c r="K38" s="310"/>
      <c r="L38" s="310"/>
      <c r="M38" s="310"/>
      <c r="N38" s="306" t="s">
        <v>156</v>
      </c>
      <c r="O38" s="306" t="s">
        <v>156</v>
      </c>
      <c r="P38" s="306" t="s">
        <v>156</v>
      </c>
      <c r="Q38" s="308"/>
    </row>
    <row r="39" spans="1:17" s="11" customFormat="1" ht="12">
      <c r="A39" s="10">
        <v>35</v>
      </c>
      <c r="B39" s="91"/>
      <c r="C39" s="91"/>
      <c r="D39" s="91"/>
      <c r="E39" s="326"/>
      <c r="F39" s="326"/>
      <c r="G39" s="326"/>
      <c r="H39" s="90"/>
      <c r="I39" s="90"/>
      <c r="J39" s="90"/>
      <c r="K39" s="311"/>
      <c r="L39" s="311"/>
      <c r="M39" s="311"/>
      <c r="N39" s="307" t="s">
        <v>156</v>
      </c>
      <c r="O39" s="307" t="s">
        <v>156</v>
      </c>
      <c r="P39" s="307" t="s">
        <v>156</v>
      </c>
      <c r="Q39" s="309"/>
    </row>
    <row r="40" spans="1:17" s="190" customFormat="1" ht="12">
      <c r="A40" s="150" t="s">
        <v>456</v>
      </c>
      <c r="B40" s="146"/>
      <c r="C40" s="146"/>
      <c r="D40" s="146"/>
      <c r="E40" s="146"/>
      <c r="F40" s="146"/>
      <c r="G40" s="146"/>
      <c r="H40" s="289">
        <f>D73</f>
        <v>9.9</v>
      </c>
      <c r="I40" s="289">
        <f>G73</f>
        <v>11.29</v>
      </c>
      <c r="J40" s="288">
        <f>J73</f>
        <v>8.588875888758889</v>
      </c>
      <c r="K40" s="289">
        <f>D92</f>
        <v>13.5</v>
      </c>
      <c r="L40" s="288">
        <f>G92</f>
        <v>14.15</v>
      </c>
      <c r="M40" s="289">
        <f>J92</f>
        <v>12.155193519351934</v>
      </c>
      <c r="N40" s="289">
        <f>D179</f>
        <v>34.757994</v>
      </c>
      <c r="O40" s="288">
        <f>G179</f>
        <v>42.49547826086957</v>
      </c>
      <c r="P40" s="289">
        <f>J179</f>
        <v>34.789254</v>
      </c>
      <c r="Q40" s="289">
        <f>D196</f>
        <v>27.092000000000002</v>
      </c>
    </row>
    <row r="41" spans="1:17" s="190" customFormat="1" ht="12">
      <c r="A41" s="150" t="s">
        <v>710</v>
      </c>
      <c r="B41" s="146"/>
      <c r="C41" s="146"/>
      <c r="D41" s="146"/>
      <c r="E41" s="146"/>
      <c r="F41" s="146"/>
      <c r="G41" s="146"/>
      <c r="H41" s="289">
        <f>D74</f>
        <v>13.742508055393387</v>
      </c>
      <c r="I41" s="289">
        <f>G74</f>
        <v>8.252733962038509</v>
      </c>
      <c r="J41" s="288">
        <f>J74</f>
        <v>9.665629019722271</v>
      </c>
      <c r="K41" s="289">
        <f>D93</f>
        <v>2.21505638654155</v>
      </c>
      <c r="L41" s="288">
        <f>G93</f>
        <v>0.7772248536180256</v>
      </c>
      <c r="M41" s="289">
        <f>J93</f>
        <v>3.3115781879403383</v>
      </c>
      <c r="N41" s="289">
        <f>D180</f>
        <v>6.224306577096798</v>
      </c>
      <c r="O41" s="288">
        <f>G180</f>
        <v>6.224306577096798</v>
      </c>
      <c r="P41" s="289">
        <f>J180</f>
        <v>6.224306577096798</v>
      </c>
      <c r="Q41" s="289">
        <f>D197</f>
        <v>5.027015559164865</v>
      </c>
    </row>
    <row r="42" spans="1:17" s="296" customFormat="1" ht="12">
      <c r="A42" s="295" t="s">
        <v>588</v>
      </c>
      <c r="B42" s="215"/>
      <c r="C42" s="215"/>
      <c r="D42" s="215"/>
      <c r="E42" s="215"/>
      <c r="F42" s="215"/>
      <c r="G42" s="215"/>
      <c r="H42" s="297">
        <f>D75</f>
        <v>0</v>
      </c>
      <c r="I42" s="297">
        <f>G75</f>
        <v>0.7707966699335509</v>
      </c>
      <c r="J42" s="298">
        <f>J75</f>
        <v>1.5197318765582255</v>
      </c>
      <c r="K42" s="297">
        <f>D94</f>
        <v>0</v>
      </c>
      <c r="L42" s="298">
        <f>G94</f>
        <v>0</v>
      </c>
      <c r="M42" s="297">
        <f>J94</f>
        <v>0</v>
      </c>
      <c r="N42" s="297">
        <f>D181</f>
        <v>0</v>
      </c>
      <c r="O42" s="298">
        <f>G181</f>
        <v>0</v>
      </c>
      <c r="P42" s="297">
        <f>J181</f>
        <v>0</v>
      </c>
      <c r="Q42" s="297">
        <f>D198</f>
        <v>0</v>
      </c>
    </row>
    <row r="43" spans="1:17" s="190" customFormat="1" ht="12">
      <c r="A43" s="150" t="s">
        <v>454</v>
      </c>
      <c r="B43" s="146"/>
      <c r="C43" s="146"/>
      <c r="D43" s="146"/>
      <c r="E43" s="146"/>
      <c r="F43" s="146"/>
      <c r="G43" s="146"/>
      <c r="H43" s="289">
        <f>D76</f>
        <v>23.642508055393385</v>
      </c>
      <c r="I43" s="289">
        <f>G76</f>
        <v>18.77193729210496</v>
      </c>
      <c r="J43" s="288">
        <f>J76</f>
        <v>16.734773031922934</v>
      </c>
      <c r="K43" s="289">
        <f>D95</f>
        <v>15.71505638654155</v>
      </c>
      <c r="L43" s="288">
        <f>G95</f>
        <v>14.927224853618027</v>
      </c>
      <c r="M43" s="289">
        <f>J95</f>
        <v>15.466771707292272</v>
      </c>
      <c r="N43" s="289">
        <f>D182</f>
        <v>40.982300577096794</v>
      </c>
      <c r="O43" s="288">
        <f>G182</f>
        <v>48.719784837966365</v>
      </c>
      <c r="P43" s="289">
        <f>J182</f>
        <v>41.0135605770968</v>
      </c>
      <c r="Q43" s="289">
        <f>D199</f>
        <v>32.119015559164865</v>
      </c>
    </row>
    <row r="44" spans="1:13" s="329" customFormat="1" ht="12">
      <c r="A44" s="485" t="s">
        <v>452</v>
      </c>
      <c r="D44" s="330"/>
      <c r="F44" s="331"/>
      <c r="G44" s="330"/>
      <c r="J44" s="330"/>
      <c r="M44" s="330"/>
    </row>
    <row r="45" spans="1:12" s="332" customFormat="1" ht="12">
      <c r="A45" s="332" t="s">
        <v>30</v>
      </c>
      <c r="B45" s="629" t="s">
        <v>443</v>
      </c>
      <c r="C45" s="630"/>
      <c r="D45" s="631"/>
      <c r="E45" s="629" t="s">
        <v>444</v>
      </c>
      <c r="F45" s="630"/>
      <c r="G45" s="631"/>
      <c r="H45" s="629" t="s">
        <v>453</v>
      </c>
      <c r="I45" s="630"/>
      <c r="J45" s="631"/>
      <c r="L45" s="333"/>
    </row>
    <row r="46" spans="1:12" s="332" customFormat="1" ht="10.5" customHeight="1">
      <c r="A46" s="334"/>
      <c r="B46" s="624" t="s">
        <v>715</v>
      </c>
      <c r="C46" s="624" t="s">
        <v>587</v>
      </c>
      <c r="D46" s="624" t="s">
        <v>533</v>
      </c>
      <c r="E46" s="624" t="s">
        <v>715</v>
      </c>
      <c r="F46" s="624" t="s">
        <v>587</v>
      </c>
      <c r="G46" s="624" t="s">
        <v>533</v>
      </c>
      <c r="H46" s="624" t="s">
        <v>715</v>
      </c>
      <c r="I46" s="624" t="s">
        <v>587</v>
      </c>
      <c r="J46" s="624" t="s">
        <v>533</v>
      </c>
      <c r="L46" s="333"/>
    </row>
    <row r="47" spans="1:12" s="332" customFormat="1" ht="10.5" customHeight="1">
      <c r="A47" s="335" t="s">
        <v>716</v>
      </c>
      <c r="B47" s="626"/>
      <c r="C47" s="626"/>
      <c r="D47" s="625"/>
      <c r="E47" s="626"/>
      <c r="F47" s="626"/>
      <c r="G47" s="625"/>
      <c r="H47" s="626"/>
      <c r="I47" s="626"/>
      <c r="J47" s="625"/>
      <c r="L47" s="333"/>
    </row>
    <row r="48" spans="1:12" s="332" customFormat="1" ht="12">
      <c r="A48" s="336" t="s">
        <v>445</v>
      </c>
      <c r="B48" s="337">
        <f>'new pavement costs'!L39</f>
        <v>9.9</v>
      </c>
      <c r="C48" s="338">
        <v>0</v>
      </c>
      <c r="D48" s="339">
        <f>B48*(1/(1+inflators!$B$9)^C48)</f>
        <v>9.9</v>
      </c>
      <c r="E48" s="337">
        <f>'new pavement costs'!L42+'new pavement costs'!L43</f>
        <v>11.29</v>
      </c>
      <c r="F48" s="338">
        <v>0</v>
      </c>
      <c r="G48" s="339">
        <f>E48*(1/(1+inflators!$B$9)^F48)</f>
        <v>11.29</v>
      </c>
      <c r="H48" s="337">
        <f>'new pavement costs'!L32+'new pavement costs'!L33+'new pavement costs'!L34+'new pavement costs'!L35+'new pavement costs'!L36</f>
        <v>8.588875888758889</v>
      </c>
      <c r="I48" s="338">
        <v>0</v>
      </c>
      <c r="J48" s="339">
        <f>H48*(1/(1+inflators!$B$9)^I48)</f>
        <v>8.588875888758889</v>
      </c>
      <c r="L48" s="333"/>
    </row>
    <row r="49" spans="1:12" s="332" customFormat="1" ht="12">
      <c r="A49" s="340" t="s">
        <v>176</v>
      </c>
      <c r="B49" s="341">
        <f>'maintenance costs'!$L$70+'maintenance costs'!$L$72</f>
        <v>0.8999999999999999</v>
      </c>
      <c r="C49" s="342">
        <v>2</v>
      </c>
      <c r="D49" s="343">
        <f>B49*(1/(1+inflators!$B$9)^C49)</f>
        <v>0.8321005917159762</v>
      </c>
      <c r="E49" s="341"/>
      <c r="F49" s="342"/>
      <c r="G49" s="343"/>
      <c r="H49" s="341"/>
      <c r="I49" s="342"/>
      <c r="J49" s="343"/>
      <c r="L49" s="333"/>
    </row>
    <row r="50" spans="1:12" s="332" customFormat="1" ht="12">
      <c r="A50" s="340" t="s">
        <v>176</v>
      </c>
      <c r="B50" s="341">
        <f>'maintenance costs'!$L$70+'maintenance costs'!$L$72</f>
        <v>0.8999999999999999</v>
      </c>
      <c r="C50" s="342">
        <v>5</v>
      </c>
      <c r="D50" s="343">
        <f>B50*(1/(1+inflators!$B$9)^C50)</f>
        <v>0.7397343960834163</v>
      </c>
      <c r="E50" s="341"/>
      <c r="F50" s="342"/>
      <c r="G50" s="343"/>
      <c r="H50" s="341"/>
      <c r="I50" s="342"/>
      <c r="J50" s="343"/>
      <c r="L50" s="333"/>
    </row>
    <row r="51" spans="1:12" s="332" customFormat="1" ht="12">
      <c r="A51" s="340" t="s">
        <v>176</v>
      </c>
      <c r="B51" s="341">
        <f>'maintenance costs'!$L$70+'maintenance costs'!$L$72</f>
        <v>0.8999999999999999</v>
      </c>
      <c r="C51" s="342">
        <v>11</v>
      </c>
      <c r="D51" s="343">
        <f>B51*(1/(1+inflators!$B$9)^C51)</f>
        <v>0.5846228384069411</v>
      </c>
      <c r="E51" s="341"/>
      <c r="F51" s="342"/>
      <c r="G51" s="343"/>
      <c r="H51" s="341"/>
      <c r="I51" s="342"/>
      <c r="J51" s="343"/>
      <c r="L51" s="333"/>
    </row>
    <row r="52" spans="1:12" s="332" customFormat="1" ht="12">
      <c r="A52" s="340" t="s">
        <v>176</v>
      </c>
      <c r="B52" s="341">
        <f>'maintenance costs'!$L$70+'maintenance costs'!$L$72</f>
        <v>0.8999999999999999</v>
      </c>
      <c r="C52" s="342">
        <v>14</v>
      </c>
      <c r="D52" s="343">
        <f>B52*(1/(1+inflators!$B$9)^C52)</f>
        <v>0.5197275745396251</v>
      </c>
      <c r="E52" s="341"/>
      <c r="F52" s="342"/>
      <c r="G52" s="343"/>
      <c r="H52" s="341"/>
      <c r="I52" s="342"/>
      <c r="J52" s="343"/>
      <c r="L52" s="333"/>
    </row>
    <row r="53" spans="1:12" s="332" customFormat="1" ht="12">
      <c r="A53" s="340" t="s">
        <v>176</v>
      </c>
      <c r="B53" s="341">
        <f>'maintenance costs'!$L$70+'maintenance costs'!$L$72</f>
        <v>0.8999999999999999</v>
      </c>
      <c r="C53" s="342">
        <v>24</v>
      </c>
      <c r="D53" s="343">
        <f>B53*(1/(1+inflators!$B$9)^C53)</f>
        <v>0.35110932690971014</v>
      </c>
      <c r="E53" s="341"/>
      <c r="F53" s="342"/>
      <c r="G53" s="343"/>
      <c r="H53" s="341"/>
      <c r="I53" s="342"/>
      <c r="J53" s="343"/>
      <c r="L53" s="333"/>
    </row>
    <row r="54" spans="1:12" s="332" customFormat="1" ht="12">
      <c r="A54" s="340" t="s">
        <v>176</v>
      </c>
      <c r="B54" s="341">
        <f>'maintenance costs'!$L$70+'maintenance costs'!$L$72</f>
        <v>0.8999999999999999</v>
      </c>
      <c r="C54" s="342">
        <v>27</v>
      </c>
      <c r="D54" s="343">
        <f>B54*(1/(1+inflators!$B$9)^C54)</f>
        <v>0.31213491311812813</v>
      </c>
      <c r="E54" s="341"/>
      <c r="F54" s="342"/>
      <c r="G54" s="343"/>
      <c r="H54" s="341"/>
      <c r="I54" s="342"/>
      <c r="J54" s="343"/>
      <c r="L54" s="333"/>
    </row>
    <row r="55" spans="1:12" s="332" customFormat="1" ht="12">
      <c r="A55" s="340" t="s">
        <v>176</v>
      </c>
      <c r="B55" s="341">
        <f>'maintenance costs'!$L$70+'maintenance costs'!$L$72</f>
        <v>0.8999999999999999</v>
      </c>
      <c r="C55" s="342">
        <v>29</v>
      </c>
      <c r="D55" s="343">
        <f>B55*(1/(1+inflators!$B$9)^C55)</f>
        <v>0.28858627322312136</v>
      </c>
      <c r="E55" s="341"/>
      <c r="F55" s="342"/>
      <c r="G55" s="343"/>
      <c r="H55" s="341"/>
      <c r="I55" s="342"/>
      <c r="J55" s="343"/>
      <c r="L55" s="333"/>
    </row>
    <row r="56" spans="1:12" s="332" customFormat="1" ht="12">
      <c r="A56" s="340" t="s">
        <v>176</v>
      </c>
      <c r="B56" s="341">
        <f>'maintenance costs'!$L$70+'maintenance costs'!$L$72</f>
        <v>0.8999999999999999</v>
      </c>
      <c r="C56" s="342">
        <v>32</v>
      </c>
      <c r="D56" s="343">
        <f>B56*(1/(1+inflators!$B$9)^C56)</f>
        <v>0.2565521460577646</v>
      </c>
      <c r="E56" s="341"/>
      <c r="F56" s="342"/>
      <c r="G56" s="343"/>
      <c r="H56" s="341"/>
      <c r="I56" s="342"/>
      <c r="J56" s="343"/>
      <c r="L56" s="333"/>
    </row>
    <row r="57" spans="1:12" s="332" customFormat="1" ht="12">
      <c r="A57" s="340" t="s">
        <v>271</v>
      </c>
      <c r="B57" s="341">
        <f>'maintenance costs'!$L$71</f>
        <v>1.08</v>
      </c>
      <c r="C57" s="342">
        <v>4</v>
      </c>
      <c r="D57" s="343">
        <f>B57*(1/(1+inflators!$B$9)^C57)</f>
        <v>0.9231885263121038</v>
      </c>
      <c r="E57" s="341"/>
      <c r="F57" s="342"/>
      <c r="G57" s="343"/>
      <c r="H57" s="341"/>
      <c r="I57" s="342"/>
      <c r="J57" s="343"/>
      <c r="L57" s="333"/>
    </row>
    <row r="58" spans="1:12" s="332" customFormat="1" ht="12">
      <c r="A58" s="340" t="s">
        <v>271</v>
      </c>
      <c r="B58" s="341">
        <f>'maintenance costs'!$L$71</f>
        <v>1.08</v>
      </c>
      <c r="C58" s="342">
        <v>13</v>
      </c>
      <c r="D58" s="343">
        <f>B58*(1/(1+inflators!$B$9)^C58)</f>
        <v>0.6486200130254522</v>
      </c>
      <c r="E58" s="341"/>
      <c r="F58" s="342"/>
      <c r="G58" s="343"/>
      <c r="H58" s="341"/>
      <c r="I58" s="342"/>
      <c r="J58" s="343"/>
      <c r="L58" s="333"/>
    </row>
    <row r="59" spans="1:12" s="332" customFormat="1" ht="12">
      <c r="A59" s="340" t="s">
        <v>271</v>
      </c>
      <c r="B59" s="341">
        <f>'maintenance costs'!$L$71</f>
        <v>1.08</v>
      </c>
      <c r="C59" s="342">
        <v>22</v>
      </c>
      <c r="D59" s="343">
        <f>B59*(1/(1+inflators!$B$9)^C59)</f>
        <v>0.45571181758265106</v>
      </c>
      <c r="E59" s="341"/>
      <c r="F59" s="342"/>
      <c r="G59" s="343"/>
      <c r="H59" s="341"/>
      <c r="I59" s="342"/>
      <c r="J59" s="343"/>
      <c r="L59" s="333"/>
    </row>
    <row r="60" spans="1:12" s="332" customFormat="1" ht="12">
      <c r="A60" s="340" t="s">
        <v>271</v>
      </c>
      <c r="B60" s="341">
        <f>'maintenance costs'!$L$71</f>
        <v>1.08</v>
      </c>
      <c r="C60" s="342">
        <v>31</v>
      </c>
      <c r="D60" s="343">
        <f>B60*(1/(1+inflators!$B$9)^C60)</f>
        <v>0.3201770782800903</v>
      </c>
      <c r="E60" s="341"/>
      <c r="F60" s="342"/>
      <c r="G60" s="343"/>
      <c r="H60" s="341"/>
      <c r="I60" s="342"/>
      <c r="J60" s="343"/>
      <c r="L60" s="333"/>
    </row>
    <row r="61" spans="1:12" s="332" customFormat="1" ht="12">
      <c r="A61" s="340" t="s">
        <v>451</v>
      </c>
      <c r="B61" s="341">
        <f>'rehabilitation costs'!$L$82+'maintenance costs'!$L$72</f>
        <v>4.68</v>
      </c>
      <c r="C61" s="342">
        <v>8</v>
      </c>
      <c r="D61" s="343">
        <f>B61*(1/(1+inflators!$B$9)^C61)</f>
        <v>3.4196301594092837</v>
      </c>
      <c r="E61" s="341"/>
      <c r="F61" s="342"/>
      <c r="G61" s="343"/>
      <c r="H61" s="341"/>
      <c r="I61" s="342"/>
      <c r="J61" s="343"/>
      <c r="L61" s="333"/>
    </row>
    <row r="62" spans="1:12" s="332" customFormat="1" ht="12">
      <c r="A62" s="340" t="s">
        <v>451</v>
      </c>
      <c r="B62" s="341">
        <f>'rehabilitation costs'!$L$82+'maintenance costs'!$L$72</f>
        <v>4.68</v>
      </c>
      <c r="C62" s="342">
        <v>17</v>
      </c>
      <c r="D62" s="343">
        <f>B62*(1/(1+inflators!$B$9)^C62)</f>
        <v>2.4025867905862848</v>
      </c>
      <c r="E62" s="341"/>
      <c r="F62" s="342"/>
      <c r="G62" s="343"/>
      <c r="H62" s="341"/>
      <c r="I62" s="342"/>
      <c r="J62" s="343"/>
      <c r="L62" s="333"/>
    </row>
    <row r="63" spans="1:12" s="332" customFormat="1" ht="12">
      <c r="A63" s="340" t="s">
        <v>451</v>
      </c>
      <c r="B63" s="341">
        <f>'rehabilitation costs'!$L$82+'maintenance costs'!$L$72</f>
        <v>4.68</v>
      </c>
      <c r="C63" s="342">
        <v>26</v>
      </c>
      <c r="D63" s="343">
        <f>B63*(1/(1+inflators!$B$9)^C63)</f>
        <v>1.688025610142837</v>
      </c>
      <c r="E63" s="341"/>
      <c r="F63" s="342"/>
      <c r="G63" s="343"/>
      <c r="H63" s="341"/>
      <c r="I63" s="342"/>
      <c r="J63" s="343"/>
      <c r="L63" s="333"/>
    </row>
    <row r="64" spans="1:12" s="332" customFormat="1" ht="12">
      <c r="A64" s="340" t="s">
        <v>442</v>
      </c>
      <c r="B64" s="341"/>
      <c r="C64" s="342"/>
      <c r="D64" s="343"/>
      <c r="E64" s="341">
        <f>'maintenance costs'!$L$75</f>
        <v>0.6</v>
      </c>
      <c r="F64" s="342">
        <v>5</v>
      </c>
      <c r="G64" s="343">
        <f>E64*(1/(1+inflators!$B$9)^F64)</f>
        <v>0.4931562640556109</v>
      </c>
      <c r="H64" s="341">
        <f>'maintenance costs'!L65</f>
        <v>0.9</v>
      </c>
      <c r="I64" s="342">
        <v>5</v>
      </c>
      <c r="J64" s="343">
        <f>H64*(1/(1+inflators!$B$9)^I64)</f>
        <v>0.7397343960834164</v>
      </c>
      <c r="L64" s="333"/>
    </row>
    <row r="65" spans="1:12" s="332" customFormat="1" ht="12">
      <c r="A65" s="340" t="s">
        <v>442</v>
      </c>
      <c r="B65" s="341"/>
      <c r="C65" s="342"/>
      <c r="D65" s="343"/>
      <c r="E65" s="341">
        <f>'maintenance costs'!$L$75</f>
        <v>0.6</v>
      </c>
      <c r="F65" s="342">
        <v>15</v>
      </c>
      <c r="G65" s="343">
        <f>E65*(1/(1+inflators!$B$9)^F65)</f>
        <v>0.33315870162796485</v>
      </c>
      <c r="H65" s="341">
        <f>'maintenance costs'!L65</f>
        <v>0.9</v>
      </c>
      <c r="I65" s="342">
        <v>17</v>
      </c>
      <c r="J65" s="343">
        <f>H65*(1/(1+inflators!$B$9)^I65)</f>
        <v>0.4620359212665932</v>
      </c>
      <c r="L65" s="333"/>
    </row>
    <row r="66" spans="1:12" s="332" customFormat="1" ht="12">
      <c r="A66" s="340" t="s">
        <v>442</v>
      </c>
      <c r="B66" s="341"/>
      <c r="C66" s="342"/>
      <c r="D66" s="343"/>
      <c r="E66" s="341">
        <f>'maintenance costs'!$L$75</f>
        <v>0.6</v>
      </c>
      <c r="F66" s="342">
        <v>25</v>
      </c>
      <c r="G66" s="343">
        <f>E66*(1/(1+inflators!$B$9)^F66)</f>
        <v>0.22507008135237824</v>
      </c>
      <c r="H66" s="341">
        <f>'maintenance costs'!L65</f>
        <v>0.9</v>
      </c>
      <c r="I66" s="342">
        <v>26</v>
      </c>
      <c r="J66" s="343">
        <f>H66*(1/(1+inflators!$B$9)^I66)</f>
        <v>0.3246203096428533</v>
      </c>
      <c r="L66" s="333"/>
    </row>
    <row r="67" spans="1:12" s="332" customFormat="1" ht="12">
      <c r="A67" s="340" t="s">
        <v>504</v>
      </c>
      <c r="B67" s="341"/>
      <c r="C67" s="342"/>
      <c r="D67" s="343"/>
      <c r="E67" s="341"/>
      <c r="F67" s="342"/>
      <c r="G67" s="343"/>
      <c r="H67" s="341">
        <f>'maintenance costs'!L66*9*0.001+'maintenance costs'!L64*0.45</f>
        <v>1.1115</v>
      </c>
      <c r="I67" s="342">
        <v>7</v>
      </c>
      <c r="J67" s="343">
        <f>H67*(1/(1+inflators!$B$9)^I67)</f>
        <v>0.8446486493740933</v>
      </c>
      <c r="L67" s="333"/>
    </row>
    <row r="68" spans="1:12" s="332" customFormat="1" ht="12">
      <c r="A68" s="340" t="s">
        <v>447</v>
      </c>
      <c r="B68" s="341"/>
      <c r="C68" s="342"/>
      <c r="D68" s="343"/>
      <c r="E68" s="341"/>
      <c r="F68" s="342"/>
      <c r="G68" s="343"/>
      <c r="H68" s="341">
        <f>'maintenance costs'!L66*9*0.01+'maintenance costs'!L64*0.7</f>
        <v>3.629</v>
      </c>
      <c r="I68" s="342">
        <v>20</v>
      </c>
      <c r="J68" s="343">
        <f>H68*(1/(1+inflators!$B$9)^I68)</f>
        <v>1.6562282277644889</v>
      </c>
      <c r="L68" s="333"/>
    </row>
    <row r="69" spans="1:12" s="332" customFormat="1" ht="12">
      <c r="A69" s="340" t="s">
        <v>448</v>
      </c>
      <c r="B69" s="341"/>
      <c r="C69" s="342"/>
      <c r="D69" s="343"/>
      <c r="E69" s="341"/>
      <c r="F69" s="342"/>
      <c r="G69" s="343"/>
      <c r="H69" s="341">
        <f>'maintenance costs'!L66*9*0.01+'maintenance costs'!L64*1.2+'rehabilitation costs'!L79</f>
        <v>9.1144500450045</v>
      </c>
      <c r="I69" s="342">
        <v>28</v>
      </c>
      <c r="J69" s="343">
        <f>H69*(1/(1+inflators!$B$9)^I69)</f>
        <v>3.039463753116451</v>
      </c>
      <c r="L69" s="333"/>
    </row>
    <row r="70" spans="1:12" s="332" customFormat="1" ht="12">
      <c r="A70" s="340" t="s">
        <v>446</v>
      </c>
      <c r="B70" s="341"/>
      <c r="C70" s="342"/>
      <c r="D70" s="343"/>
      <c r="E70" s="341">
        <f>'rehabilitation costs'!$L$85</f>
        <v>5</v>
      </c>
      <c r="F70" s="342">
        <v>10</v>
      </c>
      <c r="G70" s="343">
        <f>E70*(1/(1+inflators!$B$9)^F70)</f>
        <v>3.3778208441289923</v>
      </c>
      <c r="H70" s="341">
        <f>'rehabilitation costs'!L79</f>
        <v>4.5004500450045</v>
      </c>
      <c r="I70" s="342">
        <v>14</v>
      </c>
      <c r="J70" s="343">
        <f>H70*(1/(1+inflators!$B$9)^I70)</f>
        <v>2.5988977624743734</v>
      </c>
      <c r="L70" s="333"/>
    </row>
    <row r="71" spans="1:12" s="332" customFormat="1" ht="12">
      <c r="A71" s="340" t="s">
        <v>446</v>
      </c>
      <c r="B71" s="341"/>
      <c r="C71" s="342"/>
      <c r="D71" s="343"/>
      <c r="E71" s="341">
        <f>'rehabilitation costs'!$L$85</f>
        <v>5</v>
      </c>
      <c r="F71" s="342">
        <v>20</v>
      </c>
      <c r="G71" s="343">
        <f>E71*(1/(1+inflators!$B$9)^F71)</f>
        <v>2.2819347310064604</v>
      </c>
      <c r="H71" s="341"/>
      <c r="I71" s="342"/>
      <c r="J71" s="343"/>
      <c r="L71" s="333"/>
    </row>
    <row r="72" spans="1:12" s="332" customFormat="1" ht="12">
      <c r="A72" s="344" t="s">
        <v>446</v>
      </c>
      <c r="B72" s="345"/>
      <c r="C72" s="346"/>
      <c r="D72" s="347"/>
      <c r="E72" s="345">
        <f>'rehabilitation costs'!$L$85</f>
        <v>5</v>
      </c>
      <c r="F72" s="346">
        <v>30</v>
      </c>
      <c r="G72" s="347">
        <f>E72*(1/(1+inflators!$B$9)^F72)</f>
        <v>1.5415933398671018</v>
      </c>
      <c r="H72" s="345"/>
      <c r="I72" s="346"/>
      <c r="J72" s="347"/>
      <c r="L72" s="333"/>
    </row>
    <row r="73" spans="3:12" s="332" customFormat="1" ht="12">
      <c r="C73" s="348" t="s">
        <v>455</v>
      </c>
      <c r="D73" s="349">
        <f>D48</f>
        <v>9.9</v>
      </c>
      <c r="F73" s="348" t="s">
        <v>455</v>
      </c>
      <c r="G73" s="349">
        <f>G48</f>
        <v>11.29</v>
      </c>
      <c r="I73" s="348" t="s">
        <v>455</v>
      </c>
      <c r="J73" s="349">
        <f>J48</f>
        <v>8.588875888758889</v>
      </c>
      <c r="L73" s="333"/>
    </row>
    <row r="74" spans="3:12" s="332" customFormat="1" ht="12">
      <c r="C74" s="350" t="s">
        <v>710</v>
      </c>
      <c r="D74" s="349">
        <f>SUM(D49:D72)</f>
        <v>13.742508055393387</v>
      </c>
      <c r="F74" s="350" t="s">
        <v>710</v>
      </c>
      <c r="G74" s="349">
        <f>SUM(G49:G72)</f>
        <v>8.252733962038509</v>
      </c>
      <c r="I74" s="350" t="s">
        <v>710</v>
      </c>
      <c r="J74" s="349">
        <f>SUM(J49:J72)</f>
        <v>9.665629019722271</v>
      </c>
      <c r="L74" s="333"/>
    </row>
    <row r="75" spans="3:12" s="332" customFormat="1" ht="12">
      <c r="C75" s="350" t="s">
        <v>588</v>
      </c>
      <c r="D75" s="349">
        <v>0</v>
      </c>
      <c r="F75" s="350" t="s">
        <v>588</v>
      </c>
      <c r="G75" s="349">
        <f>G72/2</f>
        <v>0.7707966699335509</v>
      </c>
      <c r="I75" s="350" t="s">
        <v>588</v>
      </c>
      <c r="J75" s="349">
        <f>J69/14*7</f>
        <v>1.5197318765582255</v>
      </c>
      <c r="L75" s="333"/>
    </row>
    <row r="76" spans="3:12" s="351" customFormat="1" ht="12">
      <c r="C76" s="352" t="s">
        <v>711</v>
      </c>
      <c r="D76" s="353">
        <f>D73+D74-D75</f>
        <v>23.642508055393385</v>
      </c>
      <c r="F76" s="352" t="s">
        <v>711</v>
      </c>
      <c r="G76" s="353">
        <f>G73+G74-G75</f>
        <v>18.77193729210496</v>
      </c>
      <c r="I76" s="352" t="s">
        <v>711</v>
      </c>
      <c r="J76" s="353">
        <f>J73+J74-J75</f>
        <v>16.734773031922934</v>
      </c>
      <c r="K76" s="350"/>
      <c r="L76" s="354"/>
    </row>
    <row r="77" spans="3:12" s="351" customFormat="1" ht="12">
      <c r="C77" s="352"/>
      <c r="D77" s="355"/>
      <c r="F77" s="352"/>
      <c r="G77" s="355"/>
      <c r="I77" s="352"/>
      <c r="J77" s="355"/>
      <c r="K77" s="350"/>
      <c r="L77" s="354"/>
    </row>
    <row r="78" s="486" customFormat="1" ht="12">
      <c r="A78" s="485" t="s">
        <v>287</v>
      </c>
    </row>
    <row r="79" spans="1:10" s="356" customFormat="1" ht="12">
      <c r="A79" s="332" t="s">
        <v>30</v>
      </c>
      <c r="B79" s="629" t="s">
        <v>443</v>
      </c>
      <c r="C79" s="630"/>
      <c r="D79" s="631"/>
      <c r="E79" s="629" t="s">
        <v>444</v>
      </c>
      <c r="F79" s="630"/>
      <c r="G79" s="631"/>
      <c r="H79" s="629" t="s">
        <v>453</v>
      </c>
      <c r="I79" s="630"/>
      <c r="J79" s="631"/>
    </row>
    <row r="80" spans="1:10" s="357" customFormat="1" ht="12">
      <c r="A80" s="334"/>
      <c r="B80" s="624" t="s">
        <v>715</v>
      </c>
      <c r="C80" s="624" t="s">
        <v>587</v>
      </c>
      <c r="D80" s="624" t="s">
        <v>533</v>
      </c>
      <c r="E80" s="624" t="s">
        <v>715</v>
      </c>
      <c r="F80" s="624" t="s">
        <v>587</v>
      </c>
      <c r="G80" s="624" t="s">
        <v>533</v>
      </c>
      <c r="H80" s="624" t="s">
        <v>715</v>
      </c>
      <c r="I80" s="624" t="s">
        <v>587</v>
      </c>
      <c r="J80" s="624" t="s">
        <v>533</v>
      </c>
    </row>
    <row r="81" spans="1:16" s="357" customFormat="1" ht="10.5" customHeight="1">
      <c r="A81" s="335" t="s">
        <v>716</v>
      </c>
      <c r="B81" s="626"/>
      <c r="C81" s="626"/>
      <c r="D81" s="625"/>
      <c r="E81" s="626"/>
      <c r="F81" s="626"/>
      <c r="G81" s="625"/>
      <c r="H81" s="626"/>
      <c r="I81" s="626"/>
      <c r="J81" s="625"/>
      <c r="N81" s="358"/>
      <c r="O81" s="359"/>
      <c r="P81" s="359"/>
    </row>
    <row r="82" spans="1:12" s="357" customFormat="1" ht="12">
      <c r="A82" s="336" t="s">
        <v>445</v>
      </c>
      <c r="B82" s="337">
        <f>'new pavement costs'!L51</f>
        <v>13.5</v>
      </c>
      <c r="C82" s="360">
        <v>0</v>
      </c>
      <c r="D82" s="339">
        <f>B82*(1/(1+inflators!$B$9)^C82)</f>
        <v>13.5</v>
      </c>
      <c r="E82" s="361">
        <f>'new pavement costs'!L47+'new pavement costs'!L48</f>
        <v>14.15</v>
      </c>
      <c r="F82" s="362">
        <v>0</v>
      </c>
      <c r="G82" s="339">
        <f>E82*(1/(1+inflators!$B$9)^F82)</f>
        <v>14.15</v>
      </c>
      <c r="H82" s="337">
        <f>'new pavement costs'!L55+'new pavement costs'!L56+'new pavement costs'!L57+'new pavement costs'!L58+'new pavement costs'!L59</f>
        <v>12.155193519351934</v>
      </c>
      <c r="I82" s="362">
        <v>0</v>
      </c>
      <c r="J82" s="339">
        <f>H82*(1/(1+inflators!$B$9)^I82)</f>
        <v>12.155193519351934</v>
      </c>
      <c r="L82" s="359"/>
    </row>
    <row r="83" spans="1:12" s="357" customFormat="1" ht="12">
      <c r="A83" s="340" t="s">
        <v>517</v>
      </c>
      <c r="B83" s="341">
        <f>'maintenance costs'!$L$72</f>
        <v>0.18</v>
      </c>
      <c r="C83" s="364">
        <v>6</v>
      </c>
      <c r="D83" s="343">
        <f>B83*(1/(1+inflators!$B$9)^C83)</f>
        <v>0.14225661463142622</v>
      </c>
      <c r="E83" s="365"/>
      <c r="F83" s="366"/>
      <c r="G83" s="343"/>
      <c r="H83" s="341"/>
      <c r="I83" s="366"/>
      <c r="J83" s="343"/>
      <c r="L83" s="359"/>
    </row>
    <row r="84" spans="1:12" s="357" customFormat="1" ht="12">
      <c r="A84" s="340" t="s">
        <v>517</v>
      </c>
      <c r="B84" s="341">
        <f>'maintenance costs'!$L$72</f>
        <v>0.18</v>
      </c>
      <c r="C84" s="364">
        <v>12</v>
      </c>
      <c r="D84" s="343">
        <f>B84*(1/(1+inflators!$B$9)^C84)</f>
        <v>0.11242746892441172</v>
      </c>
      <c r="E84" s="365"/>
      <c r="F84" s="366"/>
      <c r="G84" s="343"/>
      <c r="H84" s="341"/>
      <c r="I84" s="366"/>
      <c r="J84" s="343"/>
      <c r="L84" s="359"/>
    </row>
    <row r="85" spans="1:12" s="357" customFormat="1" ht="12">
      <c r="A85" s="340" t="s">
        <v>517</v>
      </c>
      <c r="B85" s="341">
        <f>'maintenance costs'!$L$72</f>
        <v>0.18</v>
      </c>
      <c r="C85" s="364">
        <v>18</v>
      </c>
      <c r="D85" s="343">
        <f>B85*(1/(1+inflators!$B$9)^C85)</f>
        <v>0.08885306178203714</v>
      </c>
      <c r="E85" s="365"/>
      <c r="F85" s="366"/>
      <c r="G85" s="343"/>
      <c r="H85" s="341"/>
      <c r="I85" s="366"/>
      <c r="J85" s="343"/>
      <c r="L85" s="359"/>
    </row>
    <row r="86" spans="1:12" s="357" customFormat="1" ht="12">
      <c r="A86" s="340" t="s">
        <v>517</v>
      </c>
      <c r="B86" s="341">
        <f>'maintenance costs'!$L$72</f>
        <v>0.18</v>
      </c>
      <c r="C86" s="364">
        <v>30</v>
      </c>
      <c r="D86" s="343">
        <f>B86*(1/(1+inflators!$B$9)^C86)</f>
        <v>0.055497360235215655</v>
      </c>
      <c r="E86" s="365"/>
      <c r="F86" s="366"/>
      <c r="G86" s="343"/>
      <c r="H86" s="341"/>
      <c r="I86" s="366"/>
      <c r="J86" s="343"/>
      <c r="L86" s="359"/>
    </row>
    <row r="87" spans="1:12" s="357" customFormat="1" ht="12">
      <c r="A87" s="340" t="s">
        <v>770</v>
      </c>
      <c r="B87" s="341">
        <f>'rehabilitation costs'!$L$98</f>
        <v>0.9</v>
      </c>
      <c r="C87" s="364">
        <v>8</v>
      </c>
      <c r="D87" s="343">
        <f>B87*(1/(1+inflators!$B$9)^C87)</f>
        <v>0.6576211845017854</v>
      </c>
      <c r="E87" s="365">
        <f>'rehabilitation costs'!$L$101</f>
        <v>0.9</v>
      </c>
      <c r="F87" s="366">
        <v>15</v>
      </c>
      <c r="G87" s="343">
        <f>E87*(1/(1+inflators!$B$9)^F87)</f>
        <v>0.4997380524419473</v>
      </c>
      <c r="H87" s="341"/>
      <c r="I87" s="366"/>
      <c r="J87" s="343"/>
      <c r="L87" s="359"/>
    </row>
    <row r="88" spans="1:10" s="357" customFormat="1" ht="12">
      <c r="A88" s="340" t="s">
        <v>770</v>
      </c>
      <c r="B88" s="341">
        <f>'rehabilitation costs'!$L$98</f>
        <v>0.9</v>
      </c>
      <c r="C88" s="364">
        <v>16</v>
      </c>
      <c r="D88" s="343">
        <f>B88*(1/(1+inflators!$B$9)^C88)</f>
        <v>0.48051735811725693</v>
      </c>
      <c r="E88" s="365">
        <f>'rehabilitation costs'!$L$101</f>
        <v>0.9</v>
      </c>
      <c r="F88" s="366">
        <v>30</v>
      </c>
      <c r="G88" s="343">
        <f>E88*(1/(1+inflators!$B$9)^F88)</f>
        <v>0.2774868011760783</v>
      </c>
      <c r="H88" s="363"/>
      <c r="I88" s="366"/>
      <c r="J88" s="343"/>
    </row>
    <row r="89" spans="1:10" s="357" customFormat="1" ht="12">
      <c r="A89" s="340" t="s">
        <v>770</v>
      </c>
      <c r="B89" s="341">
        <f>'rehabilitation costs'!$L$98</f>
        <v>0.9</v>
      </c>
      <c r="C89" s="364">
        <v>32</v>
      </c>
      <c r="D89" s="343">
        <f>B89*(1/(1+inflators!$B$9)^C89)</f>
        <v>0.25655214605776466</v>
      </c>
      <c r="E89" s="367"/>
      <c r="F89" s="366"/>
      <c r="G89" s="343"/>
      <c r="H89" s="363"/>
      <c r="I89" s="366"/>
      <c r="J89" s="343"/>
    </row>
    <row r="90" spans="1:12" s="357" customFormat="1" ht="12">
      <c r="A90" s="340" t="s">
        <v>351</v>
      </c>
      <c r="B90" s="341">
        <f>'rehabilitation costs'!$L$98+'maintenance costs'!$L$72</f>
        <v>1.08</v>
      </c>
      <c r="C90" s="373">
        <v>24</v>
      </c>
      <c r="D90" s="343">
        <f>B90*(1/(1+inflators!$B$9)^C90)</f>
        <v>0.4213311922916522</v>
      </c>
      <c r="E90" s="365"/>
      <c r="F90" s="366"/>
      <c r="G90" s="343"/>
      <c r="H90" s="341"/>
      <c r="I90" s="366"/>
      <c r="J90" s="343"/>
      <c r="L90" s="359"/>
    </row>
    <row r="91" spans="1:10" s="357" customFormat="1" ht="12">
      <c r="A91" s="344" t="s">
        <v>468</v>
      </c>
      <c r="B91" s="368"/>
      <c r="C91" s="369"/>
      <c r="D91" s="347"/>
      <c r="E91" s="370"/>
      <c r="F91" s="371"/>
      <c r="G91" s="347"/>
      <c r="H91" s="345">
        <f>'rehabilitation costs'!L94*0.1+'rehabilitation costs'!L95</f>
        <v>7.256075607560756</v>
      </c>
      <c r="I91" s="371">
        <v>20</v>
      </c>
      <c r="J91" s="347">
        <f>H91*(1/(1+inflators!$B$9)^I91)</f>
        <v>3.3115781879403383</v>
      </c>
    </row>
    <row r="92" spans="1:10" s="357" customFormat="1" ht="12">
      <c r="A92" s="332"/>
      <c r="B92" s="372"/>
      <c r="C92" s="348" t="s">
        <v>455</v>
      </c>
      <c r="D92" s="349">
        <f>D82</f>
        <v>13.5</v>
      </c>
      <c r="F92" s="348" t="s">
        <v>455</v>
      </c>
      <c r="G92" s="349">
        <f>G82</f>
        <v>14.15</v>
      </c>
      <c r="I92" s="348" t="s">
        <v>455</v>
      </c>
      <c r="J92" s="349">
        <f>J82</f>
        <v>12.155193519351934</v>
      </c>
    </row>
    <row r="93" spans="1:10" s="357" customFormat="1" ht="12">
      <c r="A93" s="332"/>
      <c r="B93" s="372"/>
      <c r="C93" s="350" t="s">
        <v>710</v>
      </c>
      <c r="D93" s="349">
        <f>SUM(D83:D91)</f>
        <v>2.21505638654155</v>
      </c>
      <c r="F93" s="350" t="s">
        <v>710</v>
      </c>
      <c r="G93" s="349">
        <f>SUM(G83:G91)</f>
        <v>0.7772248536180256</v>
      </c>
      <c r="I93" s="350" t="s">
        <v>710</v>
      </c>
      <c r="J93" s="349">
        <f>SUM(J83:J91)</f>
        <v>3.3115781879403383</v>
      </c>
    </row>
    <row r="94" spans="1:10" s="357" customFormat="1" ht="12">
      <c r="A94" s="373"/>
      <c r="C94" s="350" t="s">
        <v>588</v>
      </c>
      <c r="D94" s="349">
        <v>0</v>
      </c>
      <c r="F94" s="350" t="s">
        <v>588</v>
      </c>
      <c r="G94" s="349">
        <v>0</v>
      </c>
      <c r="I94" s="350" t="s">
        <v>588</v>
      </c>
      <c r="J94" s="349">
        <v>0</v>
      </c>
    </row>
    <row r="95" spans="1:10" s="357" customFormat="1" ht="12">
      <c r="A95" s="373"/>
      <c r="C95" s="352" t="s">
        <v>711</v>
      </c>
      <c r="D95" s="353">
        <f>D92+D93-D94</f>
        <v>15.71505638654155</v>
      </c>
      <c r="F95" s="352" t="s">
        <v>711</v>
      </c>
      <c r="G95" s="353">
        <f>G92+G93-G94</f>
        <v>14.927224853618027</v>
      </c>
      <c r="I95" s="352" t="s">
        <v>711</v>
      </c>
      <c r="J95" s="353">
        <f>J92+J93-J94</f>
        <v>15.466771707292272</v>
      </c>
    </row>
    <row r="96" spans="3:12" s="351" customFormat="1" ht="12">
      <c r="C96" s="352"/>
      <c r="D96" s="355"/>
      <c r="F96" s="352"/>
      <c r="G96" s="355"/>
      <c r="I96" s="352"/>
      <c r="J96" s="355"/>
      <c r="K96" s="350"/>
      <c r="L96" s="354"/>
    </row>
    <row r="97" s="487" customFormat="1" ht="12">
      <c r="A97" s="482" t="s">
        <v>469</v>
      </c>
    </row>
    <row r="98" spans="1:10" s="299" customFormat="1" ht="12">
      <c r="A98" s="190" t="s">
        <v>22</v>
      </c>
      <c r="B98" s="583" t="s">
        <v>113</v>
      </c>
      <c r="C98" s="584"/>
      <c r="D98" s="585"/>
      <c r="E98" s="583" t="s">
        <v>114</v>
      </c>
      <c r="F98" s="584"/>
      <c r="G98" s="585"/>
      <c r="H98" s="583" t="s">
        <v>115</v>
      </c>
      <c r="I98" s="584"/>
      <c r="J98" s="585"/>
    </row>
    <row r="99" spans="1:10" s="7" customFormat="1" ht="12">
      <c r="A99" s="83" t="s">
        <v>21</v>
      </c>
      <c r="B99" s="564" t="s">
        <v>715</v>
      </c>
      <c r="C99" s="564" t="s">
        <v>587</v>
      </c>
      <c r="D99" s="564" t="s">
        <v>533</v>
      </c>
      <c r="E99" s="564" t="s">
        <v>715</v>
      </c>
      <c r="F99" s="564" t="s">
        <v>587</v>
      </c>
      <c r="G99" s="564" t="s">
        <v>533</v>
      </c>
      <c r="H99" s="564" t="s">
        <v>715</v>
      </c>
      <c r="I99" s="564" t="s">
        <v>587</v>
      </c>
      <c r="J99" s="564" t="s">
        <v>533</v>
      </c>
    </row>
    <row r="100" spans="1:16" s="7" customFormat="1" ht="10.5" customHeight="1">
      <c r="A100" s="291" t="s">
        <v>716</v>
      </c>
      <c r="B100" s="623"/>
      <c r="C100" s="623"/>
      <c r="D100" s="622"/>
      <c r="E100" s="623"/>
      <c r="F100" s="623"/>
      <c r="G100" s="622"/>
      <c r="H100" s="623"/>
      <c r="I100" s="623"/>
      <c r="J100" s="622"/>
      <c r="N100" s="300"/>
      <c r="O100" s="124"/>
      <c r="P100" s="124"/>
    </row>
    <row r="101" spans="1:12" s="7" customFormat="1" ht="12">
      <c r="A101" s="85" t="s">
        <v>445</v>
      </c>
      <c r="B101" s="139">
        <f>('new pavement costs'!$L$8+'new pavement costs'!$L$16+'new pavement costs'!$L$28+'maintenance costs'!$L$17+'maintenance costs'!$L$45)*inflators!$E$15/100</f>
        <v>17.001335151515153</v>
      </c>
      <c r="C101" s="6">
        <v>0</v>
      </c>
      <c r="D101" s="290">
        <f>B101*(1/(1+inflators!$B$9)^C101)</f>
        <v>17.001335151515153</v>
      </c>
      <c r="E101" s="139">
        <f>('new pavement costs'!$L$8+'new pavement costs'!$L$16+'new pavement costs'!$L$28+'maintenance costs'!$L$17+'maintenance costs'!$L$45)*inflators!$E$15/100</f>
        <v>17.001335151515153</v>
      </c>
      <c r="F101" s="3">
        <v>0</v>
      </c>
      <c r="G101" s="290">
        <f>E101*(1/(1+inflators!$B$9)^F101)</f>
        <v>17.001335151515153</v>
      </c>
      <c r="H101" s="139">
        <f>('new pavement costs'!$L$8+'new pavement costs'!$L$16+'new pavement costs'!$L$28+'maintenance costs'!$L$17+'maintenance costs'!$L$45)*inflators!$E$15/100</f>
        <v>17.001335151515153</v>
      </c>
      <c r="I101" s="3">
        <v>0</v>
      </c>
      <c r="J101" s="290">
        <f>H101*(1/(1+inflators!$B$9)^I101)</f>
        <v>17.001335151515153</v>
      </c>
      <c r="L101" s="124"/>
    </row>
    <row r="102" spans="1:12" s="7" customFormat="1" ht="12">
      <c r="A102" s="86" t="s">
        <v>176</v>
      </c>
      <c r="B102" s="140">
        <f>('maintenance costs'!$L$17+'maintenance costs'!$L$45)*inflators!$E$15/100</f>
        <v>1.3504951515151515</v>
      </c>
      <c r="C102" s="5">
        <v>3</v>
      </c>
      <c r="D102" s="141">
        <f>B102*(1/(1+inflators!$B$9)^C102)</f>
        <v>1.2005852720996952</v>
      </c>
      <c r="E102" s="140">
        <f>('maintenance costs'!$L$17+'maintenance costs'!$L$45)*inflators!$E$15/100</f>
        <v>1.3504951515151515</v>
      </c>
      <c r="F102" s="4">
        <v>5</v>
      </c>
      <c r="G102" s="141">
        <f>E102*(1/(1+inflators!$B$9)^F102)</f>
        <v>1.1100085725773805</v>
      </c>
      <c r="H102" s="140">
        <f>('maintenance costs'!$L$17+'maintenance costs'!$L$45)*inflators!$E$15/100</f>
        <v>1.3504951515151515</v>
      </c>
      <c r="I102" s="4">
        <v>5</v>
      </c>
      <c r="J102" s="141">
        <f>H102*(1/(1+inflators!$B$9)^I102)</f>
        <v>1.1100085725773805</v>
      </c>
      <c r="L102" s="124"/>
    </row>
    <row r="103" spans="1:12" s="7" customFormat="1" ht="12">
      <c r="A103" s="86" t="s">
        <v>176</v>
      </c>
      <c r="B103" s="140">
        <f>('maintenance costs'!$L$17+'maintenance costs'!$L$45)*inflators!$E$15/100</f>
        <v>1.3504951515151515</v>
      </c>
      <c r="C103" s="5">
        <v>13</v>
      </c>
      <c r="D103" s="141">
        <f>B103*(1/(1+inflators!$B$9)^C103)</f>
        <v>0.8110723914505257</v>
      </c>
      <c r="E103" s="140">
        <f>('maintenance costs'!$L$17+'maintenance costs'!$L$45)*inflators!$E$15/100</f>
        <v>1.3504951515151515</v>
      </c>
      <c r="F103" s="4">
        <v>20</v>
      </c>
      <c r="G103" s="141">
        <f>E103*(1/(1+inflators!$B$9)^F103)</f>
        <v>0.6163483580596513</v>
      </c>
      <c r="H103" s="140">
        <f>('maintenance costs'!$L$17+'maintenance costs'!$L$45)*inflators!$E$15/100</f>
        <v>1.3504951515151515</v>
      </c>
      <c r="I103" s="4">
        <v>25</v>
      </c>
      <c r="J103" s="141">
        <f>H103*(1/(1+inflators!$B$9)^I103)</f>
        <v>0.506593422695846</v>
      </c>
      <c r="L103" s="124"/>
    </row>
    <row r="104" spans="1:12" s="7" customFormat="1" ht="12">
      <c r="A104" s="86" t="s">
        <v>176</v>
      </c>
      <c r="B104" s="140">
        <f>('maintenance costs'!$L$17+'maintenance costs'!$L$45)*inflators!$E$15/100</f>
        <v>1.3504951515151515</v>
      </c>
      <c r="C104" s="5">
        <v>23</v>
      </c>
      <c r="D104" s="141">
        <f>B104*(1/(1+inflators!$B$9)^C104)</f>
        <v>0.5479314459878271</v>
      </c>
      <c r="E104" s="302"/>
      <c r="F104" s="4"/>
      <c r="G104" s="141"/>
      <c r="H104" s="140"/>
      <c r="I104" s="4"/>
      <c r="J104" s="141"/>
      <c r="L104" s="124"/>
    </row>
    <row r="105" spans="1:12" s="7" customFormat="1" ht="12">
      <c r="A105" s="86" t="s">
        <v>362</v>
      </c>
      <c r="B105" s="140">
        <f>('rehabilitation costs'!$L$29+'maintenance costs'!$L$45)*inflators!$E$15/100</f>
        <v>3.6012151515151514</v>
      </c>
      <c r="C105" s="5">
        <v>10</v>
      </c>
      <c r="D105" s="141">
        <f>B105*(1/(1+inflators!$B$9)^C105)</f>
        <v>2.4328519205962054</v>
      </c>
      <c r="E105" s="140">
        <f>('rehabilitation costs'!$L$29+'maintenance costs'!$L$45)*inflators!$E$15/100</f>
        <v>3.6012151515151514</v>
      </c>
      <c r="F105" s="4">
        <v>15</v>
      </c>
      <c r="G105" s="141">
        <f>E105*(1/(1+inflators!$B$9)^F105)</f>
        <v>1.999626940269571</v>
      </c>
      <c r="H105" s="140"/>
      <c r="I105" s="4"/>
      <c r="J105" s="141"/>
      <c r="L105" s="124"/>
    </row>
    <row r="106" spans="1:12" s="7" customFormat="1" ht="12">
      <c r="A106" s="86" t="s">
        <v>281</v>
      </c>
      <c r="B106" s="140">
        <f>('rehabilitation costs'!$L$14+'rehabilitation costs'!$L$29+'maintenance costs'!$L$45)*inflators!$E$15/100</f>
        <v>5.310095151515152</v>
      </c>
      <c r="C106" s="5">
        <v>20</v>
      </c>
      <c r="D106" s="141">
        <f>B106*(1/(1+inflators!$B$9)^C106)</f>
        <v>2.4234581102382875</v>
      </c>
      <c r="E106" s="140">
        <f>('rehabilitation costs'!$L$14+'rehabilitation costs'!$L$29+'maintenance costs'!$L$45)*inflators!$E$15/100</f>
        <v>5.310095151515152</v>
      </c>
      <c r="F106" s="4">
        <v>30</v>
      </c>
      <c r="G106" s="141">
        <f>E106*(1/(1+inflators!$B$9)^F106)</f>
        <v>1.6372014639272694</v>
      </c>
      <c r="H106" s="140"/>
      <c r="I106" s="4"/>
      <c r="J106" s="141"/>
      <c r="L106" s="124"/>
    </row>
    <row r="107" spans="1:10" s="7" customFormat="1" ht="12">
      <c r="A107" s="86" t="s">
        <v>281</v>
      </c>
      <c r="B107" s="140">
        <f>('rehabilitation costs'!$L$14+'rehabilitation costs'!$L$29+'maintenance costs'!$L$45)*inflators!$E$15/100</f>
        <v>5.310095151515152</v>
      </c>
      <c r="C107" s="5">
        <v>30</v>
      </c>
      <c r="D107" s="141">
        <f>B107*(1/(1+inflators!$B$9)^C107)</f>
        <v>1.6372014639272694</v>
      </c>
      <c r="E107" s="302"/>
      <c r="F107" s="4"/>
      <c r="G107" s="141"/>
      <c r="H107" s="130"/>
      <c r="I107" s="4"/>
      <c r="J107" s="141"/>
    </row>
    <row r="108" spans="1:10" s="7" customFormat="1" ht="12">
      <c r="A108" s="86" t="s">
        <v>282</v>
      </c>
      <c r="B108" s="140">
        <f>('maintenance costs'!$L$42*9*0.01+'maintenance costs'!$L$29*0.45+'maintenance costs'!$L$17+'maintenance costs'!$L$45)*inflators!$E$15/100</f>
        <v>1.9731943515151515</v>
      </c>
      <c r="C108" s="5">
        <v>6</v>
      </c>
      <c r="D108" s="141">
        <f>B108*(1/(1+inflators!$B$9)^C108)</f>
        <v>1.5594441580910994</v>
      </c>
      <c r="E108" s="140">
        <f>('maintenance costs'!$L$42*9*0.01+'maintenance costs'!$L$29*0.45+'maintenance costs'!$L$17+'maintenance costs'!$L$45)*inflators!$E$15/100</f>
        <v>1.9731943515151515</v>
      </c>
      <c r="F108" s="4">
        <v>10</v>
      </c>
      <c r="G108" s="141">
        <f>E108*(1/(1+inflators!$B$9)^F108)</f>
        <v>1.3330194020130939</v>
      </c>
      <c r="H108" s="140">
        <f>('maintenance costs'!$L$42*9*0.01+'maintenance costs'!$L$29*0.45+'maintenance costs'!$L$17+'maintenance costs'!$L$45)*inflators!$E$15/100</f>
        <v>1.9731943515151515</v>
      </c>
      <c r="I108" s="4">
        <v>10</v>
      </c>
      <c r="J108" s="141">
        <f>H108*(1/(1+inflators!$B$9)^I108)</f>
        <v>1.3330194020130939</v>
      </c>
    </row>
    <row r="109" spans="1:10" s="7" customFormat="1" ht="12">
      <c r="A109" s="86" t="s">
        <v>460</v>
      </c>
      <c r="B109" s="140">
        <f>('maintenance costs'!$L$42*9*0.1+'maintenance costs'!$L$29*0.7+'maintenance costs'!$L$17+'maintenance costs'!$L$45)*inflators!$E$15/100</f>
        <v>3.1823311515151516</v>
      </c>
      <c r="C109" s="9">
        <v>16</v>
      </c>
      <c r="D109" s="141">
        <f>B109*(1/(1+inflators!$B$9)^C109)</f>
        <v>1.6990726195336763</v>
      </c>
      <c r="E109" s="140">
        <f>('maintenance costs'!$L$42*9*0.1+'maintenance costs'!$L$29*0.7+'maintenance costs'!$L$17+'maintenance costs'!$L$45)*inflators!$E$15/100</f>
        <v>3.1823311515151516</v>
      </c>
      <c r="F109" s="4">
        <v>25</v>
      </c>
      <c r="G109" s="141">
        <f>E109*(1/(1+inflators!$B$9)^F109)</f>
        <v>1.193745885269538</v>
      </c>
      <c r="H109" s="140">
        <f>('maintenance costs'!$L$42*9*0.1+'maintenance costs'!$L$29*0.7+'maintenance costs'!$L$17+'maintenance costs'!$L$45)*inflators!$E$15/100</f>
        <v>3.1823311515151516</v>
      </c>
      <c r="I109" s="4">
        <v>15</v>
      </c>
      <c r="J109" s="141">
        <f>H109*(1/(1+inflators!$B$9)^I109)</f>
        <v>1.7670355243150238</v>
      </c>
    </row>
    <row r="110" spans="1:10" s="7" customFormat="1" ht="12">
      <c r="A110" s="86" t="s">
        <v>460</v>
      </c>
      <c r="B110" s="140">
        <f>('maintenance costs'!$L$42*9*0.1+'maintenance costs'!$L$29*0.7+'maintenance costs'!$L$17+'maintenance costs'!$L$45)*inflators!$E$15/100</f>
        <v>3.1823311515151516</v>
      </c>
      <c r="C110" s="9"/>
      <c r="D110" s="141"/>
      <c r="E110" s="185"/>
      <c r="F110" s="4"/>
      <c r="G110" s="141"/>
      <c r="H110" s="140">
        <f>('maintenance costs'!$L$42*9*0.1+'maintenance costs'!$L$29*0.7+'maintenance costs'!$L$17+'maintenance costs'!$L$45)*inflators!$E$15/100</f>
        <v>3.1823311515151516</v>
      </c>
      <c r="I110" s="4">
        <v>30</v>
      </c>
      <c r="J110" s="141">
        <f>H110*(1/(1+inflators!$B$9)^I110)</f>
        <v>0.9811721016854724</v>
      </c>
    </row>
    <row r="111" spans="1:10" s="7" customFormat="1" ht="12">
      <c r="A111" s="86" t="s">
        <v>461</v>
      </c>
      <c r="B111" s="140">
        <f>('maintenance costs'!$L$42*9*0.2+'maintenance costs'!$L$29*1.2+'maintenance costs'!$L$17+'maintenance costs'!$L$45)*inflators!$E$15/100</f>
        <v>4.782843151515152</v>
      </c>
      <c r="C111" s="9">
        <v>26</v>
      </c>
      <c r="D111" s="141">
        <f>B111*(1/(1+inflators!$B$9)^C111)</f>
        <v>1.72512002757561</v>
      </c>
      <c r="E111" s="185"/>
      <c r="F111" s="4"/>
      <c r="G111" s="141"/>
      <c r="H111" s="130"/>
      <c r="I111" s="4"/>
      <c r="J111" s="141"/>
    </row>
    <row r="112" spans="1:12" s="7" customFormat="1" ht="12">
      <c r="A112" s="144" t="s">
        <v>521</v>
      </c>
      <c r="B112" s="149"/>
      <c r="C112" s="10"/>
      <c r="D112" s="145"/>
      <c r="E112" s="375"/>
      <c r="F112" s="74"/>
      <c r="G112" s="145"/>
      <c r="H112" s="149">
        <f>('rehabilitation costs'!L29+'rehabilitation costs'!$L$23+'maintenance costs'!$L$45)*inflators!$E$15/100</f>
        <v>4.570275151515151</v>
      </c>
      <c r="I112" s="74">
        <v>20</v>
      </c>
      <c r="J112" s="145">
        <f>H112*(1/(1+inflators!$B$9)^I112)</f>
        <v>2.085813919699647</v>
      </c>
      <c r="L112" s="124"/>
    </row>
    <row r="113" spans="1:10" s="7" customFormat="1" ht="12">
      <c r="A113" s="190"/>
      <c r="B113" s="289"/>
      <c r="C113" s="193" t="s">
        <v>455</v>
      </c>
      <c r="D113" s="187">
        <f>D101</f>
        <v>17.001335151515153</v>
      </c>
      <c r="F113" s="193" t="s">
        <v>455</v>
      </c>
      <c r="G113" s="187">
        <f>G101</f>
        <v>17.001335151515153</v>
      </c>
      <c r="I113" s="193" t="s">
        <v>455</v>
      </c>
      <c r="J113" s="187">
        <f>J101</f>
        <v>17.001335151515153</v>
      </c>
    </row>
    <row r="114" spans="1:10" s="7" customFormat="1" ht="12">
      <c r="A114" s="190"/>
      <c r="B114" s="289"/>
      <c r="C114" s="146" t="s">
        <v>710</v>
      </c>
      <c r="D114" s="187">
        <f>SUM(D102:D112)</f>
        <v>14.036737409500198</v>
      </c>
      <c r="F114" s="146" t="s">
        <v>710</v>
      </c>
      <c r="G114" s="187">
        <f>SUM(G102:G112)</f>
        <v>7.889950622116505</v>
      </c>
      <c r="I114" s="146" t="s">
        <v>710</v>
      </c>
      <c r="J114" s="187">
        <f>SUM(J102:J112)</f>
        <v>7.7836429429864635</v>
      </c>
    </row>
    <row r="115" spans="1:10" s="7" customFormat="1" ht="12">
      <c r="A115" s="9"/>
      <c r="C115" s="146" t="s">
        <v>588</v>
      </c>
      <c r="D115" s="187">
        <v>0</v>
      </c>
      <c r="F115" s="146" t="s">
        <v>588</v>
      </c>
      <c r="G115" s="187">
        <v>0</v>
      </c>
      <c r="I115" s="146" t="s">
        <v>588</v>
      </c>
      <c r="J115" s="187">
        <v>0</v>
      </c>
    </row>
    <row r="116" spans="1:10" s="7" customFormat="1" ht="12">
      <c r="A116" s="9"/>
      <c r="C116" s="274" t="s">
        <v>711</v>
      </c>
      <c r="D116" s="211">
        <f>D113+D114-D115</f>
        <v>31.03807256101535</v>
      </c>
      <c r="F116" s="274" t="s">
        <v>711</v>
      </c>
      <c r="G116" s="211">
        <f>G113+G114-G115</f>
        <v>24.891285773631658</v>
      </c>
      <c r="I116" s="274" t="s">
        <v>711</v>
      </c>
      <c r="J116" s="211">
        <f>J113+J114-J115</f>
        <v>24.784978094501618</v>
      </c>
    </row>
    <row r="117" spans="1:13" s="7" customFormat="1" ht="12">
      <c r="A117" s="9"/>
      <c r="C117" s="274"/>
      <c r="D117" s="189"/>
      <c r="F117" s="274"/>
      <c r="G117" s="189"/>
      <c r="I117" s="274"/>
      <c r="J117" s="189"/>
      <c r="L117" s="274"/>
      <c r="M117" s="189"/>
    </row>
    <row r="118" s="487" customFormat="1" ht="12">
      <c r="A118" s="482" t="s">
        <v>470</v>
      </c>
    </row>
    <row r="119" spans="1:10" s="299" customFormat="1" ht="12">
      <c r="A119" s="190" t="s">
        <v>22</v>
      </c>
      <c r="B119" s="583" t="s">
        <v>113</v>
      </c>
      <c r="C119" s="584"/>
      <c r="D119" s="585"/>
      <c r="E119" s="583" t="s">
        <v>114</v>
      </c>
      <c r="F119" s="584"/>
      <c r="G119" s="585"/>
      <c r="H119" s="583" t="s">
        <v>115</v>
      </c>
      <c r="I119" s="584"/>
      <c r="J119" s="585"/>
    </row>
    <row r="120" spans="1:10" s="7" customFormat="1" ht="12">
      <c r="A120" s="83" t="s">
        <v>21</v>
      </c>
      <c r="B120" s="564" t="s">
        <v>715</v>
      </c>
      <c r="C120" s="564" t="s">
        <v>587</v>
      </c>
      <c r="D120" s="564" t="s">
        <v>533</v>
      </c>
      <c r="E120" s="564" t="s">
        <v>715</v>
      </c>
      <c r="F120" s="564" t="s">
        <v>587</v>
      </c>
      <c r="G120" s="564" t="s">
        <v>533</v>
      </c>
      <c r="H120" s="564" t="s">
        <v>715</v>
      </c>
      <c r="I120" s="564" t="s">
        <v>587</v>
      </c>
      <c r="J120" s="564" t="s">
        <v>533</v>
      </c>
    </row>
    <row r="121" spans="1:16" s="7" customFormat="1" ht="10.5" customHeight="1">
      <c r="A121" s="291" t="s">
        <v>716</v>
      </c>
      <c r="B121" s="623"/>
      <c r="C121" s="623"/>
      <c r="D121" s="622"/>
      <c r="E121" s="623"/>
      <c r="F121" s="623"/>
      <c r="G121" s="622"/>
      <c r="H121" s="623"/>
      <c r="I121" s="623"/>
      <c r="J121" s="622"/>
      <c r="N121" s="300"/>
      <c r="O121" s="124"/>
      <c r="P121" s="124"/>
    </row>
    <row r="122" spans="1:12" s="7" customFormat="1" ht="12">
      <c r="A122" s="85" t="s">
        <v>445</v>
      </c>
      <c r="B122" s="139">
        <f>('new pavement costs'!$L$8+'new pavement costs'!$L$62*5/6+'maintenance costs'!$L$45)*inflators!$E$15/100</f>
        <v>17.73247181818182</v>
      </c>
      <c r="C122" s="6">
        <v>0</v>
      </c>
      <c r="D122" s="290">
        <f>B122*(1/(1+inflators!$B$9)^C122)</f>
        <v>17.73247181818182</v>
      </c>
      <c r="E122" s="139">
        <f>('new pavement costs'!$L$8+'new pavement costs'!$L$62*5/6+'maintenance costs'!$L$45)*inflators!$E$15/100</f>
        <v>17.73247181818182</v>
      </c>
      <c r="F122" s="3">
        <v>0</v>
      </c>
      <c r="G122" s="290">
        <f>E122*(1/(1+inflators!$B$9)^F122)</f>
        <v>17.73247181818182</v>
      </c>
      <c r="H122" s="139">
        <f>('new pavement costs'!$L$8+'new pavement costs'!$L$62*5/6+'maintenance costs'!$L$45)*inflators!$E$15/100</f>
        <v>17.73247181818182</v>
      </c>
      <c r="I122" s="3">
        <v>0</v>
      </c>
      <c r="J122" s="290">
        <f>H122*(1/(1+inflators!$B$9)^I122)</f>
        <v>17.73247181818182</v>
      </c>
      <c r="L122" s="124"/>
    </row>
    <row r="123" spans="1:12" s="7" customFormat="1" ht="12">
      <c r="A123" s="86" t="s">
        <v>770</v>
      </c>
      <c r="B123" s="140"/>
      <c r="D123" s="141"/>
      <c r="E123" s="140">
        <f>('rehabilitation costs'!$L$90*0.75)*inflators!$H$15/inflators!$E$15</f>
        <v>0.7015451055662187</v>
      </c>
      <c r="F123" s="5">
        <v>10</v>
      </c>
      <c r="G123" s="141">
        <f>E123*(1/(1+inflators!$B$9)^F123)</f>
        <v>0.47393873613564963</v>
      </c>
      <c r="H123" s="140"/>
      <c r="I123" s="4"/>
      <c r="J123" s="141"/>
      <c r="L123" s="124"/>
    </row>
    <row r="124" spans="1:12" s="7" customFormat="1" ht="12">
      <c r="A124" s="86" t="s">
        <v>770</v>
      </c>
      <c r="B124" s="140"/>
      <c r="D124" s="141"/>
      <c r="E124" s="140">
        <f>('rehabilitation costs'!$L$90*0.75)*inflators!$H$15/inflators!$E$15</f>
        <v>0.7015451055662187</v>
      </c>
      <c r="F124" s="5">
        <v>30</v>
      </c>
      <c r="G124" s="141">
        <f>E124*(1/(1+inflators!$B$9)^F124)</f>
        <v>0.2162994524714491</v>
      </c>
      <c r="H124" s="140"/>
      <c r="I124" s="4"/>
      <c r="J124" s="141"/>
      <c r="L124" s="124"/>
    </row>
    <row r="125" spans="1:12" s="7" customFormat="1" ht="12">
      <c r="A125" s="86" t="s">
        <v>517</v>
      </c>
      <c r="B125" s="140"/>
      <c r="C125" s="5"/>
      <c r="D125" s="141"/>
      <c r="E125" s="140">
        <f>('maintenance costs'!$L$45)*inflators!$E$15/100</f>
        <v>0.2668151515151515</v>
      </c>
      <c r="F125" s="4">
        <v>7</v>
      </c>
      <c r="G125" s="141">
        <f>E125*(1/(1+inflators!$B$9)^F125)</f>
        <v>0.20275758646857112</v>
      </c>
      <c r="H125" s="140">
        <f>('maintenance costs'!$L$45)*inflators!$E$15/100</f>
        <v>0.2668151515151515</v>
      </c>
      <c r="I125" s="4">
        <v>7</v>
      </c>
      <c r="J125" s="141">
        <f>H125*(1/(1+inflators!$B$9)^I125)</f>
        <v>0.20275758646857112</v>
      </c>
      <c r="L125" s="124"/>
    </row>
    <row r="126" spans="1:12" s="7" customFormat="1" ht="12">
      <c r="A126" s="86" t="s">
        <v>517</v>
      </c>
      <c r="B126" s="140"/>
      <c r="C126" s="5"/>
      <c r="D126" s="141"/>
      <c r="E126" s="140">
        <f>('maintenance costs'!$L$45)*inflators!$E$15/100</f>
        <v>0.2668151515151515</v>
      </c>
      <c r="F126" s="4">
        <v>14</v>
      </c>
      <c r="G126" s="141">
        <f>E126*(1/(1+inflators!$B$9)^F126)</f>
        <v>0.1540791017193248</v>
      </c>
      <c r="H126" s="140">
        <f>('maintenance costs'!$L$45)*inflators!$E$15/100</f>
        <v>0.2668151515151515</v>
      </c>
      <c r="I126" s="4">
        <v>14</v>
      </c>
      <c r="J126" s="141">
        <f>H126*(1/(1+inflators!$B$9)^I126)</f>
        <v>0.1540791017193248</v>
      </c>
      <c r="L126" s="124"/>
    </row>
    <row r="127" spans="1:12" s="7" customFormat="1" ht="12">
      <c r="A127" s="86" t="s">
        <v>517</v>
      </c>
      <c r="B127" s="140"/>
      <c r="C127" s="5"/>
      <c r="D127" s="141"/>
      <c r="E127" s="140">
        <f>('maintenance costs'!$L$45)*inflators!$E$15/100</f>
        <v>0.2668151515151515</v>
      </c>
      <c r="F127" s="4">
        <v>27</v>
      </c>
      <c r="G127" s="141">
        <f>E127*(1/(1+inflators!$B$9)^F127)</f>
        <v>0.09253591570753557</v>
      </c>
      <c r="H127" s="140">
        <f>('maintenance costs'!$L$45)*inflators!$E$15/100</f>
        <v>0.2668151515151515</v>
      </c>
      <c r="I127" s="4">
        <v>27</v>
      </c>
      <c r="J127" s="141">
        <f>H127*(1/(1+inflators!$B$9)^I127)</f>
        <v>0.09253591570753557</v>
      </c>
      <c r="L127" s="124"/>
    </row>
    <row r="128" spans="1:12" s="7" customFormat="1" ht="12">
      <c r="A128" s="86" t="s">
        <v>517</v>
      </c>
      <c r="B128" s="140"/>
      <c r="C128" s="5"/>
      <c r="D128" s="141"/>
      <c r="E128" s="140">
        <f>('maintenance costs'!$L$45)*inflators!$E$15/100</f>
        <v>0.2668151515151515</v>
      </c>
      <c r="F128" s="4">
        <v>34</v>
      </c>
      <c r="G128" s="141">
        <f>E128*(1/(1+inflators!$B$9)^F128)</f>
        <v>0.07031969070712088</v>
      </c>
      <c r="H128" s="140">
        <f>('maintenance costs'!$L$45)*inflators!$E$15/100</f>
        <v>0.2668151515151515</v>
      </c>
      <c r="I128" s="4">
        <v>34</v>
      </c>
      <c r="J128" s="141">
        <f>H128*(1/(1+inflators!$B$9)^I128)</f>
        <v>0.07031969070712088</v>
      </c>
      <c r="L128" s="124"/>
    </row>
    <row r="129" spans="1:12" s="7" customFormat="1" ht="12">
      <c r="A129" s="86" t="s">
        <v>351</v>
      </c>
      <c r="B129" s="140">
        <f>('rehabilitation costs'!$L$90*0.75+'maintenance costs'!$L$45)*inflators!$E$15/100</f>
        <v>1.1889851515151515</v>
      </c>
      <c r="C129" s="4">
        <v>7</v>
      </c>
      <c r="D129" s="141">
        <f>B129*(1/(1+inflators!$B$9)^C129)</f>
        <v>0.9035309962691178</v>
      </c>
      <c r="E129" s="302"/>
      <c r="F129" s="4"/>
      <c r="G129" s="141"/>
      <c r="H129" s="140"/>
      <c r="I129" s="4"/>
      <c r="J129" s="141"/>
      <c r="L129" s="124"/>
    </row>
    <row r="130" spans="1:10" s="7" customFormat="1" ht="12">
      <c r="A130" s="86" t="s">
        <v>351</v>
      </c>
      <c r="B130" s="140">
        <f>('rehabilitation costs'!$L$90*0.75+'maintenance costs'!$L$45)*inflators!$E$15/100</f>
        <v>1.1889851515151515</v>
      </c>
      <c r="C130" s="4">
        <v>14</v>
      </c>
      <c r="D130" s="141">
        <f>B130*(1/(1+inflators!$B$9)^C130)</f>
        <v>0.6866092988451095</v>
      </c>
      <c r="E130" s="302"/>
      <c r="F130" s="4"/>
      <c r="G130" s="141"/>
      <c r="H130" s="130"/>
      <c r="I130" s="4"/>
      <c r="J130" s="141"/>
    </row>
    <row r="131" spans="1:10" s="7" customFormat="1" ht="12">
      <c r="A131" s="86" t="s">
        <v>351</v>
      </c>
      <c r="B131" s="140">
        <f>('rehabilitation costs'!$L$90*0.75+'maintenance costs'!$L$45)*inflators!$E$15/100</f>
        <v>1.1889851515151515</v>
      </c>
      <c r="C131" s="4">
        <v>27</v>
      </c>
      <c r="D131" s="141">
        <f>B131*(1/(1+inflators!$B$9)^C131)</f>
        <v>0.4123597521854736</v>
      </c>
      <c r="E131" s="185"/>
      <c r="F131" s="4"/>
      <c r="G131" s="141"/>
      <c r="H131" s="130"/>
      <c r="I131" s="4"/>
      <c r="J131" s="141"/>
    </row>
    <row r="132" spans="1:12" s="7" customFormat="1" ht="12">
      <c r="A132" s="86" t="s">
        <v>351</v>
      </c>
      <c r="B132" s="140">
        <f>('rehabilitation costs'!$L$90*0.75+'maintenance costs'!$L$45)*inflators!$E$15/100</f>
        <v>1.1889851515151515</v>
      </c>
      <c r="C132" s="4">
        <v>34</v>
      </c>
      <c r="D132" s="141">
        <f>B132*(1/(1+inflators!$B$9)^C132)</f>
        <v>0.3133595211333298</v>
      </c>
      <c r="E132" s="302"/>
      <c r="F132" s="4"/>
      <c r="G132" s="141"/>
      <c r="H132" s="140"/>
      <c r="I132" s="4"/>
      <c r="J132" s="141"/>
      <c r="L132" s="124"/>
    </row>
    <row r="133" spans="1:10" s="7" customFormat="1" ht="12">
      <c r="A133" s="144" t="s">
        <v>717</v>
      </c>
      <c r="B133" s="188">
        <f>('rehabilitation costs'!$L$89*0.1+'rehabilitation costs'!$L$90*0.75+'maintenance costs'!$L$45)*inflators!$E$15/100</f>
        <v>8.482985151515152</v>
      </c>
      <c r="C133" s="61">
        <v>20</v>
      </c>
      <c r="D133" s="145">
        <f>B133*(1/(1+inflators!$B$9)^C133)</f>
        <v>3.871523687970905</v>
      </c>
      <c r="E133" s="188">
        <f>('rehabilitation costs'!$L$89*0.1+'rehabilitation costs'!$L$90*0.75+'maintenance costs'!$L$45)*inflators!$E$15/100</f>
        <v>8.482985151515152</v>
      </c>
      <c r="F133" s="74">
        <v>20</v>
      </c>
      <c r="G133" s="145">
        <f>E133*(1/(1+inflators!$B$9)^F133)</f>
        <v>3.871523687970905</v>
      </c>
      <c r="H133" s="188">
        <f>('rehabilitation costs'!$L$89*0.1+'rehabilitation costs'!$L$90*0.75+'maintenance costs'!$L$45)*inflators!$E$15/100</f>
        <v>8.482985151515152</v>
      </c>
      <c r="I133" s="74">
        <v>20</v>
      </c>
      <c r="J133" s="145">
        <f>H133*(1/(1+inflators!$B$9)^I133)</f>
        <v>3.871523687970905</v>
      </c>
    </row>
    <row r="134" spans="1:10" s="7" customFormat="1" ht="12">
      <c r="A134" s="190"/>
      <c r="B134" s="289"/>
      <c r="C134" s="193" t="s">
        <v>455</v>
      </c>
      <c r="D134" s="187">
        <f>D122</f>
        <v>17.73247181818182</v>
      </c>
      <c r="F134" s="193" t="s">
        <v>455</v>
      </c>
      <c r="G134" s="187">
        <f>G122</f>
        <v>17.73247181818182</v>
      </c>
      <c r="I134" s="193" t="s">
        <v>455</v>
      </c>
      <c r="J134" s="187">
        <f>J122</f>
        <v>17.73247181818182</v>
      </c>
    </row>
    <row r="135" spans="1:10" s="7" customFormat="1" ht="12">
      <c r="A135" s="190"/>
      <c r="B135" s="289"/>
      <c r="C135" s="146" t="s">
        <v>710</v>
      </c>
      <c r="D135" s="187">
        <f>SUM(D123:D133)</f>
        <v>6.187383256403935</v>
      </c>
      <c r="F135" s="146" t="s">
        <v>710</v>
      </c>
      <c r="G135" s="187">
        <f>SUM(G123:G133)</f>
        <v>5.081454171180556</v>
      </c>
      <c r="I135" s="146" t="s">
        <v>710</v>
      </c>
      <c r="J135" s="187">
        <f>SUM(J123:J133)</f>
        <v>4.391215982573457</v>
      </c>
    </row>
    <row r="136" spans="1:10" s="7" customFormat="1" ht="12">
      <c r="A136" s="9"/>
      <c r="C136" s="146" t="s">
        <v>588</v>
      </c>
      <c r="D136" s="187">
        <v>0</v>
      </c>
      <c r="F136" s="146" t="s">
        <v>588</v>
      </c>
      <c r="G136" s="187">
        <v>0</v>
      </c>
      <c r="I136" s="146" t="s">
        <v>588</v>
      </c>
      <c r="J136" s="187">
        <v>0</v>
      </c>
    </row>
    <row r="137" spans="1:10" s="7" customFormat="1" ht="12">
      <c r="A137" s="9"/>
      <c r="C137" s="274" t="s">
        <v>711</v>
      </c>
      <c r="D137" s="211">
        <f>D134+D135-D136</f>
        <v>23.919855074585755</v>
      </c>
      <c r="F137" s="274" t="s">
        <v>711</v>
      </c>
      <c r="G137" s="211">
        <f>G134+G135-G136</f>
        <v>22.813925989362378</v>
      </c>
      <c r="I137" s="274" t="s">
        <v>711</v>
      </c>
      <c r="J137" s="211">
        <f>J134+J135-J136</f>
        <v>22.123687800755278</v>
      </c>
    </row>
    <row r="138" spans="1:13" s="7" customFormat="1" ht="12">
      <c r="A138" s="9"/>
      <c r="C138" s="274"/>
      <c r="D138" s="189"/>
      <c r="F138" s="274"/>
      <c r="G138" s="189"/>
      <c r="I138" s="274"/>
      <c r="J138" s="189"/>
      <c r="L138" s="274"/>
      <c r="M138" s="189"/>
    </row>
    <row r="139" s="487" customFormat="1" ht="12">
      <c r="A139" s="482" t="s">
        <v>755</v>
      </c>
    </row>
    <row r="140" spans="1:10" s="293" customFormat="1" ht="12">
      <c r="A140" s="190" t="s">
        <v>272</v>
      </c>
      <c r="B140" s="583" t="s">
        <v>311</v>
      </c>
      <c r="C140" s="584"/>
      <c r="D140" s="585"/>
      <c r="E140" s="583" t="s">
        <v>312</v>
      </c>
      <c r="F140" s="584"/>
      <c r="G140" s="585"/>
      <c r="H140" s="583" t="s">
        <v>313</v>
      </c>
      <c r="I140" s="584"/>
      <c r="J140" s="585"/>
    </row>
    <row r="141" spans="1:10" s="293" customFormat="1" ht="12">
      <c r="A141" s="83" t="s">
        <v>23</v>
      </c>
      <c r="B141" s="564" t="s">
        <v>715</v>
      </c>
      <c r="C141" s="564" t="s">
        <v>587</v>
      </c>
      <c r="D141" s="564" t="s">
        <v>533</v>
      </c>
      <c r="E141" s="564" t="s">
        <v>715</v>
      </c>
      <c r="F141" s="564" t="s">
        <v>587</v>
      </c>
      <c r="G141" s="564" t="s">
        <v>533</v>
      </c>
      <c r="H141" s="564" t="s">
        <v>715</v>
      </c>
      <c r="I141" s="564" t="s">
        <v>587</v>
      </c>
      <c r="J141" s="564" t="s">
        <v>533</v>
      </c>
    </row>
    <row r="142" spans="1:10" s="293" customFormat="1" ht="12">
      <c r="A142" s="291" t="s">
        <v>716</v>
      </c>
      <c r="B142" s="632"/>
      <c r="C142" s="632"/>
      <c r="D142" s="633"/>
      <c r="E142" s="632"/>
      <c r="F142" s="632"/>
      <c r="G142" s="633"/>
      <c r="H142" s="632"/>
      <c r="I142" s="632"/>
      <c r="J142" s="633"/>
    </row>
    <row r="143" spans="1:10" s="293" customFormat="1" ht="12">
      <c r="A143" s="85" t="s">
        <v>445</v>
      </c>
      <c r="B143" s="139">
        <f>('new pavement costs'!L81*9+'new pavement costs'!L84+'new pavement costs'!L83/1000*9+'new pavement costs'!L7+'new pavement costs'!L16)*inflators!$E$15/100</f>
        <v>34.757994</v>
      </c>
      <c r="C143" s="87">
        <v>0</v>
      </c>
      <c r="D143" s="290">
        <f>B143*(1/(1+inflators!$B$9)^C143)</f>
        <v>34.757994</v>
      </c>
      <c r="E143" s="186">
        <f>'new pavement costs'!L90*9/(inflators!F15/inflators!E15)</f>
        <v>42.49547826086957</v>
      </c>
      <c r="F143" s="87">
        <v>0</v>
      </c>
      <c r="G143" s="290">
        <f>E143*(1/(1+inflators!$B$9)^F143)</f>
        <v>42.49547826086957</v>
      </c>
      <c r="H143" s="318">
        <f>('new pavement costs'!L87+'new pavement costs'!L84+'new pavement costs'!L8+'new pavement costs'!L15+'new pavement costs'!L83/1000*9)*inflators!$E$15/100</f>
        <v>34.789254</v>
      </c>
      <c r="I143" s="87">
        <v>0</v>
      </c>
      <c r="J143" s="290">
        <f>H143*(1/(1+inflators!$B$9)^I143)</f>
        <v>34.789254</v>
      </c>
    </row>
    <row r="144" spans="1:10" s="293" customFormat="1" ht="12">
      <c r="A144" s="86" t="s">
        <v>156</v>
      </c>
      <c r="B144" s="140">
        <f>('maintenance costs'!$L$79/1000*9*25+'maintenance costs'!$L$80/1000*9*3)*inflators!$E$15/100</f>
        <v>0.33348168</v>
      </c>
      <c r="C144" s="92">
        <v>1</v>
      </c>
      <c r="D144" s="288">
        <f>B144*(1/(1+inflators!$B$9)^C144)</f>
        <v>0.32065546153846153</v>
      </c>
      <c r="E144" s="140">
        <f>('maintenance costs'!$L$79/1000*9*25+'maintenance costs'!$L$80/1000*9*3)*inflators!$E$15/100</f>
        <v>0.33348168</v>
      </c>
      <c r="F144" s="92">
        <v>1</v>
      </c>
      <c r="G144" s="288">
        <f>E144*(1/(1+inflators!$B$9)^F144)</f>
        <v>0.32065546153846153</v>
      </c>
      <c r="H144" s="140">
        <f>('maintenance costs'!$L$79/1000*9*25+'maintenance costs'!$L$80/1000*9*3)*inflators!$E$15/100</f>
        <v>0.33348168</v>
      </c>
      <c r="I144" s="92">
        <v>1</v>
      </c>
      <c r="J144" s="141">
        <f>H144*(1/(1+inflators!$B$9)^I144)</f>
        <v>0.32065546153846153</v>
      </c>
    </row>
    <row r="145" spans="1:10" s="293" customFormat="1" ht="12">
      <c r="A145" s="86" t="s">
        <v>156</v>
      </c>
      <c r="B145" s="140">
        <f>('maintenance costs'!$L$79/1000*9*25+'maintenance costs'!$L$80/1000*9*3)*inflators!$E$15/100</f>
        <v>0.33348168</v>
      </c>
      <c r="C145" s="92">
        <v>2</v>
      </c>
      <c r="D145" s="288">
        <f>B145*(1/(1+inflators!$B$9)^C145)</f>
        <v>0.3083225591715976</v>
      </c>
      <c r="E145" s="140">
        <f>('maintenance costs'!$L$79/1000*9*25+'maintenance costs'!$L$80/1000*9*3)*inflators!$E$15/100</f>
        <v>0.33348168</v>
      </c>
      <c r="F145" s="92">
        <v>2</v>
      </c>
      <c r="G145" s="288">
        <f>E145*(1/(1+inflators!$B$9)^F145)</f>
        <v>0.3083225591715976</v>
      </c>
      <c r="H145" s="140">
        <f>('maintenance costs'!$L$79/1000*9*25+'maintenance costs'!$L$80/1000*9*3)*inflators!$E$15/100</f>
        <v>0.33348168</v>
      </c>
      <c r="I145" s="92">
        <v>2</v>
      </c>
      <c r="J145" s="141">
        <f>H145*(1/(1+inflators!$B$9)^I145)</f>
        <v>0.3083225591715976</v>
      </c>
    </row>
    <row r="146" spans="1:10" s="293" customFormat="1" ht="12">
      <c r="A146" s="86" t="s">
        <v>156</v>
      </c>
      <c r="B146" s="140">
        <f>('maintenance costs'!$L$79/1000*9*25+'maintenance costs'!$L$80/1000*9*3)*inflators!$E$15/100</f>
        <v>0.33348168</v>
      </c>
      <c r="C146" s="92">
        <v>3</v>
      </c>
      <c r="D146" s="288">
        <f>B146*(1/(1+inflators!$B$9)^C146)</f>
        <v>0.2964639992034593</v>
      </c>
      <c r="E146" s="140">
        <f>('maintenance costs'!$L$79/1000*9*25+'maintenance costs'!$L$80/1000*9*3)*inflators!$E$15/100</f>
        <v>0.33348168</v>
      </c>
      <c r="F146" s="92">
        <v>3</v>
      </c>
      <c r="G146" s="288">
        <f>E146*(1/(1+inflators!$B$9)^F146)</f>
        <v>0.2964639992034593</v>
      </c>
      <c r="H146" s="140">
        <f>('maintenance costs'!$L$79/1000*9*25+'maintenance costs'!$L$80/1000*9*3)*inflators!$E$15/100</f>
        <v>0.33348168</v>
      </c>
      <c r="I146" s="92">
        <v>3</v>
      </c>
      <c r="J146" s="141">
        <f>H146*(1/(1+inflators!$B$9)^I146)</f>
        <v>0.2964639992034593</v>
      </c>
    </row>
    <row r="147" spans="1:10" s="293" customFormat="1" ht="12">
      <c r="A147" s="86" t="s">
        <v>156</v>
      </c>
      <c r="B147" s="140">
        <f>('maintenance costs'!$L$79/1000*9*25+'maintenance costs'!$L$80/1000*9*3)*inflators!$E$15/100</f>
        <v>0.33348168</v>
      </c>
      <c r="C147" s="92">
        <v>4</v>
      </c>
      <c r="D147" s="288">
        <f>B147*(1/(1+inflators!$B$9)^C147)</f>
        <v>0.28506153769563386</v>
      </c>
      <c r="E147" s="140">
        <f>('maintenance costs'!$L$79/1000*9*25+'maintenance costs'!$L$80/1000*9*3)*inflators!$E$15/100</f>
        <v>0.33348168</v>
      </c>
      <c r="F147" s="92">
        <v>4</v>
      </c>
      <c r="G147" s="288">
        <f>E147*(1/(1+inflators!$B$9)^F147)</f>
        <v>0.28506153769563386</v>
      </c>
      <c r="H147" s="140">
        <f>('maintenance costs'!$L$79/1000*9*25+'maintenance costs'!$L$80/1000*9*3)*inflators!$E$15/100</f>
        <v>0.33348168</v>
      </c>
      <c r="I147" s="92">
        <v>4</v>
      </c>
      <c r="J147" s="141">
        <f>H147*(1/(1+inflators!$B$9)^I147)</f>
        <v>0.28506153769563386</v>
      </c>
    </row>
    <row r="148" spans="1:10" s="293" customFormat="1" ht="12">
      <c r="A148" s="86" t="s">
        <v>156</v>
      </c>
      <c r="B148" s="140">
        <f>('maintenance costs'!$L$79/1000*9*25+'maintenance costs'!$L$80/1000*9*3)*inflators!$E$15/100</f>
        <v>0.33348168</v>
      </c>
      <c r="C148" s="92">
        <v>5</v>
      </c>
      <c r="D148" s="288">
        <f>B148*(1/(1+inflators!$B$9)^C148)</f>
        <v>0.2740976323996479</v>
      </c>
      <c r="E148" s="140">
        <f>('maintenance costs'!$L$79/1000*9*25+'maintenance costs'!$L$80/1000*9*3)*inflators!$E$15/100</f>
        <v>0.33348168</v>
      </c>
      <c r="F148" s="92">
        <v>5</v>
      </c>
      <c r="G148" s="288">
        <f>E148*(1/(1+inflators!$B$9)^F148)</f>
        <v>0.2740976323996479</v>
      </c>
      <c r="H148" s="140">
        <f>('maintenance costs'!$L$79/1000*9*25+'maintenance costs'!$L$80/1000*9*3)*inflators!$E$15/100</f>
        <v>0.33348168</v>
      </c>
      <c r="I148" s="92">
        <v>5</v>
      </c>
      <c r="J148" s="141">
        <f>H148*(1/(1+inflators!$B$9)^I148)</f>
        <v>0.2740976323996479</v>
      </c>
    </row>
    <row r="149" spans="1:10" s="293" customFormat="1" ht="12">
      <c r="A149" s="86" t="s">
        <v>156</v>
      </c>
      <c r="B149" s="140">
        <f>('maintenance costs'!$L$79/1000*9*25+'maintenance costs'!$L$80/1000*9*3)*inflators!$E$15/100</f>
        <v>0.33348168</v>
      </c>
      <c r="C149" s="92">
        <v>6</v>
      </c>
      <c r="D149" s="288">
        <f>B149*(1/(1+inflators!$B$9)^C149)</f>
        <v>0.26355541576889224</v>
      </c>
      <c r="E149" s="140">
        <f>('maintenance costs'!$L$79/1000*9*25+'maintenance costs'!$L$80/1000*9*3)*inflators!$E$15/100</f>
        <v>0.33348168</v>
      </c>
      <c r="F149" s="92">
        <v>6</v>
      </c>
      <c r="G149" s="288">
        <f>E149*(1/(1+inflators!$B$9)^F149)</f>
        <v>0.26355541576889224</v>
      </c>
      <c r="H149" s="140">
        <f>('maintenance costs'!$L$79/1000*9*25+'maintenance costs'!$L$80/1000*9*3)*inflators!$E$15/100</f>
        <v>0.33348168</v>
      </c>
      <c r="I149" s="92">
        <v>6</v>
      </c>
      <c r="J149" s="141">
        <f>H149*(1/(1+inflators!$B$9)^I149)</f>
        <v>0.26355541576889224</v>
      </c>
    </row>
    <row r="150" spans="1:10" s="293" customFormat="1" ht="12">
      <c r="A150" s="86" t="s">
        <v>156</v>
      </c>
      <c r="B150" s="140">
        <f>('maintenance costs'!$L$79/1000*9*25+'maintenance costs'!$L$80/1000*9*3)*inflators!$E$15/100</f>
        <v>0.33348168</v>
      </c>
      <c r="C150" s="92">
        <v>7</v>
      </c>
      <c r="D150" s="288">
        <f>B150*(1/(1+inflators!$B$9)^C150)</f>
        <v>0.25341866900855026</v>
      </c>
      <c r="E150" s="140">
        <f>('maintenance costs'!$L$79/1000*9*25+'maintenance costs'!$L$80/1000*9*3)*inflators!$E$15/100</f>
        <v>0.33348168</v>
      </c>
      <c r="F150" s="92">
        <v>7</v>
      </c>
      <c r="G150" s="288">
        <f>E150*(1/(1+inflators!$B$9)^F150)</f>
        <v>0.25341866900855026</v>
      </c>
      <c r="H150" s="140">
        <f>('maintenance costs'!$L$79/1000*9*25+'maintenance costs'!$L$80/1000*9*3)*inflators!$E$15/100</f>
        <v>0.33348168</v>
      </c>
      <c r="I150" s="92">
        <v>7</v>
      </c>
      <c r="J150" s="141">
        <f>H150*(1/(1+inflators!$B$9)^I150)</f>
        <v>0.25341866900855026</v>
      </c>
    </row>
    <row r="151" spans="1:10" s="293" customFormat="1" ht="12">
      <c r="A151" s="86" t="s">
        <v>156</v>
      </c>
      <c r="B151" s="140">
        <f>('maintenance costs'!$L$79/1000*9*25+'maintenance costs'!$L$80/1000*9*3)*inflators!$E$15/100</f>
        <v>0.33348168</v>
      </c>
      <c r="C151" s="92">
        <v>8</v>
      </c>
      <c r="D151" s="288">
        <f>B151*(1/(1+inflators!$B$9)^C151)</f>
        <v>0.24367179712360595</v>
      </c>
      <c r="E151" s="140">
        <f>('maintenance costs'!$L$79/1000*9*25+'maintenance costs'!$L$80/1000*9*3)*inflators!$E$15/100</f>
        <v>0.33348168</v>
      </c>
      <c r="F151" s="92">
        <v>8</v>
      </c>
      <c r="G151" s="288">
        <f>E151*(1/(1+inflators!$B$9)^F151)</f>
        <v>0.24367179712360595</v>
      </c>
      <c r="H151" s="140">
        <f>('maintenance costs'!$L$79/1000*9*25+'maintenance costs'!$L$80/1000*9*3)*inflators!$E$15/100</f>
        <v>0.33348168</v>
      </c>
      <c r="I151" s="92">
        <v>8</v>
      </c>
      <c r="J151" s="141">
        <f>H151*(1/(1+inflators!$B$9)^I151)</f>
        <v>0.24367179712360595</v>
      </c>
    </row>
    <row r="152" spans="1:10" s="293" customFormat="1" ht="12">
      <c r="A152" s="86" t="s">
        <v>156</v>
      </c>
      <c r="B152" s="140">
        <f>('maintenance costs'!$L$79/1000*9*25+'maintenance costs'!$L$80/1000*9*3)*inflators!$E$15/100</f>
        <v>0.33348168</v>
      </c>
      <c r="C152" s="92">
        <v>9</v>
      </c>
      <c r="D152" s="288">
        <f>B152*(1/(1+inflators!$B$9)^C152)</f>
        <v>0.23429980492654415</v>
      </c>
      <c r="E152" s="140">
        <f>('maintenance costs'!$L$79/1000*9*25+'maintenance costs'!$L$80/1000*9*3)*inflators!$E$15/100</f>
        <v>0.33348168</v>
      </c>
      <c r="F152" s="92">
        <v>9</v>
      </c>
      <c r="G152" s="288">
        <f>E152*(1/(1+inflators!$B$9)^F152)</f>
        <v>0.23429980492654415</v>
      </c>
      <c r="H152" s="140">
        <f>('maintenance costs'!$L$79/1000*9*25+'maintenance costs'!$L$80/1000*9*3)*inflators!$E$15/100</f>
        <v>0.33348168</v>
      </c>
      <c r="I152" s="92">
        <v>9</v>
      </c>
      <c r="J152" s="141">
        <f>H152*(1/(1+inflators!$B$9)^I152)</f>
        <v>0.23429980492654415</v>
      </c>
    </row>
    <row r="153" spans="1:10" s="293" customFormat="1" ht="12">
      <c r="A153" s="86" t="s">
        <v>156</v>
      </c>
      <c r="B153" s="140">
        <f>('maintenance costs'!$L$79/1000*9*25+'maintenance costs'!$L$80/1000*9*3)*inflators!$E$15/100</f>
        <v>0.33348168</v>
      </c>
      <c r="C153" s="92">
        <v>10</v>
      </c>
      <c r="D153" s="288">
        <f>B153*(1/(1+inflators!$B$9)^C153)</f>
        <v>0.2252882739678309</v>
      </c>
      <c r="E153" s="140">
        <f>('maintenance costs'!$L$79/1000*9*25+'maintenance costs'!$L$80/1000*9*3)*inflators!$E$15/100</f>
        <v>0.33348168</v>
      </c>
      <c r="F153" s="92">
        <v>10</v>
      </c>
      <c r="G153" s="288">
        <f>E153*(1/(1+inflators!$B$9)^F153)</f>
        <v>0.2252882739678309</v>
      </c>
      <c r="H153" s="140">
        <f>('maintenance costs'!$L$79/1000*9*25+'maintenance costs'!$L$80/1000*9*3)*inflators!$E$15/100</f>
        <v>0.33348168</v>
      </c>
      <c r="I153" s="92">
        <v>10</v>
      </c>
      <c r="J153" s="141">
        <f>H153*(1/(1+inflators!$B$9)^I153)</f>
        <v>0.2252882739678309</v>
      </c>
    </row>
    <row r="154" spans="1:10" s="293" customFormat="1" ht="12">
      <c r="A154" s="86" t="s">
        <v>156</v>
      </c>
      <c r="B154" s="140">
        <f>('maintenance costs'!$L$79/1000*9*25+'maintenance costs'!$L$80/1000*9*3)*inflators!$E$15/100</f>
        <v>0.33348168</v>
      </c>
      <c r="C154" s="92">
        <v>11</v>
      </c>
      <c r="D154" s="288">
        <f>B154*(1/(1+inflators!$B$9)^C154)</f>
        <v>0.2166233403536836</v>
      </c>
      <c r="E154" s="140">
        <f>('maintenance costs'!$L$79/1000*9*25+'maintenance costs'!$L$80/1000*9*3)*inflators!$E$15/100</f>
        <v>0.33348168</v>
      </c>
      <c r="F154" s="92">
        <v>11</v>
      </c>
      <c r="G154" s="288">
        <f>E154*(1/(1+inflators!$B$9)^F154)</f>
        <v>0.2166233403536836</v>
      </c>
      <c r="H154" s="140">
        <f>('maintenance costs'!$L$79/1000*9*25+'maintenance costs'!$L$80/1000*9*3)*inflators!$E$15/100</f>
        <v>0.33348168</v>
      </c>
      <c r="I154" s="92">
        <v>11</v>
      </c>
      <c r="J154" s="141">
        <f>H154*(1/(1+inflators!$B$9)^I154)</f>
        <v>0.2166233403536836</v>
      </c>
    </row>
    <row r="155" spans="1:10" s="293" customFormat="1" ht="12">
      <c r="A155" s="86" t="s">
        <v>156</v>
      </c>
      <c r="B155" s="140">
        <f>('maintenance costs'!$L$79/1000*9*25+'maintenance costs'!$L$80/1000*9*3)*inflators!$E$15/100</f>
        <v>0.33348168</v>
      </c>
      <c r="C155" s="92">
        <v>12</v>
      </c>
      <c r="D155" s="288">
        <f>B155*(1/(1+inflators!$B$9)^C155)</f>
        <v>0.20829167341700341</v>
      </c>
      <c r="E155" s="140">
        <f>('maintenance costs'!$L$79/1000*9*25+'maintenance costs'!$L$80/1000*9*3)*inflators!$E$15/100</f>
        <v>0.33348168</v>
      </c>
      <c r="F155" s="92">
        <v>12</v>
      </c>
      <c r="G155" s="288">
        <f>E155*(1/(1+inflators!$B$9)^F155)</f>
        <v>0.20829167341700341</v>
      </c>
      <c r="H155" s="140">
        <f>('maintenance costs'!$L$79/1000*9*25+'maintenance costs'!$L$80/1000*9*3)*inflators!$E$15/100</f>
        <v>0.33348168</v>
      </c>
      <c r="I155" s="92">
        <v>12</v>
      </c>
      <c r="J155" s="141">
        <f>H155*(1/(1+inflators!$B$9)^I155)</f>
        <v>0.20829167341700341</v>
      </c>
    </row>
    <row r="156" spans="1:10" s="293" customFormat="1" ht="12">
      <c r="A156" s="86" t="s">
        <v>156</v>
      </c>
      <c r="B156" s="140">
        <f>('maintenance costs'!$L$79/1000*9*25+'maintenance costs'!$L$80/1000*9*3)*inflators!$E$15/100</f>
        <v>0.33348168</v>
      </c>
      <c r="C156" s="92">
        <v>13</v>
      </c>
      <c r="D156" s="288">
        <f>B156*(1/(1+inflators!$B$9)^C156)</f>
        <v>0.20028045520865712</v>
      </c>
      <c r="E156" s="140">
        <f>('maintenance costs'!$L$79/1000*9*25+'maintenance costs'!$L$80/1000*9*3)*inflators!$E$15/100</f>
        <v>0.33348168</v>
      </c>
      <c r="F156" s="92">
        <v>13</v>
      </c>
      <c r="G156" s="288">
        <f>E156*(1/(1+inflators!$B$9)^F156)</f>
        <v>0.20028045520865712</v>
      </c>
      <c r="H156" s="140">
        <f>('maintenance costs'!$L$79/1000*9*25+'maintenance costs'!$L$80/1000*9*3)*inflators!$E$15/100</f>
        <v>0.33348168</v>
      </c>
      <c r="I156" s="92">
        <v>13</v>
      </c>
      <c r="J156" s="141">
        <f>H156*(1/(1+inflators!$B$9)^I156)</f>
        <v>0.20028045520865712</v>
      </c>
    </row>
    <row r="157" spans="1:10" s="293" customFormat="1" ht="12">
      <c r="A157" s="86" t="s">
        <v>156</v>
      </c>
      <c r="B157" s="140">
        <f>('maintenance costs'!$L$79/1000*9*25+'maintenance costs'!$L$80/1000*9*3)*inflators!$E$15/100</f>
        <v>0.33348168</v>
      </c>
      <c r="C157" s="92">
        <v>14</v>
      </c>
      <c r="D157" s="288">
        <f>B157*(1/(1+inflators!$B$9)^C157)</f>
        <v>0.19257736077755494</v>
      </c>
      <c r="E157" s="140">
        <f>('maintenance costs'!$L$79/1000*9*25+'maintenance costs'!$L$80/1000*9*3)*inflators!$E$15/100</f>
        <v>0.33348168</v>
      </c>
      <c r="F157" s="92">
        <v>14</v>
      </c>
      <c r="G157" s="288">
        <f>E157*(1/(1+inflators!$B$9)^F157)</f>
        <v>0.19257736077755494</v>
      </c>
      <c r="H157" s="140">
        <f>('maintenance costs'!$L$79/1000*9*25+'maintenance costs'!$L$80/1000*9*3)*inflators!$E$15/100</f>
        <v>0.33348168</v>
      </c>
      <c r="I157" s="92">
        <v>14</v>
      </c>
      <c r="J157" s="141">
        <f>H157*(1/(1+inflators!$B$9)^I157)</f>
        <v>0.19257736077755494</v>
      </c>
    </row>
    <row r="158" spans="1:10" s="293" customFormat="1" ht="12">
      <c r="A158" s="86" t="s">
        <v>156</v>
      </c>
      <c r="B158" s="140">
        <f>('maintenance costs'!$L$79/1000*9*25+'maintenance costs'!$L$80/1000*9*3)*inflators!$E$15/100</f>
        <v>0.33348168</v>
      </c>
      <c r="C158" s="92">
        <v>15</v>
      </c>
      <c r="D158" s="288">
        <f>B158*(1/(1+inflators!$B$9)^C158)</f>
        <v>0.18517053920918744</v>
      </c>
      <c r="E158" s="140">
        <f>('maintenance costs'!$L$79/1000*9*25+'maintenance costs'!$L$80/1000*9*3)*inflators!$E$15/100</f>
        <v>0.33348168</v>
      </c>
      <c r="F158" s="92">
        <v>15</v>
      </c>
      <c r="G158" s="288">
        <f>E158*(1/(1+inflators!$B$9)^F158)</f>
        <v>0.18517053920918744</v>
      </c>
      <c r="H158" s="140">
        <f>('maintenance costs'!$L$79/1000*9*25+'maintenance costs'!$L$80/1000*9*3)*inflators!$E$15/100</f>
        <v>0.33348168</v>
      </c>
      <c r="I158" s="92">
        <v>15</v>
      </c>
      <c r="J158" s="141">
        <f>H158*(1/(1+inflators!$B$9)^I158)</f>
        <v>0.18517053920918744</v>
      </c>
    </row>
    <row r="159" spans="1:10" s="293" customFormat="1" ht="12">
      <c r="A159" s="86" t="s">
        <v>156</v>
      </c>
      <c r="B159" s="140">
        <f>('maintenance costs'!$L$79/1000*9*25+'maintenance costs'!$L$80/1000*9*3)*inflators!$E$15/100</f>
        <v>0.33348168</v>
      </c>
      <c r="C159" s="92">
        <v>16</v>
      </c>
      <c r="D159" s="288">
        <f>B159*(1/(1+inflators!$B$9)^C159)</f>
        <v>0.17804859539344942</v>
      </c>
      <c r="E159" s="140">
        <f>('maintenance costs'!$L$79/1000*9*25+'maintenance costs'!$L$80/1000*9*3)*inflators!$E$15/100</f>
        <v>0.33348168</v>
      </c>
      <c r="F159" s="92">
        <v>16</v>
      </c>
      <c r="G159" s="288">
        <f>E159*(1/(1+inflators!$B$9)^F159)</f>
        <v>0.17804859539344942</v>
      </c>
      <c r="H159" s="140">
        <f>('maintenance costs'!$L$79/1000*9*25+'maintenance costs'!$L$80/1000*9*3)*inflators!$E$15/100</f>
        <v>0.33348168</v>
      </c>
      <c r="I159" s="92">
        <v>16</v>
      </c>
      <c r="J159" s="141">
        <f>H159*(1/(1+inflators!$B$9)^I159)</f>
        <v>0.17804859539344942</v>
      </c>
    </row>
    <row r="160" spans="1:10" s="293" customFormat="1" ht="12">
      <c r="A160" s="86" t="s">
        <v>156</v>
      </c>
      <c r="B160" s="140">
        <f>('maintenance costs'!$L$79/1000*9*25+'maintenance costs'!$L$80/1000*9*3)*inflators!$E$15/100</f>
        <v>0.33348168</v>
      </c>
      <c r="C160" s="92">
        <v>17</v>
      </c>
      <c r="D160" s="288">
        <f>B160*(1/(1+inflators!$B$9)^C160)</f>
        <v>0.17120057249370138</v>
      </c>
      <c r="E160" s="140">
        <f>('maintenance costs'!$L$79/1000*9*25+'maintenance costs'!$L$80/1000*9*3)*inflators!$E$15/100</f>
        <v>0.33348168</v>
      </c>
      <c r="F160" s="92">
        <v>17</v>
      </c>
      <c r="G160" s="288">
        <f>E160*(1/(1+inflators!$B$9)^F160)</f>
        <v>0.17120057249370138</v>
      </c>
      <c r="H160" s="140">
        <f>('maintenance costs'!$L$79/1000*9*25+'maintenance costs'!$L$80/1000*9*3)*inflators!$E$15/100</f>
        <v>0.33348168</v>
      </c>
      <c r="I160" s="92">
        <v>17</v>
      </c>
      <c r="J160" s="141">
        <f>H160*(1/(1+inflators!$B$9)^I160)</f>
        <v>0.17120057249370138</v>
      </c>
    </row>
    <row r="161" spans="1:10" s="293" customFormat="1" ht="12">
      <c r="A161" s="86" t="s">
        <v>156</v>
      </c>
      <c r="B161" s="140">
        <f>('maintenance costs'!$L$79/1000*9*25+'maintenance costs'!$L$80/1000*9*3)*inflators!$E$15/100</f>
        <v>0.33348168</v>
      </c>
      <c r="C161" s="92">
        <v>18</v>
      </c>
      <c r="D161" s="288">
        <f>B161*(1/(1+inflators!$B$9)^C161)</f>
        <v>0.16461593509009745</v>
      </c>
      <c r="E161" s="140">
        <f>('maintenance costs'!$L$79/1000*9*25+'maintenance costs'!$L$80/1000*9*3)*inflators!$E$15/100</f>
        <v>0.33348168</v>
      </c>
      <c r="F161" s="92">
        <v>18</v>
      </c>
      <c r="G161" s="288">
        <f>E161*(1/(1+inflators!$B$9)^F161)</f>
        <v>0.16461593509009745</v>
      </c>
      <c r="H161" s="140">
        <f>('maintenance costs'!$L$79/1000*9*25+'maintenance costs'!$L$80/1000*9*3)*inflators!$E$15/100</f>
        <v>0.33348168</v>
      </c>
      <c r="I161" s="92">
        <v>18</v>
      </c>
      <c r="J161" s="141">
        <f>H161*(1/(1+inflators!$B$9)^I161)</f>
        <v>0.16461593509009745</v>
      </c>
    </row>
    <row r="162" spans="1:10" s="293" customFormat="1" ht="12">
      <c r="A162" s="86" t="s">
        <v>156</v>
      </c>
      <c r="B162" s="140">
        <f>('maintenance costs'!$L$79/1000*9*25+'maintenance costs'!$L$80/1000*9*3)*inflators!$E$15/100</f>
        <v>0.33348168</v>
      </c>
      <c r="C162" s="92">
        <v>19</v>
      </c>
      <c r="D162" s="288">
        <f>B162*(1/(1+inflators!$B$9)^C162)</f>
        <v>0.15828455297124755</v>
      </c>
      <c r="E162" s="140">
        <f>('maintenance costs'!$L$79/1000*9*25+'maintenance costs'!$L$80/1000*9*3)*inflators!$E$15/100</f>
        <v>0.33348168</v>
      </c>
      <c r="F162" s="92">
        <v>19</v>
      </c>
      <c r="G162" s="288">
        <f>E162*(1/(1+inflators!$B$9)^F162)</f>
        <v>0.15828455297124755</v>
      </c>
      <c r="H162" s="140">
        <f>('maintenance costs'!$L$79/1000*9*25+'maintenance costs'!$L$80/1000*9*3)*inflators!$E$15/100</f>
        <v>0.33348168</v>
      </c>
      <c r="I162" s="92">
        <v>19</v>
      </c>
      <c r="J162" s="141">
        <f>H162*(1/(1+inflators!$B$9)^I162)</f>
        <v>0.15828455297124755</v>
      </c>
    </row>
    <row r="163" spans="1:10" s="293" customFormat="1" ht="12">
      <c r="A163" s="86" t="s">
        <v>156</v>
      </c>
      <c r="B163" s="140">
        <f>('maintenance costs'!$L$79/1000*9*25+'maintenance costs'!$L$80/1000*9*3)*inflators!$E$15/100</f>
        <v>0.33348168</v>
      </c>
      <c r="C163" s="92">
        <v>20</v>
      </c>
      <c r="D163" s="288">
        <f>B163*(1/(1+inflators!$B$9)^C163)</f>
        <v>0.15219668554927648</v>
      </c>
      <c r="E163" s="140">
        <f>('maintenance costs'!$L$79/1000*9*25+'maintenance costs'!$L$80/1000*9*3)*inflators!$E$15/100</f>
        <v>0.33348168</v>
      </c>
      <c r="F163" s="92">
        <v>20</v>
      </c>
      <c r="G163" s="288">
        <f>E163*(1/(1+inflators!$B$9)^F163)</f>
        <v>0.15219668554927648</v>
      </c>
      <c r="H163" s="140">
        <f>('maintenance costs'!$L$79/1000*9*25+'maintenance costs'!$L$80/1000*9*3)*inflators!$E$15/100</f>
        <v>0.33348168</v>
      </c>
      <c r="I163" s="92">
        <v>20</v>
      </c>
      <c r="J163" s="141">
        <f>H163*(1/(1+inflators!$B$9)^I163)</f>
        <v>0.15219668554927648</v>
      </c>
    </row>
    <row r="164" spans="1:10" s="293" customFormat="1" ht="12">
      <c r="A164" s="86" t="s">
        <v>156</v>
      </c>
      <c r="B164" s="140">
        <f>('maintenance costs'!$L$79/1000*9*25+'maintenance costs'!$L$80/1000*9*3)*inflators!$E$15/100</f>
        <v>0.33348168</v>
      </c>
      <c r="C164" s="92">
        <v>21</v>
      </c>
      <c r="D164" s="288">
        <f>B164*(1/(1+inflators!$B$9)^C164)</f>
        <v>0.1463429668743043</v>
      </c>
      <c r="E164" s="140">
        <f>('maintenance costs'!$L$79/1000*9*25+'maintenance costs'!$L$80/1000*9*3)*inflators!$E$15/100</f>
        <v>0.33348168</v>
      </c>
      <c r="F164" s="92">
        <v>21</v>
      </c>
      <c r="G164" s="288">
        <f>E164*(1/(1+inflators!$B$9)^F164)</f>
        <v>0.1463429668743043</v>
      </c>
      <c r="H164" s="140">
        <f>('maintenance costs'!$L$79/1000*9*25+'maintenance costs'!$L$80/1000*9*3)*inflators!$E$15/100</f>
        <v>0.33348168</v>
      </c>
      <c r="I164" s="92">
        <v>21</v>
      </c>
      <c r="J164" s="141">
        <f>H164*(1/(1+inflators!$B$9)^I164)</f>
        <v>0.1463429668743043</v>
      </c>
    </row>
    <row r="165" spans="1:10" s="293" customFormat="1" ht="12">
      <c r="A165" s="86" t="s">
        <v>156</v>
      </c>
      <c r="B165" s="140">
        <f>('maintenance costs'!$L$79/1000*9*25+'maintenance costs'!$L$80/1000*9*3)*inflators!$E$15/100</f>
        <v>0.33348168</v>
      </c>
      <c r="C165" s="92">
        <v>22</v>
      </c>
      <c r="D165" s="288">
        <f>B165*(1/(1+inflators!$B$9)^C165)</f>
        <v>0.14071439122529258</v>
      </c>
      <c r="E165" s="140">
        <f>('maintenance costs'!$L$79/1000*9*25+'maintenance costs'!$L$80/1000*9*3)*inflators!$E$15/100</f>
        <v>0.33348168</v>
      </c>
      <c r="F165" s="92">
        <v>22</v>
      </c>
      <c r="G165" s="288">
        <f>E165*(1/(1+inflators!$B$9)^F165)</f>
        <v>0.14071439122529258</v>
      </c>
      <c r="H165" s="140">
        <f>('maintenance costs'!$L$79/1000*9*25+'maintenance costs'!$L$80/1000*9*3)*inflators!$E$15/100</f>
        <v>0.33348168</v>
      </c>
      <c r="I165" s="92">
        <v>22</v>
      </c>
      <c r="J165" s="141">
        <f>H165*(1/(1+inflators!$B$9)^I165)</f>
        <v>0.14071439122529258</v>
      </c>
    </row>
    <row r="166" spans="1:10" s="293" customFormat="1" ht="12">
      <c r="A166" s="86" t="s">
        <v>156</v>
      </c>
      <c r="B166" s="140">
        <f>('maintenance costs'!$L$79/1000*9*25+'maintenance costs'!$L$80/1000*9*3)*inflators!$E$15/100</f>
        <v>0.33348168</v>
      </c>
      <c r="C166" s="92">
        <v>23</v>
      </c>
      <c r="D166" s="288">
        <f>B166*(1/(1+inflators!$B$9)^C166)</f>
        <v>0.13530229925508905</v>
      </c>
      <c r="E166" s="140">
        <f>('maintenance costs'!$L$79/1000*9*25+'maintenance costs'!$L$80/1000*9*3)*inflators!$E$15/100</f>
        <v>0.33348168</v>
      </c>
      <c r="F166" s="92">
        <v>23</v>
      </c>
      <c r="G166" s="288">
        <f>E166*(1/(1+inflators!$B$9)^F166)</f>
        <v>0.13530229925508905</v>
      </c>
      <c r="H166" s="140">
        <f>('maintenance costs'!$L$79/1000*9*25+'maintenance costs'!$L$80/1000*9*3)*inflators!$E$15/100</f>
        <v>0.33348168</v>
      </c>
      <c r="I166" s="92">
        <v>23</v>
      </c>
      <c r="J166" s="141">
        <f>H166*(1/(1+inflators!$B$9)^I166)</f>
        <v>0.13530229925508905</v>
      </c>
    </row>
    <row r="167" spans="1:10" s="293" customFormat="1" ht="12">
      <c r="A167" s="86" t="s">
        <v>156</v>
      </c>
      <c r="B167" s="140">
        <f>('maintenance costs'!$L$79/1000*9*25+'maintenance costs'!$L$80/1000*9*3)*inflators!$E$15/100</f>
        <v>0.33348168</v>
      </c>
      <c r="C167" s="92">
        <v>24</v>
      </c>
      <c r="D167" s="288">
        <f>B167*(1/(1+inflators!$B$9)^C167)</f>
        <v>0.13009836466835484</v>
      </c>
      <c r="E167" s="140">
        <f>('maintenance costs'!$L$79/1000*9*25+'maintenance costs'!$L$80/1000*9*3)*inflators!$E$15/100</f>
        <v>0.33348168</v>
      </c>
      <c r="F167" s="92">
        <v>24</v>
      </c>
      <c r="G167" s="288">
        <f>E167*(1/(1+inflators!$B$9)^F167)</f>
        <v>0.13009836466835484</v>
      </c>
      <c r="H167" s="140">
        <f>('maintenance costs'!$L$79/1000*9*25+'maintenance costs'!$L$80/1000*9*3)*inflators!$E$15/100</f>
        <v>0.33348168</v>
      </c>
      <c r="I167" s="92">
        <v>24</v>
      </c>
      <c r="J167" s="141">
        <f>H167*(1/(1+inflators!$B$9)^I167)</f>
        <v>0.13009836466835484</v>
      </c>
    </row>
    <row r="168" spans="1:10" s="293" customFormat="1" ht="12">
      <c r="A168" s="86" t="s">
        <v>156</v>
      </c>
      <c r="B168" s="140">
        <f>('maintenance costs'!$L$79/1000*9*25+'maintenance costs'!$L$80/1000*9*3)*inflators!$E$15/100</f>
        <v>0.33348168</v>
      </c>
      <c r="C168" s="92">
        <v>25</v>
      </c>
      <c r="D168" s="288">
        <f>B168*(1/(1+inflators!$B$9)^C168)</f>
        <v>0.12509458141187962</v>
      </c>
      <c r="E168" s="140">
        <f>('maintenance costs'!$L$79/1000*9*25+'maintenance costs'!$L$80/1000*9*3)*inflators!$E$15/100</f>
        <v>0.33348168</v>
      </c>
      <c r="F168" s="92">
        <v>25</v>
      </c>
      <c r="G168" s="288">
        <f>E168*(1/(1+inflators!$B$9)^F168)</f>
        <v>0.12509458141187962</v>
      </c>
      <c r="H168" s="140">
        <f>('maintenance costs'!$L$79/1000*9*25+'maintenance costs'!$L$80/1000*9*3)*inflators!$E$15/100</f>
        <v>0.33348168</v>
      </c>
      <c r="I168" s="92">
        <v>25</v>
      </c>
      <c r="J168" s="141">
        <f>H168*(1/(1+inflators!$B$9)^I168)</f>
        <v>0.12509458141187962</v>
      </c>
    </row>
    <row r="169" spans="1:10" s="293" customFormat="1" ht="12">
      <c r="A169" s="86" t="s">
        <v>156</v>
      </c>
      <c r="B169" s="140">
        <f>('maintenance costs'!$L$79/1000*9*25+'maintenance costs'!$L$80/1000*9*3)*inflators!$E$15/100</f>
        <v>0.33348168</v>
      </c>
      <c r="C169" s="92">
        <v>26</v>
      </c>
      <c r="D169" s="288">
        <f>B169*(1/(1+inflators!$B$9)^C169)</f>
        <v>0.12028325135757659</v>
      </c>
      <c r="E169" s="140">
        <f>('maintenance costs'!$L$79/1000*9*25+'maintenance costs'!$L$80/1000*9*3)*inflators!$E$15/100</f>
        <v>0.33348168</v>
      </c>
      <c r="F169" s="92">
        <v>26</v>
      </c>
      <c r="G169" s="288">
        <f>E169*(1/(1+inflators!$B$9)^F169)</f>
        <v>0.12028325135757659</v>
      </c>
      <c r="H169" s="140">
        <f>('maintenance costs'!$L$79/1000*9*25+'maintenance costs'!$L$80/1000*9*3)*inflators!$E$15/100</f>
        <v>0.33348168</v>
      </c>
      <c r="I169" s="92">
        <v>26</v>
      </c>
      <c r="J169" s="141">
        <f>H169*(1/(1+inflators!$B$9)^I169)</f>
        <v>0.12028325135757659</v>
      </c>
    </row>
    <row r="170" spans="1:10" s="293" customFormat="1" ht="12">
      <c r="A170" s="86" t="s">
        <v>156</v>
      </c>
      <c r="B170" s="140">
        <f>('maintenance costs'!$L$79/1000*9*25+'maintenance costs'!$L$80/1000*9*3)*inflators!$E$15/100</f>
        <v>0.33348168</v>
      </c>
      <c r="C170" s="92">
        <v>27</v>
      </c>
      <c r="D170" s="288">
        <f>B170*(1/(1+inflators!$B$9)^C170)</f>
        <v>0.11565697245920824</v>
      </c>
      <c r="E170" s="140">
        <f>('maintenance costs'!$L$79/1000*9*25+'maintenance costs'!$L$80/1000*9*3)*inflators!$E$15/100</f>
        <v>0.33348168</v>
      </c>
      <c r="F170" s="92">
        <v>27</v>
      </c>
      <c r="G170" s="288">
        <f>E170*(1/(1+inflators!$B$9)^F170)</f>
        <v>0.11565697245920824</v>
      </c>
      <c r="H170" s="140">
        <f>('maintenance costs'!$L$79/1000*9*25+'maintenance costs'!$L$80/1000*9*3)*inflators!$E$15/100</f>
        <v>0.33348168</v>
      </c>
      <c r="I170" s="92">
        <v>27</v>
      </c>
      <c r="J170" s="141">
        <f>H170*(1/(1+inflators!$B$9)^I170)</f>
        <v>0.11565697245920824</v>
      </c>
    </row>
    <row r="171" spans="1:10" s="293" customFormat="1" ht="12">
      <c r="A171" s="86" t="s">
        <v>156</v>
      </c>
      <c r="B171" s="140">
        <f>('maintenance costs'!$L$79/1000*9*25+'maintenance costs'!$L$80/1000*9*3)*inflators!$E$15/100</f>
        <v>0.33348168</v>
      </c>
      <c r="C171" s="92">
        <v>28</v>
      </c>
      <c r="D171" s="288">
        <f>B171*(1/(1+inflators!$B$9)^C171)</f>
        <v>0.1112086273646233</v>
      </c>
      <c r="E171" s="140">
        <f>('maintenance costs'!$L$79/1000*9*25+'maintenance costs'!$L$80/1000*9*3)*inflators!$E$15/100</f>
        <v>0.33348168</v>
      </c>
      <c r="F171" s="92">
        <v>28</v>
      </c>
      <c r="G171" s="288">
        <f>E171*(1/(1+inflators!$B$9)^F171)</f>
        <v>0.1112086273646233</v>
      </c>
      <c r="H171" s="140">
        <f>('maintenance costs'!$L$79/1000*9*25+'maintenance costs'!$L$80/1000*9*3)*inflators!$E$15/100</f>
        <v>0.33348168</v>
      </c>
      <c r="I171" s="92">
        <v>28</v>
      </c>
      <c r="J171" s="141">
        <f>H171*(1/(1+inflators!$B$9)^I171)</f>
        <v>0.1112086273646233</v>
      </c>
    </row>
    <row r="172" spans="1:10" s="293" customFormat="1" ht="12">
      <c r="A172" s="86" t="s">
        <v>156</v>
      </c>
      <c r="B172" s="140">
        <f>('maintenance costs'!$L$79/1000*9*25+'maintenance costs'!$L$80/1000*9*3)*inflators!$E$15/100</f>
        <v>0.33348168</v>
      </c>
      <c r="C172" s="92">
        <v>29</v>
      </c>
      <c r="D172" s="288">
        <f>B172*(1/(1+inflators!$B$9)^C172)</f>
        <v>0.10693137246598393</v>
      </c>
      <c r="E172" s="140">
        <f>('maintenance costs'!$L$79/1000*9*25+'maintenance costs'!$L$80/1000*9*3)*inflators!$E$15/100</f>
        <v>0.33348168</v>
      </c>
      <c r="F172" s="92">
        <v>29</v>
      </c>
      <c r="G172" s="288">
        <f>E172*(1/(1+inflators!$B$9)^F172)</f>
        <v>0.10693137246598393</v>
      </c>
      <c r="H172" s="140">
        <f>('maintenance costs'!$L$79/1000*9*25+'maintenance costs'!$L$80/1000*9*3)*inflators!$E$15/100</f>
        <v>0.33348168</v>
      </c>
      <c r="I172" s="92">
        <v>29</v>
      </c>
      <c r="J172" s="141">
        <f>H172*(1/(1+inflators!$B$9)^I172)</f>
        <v>0.10693137246598393</v>
      </c>
    </row>
    <row r="173" spans="1:10" s="293" customFormat="1" ht="12">
      <c r="A173" s="86" t="s">
        <v>156</v>
      </c>
      <c r="B173" s="140">
        <f>('maintenance costs'!$L$79/1000*9*25+'maintenance costs'!$L$80/1000*9*3)*inflators!$E$15/100</f>
        <v>0.33348168</v>
      </c>
      <c r="C173" s="92">
        <v>30</v>
      </c>
      <c r="D173" s="288">
        <f>B173*(1/(1+inflators!$B$9)^C173)</f>
        <v>0.10281862737113841</v>
      </c>
      <c r="E173" s="140">
        <f>('maintenance costs'!$L$79/1000*9*25+'maintenance costs'!$L$80/1000*9*3)*inflators!$E$15/100</f>
        <v>0.33348168</v>
      </c>
      <c r="F173" s="92">
        <v>30</v>
      </c>
      <c r="G173" s="288">
        <f>E173*(1/(1+inflators!$B$9)^F173)</f>
        <v>0.10281862737113841</v>
      </c>
      <c r="H173" s="140">
        <f>('maintenance costs'!$L$79/1000*9*25+'maintenance costs'!$L$80/1000*9*3)*inflators!$E$15/100</f>
        <v>0.33348168</v>
      </c>
      <c r="I173" s="92">
        <v>30</v>
      </c>
      <c r="J173" s="141">
        <f>H173*(1/(1+inflators!$B$9)^I173)</f>
        <v>0.10281862737113841</v>
      </c>
    </row>
    <row r="174" spans="1:10" s="293" customFormat="1" ht="12">
      <c r="A174" s="86" t="s">
        <v>156</v>
      </c>
      <c r="B174" s="140">
        <f>('maintenance costs'!$L$79/1000*9*25+'maintenance costs'!$L$80/1000*9*3)*inflators!$E$15/100</f>
        <v>0.33348168</v>
      </c>
      <c r="C174" s="92">
        <v>31</v>
      </c>
      <c r="D174" s="288">
        <f>B174*(1/(1+inflators!$B$9)^C174)</f>
        <v>0.09886406477994077</v>
      </c>
      <c r="E174" s="140">
        <f>('maintenance costs'!$L$79/1000*9*25+'maintenance costs'!$L$80/1000*9*3)*inflators!$E$15/100</f>
        <v>0.33348168</v>
      </c>
      <c r="F174" s="92">
        <v>31</v>
      </c>
      <c r="G174" s="288">
        <f>E174*(1/(1+inflators!$B$9)^F174)</f>
        <v>0.09886406477994077</v>
      </c>
      <c r="H174" s="140">
        <f>('maintenance costs'!$L$79/1000*9*25+'maintenance costs'!$L$80/1000*9*3)*inflators!$E$15/100</f>
        <v>0.33348168</v>
      </c>
      <c r="I174" s="92">
        <v>31</v>
      </c>
      <c r="J174" s="141">
        <f>H174*(1/(1+inflators!$B$9)^I174)</f>
        <v>0.09886406477994077</v>
      </c>
    </row>
    <row r="175" spans="1:10" s="293" customFormat="1" ht="12">
      <c r="A175" s="86" t="s">
        <v>156</v>
      </c>
      <c r="B175" s="140">
        <f>('maintenance costs'!$L$79/1000*9*25+'maintenance costs'!$L$80/1000*9*3)*inflators!$E$15/100</f>
        <v>0.33348168</v>
      </c>
      <c r="C175" s="92">
        <v>32</v>
      </c>
      <c r="D175" s="288">
        <f>B175*(1/(1+inflators!$B$9)^C175)</f>
        <v>0.09506160074994303</v>
      </c>
      <c r="E175" s="140">
        <f>('maintenance costs'!$L$79/1000*9*25+'maintenance costs'!$L$80/1000*9*3)*inflators!$E$15/100</f>
        <v>0.33348168</v>
      </c>
      <c r="F175" s="92">
        <v>32</v>
      </c>
      <c r="G175" s="288">
        <f>E175*(1/(1+inflators!$B$9)^F175)</f>
        <v>0.09506160074994303</v>
      </c>
      <c r="H175" s="140">
        <f>('maintenance costs'!$L$79/1000*9*25+'maintenance costs'!$L$80/1000*9*3)*inflators!$E$15/100</f>
        <v>0.33348168</v>
      </c>
      <c r="I175" s="92">
        <v>32</v>
      </c>
      <c r="J175" s="141">
        <f>H175*(1/(1+inflators!$B$9)^I175)</f>
        <v>0.09506160074994303</v>
      </c>
    </row>
    <row r="176" spans="1:10" s="293" customFormat="1" ht="12">
      <c r="A176" s="86" t="s">
        <v>156</v>
      </c>
      <c r="B176" s="140">
        <f>('maintenance costs'!$L$79/1000*9*25+'maintenance costs'!$L$80/1000*9*3)*inflators!$E$15/100</f>
        <v>0.33348168</v>
      </c>
      <c r="C176" s="92">
        <v>33</v>
      </c>
      <c r="D176" s="288">
        <f>B176*(1/(1+inflators!$B$9)^C176)</f>
        <v>0.09140538533648368</v>
      </c>
      <c r="E176" s="140">
        <f>('maintenance costs'!$L$79/1000*9*25+'maintenance costs'!$L$80/1000*9*3)*inflators!$E$15/100</f>
        <v>0.33348168</v>
      </c>
      <c r="F176" s="92">
        <v>33</v>
      </c>
      <c r="G176" s="288">
        <f>E176*(1/(1+inflators!$B$9)^F176)</f>
        <v>0.09140538533648368</v>
      </c>
      <c r="H176" s="140">
        <f>('maintenance costs'!$L$79/1000*9*25+'maintenance costs'!$L$80/1000*9*3)*inflators!$E$15/100</f>
        <v>0.33348168</v>
      </c>
      <c r="I176" s="92">
        <v>33</v>
      </c>
      <c r="J176" s="141">
        <f>H176*(1/(1+inflators!$B$9)^I176)</f>
        <v>0.09140538533648368</v>
      </c>
    </row>
    <row r="177" spans="1:10" s="293" customFormat="1" ht="12">
      <c r="A177" s="86" t="s">
        <v>156</v>
      </c>
      <c r="B177" s="140">
        <f>('maintenance costs'!$L$79/1000*9*25+'maintenance costs'!$L$80/1000*9*3)*inflators!$E$15/100</f>
        <v>0.33348168</v>
      </c>
      <c r="C177" s="92">
        <v>34</v>
      </c>
      <c r="D177" s="288">
        <f>B177*(1/(1+inflators!$B$9)^C177)</f>
        <v>0.08788979359277277</v>
      </c>
      <c r="E177" s="140">
        <f>('maintenance costs'!$L$79/1000*9*25+'maintenance costs'!$L$80/1000*9*3)*inflators!$E$15/100</f>
        <v>0.33348168</v>
      </c>
      <c r="F177" s="92">
        <v>34</v>
      </c>
      <c r="G177" s="288">
        <f>E177*(1/(1+inflators!$B$9)^F177)</f>
        <v>0.08788979359277277</v>
      </c>
      <c r="H177" s="140">
        <f>('maintenance costs'!$L$79/1000*9*25+'maintenance costs'!$L$80/1000*9*3)*inflators!$E$15/100</f>
        <v>0.33348168</v>
      </c>
      <c r="I177" s="92">
        <v>34</v>
      </c>
      <c r="J177" s="141">
        <f>H177*(1/(1+inflators!$B$9)^I177)</f>
        <v>0.08788979359277277</v>
      </c>
    </row>
    <row r="178" spans="1:10" s="293" customFormat="1" ht="12">
      <c r="A178" s="144" t="s">
        <v>156</v>
      </c>
      <c r="B178" s="149">
        <f>('maintenance costs'!$L$79/1000*9*25+'maintenance costs'!$L$80/1000*9*3)*inflators!$E$15/100</f>
        <v>0.33348168</v>
      </c>
      <c r="C178" s="303">
        <v>35</v>
      </c>
      <c r="D178" s="304">
        <f>B178*(1/(1+inflators!$B$9)^C178)</f>
        <v>0.08450941691612765</v>
      </c>
      <c r="E178" s="149">
        <f>('maintenance costs'!$L$79/1000*9*25+'maintenance costs'!$L$80/1000*9*3)*inflators!$E$15/100</f>
        <v>0.33348168</v>
      </c>
      <c r="F178" s="303">
        <v>35</v>
      </c>
      <c r="G178" s="304">
        <f>E178*(1/(1+inflators!$B$9)^F178)</f>
        <v>0.08450941691612765</v>
      </c>
      <c r="H178" s="149">
        <f>('maintenance costs'!$L$79/1000*9*25+'maintenance costs'!$L$80/1000*9*3)*inflators!$E$15/100</f>
        <v>0.33348168</v>
      </c>
      <c r="I178" s="303">
        <v>35</v>
      </c>
      <c r="J178" s="145">
        <f>H178*(1/(1+inflators!$B$9)^I178)</f>
        <v>0.08450941691612765</v>
      </c>
    </row>
    <row r="179" spans="1:10" s="293" customFormat="1" ht="12">
      <c r="A179" s="190"/>
      <c r="C179" s="193" t="s">
        <v>455</v>
      </c>
      <c r="D179" s="187">
        <f>D143</f>
        <v>34.757994</v>
      </c>
      <c r="F179" s="193" t="s">
        <v>455</v>
      </c>
      <c r="G179" s="187">
        <f>G143</f>
        <v>42.49547826086957</v>
      </c>
      <c r="I179" s="193" t="s">
        <v>455</v>
      </c>
      <c r="J179" s="187">
        <f>J143</f>
        <v>34.789254</v>
      </c>
    </row>
    <row r="180" spans="1:10" s="293" customFormat="1" ht="12">
      <c r="A180" s="190"/>
      <c r="C180" s="146" t="s">
        <v>710</v>
      </c>
      <c r="D180" s="187">
        <f>SUM(D144:D178)</f>
        <v>6.224306577096798</v>
      </c>
      <c r="F180" s="146" t="s">
        <v>710</v>
      </c>
      <c r="G180" s="187">
        <f>SUM(G144:G178)</f>
        <v>6.224306577096798</v>
      </c>
      <c r="I180" s="146" t="s">
        <v>710</v>
      </c>
      <c r="J180" s="187">
        <f>SUM(J144:J178)</f>
        <v>6.224306577096798</v>
      </c>
    </row>
    <row r="181" spans="1:10" s="293" customFormat="1" ht="12">
      <c r="A181" s="292"/>
      <c r="C181" s="146" t="s">
        <v>588</v>
      </c>
      <c r="D181" s="187">
        <v>0</v>
      </c>
      <c r="F181" s="146" t="s">
        <v>588</v>
      </c>
      <c r="G181" s="187">
        <v>0</v>
      </c>
      <c r="I181" s="146" t="s">
        <v>588</v>
      </c>
      <c r="J181" s="187">
        <v>0</v>
      </c>
    </row>
    <row r="182" spans="3:10" s="299" customFormat="1" ht="12">
      <c r="C182" s="274" t="s">
        <v>711</v>
      </c>
      <c r="D182" s="211">
        <f>D179+D180-D181</f>
        <v>40.982300577096794</v>
      </c>
      <c r="F182" s="274" t="s">
        <v>711</v>
      </c>
      <c r="G182" s="211">
        <f>G179+G180-G181</f>
        <v>48.719784837966365</v>
      </c>
      <c r="I182" s="274" t="s">
        <v>711</v>
      </c>
      <c r="J182" s="211">
        <f>J179+J180-J181</f>
        <v>41.0135605770968</v>
      </c>
    </row>
    <row r="183" spans="3:10" s="299" customFormat="1" ht="12">
      <c r="C183" s="274"/>
      <c r="D183" s="189"/>
      <c r="F183" s="274"/>
      <c r="G183" s="189"/>
      <c r="I183" s="274"/>
      <c r="J183" s="189"/>
    </row>
    <row r="184" s="487" customFormat="1" ht="12">
      <c r="A184" s="482" t="s">
        <v>756</v>
      </c>
    </row>
    <row r="185" spans="1:4" s="293" customFormat="1" ht="12">
      <c r="A185" s="190" t="s">
        <v>24</v>
      </c>
      <c r="B185" s="583" t="s">
        <v>676</v>
      </c>
      <c r="C185" s="584"/>
      <c r="D185" s="585"/>
    </row>
    <row r="186" spans="1:4" s="293" customFormat="1" ht="12">
      <c r="A186" s="83" t="s">
        <v>21</v>
      </c>
      <c r="B186" s="564" t="s">
        <v>715</v>
      </c>
      <c r="C186" s="564" t="s">
        <v>587</v>
      </c>
      <c r="D186" s="564" t="s">
        <v>533</v>
      </c>
    </row>
    <row r="187" spans="1:4" s="293" customFormat="1" ht="12">
      <c r="A187" s="291" t="s">
        <v>716</v>
      </c>
      <c r="B187" s="632"/>
      <c r="C187" s="632"/>
      <c r="D187" s="633"/>
    </row>
    <row r="188" spans="1:4" s="293" customFormat="1" ht="12">
      <c r="A188" s="85" t="s">
        <v>445</v>
      </c>
      <c r="B188" s="139">
        <f>('new pavement costs'!L93)*inflators!$E$15/100</f>
        <v>27.092000000000002</v>
      </c>
      <c r="C188" s="87">
        <v>0</v>
      </c>
      <c r="D188" s="290">
        <f>B188*(1/(1+inflators!$B$9)^C188)</f>
        <v>27.092000000000002</v>
      </c>
    </row>
    <row r="189" spans="1:4" s="293" customFormat="1" ht="12">
      <c r="A189" s="86" t="s">
        <v>222</v>
      </c>
      <c r="B189" s="140">
        <f>('maintenance costs'!$L$85)*inflators!$E$15/100</f>
        <v>1.4587999999999999</v>
      </c>
      <c r="C189" s="92">
        <v>5</v>
      </c>
      <c r="D189" s="141">
        <f>B189*(1/(1+inflators!$B$9)^C189)</f>
        <v>1.1990272633405419</v>
      </c>
    </row>
    <row r="190" spans="1:4" s="293" customFormat="1" ht="12">
      <c r="A190" s="86" t="s">
        <v>222</v>
      </c>
      <c r="B190" s="140">
        <f>('maintenance costs'!$L$85)*inflators!$E$15/100</f>
        <v>1.4587999999999999</v>
      </c>
      <c r="C190" s="92">
        <v>10</v>
      </c>
      <c r="D190" s="141">
        <f>B190*(1/(1+inflators!$B$9)^C190)</f>
        <v>0.9855130094830747</v>
      </c>
    </row>
    <row r="191" spans="1:4" s="293" customFormat="1" ht="12">
      <c r="A191" s="86" t="s">
        <v>222</v>
      </c>
      <c r="B191" s="140">
        <f>('maintenance costs'!$L$85)*inflators!$E$15/100</f>
        <v>1.4587999999999999</v>
      </c>
      <c r="C191" s="92">
        <v>15</v>
      </c>
      <c r="D191" s="141">
        <f>B191*(1/(1+inflators!$B$9)^C191)</f>
        <v>0.8100198565581251</v>
      </c>
    </row>
    <row r="192" spans="1:4" s="293" customFormat="1" ht="12">
      <c r="A192" s="86" t="s">
        <v>222</v>
      </c>
      <c r="B192" s="140">
        <f>('maintenance costs'!$L$85)*inflators!$E$15/100</f>
        <v>1.4587999999999999</v>
      </c>
      <c r="C192" s="92">
        <v>20</v>
      </c>
      <c r="D192" s="141">
        <f>B192*(1/(1+inflators!$B$9)^C192)</f>
        <v>0.6657772771184448</v>
      </c>
    </row>
    <row r="193" spans="1:4" s="293" customFormat="1" ht="12">
      <c r="A193" s="86" t="s">
        <v>222</v>
      </c>
      <c r="B193" s="140">
        <f>('maintenance costs'!$L$85)*inflators!$E$15/100</f>
        <v>1.4587999999999999</v>
      </c>
      <c r="C193" s="92">
        <v>30</v>
      </c>
      <c r="D193" s="141">
        <f>B193*(1/(1+inflators!$B$9)^C193)</f>
        <v>0.44977527283962554</v>
      </c>
    </row>
    <row r="194" spans="1:4" s="293" customFormat="1" ht="12">
      <c r="A194" s="86" t="s">
        <v>222</v>
      </c>
      <c r="B194" s="140">
        <f>('maintenance costs'!$L$85)*inflators!$E$15/100</f>
        <v>1.4587999999999999</v>
      </c>
      <c r="C194" s="92">
        <v>35</v>
      </c>
      <c r="D194" s="141">
        <f>B194*(1/(1+inflators!$B$9)^C194)</f>
        <v>0.36968248869697135</v>
      </c>
    </row>
    <row r="195" spans="1:4" s="293" customFormat="1" ht="12">
      <c r="A195" s="144" t="s">
        <v>222</v>
      </c>
      <c r="B195" s="149">
        <f>('maintenance costs'!$L$85)*inflators!$E$15/100</f>
        <v>1.4587999999999999</v>
      </c>
      <c r="C195" s="303">
        <v>25</v>
      </c>
      <c r="D195" s="145">
        <f>B195*(1/(1+inflators!$B$9)^C195)</f>
        <v>0.5472203911280823</v>
      </c>
    </row>
    <row r="196" spans="1:4" s="293" customFormat="1" ht="12">
      <c r="A196" s="190"/>
      <c r="B196" s="289"/>
      <c r="C196" s="193" t="s">
        <v>455</v>
      </c>
      <c r="D196" s="187">
        <f>D188</f>
        <v>27.092000000000002</v>
      </c>
    </row>
    <row r="197" spans="1:4" s="293" customFormat="1" ht="12">
      <c r="A197" s="190"/>
      <c r="B197" s="289"/>
      <c r="C197" s="146" t="s">
        <v>710</v>
      </c>
      <c r="D197" s="187">
        <f>SUM(D189:D195)</f>
        <v>5.027015559164865</v>
      </c>
    </row>
    <row r="198" spans="1:4" s="293" customFormat="1" ht="12">
      <c r="A198" s="190"/>
      <c r="B198" s="289"/>
      <c r="C198" s="146" t="s">
        <v>588</v>
      </c>
      <c r="D198" s="187">
        <v>0</v>
      </c>
    </row>
    <row r="199" spans="1:4" s="293" customFormat="1" ht="12">
      <c r="A199" s="292"/>
      <c r="C199" s="274" t="s">
        <v>711</v>
      </c>
      <c r="D199" s="211">
        <f>D196+D197-D198</f>
        <v>32.119015559164865</v>
      </c>
    </row>
    <row r="200" s="7" customFormat="1" ht="12">
      <c r="A200" s="9"/>
    </row>
    <row r="201" s="487" customFormat="1" ht="10.5" customHeight="1">
      <c r="A201" s="482" t="s">
        <v>121</v>
      </c>
    </row>
    <row r="202" spans="1:11" s="293" customFormat="1" ht="10.5" customHeight="1">
      <c r="A202" s="190" t="s">
        <v>22</v>
      </c>
      <c r="F202" s="377"/>
      <c r="G202" s="377"/>
      <c r="H202" s="377"/>
      <c r="I202" s="377"/>
      <c r="J202" s="377"/>
      <c r="K202" s="377"/>
    </row>
    <row r="203" spans="1:18" ht="10.5" customHeight="1">
      <c r="A203" s="83" t="s">
        <v>21</v>
      </c>
      <c r="B203" s="569" t="s">
        <v>113</v>
      </c>
      <c r="C203" s="570"/>
      <c r="D203" s="571"/>
      <c r="E203" s="634" t="s">
        <v>757</v>
      </c>
      <c r="F203" s="635"/>
      <c r="G203" s="635"/>
      <c r="H203" s="635"/>
      <c r="I203" s="635"/>
      <c r="J203" s="635"/>
      <c r="K203" s="636"/>
      <c r="L203"/>
      <c r="M203"/>
      <c r="N203"/>
      <c r="O203"/>
      <c r="P203"/>
      <c r="Q203"/>
      <c r="R203"/>
    </row>
    <row r="204" spans="1:18" s="7" customFormat="1" ht="10.5" customHeight="1">
      <c r="A204" s="77"/>
      <c r="B204" s="564" t="s">
        <v>715</v>
      </c>
      <c r="C204" s="564" t="s">
        <v>587</v>
      </c>
      <c r="D204" s="564" t="s">
        <v>533</v>
      </c>
      <c r="E204" s="564" t="s">
        <v>715</v>
      </c>
      <c r="F204" s="637" t="s">
        <v>532</v>
      </c>
      <c r="G204" s="638"/>
      <c r="H204" s="637" t="s">
        <v>587</v>
      </c>
      <c r="I204" s="638"/>
      <c r="J204" s="637" t="s">
        <v>533</v>
      </c>
      <c r="K204" s="638"/>
      <c r="L204"/>
      <c r="M204"/>
      <c r="N204"/>
      <c r="O204"/>
      <c r="P204"/>
      <c r="Q204"/>
      <c r="R204"/>
    </row>
    <row r="205" spans="1:18" s="7" customFormat="1" ht="10.5" customHeight="1">
      <c r="A205" s="291" t="s">
        <v>716</v>
      </c>
      <c r="B205" s="623"/>
      <c r="C205" s="623"/>
      <c r="D205" s="622"/>
      <c r="E205" s="565"/>
      <c r="F205" s="219" t="s">
        <v>94</v>
      </c>
      <c r="G205" s="219" t="s">
        <v>93</v>
      </c>
      <c r="H205" s="219" t="s">
        <v>94</v>
      </c>
      <c r="I205" s="219" t="s">
        <v>93</v>
      </c>
      <c r="J205" s="312" t="s">
        <v>94</v>
      </c>
      <c r="K205" s="312" t="s">
        <v>93</v>
      </c>
      <c r="L205"/>
      <c r="M205"/>
      <c r="N205"/>
      <c r="O205"/>
      <c r="P205"/>
      <c r="Q205"/>
      <c r="R205"/>
    </row>
    <row r="206" spans="1:18" s="7" customFormat="1" ht="10.5" customHeight="1">
      <c r="A206" s="85" t="s">
        <v>445</v>
      </c>
      <c r="B206" s="139">
        <f>('new pavement costs'!$L$8+'new pavement costs'!$L$16+'new pavement costs'!$L$28+'maintenance costs'!$L$17+'maintenance costs'!$L$45)*inflators!$E$15/100</f>
        <v>17.001335151515153</v>
      </c>
      <c r="C206" s="6">
        <v>0</v>
      </c>
      <c r="D206" s="290">
        <f>B206*(1/(1+inflators!$B$9)^C206)</f>
        <v>17.001335151515153</v>
      </c>
      <c r="E206" s="376">
        <f>('new pavement costs'!$L$8+'new pavement costs'!$L$12+'new pavement costs'!$L$28+'maintenance costs'!$L$92+'maintenance costs'!$L$45)*inflators!$E$15/100</f>
        <v>23.169975151515153</v>
      </c>
      <c r="F206" s="224">
        <f>($C210-$C205)*(1+'weather data'!$F$32)</f>
        <v>18.181818181818183</v>
      </c>
      <c r="G206" s="224">
        <f>($C210-$C205)*(1+'weather data'!$C$32)</f>
        <v>16.363636363636363</v>
      </c>
      <c r="H206" s="225">
        <v>0</v>
      </c>
      <c r="I206" s="225">
        <v>0</v>
      </c>
      <c r="J206" s="314">
        <f>E206*(1/(1+inflators!$B$9)^H206)</f>
        <v>23.169975151515153</v>
      </c>
      <c r="K206" s="315">
        <f>E206*(1/(1+inflators!$B$9)^I206)</f>
        <v>23.169975151515153</v>
      </c>
      <c r="L206" s="558" t="s">
        <v>119</v>
      </c>
      <c r="M206" s="559"/>
      <c r="N206"/>
      <c r="O206"/>
      <c r="P206"/>
      <c r="Q206"/>
      <c r="R206"/>
    </row>
    <row r="207" spans="1:18" s="7" customFormat="1" ht="10.5" customHeight="1">
      <c r="A207" s="86" t="s">
        <v>176</v>
      </c>
      <c r="B207" s="140">
        <f>('maintenance costs'!$L$17+'maintenance costs'!$L$45)*inflators!$E$15/100</f>
        <v>1.3504951515151515</v>
      </c>
      <c r="C207" s="5">
        <v>3</v>
      </c>
      <c r="D207" s="141">
        <f>B207*(1/(1+inflators!$B$9)^C207)</f>
        <v>1.2005852720996952</v>
      </c>
      <c r="E207" s="302">
        <f>('maintenance costs'!$L$92)*inflators!$E$15/100</f>
        <v>4.28262</v>
      </c>
      <c r="F207" s="220"/>
      <c r="G207" s="220"/>
      <c r="H207" s="4">
        <v>6</v>
      </c>
      <c r="I207" s="4">
        <v>6</v>
      </c>
      <c r="J207" s="313">
        <f>E207*(1/(1+inflators!$B$9)^H207)</f>
        <v>3.3846167941824365</v>
      </c>
      <c r="K207" s="141">
        <f>E207*(1/(1+inflators!$B$9)^I207)</f>
        <v>3.3846167941824365</v>
      </c>
      <c r="L207" s="560"/>
      <c r="M207" s="559"/>
      <c r="N207"/>
      <c r="O207"/>
      <c r="P207"/>
      <c r="Q207"/>
      <c r="R207"/>
    </row>
    <row r="208" spans="1:18" s="7" customFormat="1" ht="10.5" customHeight="1">
      <c r="A208" s="86" t="s">
        <v>176</v>
      </c>
      <c r="B208" s="140">
        <f>('maintenance costs'!$L$17+'maintenance costs'!$L$45)*inflators!$E$15/100</f>
        <v>1.3504951515151515</v>
      </c>
      <c r="C208" s="5">
        <v>13</v>
      </c>
      <c r="D208" s="141">
        <f>B208*(1/(1+inflators!$B$9)^C208)</f>
        <v>0.8110723914505257</v>
      </c>
      <c r="E208" s="302">
        <f>('maintenance costs'!$L$92)*inflators!$E$15/100</f>
        <v>4.28262</v>
      </c>
      <c r="F208" s="220"/>
      <c r="G208" s="220"/>
      <c r="H208" s="4">
        <v>12</v>
      </c>
      <c r="I208" s="4">
        <v>12</v>
      </c>
      <c r="J208" s="313">
        <f>E208*(1/(1+inflators!$B$9)^H208)</f>
        <v>2.6749118164725783</v>
      </c>
      <c r="K208" s="141">
        <f>E208*(1/(1+inflators!$B$9)^I208)</f>
        <v>2.6749118164725783</v>
      </c>
      <c r="L208" s="561"/>
      <c r="M208" s="562"/>
      <c r="N208"/>
      <c r="O208"/>
      <c r="P208"/>
      <c r="Q208"/>
      <c r="R208"/>
    </row>
    <row r="209" spans="1:18" s="7" customFormat="1" ht="10.5" customHeight="1">
      <c r="A209" s="86" t="s">
        <v>176</v>
      </c>
      <c r="B209" s="140">
        <f>('maintenance costs'!$L$17+'maintenance costs'!$L$45)*inflators!$E$15/100</f>
        <v>1.3504951515151515</v>
      </c>
      <c r="C209" s="5">
        <v>23</v>
      </c>
      <c r="D209" s="141">
        <f>B209*(1/(1+inflators!$B$9)^C209)</f>
        <v>0.5479314459878271</v>
      </c>
      <c r="E209" s="302">
        <f>('maintenance costs'!$L$92)*inflators!$E$15/100</f>
        <v>4.28262</v>
      </c>
      <c r="G209" s="130"/>
      <c r="H209" s="4">
        <v>24</v>
      </c>
      <c r="I209" s="4">
        <v>20</v>
      </c>
      <c r="J209" s="313">
        <f>E209*(1/(1+inflators!$B$9)^H209)</f>
        <v>1.6707420284556254</v>
      </c>
      <c r="K209" s="141">
        <f>E209*(1/(1+inflators!$B$9)^I209)</f>
        <v>1.9545318635405773</v>
      </c>
      <c r="L209" s="558" t="s">
        <v>120</v>
      </c>
      <c r="M209" s="559"/>
      <c r="N209"/>
      <c r="O209"/>
      <c r="P209"/>
      <c r="Q209"/>
      <c r="R209"/>
    </row>
    <row r="210" spans="1:18" s="7" customFormat="1" ht="10.5" customHeight="1">
      <c r="A210" s="86" t="s">
        <v>362</v>
      </c>
      <c r="B210" s="140">
        <f>('rehabilitation costs'!$L$29+'maintenance costs'!$L$45)*inflators!$E$15/100</f>
        <v>3.6012151515151514</v>
      </c>
      <c r="C210" s="5">
        <v>10</v>
      </c>
      <c r="D210" s="141">
        <f>B210*(1/(1+inflators!$B$9)^C210)</f>
        <v>2.4328519205962054</v>
      </c>
      <c r="E210" s="140">
        <f>('rehabilitation costs'!$L$29+'maintenance costs'!$L$45+'maintenance costs'!$L$92)*inflators!$E$15/100</f>
        <v>7.883835151515151</v>
      </c>
      <c r="F210" s="230">
        <f>($C211-$C210)*(1+'weather data'!$F$32)</f>
        <v>18.181818181818183</v>
      </c>
      <c r="G210" s="230">
        <f>($C211-$C210)*(1+'weather data'!$C$32)</f>
        <v>16.363636363636363</v>
      </c>
      <c r="H210" s="230">
        <f>F206+H206</f>
        <v>18.181818181818183</v>
      </c>
      <c r="I210" s="230">
        <f>G206+I206</f>
        <v>16.363636363636363</v>
      </c>
      <c r="J210" s="316">
        <f>E210*(1/(1+inflators!$B$9)^H210)</f>
        <v>3.864029706402223</v>
      </c>
      <c r="K210" s="317">
        <f>E210*(1/(1+inflators!$B$9)^I210)</f>
        <v>4.149637544959654</v>
      </c>
      <c r="L210" s="560"/>
      <c r="M210" s="559"/>
      <c r="N210"/>
      <c r="O210"/>
      <c r="P210"/>
      <c r="Q210"/>
      <c r="R210"/>
    </row>
    <row r="211" spans="1:18" s="7" customFormat="1" ht="10.5" customHeight="1">
      <c r="A211" s="86" t="s">
        <v>281</v>
      </c>
      <c r="B211" s="140">
        <f>('rehabilitation costs'!$L$14+'rehabilitation costs'!$L$29+'maintenance costs'!$L$45)*inflators!$E$15/100</f>
        <v>5.310095151515152</v>
      </c>
      <c r="C211" s="5">
        <v>20</v>
      </c>
      <c r="D211" s="141">
        <f>B211*(1/(1+inflators!$B$9)^C211)</f>
        <v>2.4234581102382875</v>
      </c>
      <c r="E211" s="302">
        <f>('maintenance costs'!$L$92)*inflators!$E$15/100</f>
        <v>4.28262</v>
      </c>
      <c r="F211" s="4"/>
      <c r="G211" s="4"/>
      <c r="H211" s="4">
        <v>28</v>
      </c>
      <c r="I211" s="4">
        <v>24</v>
      </c>
      <c r="J211" s="313">
        <f>E211*(1/(1+inflators!$B$9)^H211)</f>
        <v>1.4281572880533735</v>
      </c>
      <c r="K211" s="141">
        <f>E211*(1/(1+inflators!$B$9)^I211)</f>
        <v>1.6707420284556254</v>
      </c>
      <c r="L211" s="561"/>
      <c r="M211" s="562"/>
      <c r="N211"/>
      <c r="O211"/>
      <c r="P211"/>
      <c r="Q211"/>
      <c r="R211"/>
    </row>
    <row r="212" spans="1:18" s="7" customFormat="1" ht="10.5" customHeight="1">
      <c r="A212" s="86" t="s">
        <v>281</v>
      </c>
      <c r="B212" s="140">
        <f>('rehabilitation costs'!$L$14+'rehabilitation costs'!$L$29+'maintenance costs'!$L$45)*inflators!$E$15/100</f>
        <v>5.310095151515152</v>
      </c>
      <c r="C212" s="5">
        <v>30</v>
      </c>
      <c r="D212" s="141">
        <f>B212*(1/(1+inflators!$B$9)^C212)</f>
        <v>1.6372014639272694</v>
      </c>
      <c r="E212" s="302">
        <f>('maintenance costs'!$L$92)*inflators!$E$15/100</f>
        <v>4.28262</v>
      </c>
      <c r="F212" s="4"/>
      <c r="G212" s="4"/>
      <c r="H212" s="4"/>
      <c r="I212" s="4">
        <v>30</v>
      </c>
      <c r="J212" s="313"/>
      <c r="K212" s="141">
        <f>E212*(1/(1+inflators!$B$9)^I212)</f>
        <v>1.3204116938363293</v>
      </c>
      <c r="L212"/>
      <c r="M212"/>
      <c r="N212"/>
      <c r="O212"/>
      <c r="P212"/>
      <c r="Q212"/>
      <c r="R212"/>
    </row>
    <row r="213" spans="1:18" s="7" customFormat="1" ht="10.5" customHeight="1">
      <c r="A213" s="86" t="s">
        <v>282</v>
      </c>
      <c r="B213" s="140">
        <f>('maintenance costs'!$L$42*9*0.01+'maintenance costs'!$L$29*0.45+'maintenance costs'!$L$17+'maintenance costs'!$L$45)*inflators!$E$15/100</f>
        <v>1.9731943515151515</v>
      </c>
      <c r="C213" s="5">
        <v>6</v>
      </c>
      <c r="D213" s="141">
        <f>B213*(1/(1+inflators!$B$9)^C213)</f>
        <v>1.5594441580910994</v>
      </c>
      <c r="E213" s="140"/>
      <c r="F213" s="4"/>
      <c r="G213" s="4"/>
      <c r="H213" s="4"/>
      <c r="I213" s="4"/>
      <c r="J213" s="313"/>
      <c r="K213" s="141"/>
      <c r="L213"/>
      <c r="M213"/>
      <c r="N213"/>
      <c r="O213"/>
      <c r="P213"/>
      <c r="Q213"/>
      <c r="R213"/>
    </row>
    <row r="214" spans="1:18" s="7" customFormat="1" ht="10.5" customHeight="1">
      <c r="A214" s="86" t="s">
        <v>460</v>
      </c>
      <c r="B214" s="140">
        <f>('maintenance costs'!$L$42*9*0.1+'maintenance costs'!$L$29*0.7+'maintenance costs'!$L$17+'maintenance costs'!$L$45)*inflators!$E$15/100</f>
        <v>3.1823311515151516</v>
      </c>
      <c r="C214" s="9">
        <v>16</v>
      </c>
      <c r="D214" s="141">
        <f>B214*(1/(1+inflators!$B$9)^C214)</f>
        <v>1.6990726195336763</v>
      </c>
      <c r="E214" s="140"/>
      <c r="F214" s="4"/>
      <c r="G214" s="4"/>
      <c r="H214" s="4"/>
      <c r="I214" s="4"/>
      <c r="J214" s="313"/>
      <c r="K214" s="141"/>
      <c r="L214"/>
      <c r="M214"/>
      <c r="N214"/>
      <c r="O214"/>
      <c r="P214"/>
      <c r="Q214"/>
      <c r="R214"/>
    </row>
    <row r="215" spans="1:18" s="7" customFormat="1" ht="10.5" customHeight="1">
      <c r="A215" s="86" t="s">
        <v>460</v>
      </c>
      <c r="B215" s="140">
        <f>('maintenance costs'!$L$42*9*0.1+'maintenance costs'!$L$29*0.7+'maintenance costs'!$L$17+'maintenance costs'!$L$45)*inflators!$E$15/100</f>
        <v>3.1823311515151516</v>
      </c>
      <c r="C215" s="9"/>
      <c r="D215" s="141"/>
      <c r="E215" s="140"/>
      <c r="F215" s="4"/>
      <c r="G215" s="4"/>
      <c r="H215" s="4"/>
      <c r="I215" s="4"/>
      <c r="J215" s="313"/>
      <c r="K215" s="141"/>
      <c r="L215"/>
      <c r="M215"/>
      <c r="N215"/>
      <c r="O215"/>
      <c r="P215"/>
      <c r="Q215"/>
      <c r="R215"/>
    </row>
    <row r="216" spans="1:18" s="7" customFormat="1" ht="10.5" customHeight="1">
      <c r="A216" s="86" t="s">
        <v>461</v>
      </c>
      <c r="B216" s="140">
        <f>('maintenance costs'!$L$42*9*0.2+'maintenance costs'!$L$29*1.2+'maintenance costs'!$L$17+'maintenance costs'!$L$45)*inflators!$E$15/100</f>
        <v>4.782843151515152</v>
      </c>
      <c r="C216" s="9">
        <v>26</v>
      </c>
      <c r="D216" s="141">
        <f>B216*(1/(1+inflators!$B$9)^C216)</f>
        <v>1.72512002757561</v>
      </c>
      <c r="E216" s="140"/>
      <c r="F216" s="4"/>
      <c r="G216" s="4"/>
      <c r="H216" s="4"/>
      <c r="I216" s="4"/>
      <c r="J216" s="313"/>
      <c r="K216" s="141"/>
      <c r="L216"/>
      <c r="M216"/>
      <c r="N216"/>
      <c r="O216"/>
      <c r="P216"/>
      <c r="Q216"/>
      <c r="R216"/>
    </row>
    <row r="217" spans="1:18" s="7" customFormat="1" ht="10.5" customHeight="1">
      <c r="A217" s="144" t="s">
        <v>521</v>
      </c>
      <c r="B217" s="149"/>
      <c r="C217" s="10"/>
      <c r="D217" s="145"/>
      <c r="E217" s="149"/>
      <c r="F217" s="74"/>
      <c r="G217" s="74"/>
      <c r="H217" s="74"/>
      <c r="I217" s="74"/>
      <c r="J217" s="313"/>
      <c r="K217" s="141"/>
      <c r="L217"/>
      <c r="M217"/>
      <c r="N217"/>
      <c r="O217"/>
      <c r="P217"/>
      <c r="Q217"/>
      <c r="R217"/>
    </row>
    <row r="218" spans="1:18" s="7" customFormat="1" ht="10.5" customHeight="1">
      <c r="A218" s="190"/>
      <c r="B218" s="289"/>
      <c r="C218" s="193" t="s">
        <v>455</v>
      </c>
      <c r="D218" s="187">
        <f>D206</f>
        <v>17.001335151515153</v>
      </c>
      <c r="I218" s="193" t="s">
        <v>455</v>
      </c>
      <c r="J218" s="121">
        <f>J206</f>
        <v>23.169975151515153</v>
      </c>
      <c r="K218" s="186">
        <f>K206</f>
        <v>23.169975151515153</v>
      </c>
      <c r="L218"/>
      <c r="M218"/>
      <c r="N218"/>
      <c r="O218"/>
      <c r="P218"/>
      <c r="Q218"/>
      <c r="R218"/>
    </row>
    <row r="219" spans="1:18" s="7" customFormat="1" ht="10.5" customHeight="1">
      <c r="A219" s="190"/>
      <c r="B219" s="289"/>
      <c r="C219" s="146" t="s">
        <v>710</v>
      </c>
      <c r="D219" s="187">
        <f>SUM(D207:D217)</f>
        <v>14.036737409500198</v>
      </c>
      <c r="I219" s="146" t="s">
        <v>710</v>
      </c>
      <c r="J219" s="123">
        <f>SUM(J207:J213)</f>
        <v>13.022457633566237</v>
      </c>
      <c r="K219" s="187">
        <f>SUM(K207:K213)</f>
        <v>15.1548517414472</v>
      </c>
      <c r="L219"/>
      <c r="M219"/>
      <c r="N219"/>
      <c r="O219"/>
      <c r="P219"/>
      <c r="Q219"/>
      <c r="R219"/>
    </row>
    <row r="220" spans="1:18" s="7" customFormat="1" ht="10.5" customHeight="1">
      <c r="A220" s="9"/>
      <c r="C220" s="146" t="s">
        <v>588</v>
      </c>
      <c r="D220" s="187">
        <v>0</v>
      </c>
      <c r="I220" s="146" t="s">
        <v>588</v>
      </c>
      <c r="J220" s="123">
        <v>0</v>
      </c>
      <c r="K220" s="187">
        <v>0</v>
      </c>
      <c r="L220"/>
      <c r="M220"/>
      <c r="N220"/>
      <c r="O220"/>
      <c r="P220"/>
      <c r="Q220"/>
      <c r="R220"/>
    </row>
    <row r="221" spans="1:18" s="7" customFormat="1" ht="10.5" customHeight="1">
      <c r="A221" s="9"/>
      <c r="C221" s="274" t="s">
        <v>711</v>
      </c>
      <c r="D221" s="211">
        <f>D218+D219-D220</f>
        <v>31.03807256101535</v>
      </c>
      <c r="I221" s="274" t="s">
        <v>711</v>
      </c>
      <c r="J221" s="280">
        <f>J218+J219-J220</f>
        <v>36.192432785081394</v>
      </c>
      <c r="K221" s="211">
        <f>K218+K219-K220</f>
        <v>38.32482689296235</v>
      </c>
      <c r="L221"/>
      <c r="M221"/>
      <c r="N221"/>
      <c r="O221"/>
      <c r="P221"/>
      <c r="Q221"/>
      <c r="R221"/>
    </row>
    <row r="222" spans="1:18" s="7" customFormat="1" ht="10.5" customHeight="1">
      <c r="A222" s="9"/>
      <c r="L222"/>
      <c r="M222"/>
      <c r="N222"/>
      <c r="O222"/>
      <c r="P222"/>
      <c r="Q222"/>
      <c r="R222"/>
    </row>
    <row r="223" spans="1:18" s="487" customFormat="1" ht="10.5" customHeight="1">
      <c r="A223" s="482" t="s">
        <v>121</v>
      </c>
      <c r="L223" s="488"/>
      <c r="M223" s="488"/>
      <c r="N223" s="488"/>
      <c r="O223" s="488"/>
      <c r="P223" s="488"/>
      <c r="Q223" s="488"/>
      <c r="R223" s="488"/>
    </row>
    <row r="224" spans="1:18" s="293" customFormat="1" ht="10.5" customHeight="1">
      <c r="A224" s="190" t="s">
        <v>22</v>
      </c>
      <c r="L224"/>
      <c r="M224"/>
      <c r="N224"/>
      <c r="O224"/>
      <c r="P224"/>
      <c r="Q224"/>
      <c r="R224"/>
    </row>
    <row r="225" spans="1:18" s="7" customFormat="1" ht="10.5" customHeight="1">
      <c r="A225" s="83" t="s">
        <v>21</v>
      </c>
      <c r="B225" s="569" t="s">
        <v>114</v>
      </c>
      <c r="C225" s="570"/>
      <c r="D225" s="571"/>
      <c r="E225" s="634" t="s">
        <v>757</v>
      </c>
      <c r="F225" s="635"/>
      <c r="G225" s="635"/>
      <c r="H225" s="635"/>
      <c r="I225" s="635"/>
      <c r="J225" s="635"/>
      <c r="K225" s="636"/>
      <c r="L225"/>
      <c r="M225"/>
      <c r="N225"/>
      <c r="O225"/>
      <c r="P225"/>
      <c r="Q225"/>
      <c r="R225"/>
    </row>
    <row r="226" spans="1:18" ht="10.5" customHeight="1">
      <c r="A226" s="77"/>
      <c r="B226" s="564" t="s">
        <v>715</v>
      </c>
      <c r="C226" s="564" t="s">
        <v>587</v>
      </c>
      <c r="D226" s="564" t="s">
        <v>533</v>
      </c>
      <c r="E226" s="564" t="s">
        <v>715</v>
      </c>
      <c r="F226" s="637" t="s">
        <v>532</v>
      </c>
      <c r="G226" s="638"/>
      <c r="H226" s="637" t="s">
        <v>587</v>
      </c>
      <c r="I226" s="638"/>
      <c r="J226" s="637" t="s">
        <v>533</v>
      </c>
      <c r="K226" s="638"/>
      <c r="L226"/>
      <c r="M226"/>
      <c r="N226"/>
      <c r="O226"/>
      <c r="P226"/>
      <c r="Q226"/>
      <c r="R226"/>
    </row>
    <row r="227" spans="1:18" s="7" customFormat="1" ht="10.5" customHeight="1">
      <c r="A227" s="291" t="s">
        <v>716</v>
      </c>
      <c r="B227" s="623"/>
      <c r="C227" s="623"/>
      <c r="D227" s="622"/>
      <c r="E227" s="565"/>
      <c r="F227" s="219" t="s">
        <v>94</v>
      </c>
      <c r="G227" s="219" t="s">
        <v>93</v>
      </c>
      <c r="H227" s="219" t="s">
        <v>94</v>
      </c>
      <c r="I227" s="219" t="s">
        <v>93</v>
      </c>
      <c r="J227" s="312" t="s">
        <v>94</v>
      </c>
      <c r="K227" s="312" t="s">
        <v>93</v>
      </c>
      <c r="L227"/>
      <c r="M227"/>
      <c r="N227"/>
      <c r="O227"/>
      <c r="P227"/>
      <c r="Q227"/>
      <c r="R227"/>
    </row>
    <row r="228" spans="1:18" s="7" customFormat="1" ht="10.5" customHeight="1">
      <c r="A228" s="85" t="s">
        <v>445</v>
      </c>
      <c r="B228" s="139">
        <f>('new pavement costs'!$L$8+'new pavement costs'!$L$16+'new pavement costs'!$L$28+'maintenance costs'!$L$17+'maintenance costs'!$L$45)*inflators!$E$15/100</f>
        <v>17.001335151515153</v>
      </c>
      <c r="C228" s="3">
        <v>0</v>
      </c>
      <c r="D228" s="290">
        <f>B228*(1/(1+inflators!$B$9)^C228)</f>
        <v>17.001335151515153</v>
      </c>
      <c r="E228" s="376">
        <f>('new pavement costs'!$L$8+'new pavement costs'!$L$12+'new pavement costs'!$L$28+'maintenance costs'!$L$92+'maintenance costs'!$L$45)*inflators!$E$15/100</f>
        <v>23.169975151515153</v>
      </c>
      <c r="F228" s="224">
        <f>($C232-$C228)*(1+'weather data'!$F$32)</f>
        <v>27.272727272727273</v>
      </c>
      <c r="G228" s="224">
        <f>($C232-$C228)*(1+'weather data'!$C$32)</f>
        <v>24.545454545454543</v>
      </c>
      <c r="H228" s="225">
        <v>0</v>
      </c>
      <c r="I228" s="225">
        <v>0</v>
      </c>
      <c r="J228" s="314">
        <f>E228*(1/(1+inflators!$B$9)^H228)</f>
        <v>23.169975151515153</v>
      </c>
      <c r="K228" s="315">
        <f>E228*(1/(1+inflators!$B$9)^I228)</f>
        <v>23.169975151515153</v>
      </c>
      <c r="L228" s="558" t="s">
        <v>119</v>
      </c>
      <c r="M228" s="559"/>
      <c r="N228"/>
      <c r="O228"/>
      <c r="P228"/>
      <c r="Q228"/>
      <c r="R228"/>
    </row>
    <row r="229" spans="1:18" s="7" customFormat="1" ht="10.5" customHeight="1">
      <c r="A229" s="86" t="s">
        <v>176</v>
      </c>
      <c r="B229" s="140">
        <f>('maintenance costs'!$L$17+'maintenance costs'!$L$45)*inflators!$E$15/100</f>
        <v>1.3504951515151515</v>
      </c>
      <c r="C229" s="4">
        <v>5</v>
      </c>
      <c r="D229" s="141">
        <f>B229*(1/(1+inflators!$B$9)^C229)</f>
        <v>1.1100085725773805</v>
      </c>
      <c r="E229" s="302">
        <f>('maintenance costs'!$L$92)*inflators!$E$15/100</f>
        <v>4.28262</v>
      </c>
      <c r="F229" s="220"/>
      <c r="G229" s="220"/>
      <c r="H229" s="4">
        <v>6</v>
      </c>
      <c r="I229" s="4">
        <v>6</v>
      </c>
      <c r="J229" s="313">
        <f>E229*(1/(1+inflators!$B$9)^H229)</f>
        <v>3.3846167941824365</v>
      </c>
      <c r="K229" s="141">
        <f>E229*(1/(1+inflators!$B$9)^I229)</f>
        <v>3.3846167941824365</v>
      </c>
      <c r="L229" s="560"/>
      <c r="M229" s="559"/>
      <c r="N229"/>
      <c r="O229"/>
      <c r="P229"/>
      <c r="Q229"/>
      <c r="R229"/>
    </row>
    <row r="230" spans="1:18" s="7" customFormat="1" ht="10.5" customHeight="1">
      <c r="A230" s="86" t="s">
        <v>176</v>
      </c>
      <c r="B230" s="140">
        <f>('maintenance costs'!$L$17+'maintenance costs'!$L$45)*inflators!$E$15/100</f>
        <v>1.3504951515151515</v>
      </c>
      <c r="C230" s="4">
        <v>20</v>
      </c>
      <c r="D230" s="141">
        <f>B230*(1/(1+inflators!$B$9)^C230)</f>
        <v>0.6163483580596513</v>
      </c>
      <c r="E230" s="302">
        <f>('maintenance costs'!$L$92)*inflators!$E$15/100</f>
        <v>4.28262</v>
      </c>
      <c r="F230" s="220"/>
      <c r="G230" s="220"/>
      <c r="H230" s="4">
        <v>12</v>
      </c>
      <c r="I230" s="4">
        <v>12</v>
      </c>
      <c r="J230" s="313">
        <f>E230*(1/(1+inflators!$B$9)^H230)</f>
        <v>2.6749118164725783</v>
      </c>
      <c r="K230" s="141">
        <f>E230*(1/(1+inflators!$B$9)^I230)</f>
        <v>2.6749118164725783</v>
      </c>
      <c r="L230" s="561"/>
      <c r="M230" s="562"/>
      <c r="N230"/>
      <c r="O230"/>
      <c r="P230"/>
      <c r="Q230"/>
      <c r="R230"/>
    </row>
    <row r="231" spans="1:18" s="7" customFormat="1" ht="10.5" customHeight="1">
      <c r="A231" s="86" t="s">
        <v>176</v>
      </c>
      <c r="B231" s="302"/>
      <c r="C231" s="4"/>
      <c r="D231" s="141"/>
      <c r="E231" s="302">
        <f>('maintenance costs'!$L$92)*inflators!$E$15/100</f>
        <v>4.28262</v>
      </c>
      <c r="F231" s="230"/>
      <c r="G231" s="230"/>
      <c r="H231" s="378">
        <v>18</v>
      </c>
      <c r="I231" s="378">
        <v>18</v>
      </c>
      <c r="J231" s="313">
        <f>E231*(1/(1+inflators!$B$9)^H231)</f>
        <v>2.1140216636054885</v>
      </c>
      <c r="K231" s="141">
        <f>E231*(1/(1+inflators!$B$9)^I231)</f>
        <v>2.1140216636054885</v>
      </c>
      <c r="L231" s="558" t="s">
        <v>120</v>
      </c>
      <c r="M231" s="559"/>
      <c r="N231"/>
      <c r="O231"/>
      <c r="P231"/>
      <c r="Q231"/>
      <c r="R231"/>
    </row>
    <row r="232" spans="1:18" s="7" customFormat="1" ht="10.5" customHeight="1">
      <c r="A232" s="86" t="s">
        <v>362</v>
      </c>
      <c r="B232" s="140">
        <f>('rehabilitation costs'!$L$29+'maintenance costs'!$L$45)*inflators!$E$15/100</f>
        <v>3.6012151515151514</v>
      </c>
      <c r="C232" s="4">
        <v>15</v>
      </c>
      <c r="D232" s="141">
        <f>B232*(1/(1+inflators!$B$9)^C232)</f>
        <v>1.999626940269571</v>
      </c>
      <c r="E232" s="140">
        <f>('rehabilitation costs'!$L$29+'maintenance costs'!$L$45+'maintenance costs'!$L$92)*inflators!$E$15/100</f>
        <v>7.883835151515151</v>
      </c>
      <c r="F232" s="230">
        <f>($C233-$C232)*(1+'weather data'!$F$32)</f>
        <v>27.272727272727273</v>
      </c>
      <c r="G232" s="230">
        <f>($C233-$C232)*(1+'weather data'!$C$32)</f>
        <v>24.545454545454543</v>
      </c>
      <c r="H232" s="230">
        <f>F228+H228</f>
        <v>27.272727272727273</v>
      </c>
      <c r="I232" s="230">
        <f>G228+I228</f>
        <v>24.545454545454543</v>
      </c>
      <c r="J232" s="316">
        <f>E232*(1/(1+inflators!$B$9)^H232)</f>
        <v>2.7051535246229896</v>
      </c>
      <c r="K232" s="317">
        <f>E232*(1/(1+inflators!$B$9)^I232)</f>
        <v>3.010554400108115</v>
      </c>
      <c r="L232" s="560"/>
      <c r="M232" s="559"/>
      <c r="N232"/>
      <c r="O232"/>
      <c r="P232"/>
      <c r="Q232"/>
      <c r="R232"/>
    </row>
    <row r="233" spans="1:18" s="7" customFormat="1" ht="10.5" customHeight="1">
      <c r="A233" s="86" t="s">
        <v>281</v>
      </c>
      <c r="B233" s="140">
        <f>('rehabilitation costs'!$L$14+'rehabilitation costs'!$L$29+'maintenance costs'!$L$45)*inflators!$E$15/100</f>
        <v>5.310095151515152</v>
      </c>
      <c r="C233" s="4">
        <v>30</v>
      </c>
      <c r="D233" s="141">
        <f>B233*(1/(1+inflators!$B$9)^C233)</f>
        <v>1.6372014639272694</v>
      </c>
      <c r="E233" s="302">
        <f>('maintenance costs'!$L$92)*inflators!$E$15/100</f>
        <v>4.28262</v>
      </c>
      <c r="F233" s="4"/>
      <c r="G233" s="4"/>
      <c r="H233" s="4">
        <v>33</v>
      </c>
      <c r="I233" s="4">
        <v>31</v>
      </c>
      <c r="J233" s="313">
        <f>E233*(1/(1+inflators!$B$9)^H233)</f>
        <v>1.1738411877669914</v>
      </c>
      <c r="K233" s="141">
        <f>E233*(1/(1+inflators!$B$9)^I233)</f>
        <v>1.2696266286887778</v>
      </c>
      <c r="L233" s="561"/>
      <c r="M233" s="562"/>
      <c r="N233"/>
      <c r="O233"/>
      <c r="P233"/>
      <c r="Q233"/>
      <c r="R233"/>
    </row>
    <row r="234" spans="1:18" s="7" customFormat="1" ht="10.5" customHeight="1">
      <c r="A234" s="86" t="s">
        <v>281</v>
      </c>
      <c r="B234" s="302"/>
      <c r="C234" s="4"/>
      <c r="D234" s="141"/>
      <c r="E234" s="302"/>
      <c r="F234" s="4"/>
      <c r="G234" s="4"/>
      <c r="H234" s="4"/>
      <c r="I234" s="4"/>
      <c r="J234" s="313"/>
      <c r="K234" s="141"/>
      <c r="L234"/>
      <c r="M234"/>
      <c r="N234"/>
      <c r="O234"/>
      <c r="P234"/>
      <c r="Q234"/>
      <c r="R234"/>
    </row>
    <row r="235" spans="1:18" s="7" customFormat="1" ht="10.5" customHeight="1">
      <c r="A235" s="86" t="s">
        <v>282</v>
      </c>
      <c r="B235" s="140">
        <f>('maintenance costs'!$L$42*9*0.01+'maintenance costs'!$L$29*0.45+'maintenance costs'!$L$17+'maintenance costs'!$L$45)*inflators!$E$15/100</f>
        <v>1.9731943515151515</v>
      </c>
      <c r="C235" s="4">
        <v>10</v>
      </c>
      <c r="D235" s="141">
        <f>B235*(1/(1+inflators!$B$9)^C235)</f>
        <v>1.3330194020130939</v>
      </c>
      <c r="E235" s="302"/>
      <c r="F235" s="4"/>
      <c r="G235" s="4"/>
      <c r="H235" s="4"/>
      <c r="I235" s="4"/>
      <c r="J235" s="313"/>
      <c r="K235" s="141"/>
      <c r="L235"/>
      <c r="M235"/>
      <c r="N235"/>
      <c r="O235"/>
      <c r="P235"/>
      <c r="Q235"/>
      <c r="R235"/>
    </row>
    <row r="236" spans="1:18" s="7" customFormat="1" ht="10.5" customHeight="1">
      <c r="A236" s="86" t="s">
        <v>460</v>
      </c>
      <c r="B236" s="140">
        <f>('maintenance costs'!$L$42*9*0.1+'maintenance costs'!$L$29*0.7+'maintenance costs'!$L$17+'maintenance costs'!$L$45)*inflators!$E$15/100</f>
        <v>3.1823311515151516</v>
      </c>
      <c r="C236" s="4">
        <v>25</v>
      </c>
      <c r="D236" s="141">
        <f>B236*(1/(1+inflators!$B$9)^C236)</f>
        <v>1.193745885269538</v>
      </c>
      <c r="E236" s="302"/>
      <c r="F236" s="4"/>
      <c r="G236" s="4"/>
      <c r="H236" s="4"/>
      <c r="I236" s="4"/>
      <c r="J236" s="313"/>
      <c r="K236" s="141"/>
      <c r="L236"/>
      <c r="M236"/>
      <c r="N236"/>
      <c r="O236"/>
      <c r="P236"/>
      <c r="Q236"/>
      <c r="R236"/>
    </row>
    <row r="237" spans="1:18" s="7" customFormat="1" ht="10.5" customHeight="1">
      <c r="A237" s="86" t="s">
        <v>460</v>
      </c>
      <c r="B237" s="185"/>
      <c r="C237" s="4"/>
      <c r="D237" s="141"/>
      <c r="E237" s="302"/>
      <c r="F237" s="4"/>
      <c r="G237" s="4"/>
      <c r="H237" s="4"/>
      <c r="I237" s="4"/>
      <c r="J237" s="313"/>
      <c r="K237" s="141"/>
      <c r="L237"/>
      <c r="M237"/>
      <c r="N237"/>
      <c r="O237"/>
      <c r="P237"/>
      <c r="Q237"/>
      <c r="R237"/>
    </row>
    <row r="238" spans="1:18" s="7" customFormat="1" ht="10.5" customHeight="1">
      <c r="A238" s="86" t="s">
        <v>461</v>
      </c>
      <c r="B238" s="185"/>
      <c r="C238" s="4"/>
      <c r="D238" s="141"/>
      <c r="E238" s="302"/>
      <c r="F238" s="4"/>
      <c r="G238" s="4"/>
      <c r="H238" s="4"/>
      <c r="I238" s="4"/>
      <c r="J238" s="313"/>
      <c r="K238" s="141"/>
      <c r="L238"/>
      <c r="M238"/>
      <c r="N238"/>
      <c r="O238"/>
      <c r="P238"/>
      <c r="Q238"/>
      <c r="R238"/>
    </row>
    <row r="239" spans="1:18" s="7" customFormat="1" ht="10.5" customHeight="1">
      <c r="A239" s="144" t="s">
        <v>521</v>
      </c>
      <c r="B239" s="375"/>
      <c r="C239" s="74"/>
      <c r="D239" s="145"/>
      <c r="E239" s="149"/>
      <c r="F239" s="74"/>
      <c r="G239" s="74"/>
      <c r="H239" s="74"/>
      <c r="I239" s="74"/>
      <c r="J239" s="313"/>
      <c r="K239" s="141"/>
      <c r="L239"/>
      <c r="M239"/>
      <c r="N239"/>
      <c r="O239"/>
      <c r="P239"/>
      <c r="Q239"/>
      <c r="R239"/>
    </row>
    <row r="240" spans="1:18" s="7" customFormat="1" ht="10.5" customHeight="1">
      <c r="A240" s="147"/>
      <c r="C240" s="193" t="s">
        <v>455</v>
      </c>
      <c r="D240" s="187">
        <f>D228</f>
        <v>17.001335151515153</v>
      </c>
      <c r="I240" s="193" t="s">
        <v>455</v>
      </c>
      <c r="J240" s="121">
        <f>J228</f>
        <v>23.169975151515153</v>
      </c>
      <c r="K240" s="186">
        <f>K228</f>
        <v>23.169975151515153</v>
      </c>
      <c r="L240"/>
      <c r="M240"/>
      <c r="N240"/>
      <c r="O240"/>
      <c r="P240"/>
      <c r="Q240"/>
      <c r="R240"/>
    </row>
    <row r="241" spans="1:18" s="7" customFormat="1" ht="10.5" customHeight="1">
      <c r="A241" s="147"/>
      <c r="C241" s="146" t="s">
        <v>710</v>
      </c>
      <c r="D241" s="187">
        <f>SUM(D229:D239)</f>
        <v>7.889950622116505</v>
      </c>
      <c r="I241" s="146" t="s">
        <v>710</v>
      </c>
      <c r="J241" s="123">
        <f>SUM(J229:J235)</f>
        <v>12.052544986650483</v>
      </c>
      <c r="K241" s="187">
        <f>SUM(K229:K235)</f>
        <v>12.453731303057396</v>
      </c>
      <c r="L241"/>
      <c r="M241"/>
      <c r="N241"/>
      <c r="O241"/>
      <c r="P241"/>
      <c r="Q241"/>
      <c r="R241"/>
    </row>
    <row r="242" spans="1:18" s="7" customFormat="1" ht="10.5" customHeight="1">
      <c r="A242" s="147"/>
      <c r="C242" s="146" t="s">
        <v>588</v>
      </c>
      <c r="D242" s="187">
        <v>0</v>
      </c>
      <c r="I242" s="146" t="s">
        <v>588</v>
      </c>
      <c r="J242" s="123">
        <v>0</v>
      </c>
      <c r="K242" s="187">
        <v>0</v>
      </c>
      <c r="L242"/>
      <c r="M242"/>
      <c r="N242"/>
      <c r="O242"/>
      <c r="P242"/>
      <c r="Q242"/>
      <c r="R242"/>
    </row>
    <row r="243" spans="1:18" s="7" customFormat="1" ht="10.5" customHeight="1">
      <c r="A243" s="147"/>
      <c r="C243" s="274" t="s">
        <v>711</v>
      </c>
      <c r="D243" s="211">
        <f>D240+D241-D242</f>
        <v>24.891285773631658</v>
      </c>
      <c r="I243" s="274" t="s">
        <v>711</v>
      </c>
      <c r="J243" s="280">
        <f>J240+J241-J242</f>
        <v>35.222520138165635</v>
      </c>
      <c r="K243" s="211">
        <f>K240+K241-K242</f>
        <v>35.62370645457255</v>
      </c>
      <c r="L243"/>
      <c r="M243"/>
      <c r="N243"/>
      <c r="O243"/>
      <c r="P243"/>
      <c r="Q243"/>
      <c r="R243"/>
    </row>
    <row r="244" spans="1:18" s="7" customFormat="1" ht="10.5" customHeight="1">
      <c r="A244" s="9"/>
      <c r="L244"/>
      <c r="M244"/>
      <c r="N244"/>
      <c r="O244"/>
      <c r="P244"/>
      <c r="Q244"/>
      <c r="R244"/>
    </row>
    <row r="245" spans="1:18" s="487" customFormat="1" ht="10.5" customHeight="1">
      <c r="A245" s="482" t="s">
        <v>121</v>
      </c>
      <c r="L245" s="488"/>
      <c r="M245" s="488"/>
      <c r="N245" s="488"/>
      <c r="O245" s="488"/>
      <c r="P245" s="488"/>
      <c r="Q245" s="488"/>
      <c r="R245" s="488"/>
    </row>
    <row r="246" spans="1:18" s="293" customFormat="1" ht="10.5" customHeight="1">
      <c r="A246" s="190" t="s">
        <v>22</v>
      </c>
      <c r="L246"/>
      <c r="M246"/>
      <c r="N246"/>
      <c r="O246"/>
      <c r="P246"/>
      <c r="Q246"/>
      <c r="R246"/>
    </row>
    <row r="247" spans="1:18" s="7" customFormat="1" ht="10.5" customHeight="1">
      <c r="A247" s="83" t="s">
        <v>21</v>
      </c>
      <c r="B247" s="569" t="s">
        <v>115</v>
      </c>
      <c r="C247" s="570"/>
      <c r="D247" s="571"/>
      <c r="E247" s="634" t="s">
        <v>757</v>
      </c>
      <c r="F247" s="635"/>
      <c r="G247" s="635"/>
      <c r="H247" s="635"/>
      <c r="I247" s="635"/>
      <c r="J247" s="635"/>
      <c r="K247" s="636"/>
      <c r="L247"/>
      <c r="M247"/>
      <c r="N247"/>
      <c r="O247"/>
      <c r="P247"/>
      <c r="Q247"/>
      <c r="R247"/>
    </row>
    <row r="248" spans="1:18" ht="10.5" customHeight="1">
      <c r="A248" s="77"/>
      <c r="B248" s="564" t="s">
        <v>715</v>
      </c>
      <c r="C248" s="564" t="s">
        <v>587</v>
      </c>
      <c r="D248" s="564" t="s">
        <v>533</v>
      </c>
      <c r="E248" s="564" t="s">
        <v>715</v>
      </c>
      <c r="F248" s="637" t="s">
        <v>532</v>
      </c>
      <c r="G248" s="638"/>
      <c r="H248" s="637" t="s">
        <v>587</v>
      </c>
      <c r="I248" s="638"/>
      <c r="J248" s="637" t="s">
        <v>533</v>
      </c>
      <c r="K248" s="638"/>
      <c r="L248"/>
      <c r="M248"/>
      <c r="N248"/>
      <c r="O248"/>
      <c r="P248"/>
      <c r="Q248"/>
      <c r="R248"/>
    </row>
    <row r="249" spans="1:18" s="7" customFormat="1" ht="10.5" customHeight="1">
      <c r="A249" s="291" t="s">
        <v>716</v>
      </c>
      <c r="B249" s="623"/>
      <c r="C249" s="623"/>
      <c r="D249" s="622"/>
      <c r="E249" s="565"/>
      <c r="F249" s="219" t="s">
        <v>94</v>
      </c>
      <c r="G249" s="219" t="s">
        <v>93</v>
      </c>
      <c r="H249" s="219" t="s">
        <v>94</v>
      </c>
      <c r="I249" s="219" t="s">
        <v>93</v>
      </c>
      <c r="J249" s="312" t="s">
        <v>94</v>
      </c>
      <c r="K249" s="312" t="s">
        <v>93</v>
      </c>
      <c r="L249"/>
      <c r="M249"/>
      <c r="N249"/>
      <c r="O249"/>
      <c r="P249"/>
      <c r="Q249"/>
      <c r="R249"/>
    </row>
    <row r="250" spans="1:18" s="7" customFormat="1" ht="10.5" customHeight="1">
      <c r="A250" s="85" t="s">
        <v>445</v>
      </c>
      <c r="B250" s="139">
        <f>('new pavement costs'!$L$8+'new pavement costs'!$L$16+'new pavement costs'!$L$28+'maintenance costs'!$L$17+'maintenance costs'!$L$45)*inflators!$E$15/100</f>
        <v>17.001335151515153</v>
      </c>
      <c r="C250" s="3">
        <v>0</v>
      </c>
      <c r="D250" s="290">
        <f>B250*(1/(1+inflators!$B$9)^C250)</f>
        <v>17.001335151515153</v>
      </c>
      <c r="E250" s="376">
        <f>('new pavement costs'!$L$8+'new pavement costs'!$L$12+'new pavement costs'!$L$28+'maintenance costs'!$L$92+'maintenance costs'!$L$45)*inflators!$E$15/100</f>
        <v>23.169975151515153</v>
      </c>
      <c r="F250" s="224">
        <f>($C261-$C250)*(1+'weather data'!$F$32)</f>
        <v>36.36363636363637</v>
      </c>
      <c r="G250" s="224">
        <f>($C261-$C250)*(1+'weather data'!$C$32)</f>
        <v>32.72727272727273</v>
      </c>
      <c r="H250" s="225">
        <v>0</v>
      </c>
      <c r="I250" s="225">
        <v>0</v>
      </c>
      <c r="J250" s="314">
        <f>E250*(1/(1+inflators!$B$9)^H250)</f>
        <v>23.169975151515153</v>
      </c>
      <c r="K250" s="315">
        <f>E250*(1/(1+inflators!$B$9)^I250)</f>
        <v>23.169975151515153</v>
      </c>
      <c r="L250" s="558" t="s">
        <v>119</v>
      </c>
      <c r="M250" s="559"/>
      <c r="N250"/>
      <c r="O250"/>
      <c r="P250"/>
      <c r="Q250"/>
      <c r="R250"/>
    </row>
    <row r="251" spans="1:18" s="7" customFormat="1" ht="10.5" customHeight="1">
      <c r="A251" s="86" t="s">
        <v>176</v>
      </c>
      <c r="B251" s="140">
        <f>('maintenance costs'!$L$17+'maintenance costs'!$L$45)*inflators!$E$15/100</f>
        <v>1.3504951515151515</v>
      </c>
      <c r="C251" s="4">
        <v>5</v>
      </c>
      <c r="D251" s="141">
        <f>B251*(1/(1+inflators!$B$9)^C251)</f>
        <v>1.1100085725773805</v>
      </c>
      <c r="E251" s="302">
        <f>('maintenance costs'!$L$92)*inflators!$E$15/100</f>
        <v>4.28262</v>
      </c>
      <c r="F251" s="220"/>
      <c r="G251" s="220"/>
      <c r="H251" s="4">
        <v>6</v>
      </c>
      <c r="I251" s="4">
        <v>6</v>
      </c>
      <c r="J251" s="313">
        <f>E251*(1/(1+inflators!$B$9)^H251)</f>
        <v>3.3846167941824365</v>
      </c>
      <c r="K251" s="141">
        <f>E251*(1/(1+inflators!$B$9)^I251)</f>
        <v>3.3846167941824365</v>
      </c>
      <c r="L251" s="560"/>
      <c r="M251" s="559"/>
      <c r="N251"/>
      <c r="O251"/>
      <c r="P251"/>
      <c r="Q251"/>
      <c r="R251"/>
    </row>
    <row r="252" spans="1:18" s="7" customFormat="1" ht="10.5" customHeight="1">
      <c r="A252" s="86" t="s">
        <v>176</v>
      </c>
      <c r="B252" s="140">
        <f>('maintenance costs'!$L$17+'maintenance costs'!$L$45)*inflators!$E$15/100</f>
        <v>1.3504951515151515</v>
      </c>
      <c r="C252" s="4">
        <v>25</v>
      </c>
      <c r="D252" s="141">
        <f>B252*(1/(1+inflators!$B$9)^C252)</f>
        <v>0.506593422695846</v>
      </c>
      <c r="E252" s="302">
        <f>('maintenance costs'!$L$92)*inflators!$E$15/100</f>
        <v>4.28262</v>
      </c>
      <c r="F252" s="220"/>
      <c r="G252" s="220"/>
      <c r="H252" s="4">
        <v>12</v>
      </c>
      <c r="I252" s="4">
        <v>12</v>
      </c>
      <c r="J252" s="313">
        <f>E252*(1/(1+inflators!$B$9)^H252)</f>
        <v>2.6749118164725783</v>
      </c>
      <c r="K252" s="141">
        <f>E252*(1/(1+inflators!$B$9)^I252)</f>
        <v>2.6749118164725783</v>
      </c>
      <c r="L252" s="561"/>
      <c r="M252" s="562"/>
      <c r="N252"/>
      <c r="O252"/>
      <c r="P252"/>
      <c r="Q252"/>
      <c r="R252"/>
    </row>
    <row r="253" spans="1:18" s="7" customFormat="1" ht="10.5" customHeight="1">
      <c r="A253" s="86" t="s">
        <v>176</v>
      </c>
      <c r="B253" s="140"/>
      <c r="C253" s="4"/>
      <c r="D253" s="141"/>
      <c r="E253" s="302">
        <f>('maintenance costs'!$L$92)*inflators!$E$15/100</f>
        <v>4.28262</v>
      </c>
      <c r="F253" s="230"/>
      <c r="G253" s="230"/>
      <c r="H253" s="9">
        <v>18</v>
      </c>
      <c r="I253" s="4">
        <v>18</v>
      </c>
      <c r="J253" s="313">
        <f>E253*(1/(1+inflators!$B$9)^H253)</f>
        <v>2.1140216636054885</v>
      </c>
      <c r="K253" s="141">
        <f>E253*(1/(1+inflators!$B$9)^I253)</f>
        <v>2.1140216636054885</v>
      </c>
      <c r="L253" s="558" t="s">
        <v>120</v>
      </c>
      <c r="M253" s="559"/>
      <c r="N253"/>
      <c r="O253"/>
      <c r="P253"/>
      <c r="Q253"/>
      <c r="R253"/>
    </row>
    <row r="254" spans="1:18" s="7" customFormat="1" ht="10.5" customHeight="1">
      <c r="A254" s="86" t="s">
        <v>362</v>
      </c>
      <c r="B254" s="140"/>
      <c r="C254" s="4"/>
      <c r="D254" s="141"/>
      <c r="E254" s="302">
        <f>('maintenance costs'!$L$92)*inflators!$E$15/100</f>
        <v>4.28262</v>
      </c>
      <c r="F254" s="4"/>
      <c r="G254" s="4"/>
      <c r="H254" s="378">
        <v>24</v>
      </c>
      <c r="I254" s="378">
        <v>24</v>
      </c>
      <c r="J254" s="313">
        <f>E254*(1/(1+inflators!$B$9)^H254)</f>
        <v>1.6707420284556254</v>
      </c>
      <c r="K254" s="141">
        <f>E254*(1/(1+inflators!$B$9)^I254)</f>
        <v>1.6707420284556254</v>
      </c>
      <c r="L254" s="560"/>
      <c r="M254" s="559"/>
      <c r="N254"/>
      <c r="O254"/>
      <c r="P254"/>
      <c r="Q254"/>
      <c r="R254"/>
    </row>
    <row r="255" spans="1:18" s="7" customFormat="1" ht="10.5" customHeight="1">
      <c r="A255" s="86" t="s">
        <v>281</v>
      </c>
      <c r="B255" s="140"/>
      <c r="C255" s="4"/>
      <c r="D255" s="141"/>
      <c r="E255" s="302">
        <f>('maintenance costs'!$L$92)*inflators!$E$15/100</f>
        <v>4.28262</v>
      </c>
      <c r="F255" s="4"/>
      <c r="G255" s="4"/>
      <c r="H255" s="4">
        <v>30</v>
      </c>
      <c r="I255" s="4">
        <v>30</v>
      </c>
      <c r="J255" s="313">
        <f>E255*(1/(1+inflators!$B$9)^H255)</f>
        <v>1.3204116938363293</v>
      </c>
      <c r="K255" s="141">
        <f>E255*(1/(1+inflators!$B$9)^I255)</f>
        <v>1.3204116938363293</v>
      </c>
      <c r="L255" s="561"/>
      <c r="M255" s="562"/>
      <c r="N255"/>
      <c r="O255"/>
      <c r="P255"/>
      <c r="Q255"/>
      <c r="R255"/>
    </row>
    <row r="256" spans="1:18" s="7" customFormat="1" ht="10.5" customHeight="1">
      <c r="A256" s="86" t="s">
        <v>281</v>
      </c>
      <c r="B256" s="130"/>
      <c r="C256" s="4"/>
      <c r="D256" s="141"/>
      <c r="E256" s="302"/>
      <c r="F256" s="4"/>
      <c r="G256" s="4"/>
      <c r="H256" s="4"/>
      <c r="I256" s="4"/>
      <c r="J256" s="313"/>
      <c r="K256" s="141"/>
      <c r="L256"/>
      <c r="M256"/>
      <c r="N256"/>
      <c r="O256"/>
      <c r="P256"/>
      <c r="Q256"/>
      <c r="R256"/>
    </row>
    <row r="257" spans="1:18" s="7" customFormat="1" ht="10.5" customHeight="1">
      <c r="A257" s="86" t="s">
        <v>282</v>
      </c>
      <c r="B257" s="140">
        <f>('maintenance costs'!$L$42*9*0.01+'maintenance costs'!$L$29*0.45+'maintenance costs'!$L$17+'maintenance costs'!$L$45)*inflators!$E$15/100</f>
        <v>1.9731943515151515</v>
      </c>
      <c r="C257" s="4">
        <v>10</v>
      </c>
      <c r="D257" s="141">
        <f>B257*(1/(1+inflators!$B$9)^C257)</f>
        <v>1.3330194020130939</v>
      </c>
      <c r="E257" s="140"/>
      <c r="F257" s="4"/>
      <c r="G257" s="4"/>
      <c r="H257" s="4"/>
      <c r="I257" s="4"/>
      <c r="J257" s="313"/>
      <c r="K257" s="141"/>
      <c r="L257"/>
      <c r="M257"/>
      <c r="N257"/>
      <c r="O257"/>
      <c r="P257"/>
      <c r="Q257"/>
      <c r="R257"/>
    </row>
    <row r="258" spans="1:18" s="7" customFormat="1" ht="10.5" customHeight="1">
      <c r="A258" s="86" t="s">
        <v>460</v>
      </c>
      <c r="B258" s="140">
        <f>('maintenance costs'!$L$42*9*0.1+'maintenance costs'!$L$29*0.7+'maintenance costs'!$L$17+'maintenance costs'!$L$45)*inflators!$E$15/100</f>
        <v>3.1823311515151516</v>
      </c>
      <c r="C258" s="4">
        <v>15</v>
      </c>
      <c r="D258" s="141">
        <f>B258*(1/(1+inflators!$B$9)^C258)</f>
        <v>1.7670355243150238</v>
      </c>
      <c r="E258" s="140"/>
      <c r="F258" s="4"/>
      <c r="G258" s="4"/>
      <c r="H258" s="4"/>
      <c r="I258" s="4"/>
      <c r="J258" s="313"/>
      <c r="K258" s="141"/>
      <c r="L258"/>
      <c r="M258"/>
      <c r="N258"/>
      <c r="O258"/>
      <c r="P258"/>
      <c r="Q258"/>
      <c r="R258"/>
    </row>
    <row r="259" spans="1:18" s="7" customFormat="1" ht="10.5" customHeight="1">
      <c r="A259" s="86" t="s">
        <v>460</v>
      </c>
      <c r="B259" s="140">
        <f>('maintenance costs'!$L$42*9*0.1+'maintenance costs'!$L$29*0.7+'maintenance costs'!$L$17+'maintenance costs'!$L$45)*inflators!$E$15/100</f>
        <v>3.1823311515151516</v>
      </c>
      <c r="C259" s="4">
        <v>30</v>
      </c>
      <c r="D259" s="141">
        <f>B259*(1/(1+inflators!$B$9)^C259)</f>
        <v>0.9811721016854724</v>
      </c>
      <c r="E259" s="140"/>
      <c r="F259" s="4"/>
      <c r="G259" s="4"/>
      <c r="H259" s="4"/>
      <c r="I259" s="4"/>
      <c r="J259" s="313"/>
      <c r="K259" s="141"/>
      <c r="L259"/>
      <c r="M259"/>
      <c r="N259"/>
      <c r="O259"/>
      <c r="P259"/>
      <c r="Q259"/>
      <c r="R259"/>
    </row>
    <row r="260" spans="1:18" s="7" customFormat="1" ht="10.5" customHeight="1">
      <c r="A260" s="86" t="s">
        <v>461</v>
      </c>
      <c r="B260" s="130"/>
      <c r="C260" s="4"/>
      <c r="D260" s="141"/>
      <c r="F260" s="4"/>
      <c r="G260" s="4"/>
      <c r="H260" s="4"/>
      <c r="I260" s="4"/>
      <c r="J260" s="313"/>
      <c r="K260" s="141"/>
      <c r="L260"/>
      <c r="M260"/>
      <c r="N260"/>
      <c r="O260"/>
      <c r="P260"/>
      <c r="Q260"/>
      <c r="R260"/>
    </row>
    <row r="261" spans="1:18" s="7" customFormat="1" ht="10.5" customHeight="1">
      <c r="A261" s="144" t="s">
        <v>521</v>
      </c>
      <c r="B261" s="149">
        <f>('rehabilitation costs'!F122+'rehabilitation costs'!$L$23+'maintenance costs'!$L$45)*inflators!$E$15/100</f>
        <v>1.2358751515151516</v>
      </c>
      <c r="C261" s="74">
        <v>20</v>
      </c>
      <c r="D261" s="145">
        <f>B261*(1/(1+inflators!$B$9)^C261)</f>
        <v>0.5640372862860592</v>
      </c>
      <c r="E261" s="149"/>
      <c r="F261" s="74"/>
      <c r="G261" s="74"/>
      <c r="H261" s="74"/>
      <c r="I261" s="74"/>
      <c r="J261" s="313"/>
      <c r="K261" s="141"/>
      <c r="L261"/>
      <c r="M261"/>
      <c r="N261"/>
      <c r="O261"/>
      <c r="P261"/>
      <c r="Q261"/>
      <c r="R261"/>
    </row>
    <row r="262" spans="1:18" s="7" customFormat="1" ht="10.5" customHeight="1">
      <c r="A262" s="147"/>
      <c r="C262" s="193" t="s">
        <v>455</v>
      </c>
      <c r="D262" s="187">
        <f>D250</f>
        <v>17.001335151515153</v>
      </c>
      <c r="I262" s="193" t="s">
        <v>455</v>
      </c>
      <c r="J262" s="121">
        <f>J250</f>
        <v>23.169975151515153</v>
      </c>
      <c r="K262" s="186">
        <f>K250</f>
        <v>23.169975151515153</v>
      </c>
      <c r="L262"/>
      <c r="M262"/>
      <c r="N262"/>
      <c r="O262"/>
      <c r="P262"/>
      <c r="Q262"/>
      <c r="R262"/>
    </row>
    <row r="263" spans="1:18" s="7" customFormat="1" ht="10.5" customHeight="1">
      <c r="A263" s="147"/>
      <c r="C263" s="146" t="s">
        <v>710</v>
      </c>
      <c r="D263" s="187">
        <f>SUM(D251:D261)</f>
        <v>6.261866309572875</v>
      </c>
      <c r="I263" s="146" t="s">
        <v>710</v>
      </c>
      <c r="J263" s="123">
        <f>SUM(J251:J257)</f>
        <v>11.164703996552458</v>
      </c>
      <c r="K263" s="187">
        <f>SUM(K251:K257)</f>
        <v>11.164703996552458</v>
      </c>
      <c r="L263"/>
      <c r="M263"/>
      <c r="N263"/>
      <c r="O263"/>
      <c r="P263"/>
      <c r="Q263"/>
      <c r="R263"/>
    </row>
    <row r="264" spans="1:18" s="7" customFormat="1" ht="10.5" customHeight="1">
      <c r="A264" s="147"/>
      <c r="C264" s="146" t="s">
        <v>588</v>
      </c>
      <c r="D264" s="187">
        <v>0</v>
      </c>
      <c r="I264" s="146" t="s">
        <v>588</v>
      </c>
      <c r="J264" s="123">
        <v>0</v>
      </c>
      <c r="K264" s="187">
        <v>0</v>
      </c>
      <c r="L264"/>
      <c r="M264"/>
      <c r="N264"/>
      <c r="O264"/>
      <c r="P264"/>
      <c r="Q264"/>
      <c r="R264"/>
    </row>
    <row r="265" spans="1:18" s="7" customFormat="1" ht="10.5" customHeight="1">
      <c r="A265" s="147"/>
      <c r="C265" s="274" t="s">
        <v>711</v>
      </c>
      <c r="D265" s="211">
        <f>D262+D263-D264</f>
        <v>23.26320146108803</v>
      </c>
      <c r="I265" s="274" t="s">
        <v>711</v>
      </c>
      <c r="J265" s="280">
        <f>J262+J263-J264</f>
        <v>34.33467914806761</v>
      </c>
      <c r="K265" s="211">
        <f>K262+K263-K264</f>
        <v>34.33467914806761</v>
      </c>
      <c r="L265"/>
      <c r="M265"/>
      <c r="N265"/>
      <c r="O265"/>
      <c r="P265"/>
      <c r="Q265"/>
      <c r="R265"/>
    </row>
    <row r="266" s="7" customFormat="1" ht="10.5" customHeight="1">
      <c r="A266" s="9"/>
    </row>
    <row r="267" s="487" customFormat="1" ht="12">
      <c r="A267" s="482" t="s">
        <v>643</v>
      </c>
    </row>
    <row r="268" spans="1:12" s="7" customFormat="1" ht="12">
      <c r="A268" s="190" t="s">
        <v>22</v>
      </c>
      <c r="B268" s="639" t="s">
        <v>735</v>
      </c>
      <c r="C268" s="640"/>
      <c r="D268" s="640"/>
      <c r="E268" s="640"/>
      <c r="F268" s="640"/>
      <c r="G268" s="640"/>
      <c r="H268" s="640"/>
      <c r="I268" s="640"/>
      <c r="J268" s="641"/>
      <c r="L268" s="7" t="s">
        <v>31</v>
      </c>
    </row>
    <row r="269" spans="1:14" s="7" customFormat="1" ht="12">
      <c r="A269" s="83" t="s">
        <v>21</v>
      </c>
      <c r="B269" s="569" t="s">
        <v>113</v>
      </c>
      <c r="C269" s="570"/>
      <c r="D269" s="571"/>
      <c r="E269" s="569" t="s">
        <v>114</v>
      </c>
      <c r="F269" s="570"/>
      <c r="G269" s="571"/>
      <c r="H269" s="569" t="s">
        <v>115</v>
      </c>
      <c r="I269" s="570"/>
      <c r="J269" s="571"/>
      <c r="L269" s="566" t="s">
        <v>586</v>
      </c>
      <c r="M269" s="567"/>
      <c r="N269" s="568"/>
    </row>
    <row r="270" spans="1:14" s="7" customFormat="1" ht="10.5" customHeight="1">
      <c r="A270" s="77"/>
      <c r="B270" s="564" t="s">
        <v>715</v>
      </c>
      <c r="C270" s="564" t="s">
        <v>587</v>
      </c>
      <c r="D270" s="564" t="s">
        <v>533</v>
      </c>
      <c r="E270" s="564" t="s">
        <v>715</v>
      </c>
      <c r="F270" s="564" t="s">
        <v>587</v>
      </c>
      <c r="G270" s="564" t="s">
        <v>533</v>
      </c>
      <c r="H270" s="564" t="s">
        <v>715</v>
      </c>
      <c r="I270" s="564" t="s">
        <v>587</v>
      </c>
      <c r="J270" s="564" t="s">
        <v>533</v>
      </c>
      <c r="L270" s="564" t="s">
        <v>715</v>
      </c>
      <c r="M270" s="564" t="s">
        <v>587</v>
      </c>
      <c r="N270" s="564" t="s">
        <v>533</v>
      </c>
    </row>
    <row r="271" spans="1:14" s="7" customFormat="1" ht="10.5" customHeight="1">
      <c r="A271" s="291" t="s">
        <v>716</v>
      </c>
      <c r="B271" s="623"/>
      <c r="C271" s="623"/>
      <c r="D271" s="622"/>
      <c r="E271" s="623"/>
      <c r="F271" s="623"/>
      <c r="G271" s="622"/>
      <c r="H271" s="623"/>
      <c r="I271" s="623"/>
      <c r="J271" s="622"/>
      <c r="L271" s="632"/>
      <c r="M271" s="632"/>
      <c r="N271" s="632"/>
    </row>
    <row r="272" spans="1:14" s="7" customFormat="1" ht="10.5" customHeight="1">
      <c r="A272" s="85" t="s">
        <v>734</v>
      </c>
      <c r="B272" s="139">
        <f>('rehabilitation costs'!$L$8+'new pavement costs'!$L$8+'new pavement costs'!$L$16+'new pavement costs'!$L$28+'maintenance costs'!$L$17+'maintenance costs'!$L$45)*inflators!$E$15/100</f>
        <v>23.565935151515156</v>
      </c>
      <c r="C272" s="6">
        <v>0</v>
      </c>
      <c r="D272" s="290">
        <f>B272*(1/(1+inflators!$B$9)^C272)</f>
        <v>23.565935151515156</v>
      </c>
      <c r="E272" s="139">
        <f>('rehabilitation costs'!$L$8+'new pavement costs'!$L$8+'new pavement costs'!$L$16+'new pavement costs'!$L$28+'maintenance costs'!$L$17+'maintenance costs'!$L$45)*inflators!$E$15/100</f>
        <v>23.565935151515156</v>
      </c>
      <c r="F272" s="3">
        <v>0</v>
      </c>
      <c r="G272" s="290">
        <f>E272*(1/(1+inflators!$B$9)^F272)</f>
        <v>23.565935151515156</v>
      </c>
      <c r="H272" s="139">
        <f>('rehabilitation costs'!$L$8+'new pavement costs'!$L$8+'new pavement costs'!$L$16+'new pavement costs'!$L$28+'maintenance costs'!$L$17+'maintenance costs'!$L$45)*inflators!$E$15/100</f>
        <v>23.565935151515156</v>
      </c>
      <c r="I272" s="3">
        <v>0</v>
      </c>
      <c r="J272" s="290">
        <f>H272*(1/(1+inflators!$B$9)^I272)</f>
        <v>23.565935151515156</v>
      </c>
      <c r="K272" s="321" t="s">
        <v>731</v>
      </c>
      <c r="L272" s="186">
        <f>('rehabilitation costs'!$L$118/(inflators!$J$15/100)+'rehabilitation costs'!$L$14)*inflators!$E$15/100</f>
        <v>15.898038316633267</v>
      </c>
      <c r="M272" s="3">
        <v>0</v>
      </c>
      <c r="N272" s="290">
        <f>L272*(1/(1+inflators!$B$9)^M272)</f>
        <v>15.898038316633267</v>
      </c>
    </row>
    <row r="273" spans="1:14" s="7" customFormat="1" ht="12">
      <c r="A273" s="86" t="s">
        <v>176</v>
      </c>
      <c r="B273" s="140">
        <f>('maintenance costs'!$L$17+'maintenance costs'!$L$45)*inflators!$E$15/100</f>
        <v>1.3504951515151515</v>
      </c>
      <c r="C273" s="5">
        <v>3</v>
      </c>
      <c r="D273" s="141">
        <f>B273*(1/(1+inflators!$B$9)^C273)</f>
        <v>1.2005852720996952</v>
      </c>
      <c r="E273" s="140">
        <f>('maintenance costs'!$L$17+'maintenance costs'!$L$45)*inflators!$E$15/100</f>
        <v>1.3504951515151515</v>
      </c>
      <c r="F273" s="4">
        <v>5</v>
      </c>
      <c r="G273" s="141">
        <f>E273*(1/(1+inflators!$B$9)^F273)</f>
        <v>1.1100085725773805</v>
      </c>
      <c r="H273" s="140">
        <f>('maintenance costs'!$L$17+'maintenance costs'!$L$45)*inflators!$E$15/100</f>
        <v>1.3504951515151515</v>
      </c>
      <c r="I273" s="4">
        <v>5</v>
      </c>
      <c r="J273" s="141">
        <f>H273*(1/(1+inflators!$B$9)^I273)</f>
        <v>1.1100085725773805</v>
      </c>
      <c r="K273" s="1" t="s">
        <v>387</v>
      </c>
      <c r="L273" s="187">
        <f>(('rehabilitation costs'!$L$14+'rehabilitation costs'!$L$118/(inflators!$J$15/100))*0.25+'maintenance costs'!$L$45)*inflators!$E$15/100</f>
        <v>4.241324730673468</v>
      </c>
      <c r="M273" s="4">
        <v>15</v>
      </c>
      <c r="N273" s="141">
        <f>L273*(1/(1+inflators!$B$9)^M273)</f>
        <v>2.3550570674229174</v>
      </c>
    </row>
    <row r="274" spans="1:14" s="7" customFormat="1" ht="12">
      <c r="A274" s="86" t="s">
        <v>176</v>
      </c>
      <c r="B274" s="140">
        <f>('maintenance costs'!$L$17+'maintenance costs'!$L$45)*inflators!$E$15/100</f>
        <v>1.3504951515151515</v>
      </c>
      <c r="C274" s="5">
        <v>13</v>
      </c>
      <c r="D274" s="141">
        <f>B274*(1/(1+inflators!$B$9)^C274)</f>
        <v>0.8110723914505257</v>
      </c>
      <c r="E274" s="140">
        <f>('maintenance costs'!$L$17+'maintenance costs'!$L$45)*inflators!$E$15/100</f>
        <v>1.3504951515151515</v>
      </c>
      <c r="F274" s="4">
        <v>20</v>
      </c>
      <c r="G274" s="141">
        <f>E274*(1/(1+inflators!$B$9)^F274)</f>
        <v>0.6163483580596513</v>
      </c>
      <c r="H274" s="140">
        <f>('maintenance costs'!$L$17+'maintenance costs'!$L$45)*inflators!$E$15/100</f>
        <v>1.3504951515151515</v>
      </c>
      <c r="I274" s="4">
        <v>25</v>
      </c>
      <c r="J274" s="141">
        <f>H274*(1/(1+inflators!$B$9)^I274)</f>
        <v>0.506593422695846</v>
      </c>
      <c r="K274" s="1" t="s">
        <v>386</v>
      </c>
      <c r="L274" s="187">
        <f>(('rehabilitation costs'!$L$14+'rehabilitation costs'!$L$118/(inflators!$J$15/100))*0.5+'maintenance costs'!$L$45)*inflators!$E$15/100</f>
        <v>8.215834309831784</v>
      </c>
      <c r="M274" s="4">
        <v>22</v>
      </c>
      <c r="N274" s="141">
        <f>L274*(1/(1+inflators!$B$9)^M274)</f>
        <v>3.466715542862359</v>
      </c>
    </row>
    <row r="275" spans="1:14" s="7" customFormat="1" ht="12">
      <c r="A275" s="86" t="s">
        <v>176</v>
      </c>
      <c r="B275" s="140">
        <f>('maintenance costs'!$L$17+'maintenance costs'!$L$45)*inflators!$E$15/100</f>
        <v>1.3504951515151515</v>
      </c>
      <c r="C275" s="5">
        <v>23</v>
      </c>
      <c r="D275" s="141">
        <f>B275*(1/(1+inflators!$B$9)^C275)</f>
        <v>0.5479314459878271</v>
      </c>
      <c r="E275" s="302"/>
      <c r="F275" s="4"/>
      <c r="G275" s="141"/>
      <c r="H275" s="140"/>
      <c r="I275" s="4"/>
      <c r="J275" s="141"/>
      <c r="K275" s="1" t="s">
        <v>386</v>
      </c>
      <c r="L275" s="187">
        <f>(('rehabilitation costs'!$L$14+'rehabilitation costs'!$L$118/(inflators!$J$15/100))*0.5+'maintenance costs'!$L$45)*inflators!$E$15/100</f>
        <v>8.215834309831784</v>
      </c>
      <c r="M275" s="4">
        <v>27</v>
      </c>
      <c r="N275" s="141">
        <f>L275*(1/(1+inflators!$B$9)^M275)</f>
        <v>2.8493874761025335</v>
      </c>
    </row>
    <row r="276" spans="1:14" s="7" customFormat="1" ht="10.5" customHeight="1">
      <c r="A276" s="86" t="s">
        <v>362</v>
      </c>
      <c r="B276" s="140">
        <f>('rehabilitation costs'!$L$29+'maintenance costs'!$L$45)*inflators!$E$15/100</f>
        <v>3.6012151515151514</v>
      </c>
      <c r="C276" s="5">
        <v>10</v>
      </c>
      <c r="D276" s="141">
        <f>B276*(1/(1+inflators!$B$9)^C276)</f>
        <v>2.4328519205962054</v>
      </c>
      <c r="E276" s="140">
        <f>('rehabilitation costs'!$L$29+'maintenance costs'!$L$45)*inflators!$E$15/100</f>
        <v>3.6012151515151514</v>
      </c>
      <c r="F276" s="4">
        <v>15</v>
      </c>
      <c r="G276" s="141">
        <f>E276*(1/(1+inflators!$B$9)^F276)</f>
        <v>1.999626940269571</v>
      </c>
      <c r="H276" s="140"/>
      <c r="I276" s="4"/>
      <c r="J276" s="141"/>
      <c r="K276" s="1" t="s">
        <v>386</v>
      </c>
      <c r="L276" s="187">
        <f>(('rehabilitation costs'!$L$14+'rehabilitation costs'!$L$118/(inflators!$J$15/100))*0.5+'maintenance costs'!$L$45)*inflators!$E$15/100</f>
        <v>8.215834309831784</v>
      </c>
      <c r="M276" s="4">
        <v>32</v>
      </c>
      <c r="N276" s="141">
        <f>L276*(1/(1+inflators!$B$9)^M276)</f>
        <v>2.3419888042692865</v>
      </c>
    </row>
    <row r="277" spans="1:14" s="7" customFormat="1" ht="12">
      <c r="A277" s="86" t="s">
        <v>281</v>
      </c>
      <c r="B277" s="140">
        <f>('rehabilitation costs'!$L$14+'rehabilitation costs'!$L$29+'maintenance costs'!$L$45)*inflators!$E$15/100</f>
        <v>5.310095151515152</v>
      </c>
      <c r="C277" s="5">
        <v>20</v>
      </c>
      <c r="D277" s="141">
        <f>B277*(1/(1+inflators!$B$9)^C277)</f>
        <v>2.4234581102382875</v>
      </c>
      <c r="E277" s="140">
        <f>('rehabilitation costs'!$L$14+'rehabilitation costs'!$L$29+'maintenance costs'!$L$45)*inflators!$E$15/100</f>
        <v>5.310095151515152</v>
      </c>
      <c r="F277" s="4">
        <v>30</v>
      </c>
      <c r="G277" s="141">
        <f>E277*(1/(1+inflators!$B$9)^F277)</f>
        <v>1.6372014639272694</v>
      </c>
      <c r="H277" s="140"/>
      <c r="I277" s="4"/>
      <c r="J277" s="141"/>
      <c r="L277" s="130"/>
      <c r="M277" s="130"/>
      <c r="N277" s="130"/>
    </row>
    <row r="278" spans="1:14" s="147" customFormat="1" ht="12">
      <c r="A278" s="86" t="s">
        <v>281</v>
      </c>
      <c r="B278" s="140">
        <f>('rehabilitation costs'!$L$14+'rehabilitation costs'!$L$29+'maintenance costs'!$L$45)*inflators!$E$15/100</f>
        <v>5.310095151515152</v>
      </c>
      <c r="C278" s="5">
        <v>30</v>
      </c>
      <c r="D278" s="141">
        <f>B278*(1/(1+inflators!$B$9)^C278)</f>
        <v>1.6372014639272694</v>
      </c>
      <c r="E278" s="302"/>
      <c r="F278" s="4"/>
      <c r="G278" s="141"/>
      <c r="H278" s="130"/>
      <c r="I278" s="4"/>
      <c r="J278" s="141"/>
      <c r="L278" s="379"/>
      <c r="M278" s="379"/>
      <c r="N278" s="379"/>
    </row>
    <row r="279" spans="1:14" s="147" customFormat="1" ht="12">
      <c r="A279" s="86" t="s">
        <v>282</v>
      </c>
      <c r="B279" s="140">
        <f>('maintenance costs'!$L$42*9*0.01+'maintenance costs'!$L$29*0.45+'maintenance costs'!$L$17+'maintenance costs'!$L$45)*inflators!$E$15/100</f>
        <v>1.9731943515151515</v>
      </c>
      <c r="C279" s="5">
        <v>6</v>
      </c>
      <c r="D279" s="141">
        <f>B279*(1/(1+inflators!$B$9)^C279)</f>
        <v>1.5594441580910994</v>
      </c>
      <c r="E279" s="140">
        <f>('maintenance costs'!$L$42*9*0.01+'maintenance costs'!$L$29*0.45+'maintenance costs'!$L$17+'maintenance costs'!$L$45)*inflators!$E$15/100</f>
        <v>1.9731943515151515</v>
      </c>
      <c r="F279" s="4">
        <v>10</v>
      </c>
      <c r="G279" s="141">
        <f>E279*(1/(1+inflators!$B$9)^F279)</f>
        <v>1.3330194020130939</v>
      </c>
      <c r="H279" s="140">
        <f>('maintenance costs'!$L$42*9*0.01+'maintenance costs'!$L$29*0.45+'maintenance costs'!$L$17+'maintenance costs'!$L$45)*inflators!$E$15/100</f>
        <v>1.9731943515151515</v>
      </c>
      <c r="I279" s="4">
        <v>10</v>
      </c>
      <c r="J279" s="141">
        <f>H279*(1/(1+inflators!$B$9)^I279)</f>
        <v>1.3330194020130939</v>
      </c>
      <c r="L279" s="379"/>
      <c r="M279" s="379"/>
      <c r="N279" s="379"/>
    </row>
    <row r="280" spans="1:14" s="147" customFormat="1" ht="12">
      <c r="A280" s="86" t="s">
        <v>460</v>
      </c>
      <c r="B280" s="140">
        <f>('maintenance costs'!$L$42*9*0.1+'maintenance costs'!$L$29*0.7+'maintenance costs'!$L$17+'maintenance costs'!$L$45)*inflators!$E$15/100</f>
        <v>3.1823311515151516</v>
      </c>
      <c r="C280" s="9">
        <v>16</v>
      </c>
      <c r="D280" s="141">
        <f>B280*(1/(1+inflators!$B$9)^C280)</f>
        <v>1.6990726195336763</v>
      </c>
      <c r="E280" s="140">
        <f>('maintenance costs'!$L$42*9*0.1+'maintenance costs'!$L$29*0.7+'maintenance costs'!$L$17+'maintenance costs'!$L$45)*inflators!$E$15/100</f>
        <v>3.1823311515151516</v>
      </c>
      <c r="F280" s="4">
        <v>25</v>
      </c>
      <c r="G280" s="141">
        <f>E280*(1/(1+inflators!$B$9)^F280)</f>
        <v>1.193745885269538</v>
      </c>
      <c r="H280" s="140">
        <f>('maintenance costs'!$L$42*9*0.1+'maintenance costs'!$L$29*0.7+'maintenance costs'!$L$17+'maintenance costs'!$L$45)*inflators!$E$15/100</f>
        <v>3.1823311515151516</v>
      </c>
      <c r="I280" s="4">
        <v>15</v>
      </c>
      <c r="J280" s="141">
        <f>H280*(1/(1+inflators!$B$9)^I280)</f>
        <v>1.7670355243150238</v>
      </c>
      <c r="K280" s="185"/>
      <c r="L280" s="130"/>
      <c r="M280" s="130"/>
      <c r="N280" s="130"/>
    </row>
    <row r="281" spans="1:14" s="7" customFormat="1" ht="12">
      <c r="A281" s="86" t="s">
        <v>460</v>
      </c>
      <c r="B281" s="140">
        <f>('maintenance costs'!$L$42*9*0.1+'maintenance costs'!$L$29*0.7+'maintenance costs'!$L$17+'maintenance costs'!$L$45)*inflators!$E$15/100</f>
        <v>3.1823311515151516</v>
      </c>
      <c r="C281" s="9"/>
      <c r="D281" s="141"/>
      <c r="E281" s="185"/>
      <c r="F281" s="4"/>
      <c r="G281" s="141"/>
      <c r="H281" s="140">
        <f>('maintenance costs'!$L$42*9*0.1+'maintenance costs'!$L$29*0.7+'maintenance costs'!$L$17+'maintenance costs'!$L$45)*inflators!$E$15/100</f>
        <v>3.1823311515151516</v>
      </c>
      <c r="I281" s="4">
        <v>30</v>
      </c>
      <c r="J281" s="141">
        <f>H281*(1/(1+inflators!$B$9)^I281)</f>
        <v>0.9811721016854724</v>
      </c>
      <c r="K281" s="185"/>
      <c r="L281" s="130"/>
      <c r="M281" s="130"/>
      <c r="N281" s="130"/>
    </row>
    <row r="282" spans="1:14" s="301" customFormat="1" ht="12">
      <c r="A282" s="86" t="s">
        <v>461</v>
      </c>
      <c r="B282" s="140">
        <f>('maintenance costs'!$L$42*9*0.2+'maintenance costs'!$L$29*1.2+'maintenance costs'!$L$17+'maintenance costs'!$L$45)*inflators!$E$15/100</f>
        <v>4.782843151515152</v>
      </c>
      <c r="C282" s="9">
        <v>26</v>
      </c>
      <c r="D282" s="141">
        <f>B282*(1/(1+inflators!$B$9)^C282)</f>
        <v>1.72512002757561</v>
      </c>
      <c r="E282" s="185"/>
      <c r="F282" s="4"/>
      <c r="G282" s="141"/>
      <c r="H282" s="130"/>
      <c r="I282" s="4"/>
      <c r="J282" s="141"/>
      <c r="K282" s="185"/>
      <c r="L282" s="130"/>
      <c r="M282" s="130"/>
      <c r="N282" s="130"/>
    </row>
    <row r="283" spans="1:14" s="301" customFormat="1" ht="12">
      <c r="A283" s="144" t="s">
        <v>521</v>
      </c>
      <c r="B283" s="149"/>
      <c r="C283" s="10"/>
      <c r="D283" s="145"/>
      <c r="E283" s="375"/>
      <c r="F283" s="74"/>
      <c r="G283" s="145"/>
      <c r="H283" s="149">
        <f>('rehabilitation costs'!L144+'rehabilitation costs'!$L$23+'maintenance costs'!$L$45)*inflators!$E$15/100</f>
        <v>1.2358751515151516</v>
      </c>
      <c r="I283" s="74">
        <v>20</v>
      </c>
      <c r="J283" s="145">
        <f>H283*(1/(1+inflators!$B$9)^I283)</f>
        <v>0.5640372862860592</v>
      </c>
      <c r="K283" s="305"/>
      <c r="L283" s="320"/>
      <c r="M283" s="319"/>
      <c r="N283" s="320"/>
    </row>
    <row r="284" spans="1:14" s="301" customFormat="1" ht="12">
      <c r="A284" s="190"/>
      <c r="B284" s="289"/>
      <c r="C284" s="193" t="s">
        <v>455</v>
      </c>
      <c r="D284" s="187">
        <f>D272</f>
        <v>23.565935151515156</v>
      </c>
      <c r="E284" s="7"/>
      <c r="F284" s="193" t="s">
        <v>455</v>
      </c>
      <c r="G284" s="187">
        <f>G272</f>
        <v>23.565935151515156</v>
      </c>
      <c r="H284" s="7"/>
      <c r="I284" s="193" t="s">
        <v>455</v>
      </c>
      <c r="J284" s="187">
        <f>J272</f>
        <v>23.565935151515156</v>
      </c>
      <c r="K284" s="146"/>
      <c r="L284" s="147"/>
      <c r="M284" s="193" t="s">
        <v>455</v>
      </c>
      <c r="N284" s="186">
        <f>N272</f>
        <v>15.898038316633267</v>
      </c>
    </row>
    <row r="285" spans="1:14" s="301" customFormat="1" ht="12">
      <c r="A285" s="190"/>
      <c r="B285" s="289"/>
      <c r="C285" s="146" t="s">
        <v>710</v>
      </c>
      <c r="D285" s="187">
        <f>SUM(D273:D283)</f>
        <v>14.036737409500198</v>
      </c>
      <c r="E285" s="7"/>
      <c r="F285" s="146" t="s">
        <v>710</v>
      </c>
      <c r="G285" s="187">
        <f>SUM(G273:G283)</f>
        <v>7.889950622116505</v>
      </c>
      <c r="H285" s="7"/>
      <c r="I285" s="146" t="s">
        <v>710</v>
      </c>
      <c r="J285" s="187">
        <f>SUM(J273:J283)</f>
        <v>6.261866309572875</v>
      </c>
      <c r="K285" s="146"/>
      <c r="L285" s="147"/>
      <c r="M285" s="146" t="s">
        <v>710</v>
      </c>
      <c r="N285" s="187">
        <f>SUM(N273:N283)</f>
        <v>11.013148890657096</v>
      </c>
    </row>
    <row r="286" spans="1:14" s="301" customFormat="1" ht="12">
      <c r="A286" s="9"/>
      <c r="B286" s="7"/>
      <c r="C286" s="146" t="s">
        <v>588</v>
      </c>
      <c r="D286" s="187">
        <v>0</v>
      </c>
      <c r="E286" s="7"/>
      <c r="F286" s="146" t="s">
        <v>588</v>
      </c>
      <c r="G286" s="187">
        <v>0</v>
      </c>
      <c r="H286" s="7"/>
      <c r="I286" s="146" t="s">
        <v>588</v>
      </c>
      <c r="J286" s="187">
        <v>0</v>
      </c>
      <c r="K286" s="7"/>
      <c r="L286" s="7"/>
      <c r="M286" s="146" t="s">
        <v>588</v>
      </c>
      <c r="N286" s="187">
        <f>N283/14*12</f>
        <v>0</v>
      </c>
    </row>
    <row r="287" spans="1:14" s="7" customFormat="1" ht="12">
      <c r="A287" s="9"/>
      <c r="C287" s="274" t="s">
        <v>711</v>
      </c>
      <c r="D287" s="211">
        <f>D284+D285-D286</f>
        <v>37.60267256101535</v>
      </c>
      <c r="F287" s="274" t="s">
        <v>711</v>
      </c>
      <c r="G287" s="211">
        <f>G284+G285-G286</f>
        <v>31.45588577363166</v>
      </c>
      <c r="I287" s="274" t="s">
        <v>711</v>
      </c>
      <c r="J287" s="211">
        <f>J284+J285-J286</f>
        <v>29.82780146108803</v>
      </c>
      <c r="K287" s="301"/>
      <c r="L287" s="301"/>
      <c r="M287" s="274" t="s">
        <v>711</v>
      </c>
      <c r="N287" s="211">
        <f>N284+N285-N286</f>
        <v>26.91118720729036</v>
      </c>
    </row>
    <row r="288" spans="1:8" s="7" customFormat="1" ht="12">
      <c r="A288" s="9"/>
      <c r="D288" s="288"/>
      <c r="E288" s="301"/>
      <c r="F288" s="301"/>
      <c r="G288" s="301"/>
      <c r="H288" s="301"/>
    </row>
    <row r="289" spans="2:10" s="7" customFormat="1" ht="12">
      <c r="B289" s="639" t="s">
        <v>735</v>
      </c>
      <c r="C289" s="640"/>
      <c r="D289" s="640"/>
      <c r="E289" s="640"/>
      <c r="F289" s="640"/>
      <c r="G289" s="640"/>
      <c r="H289" s="640"/>
      <c r="I289" s="640"/>
      <c r="J289" s="641"/>
    </row>
    <row r="290" spans="1:14" s="7" customFormat="1" ht="12">
      <c r="A290" s="374"/>
      <c r="B290" s="569" t="s">
        <v>113</v>
      </c>
      <c r="C290" s="570"/>
      <c r="D290" s="571"/>
      <c r="E290" s="569" t="s">
        <v>114</v>
      </c>
      <c r="F290" s="570"/>
      <c r="G290" s="571"/>
      <c r="H290" s="569" t="s">
        <v>115</v>
      </c>
      <c r="I290" s="570"/>
      <c r="J290" s="571"/>
      <c r="L290" s="566" t="s">
        <v>586</v>
      </c>
      <c r="M290" s="567"/>
      <c r="N290" s="568"/>
    </row>
    <row r="291" spans="1:14" s="7" customFormat="1" ht="12">
      <c r="A291" s="489" t="s">
        <v>389</v>
      </c>
      <c r="B291" s="564" t="s">
        <v>715</v>
      </c>
      <c r="C291" s="564" t="s">
        <v>587</v>
      </c>
      <c r="D291" s="564" t="s">
        <v>533</v>
      </c>
      <c r="E291" s="564" t="s">
        <v>715</v>
      </c>
      <c r="F291" s="564" t="s">
        <v>587</v>
      </c>
      <c r="G291" s="564" t="s">
        <v>533</v>
      </c>
      <c r="H291" s="564" t="s">
        <v>715</v>
      </c>
      <c r="I291" s="564" t="s">
        <v>587</v>
      </c>
      <c r="J291" s="564" t="s">
        <v>533</v>
      </c>
      <c r="L291" s="564" t="s">
        <v>715</v>
      </c>
      <c r="M291" s="564" t="s">
        <v>587</v>
      </c>
      <c r="N291" s="564" t="s">
        <v>533</v>
      </c>
    </row>
    <row r="292" spans="1:14" s="7" customFormat="1" ht="12">
      <c r="A292" s="291" t="s">
        <v>716</v>
      </c>
      <c r="B292" s="623"/>
      <c r="C292" s="623"/>
      <c r="D292" s="622"/>
      <c r="E292" s="623"/>
      <c r="F292" s="623"/>
      <c r="G292" s="622"/>
      <c r="H292" s="623"/>
      <c r="I292" s="623"/>
      <c r="J292" s="622"/>
      <c r="L292" s="632"/>
      <c r="M292" s="632"/>
      <c r="N292" s="632"/>
    </row>
    <row r="293" spans="1:14" s="7" customFormat="1" ht="12">
      <c r="A293" s="85" t="s">
        <v>734</v>
      </c>
      <c r="B293" s="139">
        <f>('rehabilitation costs'!$L$8+'new pavement costs'!$L$8+'new pavement costs'!$L$16+'new pavement costs'!$L$28+'maintenance costs'!$L$17+'maintenance costs'!$L$45)*inflators!$E$15/100</f>
        <v>23.565935151515156</v>
      </c>
      <c r="C293" s="6">
        <v>0</v>
      </c>
      <c r="D293" s="290">
        <f>B293*(1/(1+inflators!$B$9)^C293)</f>
        <v>23.565935151515156</v>
      </c>
      <c r="E293" s="139">
        <f>('rehabilitation costs'!$L$8+'new pavement costs'!$L$8+'new pavement costs'!$L$16+'new pavement costs'!$L$28+'maintenance costs'!$L$17+'maintenance costs'!$L$45)*inflators!$E$15/100</f>
        <v>23.565935151515156</v>
      </c>
      <c r="F293" s="3">
        <v>0</v>
      </c>
      <c r="G293" s="290">
        <f>E293*(1/(1+inflators!$B$9)^F293)</f>
        <v>23.565935151515156</v>
      </c>
      <c r="H293" s="139">
        <f>('rehabilitation costs'!$L$8+'new pavement costs'!$L$8+'new pavement costs'!$L$16+'new pavement costs'!$L$28+'maintenance costs'!$L$17+'maintenance costs'!$L$45)*inflators!$E$15/100</f>
        <v>23.565935151515156</v>
      </c>
      <c r="I293" s="3">
        <v>0</v>
      </c>
      <c r="J293" s="290">
        <f>H293*(1/(1+inflators!$B$9)^I293)</f>
        <v>23.565935151515156</v>
      </c>
      <c r="K293" s="321" t="s">
        <v>731</v>
      </c>
      <c r="L293" s="186">
        <f>('rehabilitation costs'!$L$118/(inflators!$J$15/100)+'rehabilitation costs'!$L$14)*inflators!$E$15/100</f>
        <v>15.898038316633267</v>
      </c>
      <c r="M293" s="3">
        <v>0</v>
      </c>
      <c r="N293" s="290">
        <f>L293*(1/(1+inflators!$B$9)^M293)</f>
        <v>15.898038316633267</v>
      </c>
    </row>
    <row r="294" spans="1:14" s="301" customFormat="1" ht="12">
      <c r="A294" s="86" t="s">
        <v>176</v>
      </c>
      <c r="B294" s="140">
        <f>('maintenance costs'!$L$17+'maintenance costs'!$L$45)*inflators!$E$15/100</f>
        <v>1.3504951515151515</v>
      </c>
      <c r="C294" s="5">
        <v>3</v>
      </c>
      <c r="D294" s="141">
        <f>B294*(1/(1+inflators!$B$9)^C294)</f>
        <v>1.2005852720996952</v>
      </c>
      <c r="E294" s="140">
        <f>('maintenance costs'!$L$17+'maintenance costs'!$L$45)*inflators!$E$15/100</f>
        <v>1.3504951515151515</v>
      </c>
      <c r="F294" s="4">
        <v>5</v>
      </c>
      <c r="G294" s="141">
        <f>E294*(1/(1+inflators!$B$9)^F294)</f>
        <v>1.1100085725773805</v>
      </c>
      <c r="H294" s="140">
        <f>('maintenance costs'!$L$17+'maintenance costs'!$L$45)*inflators!$E$15/100</f>
        <v>1.3504951515151515</v>
      </c>
      <c r="I294" s="4">
        <v>5</v>
      </c>
      <c r="J294" s="141">
        <f>H294*(1/(1+inflators!$B$9)^I294)</f>
        <v>1.1100085725773805</v>
      </c>
      <c r="K294" s="1" t="s">
        <v>387</v>
      </c>
      <c r="L294" s="187">
        <f>(('rehabilitation costs'!$L$14+'rehabilitation costs'!$L$118/(inflators!$J$15/100))*0.25+'maintenance costs'!$L$45)*inflators!$E$15/100</f>
        <v>4.241324730673468</v>
      </c>
      <c r="M294" s="4">
        <v>15</v>
      </c>
      <c r="N294" s="141">
        <f>L294*(1/(1+inflators!$B$9)^M294)</f>
        <v>2.3550570674229174</v>
      </c>
    </row>
    <row r="295" spans="1:14" s="301" customFormat="1" ht="12">
      <c r="A295" s="86" t="s">
        <v>176</v>
      </c>
      <c r="B295" s="140">
        <f>('maintenance costs'!$L$17+'maintenance costs'!$L$45)*inflators!$E$15/100</f>
        <v>1.3504951515151515</v>
      </c>
      <c r="C295" s="5">
        <v>13</v>
      </c>
      <c r="D295" s="141">
        <f>B295*(1/(1+inflators!$B$9)^C295)</f>
        <v>0.8110723914505257</v>
      </c>
      <c r="E295" s="140"/>
      <c r="F295" s="4"/>
      <c r="G295" s="141"/>
      <c r="H295" s="140"/>
      <c r="I295" s="4"/>
      <c r="J295" s="141"/>
      <c r="K295" s="1"/>
      <c r="L295" s="187"/>
      <c r="M295" s="4"/>
      <c r="N295" s="141"/>
    </row>
    <row r="296" spans="1:14" s="301" customFormat="1" ht="12">
      <c r="A296" s="86" t="s">
        <v>176</v>
      </c>
      <c r="B296" s="140"/>
      <c r="C296" s="5"/>
      <c r="D296" s="141"/>
      <c r="E296" s="302"/>
      <c r="F296" s="4"/>
      <c r="G296" s="141"/>
      <c r="H296" s="140"/>
      <c r="I296" s="4"/>
      <c r="J296" s="141"/>
      <c r="K296" s="1"/>
      <c r="L296" s="187"/>
      <c r="M296" s="4"/>
      <c r="N296" s="141"/>
    </row>
    <row r="297" spans="1:14" s="301" customFormat="1" ht="12">
      <c r="A297" s="86" t="s">
        <v>362</v>
      </c>
      <c r="B297" s="140">
        <f>('rehabilitation costs'!$L$29+'maintenance costs'!$L$45)*inflators!$E$15/100</f>
        <v>3.6012151515151514</v>
      </c>
      <c r="C297" s="5">
        <v>10</v>
      </c>
      <c r="D297" s="141">
        <f>B297*(1/(1+inflators!$B$9)^C297)</f>
        <v>2.4328519205962054</v>
      </c>
      <c r="E297" s="140">
        <f>('rehabilitation costs'!$L$29+'maintenance costs'!$L$45)*inflators!$E$15/100</f>
        <v>3.6012151515151514</v>
      </c>
      <c r="F297" s="4">
        <v>15</v>
      </c>
      <c r="G297" s="141">
        <f>E297*(1/(1+inflators!$B$9)^F297)</f>
        <v>1.999626940269571</v>
      </c>
      <c r="H297" s="140"/>
      <c r="I297" s="4"/>
      <c r="J297" s="141"/>
      <c r="K297" s="1"/>
      <c r="L297" s="187"/>
      <c r="M297" s="4"/>
      <c r="N297" s="141"/>
    </row>
    <row r="298" spans="1:14" s="7" customFormat="1" ht="12">
      <c r="A298" s="86" t="s">
        <v>281</v>
      </c>
      <c r="B298" s="140"/>
      <c r="C298" s="5"/>
      <c r="D298" s="141"/>
      <c r="E298" s="140"/>
      <c r="F298" s="4"/>
      <c r="G298" s="141"/>
      <c r="H298" s="140"/>
      <c r="I298" s="4"/>
      <c r="J298" s="141"/>
      <c r="L298" s="130"/>
      <c r="M298" s="130"/>
      <c r="N298" s="130"/>
    </row>
    <row r="299" spans="1:14" s="7" customFormat="1" ht="12">
      <c r="A299" s="86" t="s">
        <v>281</v>
      </c>
      <c r="B299" s="140"/>
      <c r="C299" s="5"/>
      <c r="D299" s="141"/>
      <c r="E299" s="302"/>
      <c r="F299" s="4"/>
      <c r="G299" s="141"/>
      <c r="H299" s="130"/>
      <c r="I299" s="4"/>
      <c r="J299" s="141"/>
      <c r="K299" s="147"/>
      <c r="L299" s="379"/>
      <c r="M299" s="379"/>
      <c r="N299" s="379"/>
    </row>
    <row r="300" spans="1:14" s="7" customFormat="1" ht="12">
      <c r="A300" s="86" t="s">
        <v>282</v>
      </c>
      <c r="B300" s="140">
        <f>('maintenance costs'!$L$42*9*0.01+'maintenance costs'!$L$29*0.45+'maintenance costs'!$L$17+'maintenance costs'!$L$45)*inflators!$E$15/100</f>
        <v>1.9731943515151515</v>
      </c>
      <c r="C300" s="5">
        <v>6</v>
      </c>
      <c r="D300" s="141">
        <f>B300*(1/(1+inflators!$B$9)^C300)</f>
        <v>1.5594441580910994</v>
      </c>
      <c r="E300" s="140">
        <f>('maintenance costs'!$L$42*9*0.01+'maintenance costs'!$L$29*0.45+'maintenance costs'!$L$17+'maintenance costs'!$L$45)*inflators!$E$15/100</f>
        <v>1.9731943515151515</v>
      </c>
      <c r="F300" s="4">
        <v>10</v>
      </c>
      <c r="G300" s="141">
        <f>E300*(1/(1+inflators!$B$9)^F300)</f>
        <v>1.3330194020130939</v>
      </c>
      <c r="H300" s="140">
        <f>('maintenance costs'!$L$42*9*0.01+'maintenance costs'!$L$29*0.45+'maintenance costs'!$L$17+'maintenance costs'!$L$45)*inflators!$E$15/100</f>
        <v>1.9731943515151515</v>
      </c>
      <c r="I300" s="4">
        <v>10</v>
      </c>
      <c r="J300" s="141">
        <f>H300*(1/(1+inflators!$B$9)^I300)</f>
        <v>1.3330194020130939</v>
      </c>
      <c r="K300" s="147"/>
      <c r="L300" s="379"/>
      <c r="M300" s="379"/>
      <c r="N300" s="379"/>
    </row>
    <row r="301" spans="1:14" s="301" customFormat="1" ht="12">
      <c r="A301" s="86" t="s">
        <v>460</v>
      </c>
      <c r="B301" s="140">
        <f>('maintenance costs'!$L$42*9*0.1+'maintenance costs'!$L$29*0.7+'maintenance costs'!$L$17+'maintenance costs'!$L$45)*inflators!$E$15/100</f>
        <v>3.1823311515151516</v>
      </c>
      <c r="C301" s="9">
        <v>16</v>
      </c>
      <c r="D301" s="141">
        <f>B301*(1/(1+inflators!$B$9)^C301)</f>
        <v>1.6990726195336763</v>
      </c>
      <c r="E301" s="140"/>
      <c r="F301" s="4"/>
      <c r="G301" s="141"/>
      <c r="H301" s="140">
        <f>('maintenance costs'!$L$42*9*0.1+'maintenance costs'!$L$29*0.7+'maintenance costs'!$L$17+'maintenance costs'!$L$45)*inflators!$E$15/100</f>
        <v>3.1823311515151516</v>
      </c>
      <c r="I301" s="4">
        <v>15</v>
      </c>
      <c r="J301" s="141">
        <f>H301*(1/(1+inflators!$B$9)^I301)</f>
        <v>1.7670355243150238</v>
      </c>
      <c r="K301" s="185"/>
      <c r="L301" s="130"/>
      <c r="M301" s="130"/>
      <c r="N301" s="130"/>
    </row>
    <row r="302" spans="1:14" s="301" customFormat="1" ht="12">
      <c r="A302" s="86" t="s">
        <v>460</v>
      </c>
      <c r="B302" s="140"/>
      <c r="C302" s="9"/>
      <c r="D302" s="141"/>
      <c r="E302" s="185"/>
      <c r="F302" s="4"/>
      <c r="G302" s="141"/>
      <c r="H302" s="140"/>
      <c r="I302" s="4"/>
      <c r="J302" s="141"/>
      <c r="K302" s="185"/>
      <c r="L302" s="130"/>
      <c r="M302" s="130"/>
      <c r="N302" s="130"/>
    </row>
    <row r="303" spans="1:14" s="301" customFormat="1" ht="12">
      <c r="A303" s="86" t="s">
        <v>461</v>
      </c>
      <c r="B303" s="140"/>
      <c r="C303" s="9"/>
      <c r="D303" s="141"/>
      <c r="E303" s="185"/>
      <c r="F303" s="4"/>
      <c r="G303" s="141"/>
      <c r="H303" s="130"/>
      <c r="I303" s="4"/>
      <c r="J303" s="141"/>
      <c r="K303" s="185"/>
      <c r="L303" s="130"/>
      <c r="M303" s="130"/>
      <c r="N303" s="130"/>
    </row>
    <row r="304" spans="1:14" s="301" customFormat="1" ht="12">
      <c r="A304" s="144" t="s">
        <v>521</v>
      </c>
      <c r="B304" s="149"/>
      <c r="C304" s="10"/>
      <c r="D304" s="145"/>
      <c r="E304" s="375"/>
      <c r="F304" s="74"/>
      <c r="G304" s="145"/>
      <c r="H304" s="149"/>
      <c r="I304" s="74"/>
      <c r="J304" s="145"/>
      <c r="K304" s="305"/>
      <c r="L304" s="320"/>
      <c r="M304" s="319"/>
      <c r="N304" s="320"/>
    </row>
    <row r="305" spans="1:14" s="7" customFormat="1" ht="12">
      <c r="A305" s="190"/>
      <c r="B305" s="289"/>
      <c r="C305" s="193" t="s">
        <v>455</v>
      </c>
      <c r="D305" s="187">
        <f>D293</f>
        <v>23.565935151515156</v>
      </c>
      <c r="F305" s="193" t="s">
        <v>455</v>
      </c>
      <c r="G305" s="187">
        <f>G293</f>
        <v>23.565935151515156</v>
      </c>
      <c r="I305" s="193" t="s">
        <v>455</v>
      </c>
      <c r="J305" s="187">
        <f>J293</f>
        <v>23.565935151515156</v>
      </c>
      <c r="K305" s="146"/>
      <c r="L305" s="147"/>
      <c r="M305" s="193" t="s">
        <v>455</v>
      </c>
      <c r="N305" s="186">
        <f>N293</f>
        <v>15.898038316633267</v>
      </c>
    </row>
    <row r="306" spans="1:14" s="7" customFormat="1" ht="12">
      <c r="A306" s="190"/>
      <c r="B306" s="289"/>
      <c r="C306" s="146" t="s">
        <v>710</v>
      </c>
      <c r="D306" s="187">
        <f>SUM(D294:D304)</f>
        <v>7.703026361771202</v>
      </c>
      <c r="F306" s="146" t="s">
        <v>710</v>
      </c>
      <c r="G306" s="187">
        <f>SUM(G294:G304)</f>
        <v>4.442654914860046</v>
      </c>
      <c r="I306" s="146" t="s">
        <v>710</v>
      </c>
      <c r="J306" s="187">
        <f>SUM(J294:J304)</f>
        <v>4.210063498905498</v>
      </c>
      <c r="K306" s="146"/>
      <c r="L306" s="147"/>
      <c r="M306" s="146" t="s">
        <v>710</v>
      </c>
      <c r="N306" s="187">
        <f>SUM(N294:N304)</f>
        <v>2.3550570674229174</v>
      </c>
    </row>
    <row r="307" spans="1:14" s="7" customFormat="1" ht="12">
      <c r="A307" s="9"/>
      <c r="C307" s="146" t="s">
        <v>588</v>
      </c>
      <c r="D307" s="187">
        <v>0</v>
      </c>
      <c r="F307" s="146" t="s">
        <v>588</v>
      </c>
      <c r="G307" s="187">
        <v>0</v>
      </c>
      <c r="I307" s="146" t="s">
        <v>588</v>
      </c>
      <c r="J307" s="187">
        <v>0</v>
      </c>
      <c r="M307" s="146" t="s">
        <v>588</v>
      </c>
      <c r="N307" s="187">
        <f>N304/14*12</f>
        <v>0</v>
      </c>
    </row>
    <row r="308" spans="1:14" s="7" customFormat="1" ht="12">
      <c r="A308" s="9"/>
      <c r="C308" s="274" t="s">
        <v>711</v>
      </c>
      <c r="D308" s="211">
        <f>D305+D306-D307</f>
        <v>31.268961513286357</v>
      </c>
      <c r="F308" s="274" t="s">
        <v>711</v>
      </c>
      <c r="G308" s="211">
        <f>G305+G306-G307</f>
        <v>28.008590066375202</v>
      </c>
      <c r="I308" s="274" t="s">
        <v>711</v>
      </c>
      <c r="J308" s="211">
        <f>J305+J306-J307</f>
        <v>27.775998650420654</v>
      </c>
      <c r="K308" s="301"/>
      <c r="L308" s="301"/>
      <c r="M308" s="274" t="s">
        <v>711</v>
      </c>
      <c r="N308" s="211">
        <f>N305+N306-N307</f>
        <v>18.253095384056184</v>
      </c>
    </row>
    <row r="309" spans="1:4" s="7" customFormat="1" ht="12">
      <c r="A309" s="9"/>
      <c r="D309" s="288"/>
    </row>
    <row r="310" spans="1:4" s="7" customFormat="1" ht="12">
      <c r="A310" s="9"/>
      <c r="D310" s="288"/>
    </row>
    <row r="311" spans="1:4" s="7" customFormat="1" ht="12">
      <c r="A311" s="9"/>
      <c r="D311" s="288"/>
    </row>
    <row r="312" spans="1:4" s="7" customFormat="1" ht="12">
      <c r="A312" s="147"/>
      <c r="B312" s="147"/>
      <c r="C312" s="146"/>
      <c r="D312" s="148"/>
    </row>
    <row r="313" spans="1:4" s="7" customFormat="1" ht="12">
      <c r="A313" s="147"/>
      <c r="B313" s="147"/>
      <c r="C313" s="146"/>
      <c r="D313" s="148"/>
    </row>
    <row r="314" spans="1:4" s="7" customFormat="1" ht="12">
      <c r="A314" s="147"/>
      <c r="B314" s="147"/>
      <c r="C314" s="146"/>
      <c r="D314" s="148"/>
    </row>
    <row r="315" spans="5:8" ht="12">
      <c r="E315" s="7"/>
      <c r="F315" s="7"/>
      <c r="G315" s="7"/>
      <c r="H315" s="7"/>
    </row>
    <row r="316" spans="5:8" ht="12">
      <c r="E316" s="7"/>
      <c r="F316" s="7"/>
      <c r="G316" s="7"/>
      <c r="H316" s="7"/>
    </row>
    <row r="317" spans="1:8" ht="12">
      <c r="A317" s="13"/>
      <c r="E317" s="7"/>
      <c r="F317" s="7"/>
      <c r="G317" s="7"/>
      <c r="H317" s="7"/>
    </row>
    <row r="318" spans="1:8" ht="12">
      <c r="A318" s="13"/>
      <c r="E318" s="7"/>
      <c r="F318" s="7"/>
      <c r="G318" s="7"/>
      <c r="H318" s="7"/>
    </row>
  </sheetData>
  <mergeCells count="136">
    <mergeCell ref="F291:F292"/>
    <mergeCell ref="G291:G292"/>
    <mergeCell ref="B268:J268"/>
    <mergeCell ref="B289:J289"/>
    <mergeCell ref="D291:D292"/>
    <mergeCell ref="E291:E292"/>
    <mergeCell ref="B291:B292"/>
    <mergeCell ref="C291:C292"/>
    <mergeCell ref="C270:C271"/>
    <mergeCell ref="D270:D271"/>
    <mergeCell ref="M291:M292"/>
    <mergeCell ref="N291:N292"/>
    <mergeCell ref="L290:N290"/>
    <mergeCell ref="H291:H292"/>
    <mergeCell ref="I291:I292"/>
    <mergeCell ref="L291:L292"/>
    <mergeCell ref="J291:J292"/>
    <mergeCell ref="E248:E249"/>
    <mergeCell ref="F248:G248"/>
    <mergeCell ref="H248:I248"/>
    <mergeCell ref="B290:D290"/>
    <mergeCell ref="E290:G290"/>
    <mergeCell ref="H290:J290"/>
    <mergeCell ref="J248:K248"/>
    <mergeCell ref="J270:J271"/>
    <mergeCell ref="B269:D269"/>
    <mergeCell ref="B270:B271"/>
    <mergeCell ref="B247:D247"/>
    <mergeCell ref="B248:B249"/>
    <mergeCell ref="C248:C249"/>
    <mergeCell ref="D248:D249"/>
    <mergeCell ref="E247:K247"/>
    <mergeCell ref="E226:E227"/>
    <mergeCell ref="F226:G226"/>
    <mergeCell ref="H226:I226"/>
    <mergeCell ref="J226:K226"/>
    <mergeCell ref="B225:D225"/>
    <mergeCell ref="E225:K225"/>
    <mergeCell ref="B226:B227"/>
    <mergeCell ref="C226:C227"/>
    <mergeCell ref="D226:D227"/>
    <mergeCell ref="N270:N271"/>
    <mergeCell ref="E269:G269"/>
    <mergeCell ref="H269:J269"/>
    <mergeCell ref="E270:E271"/>
    <mergeCell ref="F270:F271"/>
    <mergeCell ref="G270:G271"/>
    <mergeCell ref="H270:H271"/>
    <mergeCell ref="I270:I271"/>
    <mergeCell ref="L270:L271"/>
    <mergeCell ref="M270:M271"/>
    <mergeCell ref="E203:K203"/>
    <mergeCell ref="L269:N269"/>
    <mergeCell ref="B203:D203"/>
    <mergeCell ref="B204:B205"/>
    <mergeCell ref="C204:C205"/>
    <mergeCell ref="D204:D205"/>
    <mergeCell ref="E204:E205"/>
    <mergeCell ref="F204:G204"/>
    <mergeCell ref="H204:I204"/>
    <mergeCell ref="J204:K204"/>
    <mergeCell ref="B185:D185"/>
    <mergeCell ref="B186:B187"/>
    <mergeCell ref="C186:C187"/>
    <mergeCell ref="D186:D187"/>
    <mergeCell ref="H140:J140"/>
    <mergeCell ref="B99:B100"/>
    <mergeCell ref="J141:J142"/>
    <mergeCell ref="N2:P2"/>
    <mergeCell ref="F141:F142"/>
    <mergeCell ref="G141:G142"/>
    <mergeCell ref="H141:H142"/>
    <mergeCell ref="I141:I142"/>
    <mergeCell ref="E80:E81"/>
    <mergeCell ref="B141:B142"/>
    <mergeCell ref="C141:C142"/>
    <mergeCell ref="D141:D142"/>
    <mergeCell ref="E141:E142"/>
    <mergeCell ref="E140:G140"/>
    <mergeCell ref="B140:D140"/>
    <mergeCell ref="B119:D119"/>
    <mergeCell ref="C99:C100"/>
    <mergeCell ref="D99:D100"/>
    <mergeCell ref="B45:D45"/>
    <mergeCell ref="B79:D79"/>
    <mergeCell ref="B80:B81"/>
    <mergeCell ref="C80:C81"/>
    <mergeCell ref="D80:D81"/>
    <mergeCell ref="E45:G45"/>
    <mergeCell ref="E46:E47"/>
    <mergeCell ref="F46:F47"/>
    <mergeCell ref="C46:C47"/>
    <mergeCell ref="D46:D47"/>
    <mergeCell ref="E79:G79"/>
    <mergeCell ref="H79:J79"/>
    <mergeCell ref="D120:D121"/>
    <mergeCell ref="B2:D2"/>
    <mergeCell ref="J120:J121"/>
    <mergeCell ref="H119:J119"/>
    <mergeCell ref="F120:F121"/>
    <mergeCell ref="E99:E100"/>
    <mergeCell ref="G46:G47"/>
    <mergeCell ref="E98:G98"/>
    <mergeCell ref="K2:M2"/>
    <mergeCell ref="B98:D98"/>
    <mergeCell ref="H98:J98"/>
    <mergeCell ref="H2:J2"/>
    <mergeCell ref="H45:J45"/>
    <mergeCell ref="H46:H47"/>
    <mergeCell ref="I46:I47"/>
    <mergeCell ref="J46:J47"/>
    <mergeCell ref="B46:B47"/>
    <mergeCell ref="E2:G2"/>
    <mergeCell ref="J80:J81"/>
    <mergeCell ref="F80:F81"/>
    <mergeCell ref="G80:G81"/>
    <mergeCell ref="J99:J100"/>
    <mergeCell ref="I99:I100"/>
    <mergeCell ref="H80:H81"/>
    <mergeCell ref="I80:I81"/>
    <mergeCell ref="E119:G119"/>
    <mergeCell ref="F99:F100"/>
    <mergeCell ref="G99:G100"/>
    <mergeCell ref="H99:H100"/>
    <mergeCell ref="G120:G121"/>
    <mergeCell ref="H120:H121"/>
    <mergeCell ref="I120:I121"/>
    <mergeCell ref="B120:B121"/>
    <mergeCell ref="C120:C121"/>
    <mergeCell ref="E120:E121"/>
    <mergeCell ref="L250:M252"/>
    <mergeCell ref="L253:M255"/>
    <mergeCell ref="L206:M208"/>
    <mergeCell ref="L209:M211"/>
    <mergeCell ref="L228:M230"/>
    <mergeCell ref="L231:M233"/>
  </mergeCells>
  <printOptions/>
  <pageMargins left="0.75" right="0.75" top="1" bottom="1" header="0.5" footer="0.5"/>
  <pageSetup fitToHeight="0" horizontalDpi="600" verticalDpi="600" orientation="landscape" scale="55" r:id="rId3"/>
  <headerFooter alignWithMargins="0">
    <oddHeader>&amp;L&amp;"Arial,Bold"&amp;12Appendix F. Lifecycle Cost Analyses of Parking Lot Pavements</oddHeader>
    <oddFooter>&amp;C&amp;11Page F-&amp;P</oddFooter>
  </headerFooter>
  <rowBreaks count="4" manualBreakCount="4">
    <brk id="96" max="13" man="1"/>
    <brk id="138" max="13" man="1"/>
    <brk id="200" max="13" man="1"/>
    <brk id="26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TING_M</cp:lastModifiedBy>
  <cp:lastPrinted>2001-11-19T14:51:03Z</cp:lastPrinted>
  <dcterms:created xsi:type="dcterms:W3CDTF">2000-01-24T23:13:54Z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