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8445" activeTab="0"/>
  </bookViews>
  <sheets>
    <sheet name="Sheet1" sheetId="1" r:id="rId1"/>
  </sheets>
  <definedNames>
    <definedName name="AllocationPermitted">'Sheet1'!$C$11</definedName>
    <definedName name="BaseCriticalInventoryAmount">'Sheet1'!$C$3</definedName>
    <definedName name="BaseCriticalSliceAmount">'Sheet1'!$C$5</definedName>
    <definedName name="BaseSlicePercentage">'Sheet1'!$C$4</definedName>
    <definedName name="Cust1_AdditionalSliceAmount">'Sheet1'!$C$23</definedName>
    <definedName name="Cust1_HasPSA">'Sheet1'!$C$18</definedName>
    <definedName name="Cust1_InitialSlicePercentage">'Sheet1'!$C$25</definedName>
    <definedName name="Cust1_MaxAdditionalSliceAmount">'Sheet1'!$C$22</definedName>
    <definedName name="Cust1_MaximumSliceAmount">'Sheet1'!$C$21</definedName>
    <definedName name="Cust1_PreliminaryCSA">'Sheet1'!$C$20</definedName>
    <definedName name="Cust1_PreliminarySliceAmount">'Sheet1'!$C$20</definedName>
    <definedName name="Cust1_PreliminarySlicePercentage">'Sheet1'!$C$19</definedName>
    <definedName name="Cust1_SPDRL">'Sheet1'!$C$17</definedName>
    <definedName name="ProrataAllocationRatio">'Sheet1'!$C$12</definedName>
    <definedName name="RemainingCust_PreliminarySlicePercentage">'Sheet1'!$F$19</definedName>
    <definedName name="SumOfAdditionalSliceAmounts">'Sheet1'!$G$23</definedName>
    <definedName name="SumOfInitialSlicePercentage">'Sheet1'!$C$14</definedName>
    <definedName name="SumOfMaxAdditionalSliceAmount">'Sheet1'!$G$22</definedName>
    <definedName name="SumPreliminarySlicePercentage">'Sheet1'!$C$7</definedName>
    <definedName name="UnsoldSliceAmount">'Sheet1'!$C$10</definedName>
    <definedName name="UnsoldSlicePercentage">'Sheet1'!$C$8</definedName>
  </definedNames>
  <calcPr fullCalcOnLoad="1"/>
</workbook>
</file>

<file path=xl/comments1.xml><?xml version="1.0" encoding="utf-8"?>
<comments xmlns="http://schemas.openxmlformats.org/spreadsheetml/2006/main">
  <authors>
    <author>Timothy</author>
  </authors>
  <commentList>
    <comment ref="F20" authorId="0">
      <text>
        <r>
          <rPr>
            <b/>
            <sz val="8"/>
            <rFont val="Tahoma"/>
            <family val="0"/>
          </rPr>
          <t>Timothy:</t>
        </r>
        <r>
          <rPr>
            <sz val="8"/>
            <rFont val="Tahoma"/>
            <family val="0"/>
          </rPr>
          <t xml:space="preserve">
Assumes 50% Slice to 50% Block Split</t>
        </r>
      </text>
    </comment>
  </commentList>
</comments>
</file>

<file path=xl/sharedStrings.xml><?xml version="1.0" encoding="utf-8"?>
<sst xmlns="http://schemas.openxmlformats.org/spreadsheetml/2006/main" count="24" uniqueCount="24">
  <si>
    <t>Initial Slice Percentage:</t>
  </si>
  <si>
    <t>∑Initial Slice Percentages:</t>
  </si>
  <si>
    <t>Unsold Slice Percentage:</t>
  </si>
  <si>
    <t>Base Slice Percentage:</t>
  </si>
  <si>
    <t>Customer 1</t>
  </si>
  <si>
    <t>Customer 2</t>
  </si>
  <si>
    <t>Customer 3</t>
  </si>
  <si>
    <t>Row Totals</t>
  </si>
  <si>
    <t>∑Preliminary Slice Percentages:</t>
  </si>
  <si>
    <t>Preliminary Slice Percentage:</t>
  </si>
  <si>
    <t>Allocation Permitted?</t>
  </si>
  <si>
    <t>Prorata Allocation Ratio:</t>
  </si>
  <si>
    <t xml:space="preserve">Base Critical Slice Amount: </t>
  </si>
  <si>
    <t>Base Critical Inventory Amount:</t>
  </si>
  <si>
    <t>Slice/Block PSA as of 1/1/2011?</t>
  </si>
  <si>
    <t>Remaining
Customers</t>
  </si>
  <si>
    <t>Unsold Slice Amount:</t>
  </si>
  <si>
    <t>Preliminary Slice Amount:</t>
  </si>
  <si>
    <t>Maximuim Slice Amount:</t>
  </si>
  <si>
    <t>Maximum Additional Slice Amount:</t>
  </si>
  <si>
    <t>Additional Slice Amount:</t>
  </si>
  <si>
    <t>Prelim Slice Amnt + Additional Slice Amnt:</t>
  </si>
  <si>
    <t>Slice Percentage Determination Req Load:</t>
  </si>
  <si>
    <t>Slice Exhibit Q Pro Rata Allocation Example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</si>
</sst>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_(* #,##0.00000_);_(* \(#,##0.00000\);_(* &quot;-&quot;??_);_(@_)"/>
    <numFmt numFmtId="173" formatCode="0.00000%"/>
    <numFmt numFmtId="174" formatCode="0.000000%"/>
    <numFmt numFmtId="175" formatCode="0.0"/>
    <numFmt numFmtId="176" formatCode="0.000"/>
    <numFmt numFmtId="177" formatCode="0.0000"/>
    <numFmt numFmtId="178" formatCode="0.00000"/>
    <numFmt numFmtId="179" formatCode="_(* #,##0.0_);_(* \(#,##0.0\);_(* &quot;-&quot;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55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hair"/>
      <top style="hair"/>
      <bottom style="mediumDashed">
        <color indexed="12"/>
      </bottom>
    </border>
    <border>
      <left style="hair"/>
      <right style="double"/>
      <top style="hair"/>
      <bottom style="mediumDashed">
        <color indexed="12"/>
      </bottom>
    </border>
    <border>
      <left style="medium"/>
      <right style="hair"/>
      <top style="mediumDashed">
        <color indexed="12"/>
      </top>
      <bottom style="hair"/>
    </border>
    <border>
      <left style="hair"/>
      <right style="hair"/>
      <top style="mediumDashed">
        <color indexed="12"/>
      </top>
      <bottom style="hair"/>
    </border>
    <border>
      <left style="hair"/>
      <right>
        <color indexed="63"/>
      </right>
      <top style="mediumDashed">
        <color indexed="12"/>
      </top>
      <bottom style="hair"/>
    </border>
    <border>
      <left style="double"/>
      <right style="medium"/>
      <top style="mediumDashed">
        <color indexed="12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2" fontId="0" fillId="2" borderId="1" xfId="15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173" fontId="6" fillId="2" borderId="3" xfId="19" applyNumberFormat="1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8" fontId="0" fillId="2" borderId="4" xfId="15" applyNumberFormat="1" applyFill="1" applyBorder="1" applyAlignment="1" applyProtection="1">
      <alignment/>
      <protection/>
    </xf>
    <xf numFmtId="164" fontId="0" fillId="2" borderId="4" xfId="19" applyNumberFormat="1" applyFill="1" applyBorder="1" applyAlignment="1" applyProtection="1">
      <alignment/>
      <protection/>
    </xf>
    <xf numFmtId="173" fontId="0" fillId="2" borderId="5" xfId="19" applyNumberFormat="1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right"/>
      <protection/>
    </xf>
    <xf numFmtId="165" fontId="0" fillId="2" borderId="7" xfId="0" applyNumberFormat="1" applyFill="1" applyBorder="1" applyAlignment="1" applyProtection="1">
      <alignment/>
      <protection/>
    </xf>
    <xf numFmtId="168" fontId="0" fillId="2" borderId="4" xfId="0" applyNumberForma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178" fontId="0" fillId="3" borderId="0" xfId="0" applyNumberFormat="1" applyFill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172" fontId="0" fillId="2" borderId="4" xfId="0" applyNumberForma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right"/>
      <protection/>
    </xf>
    <xf numFmtId="173" fontId="0" fillId="2" borderId="4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right"/>
      <protection/>
    </xf>
    <xf numFmtId="168" fontId="0" fillId="3" borderId="3" xfId="15" applyNumberFormat="1" applyFill="1" applyBorder="1" applyAlignment="1" applyProtection="1">
      <alignment/>
      <protection/>
    </xf>
    <xf numFmtId="168" fontId="0" fillId="3" borderId="13" xfId="15" applyNumberFormat="1" applyFill="1" applyBorder="1" applyAlignment="1" applyProtection="1">
      <alignment/>
      <protection/>
    </xf>
    <xf numFmtId="168" fontId="0" fillId="2" borderId="14" xfId="15" applyNumberFormat="1" applyFill="1" applyBorder="1" applyAlignment="1" applyProtection="1">
      <alignment/>
      <protection/>
    </xf>
    <xf numFmtId="0" fontId="0" fillId="2" borderId="15" xfId="0" applyFill="1" applyBorder="1" applyAlignment="1" applyProtection="1">
      <alignment horizontal="right"/>
      <protection/>
    </xf>
    <xf numFmtId="173" fontId="5" fillId="2" borderId="16" xfId="19" applyNumberFormat="1" applyFont="1" applyFill="1" applyBorder="1" applyAlignment="1" applyProtection="1">
      <alignment/>
      <protection/>
    </xf>
    <xf numFmtId="166" fontId="0" fillId="2" borderId="17" xfId="19" applyNumberFormat="1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right"/>
      <protection/>
    </xf>
    <xf numFmtId="173" fontId="0" fillId="3" borderId="1" xfId="19" applyNumberFormat="1" applyFill="1" applyBorder="1" applyAlignment="1" applyProtection="1">
      <alignment/>
      <protection/>
    </xf>
    <xf numFmtId="173" fontId="0" fillId="2" borderId="19" xfId="19" applyNumberFormat="1" applyFill="1" applyBorder="1" applyAlignment="1" applyProtection="1">
      <alignment/>
      <protection/>
    </xf>
    <xf numFmtId="173" fontId="0" fillId="2" borderId="20" xfId="19" applyNumberFormat="1" applyFill="1" applyBorder="1" applyAlignment="1" applyProtection="1">
      <alignment/>
      <protection/>
    </xf>
    <xf numFmtId="172" fontId="0" fillId="2" borderId="17" xfId="15" applyNumberFormat="1" applyFill="1" applyBorder="1" applyAlignment="1" applyProtection="1">
      <alignment/>
      <protection/>
    </xf>
    <xf numFmtId="168" fontId="0" fillId="2" borderId="21" xfId="15" applyNumberFormat="1" applyFill="1" applyBorder="1" applyAlignment="1" applyProtection="1">
      <alignment/>
      <protection/>
    </xf>
    <xf numFmtId="168" fontId="0" fillId="2" borderId="22" xfId="15" applyNumberFormat="1" applyFill="1" applyBorder="1" applyAlignment="1" applyProtection="1">
      <alignment/>
      <protection/>
    </xf>
    <xf numFmtId="168" fontId="0" fillId="2" borderId="17" xfId="15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 horizontal="right"/>
      <protection/>
    </xf>
    <xf numFmtId="168" fontId="0" fillId="2" borderId="24" xfId="15" applyNumberFormat="1" applyFill="1" applyBorder="1" applyAlignment="1" applyProtection="1">
      <alignment/>
      <protection/>
    </xf>
    <xf numFmtId="168" fontId="0" fillId="2" borderId="25" xfId="15" applyNumberFormat="1" applyFill="1" applyBorder="1" applyAlignment="1" applyProtection="1">
      <alignment/>
      <protection/>
    </xf>
    <xf numFmtId="168" fontId="0" fillId="2" borderId="26" xfId="15" applyNumberFormat="1" applyFill="1" applyBorder="1" applyAlignment="1" applyProtection="1">
      <alignment/>
      <protection/>
    </xf>
    <xf numFmtId="172" fontId="0" fillId="2" borderId="4" xfId="15" applyNumberFormat="1" applyFill="1" applyBorder="1" applyAlignment="1" applyProtection="1">
      <alignment/>
      <protection/>
    </xf>
    <xf numFmtId="172" fontId="0" fillId="2" borderId="16" xfId="15" applyNumberFormat="1" applyFill="1" applyBorder="1" applyAlignment="1" applyProtection="1">
      <alignment/>
      <protection/>
    </xf>
    <xf numFmtId="172" fontId="0" fillId="2" borderId="16" xfId="0" applyNumberFormat="1" applyFill="1" applyBorder="1" applyAlignment="1" applyProtection="1">
      <alignment/>
      <protection/>
    </xf>
    <xf numFmtId="0" fontId="0" fillId="2" borderId="27" xfId="0" applyFill="1" applyBorder="1" applyAlignment="1" applyProtection="1">
      <alignment horizontal="right"/>
      <protection/>
    </xf>
    <xf numFmtId="173" fontId="0" fillId="2" borderId="28" xfId="19" applyNumberFormat="1" applyFill="1" applyBorder="1" applyAlignment="1" applyProtection="1">
      <alignment/>
      <protection/>
    </xf>
    <xf numFmtId="173" fontId="0" fillId="2" borderId="29" xfId="19" applyNumberFormat="1" applyFill="1" applyBorder="1" applyAlignment="1" applyProtection="1">
      <alignment/>
      <protection/>
    </xf>
    <xf numFmtId="173" fontId="0" fillId="2" borderId="30" xfId="19" applyNumberFormat="1" applyFill="1" applyBorder="1" applyAlignment="1" applyProtection="1">
      <alignment/>
      <protection/>
    </xf>
    <xf numFmtId="166" fontId="0" fillId="3" borderId="0" xfId="19" applyNumberFormat="1" applyFill="1" applyAlignment="1" applyProtection="1">
      <alignment/>
      <protection/>
    </xf>
    <xf numFmtId="170" fontId="0" fillId="3" borderId="0" xfId="15" applyNumberFormat="1" applyFill="1" applyAlignment="1" applyProtection="1">
      <alignment/>
      <protection/>
    </xf>
    <xf numFmtId="168" fontId="0" fillId="3" borderId="0" xfId="15" applyNumberForma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9"/>
  <sheetViews>
    <sheetView tabSelected="1" zoomScale="145" zoomScaleNormal="145" workbookViewId="0" topLeftCell="A1">
      <selection activeCell="E9" sqref="E9"/>
    </sheetView>
  </sheetViews>
  <sheetFormatPr defaultColWidth="9.140625" defaultRowHeight="12.75"/>
  <cols>
    <col min="1" max="1" width="5.00390625" style="7" customWidth="1"/>
    <col min="2" max="2" width="37.421875" style="54" customWidth="1"/>
    <col min="3" max="4" width="12.28125" style="7" customWidth="1"/>
    <col min="5" max="5" width="12.7109375" style="7" customWidth="1"/>
    <col min="6" max="7" width="14.140625" style="7" customWidth="1"/>
    <col min="8" max="9" width="12.28125" style="4" customWidth="1"/>
    <col min="10" max="19" width="9.140625" style="4" customWidth="1"/>
    <col min="20" max="16384" width="9.140625" style="7" customWidth="1"/>
  </cols>
  <sheetData>
    <row r="1" spans="1:7" ht="32.25" customHeight="1">
      <c r="A1" s="4"/>
      <c r="B1" s="5"/>
      <c r="C1" s="6" t="s">
        <v>23</v>
      </c>
      <c r="D1" s="4"/>
      <c r="E1" s="4"/>
      <c r="F1" s="4"/>
      <c r="G1" s="4"/>
    </row>
    <row r="2" spans="1:7" ht="12.75">
      <c r="A2" s="4"/>
      <c r="B2" s="5"/>
      <c r="C2" s="4"/>
      <c r="D2" s="4"/>
      <c r="E2" s="4"/>
      <c r="F2" s="4"/>
      <c r="G2" s="4"/>
    </row>
    <row r="3" spans="1:7" ht="12.75">
      <c r="A3" s="4"/>
      <c r="B3" s="5" t="s">
        <v>13</v>
      </c>
      <c r="C3" s="8">
        <v>7400</v>
      </c>
      <c r="D3" s="4"/>
      <c r="E3" s="4"/>
      <c r="F3" s="4"/>
      <c r="G3" s="4"/>
    </row>
    <row r="4" spans="1:7" ht="12.75">
      <c r="A4" s="4"/>
      <c r="B4" s="5" t="s">
        <v>3</v>
      </c>
      <c r="C4" s="9">
        <v>0.25</v>
      </c>
      <c r="D4" s="4"/>
      <c r="E4" s="4"/>
      <c r="F4" s="4"/>
      <c r="G4" s="4"/>
    </row>
    <row r="5" spans="1:7" ht="12.75">
      <c r="A5" s="4"/>
      <c r="B5" s="5" t="s">
        <v>12</v>
      </c>
      <c r="C5" s="8">
        <f>roundtoeven(BaseCriticalInventoryAmount*BaseSlicePercentage,0)</f>
        <v>1850</v>
      </c>
      <c r="D5" s="4"/>
      <c r="E5" s="4"/>
      <c r="F5" s="4"/>
      <c r="G5" s="4"/>
    </row>
    <row r="6" spans="1:7" ht="12.75">
      <c r="A6" s="4"/>
      <c r="B6" s="5"/>
      <c r="C6" s="4"/>
      <c r="D6" s="4"/>
      <c r="E6" s="4"/>
      <c r="F6" s="4"/>
      <c r="G6" s="4"/>
    </row>
    <row r="7" spans="1:7" ht="13.5" thickBot="1">
      <c r="A7" s="4"/>
      <c r="B7" s="5" t="s">
        <v>8</v>
      </c>
      <c r="C7" s="10">
        <f>IF(Cust1_HasPSA,Cust1_PreliminarySlicePercentage,0)+IF(D18,D19,0)+IF(E18,E19,0)+IF(F18,F19,0)</f>
        <v>0.25</v>
      </c>
      <c r="D7" s="4"/>
      <c r="E7" s="4"/>
      <c r="F7" s="4"/>
      <c r="G7" s="4"/>
    </row>
    <row r="8" spans="1:7" ht="13.5" thickTop="1">
      <c r="A8" s="4"/>
      <c r="B8" s="11" t="s">
        <v>2</v>
      </c>
      <c r="C8" s="12">
        <f>MAX(0,roundtoeven(BaseSlicePercentage-SumPreliminarySlicePercentage,5))</f>
        <v>0</v>
      </c>
      <c r="D8" s="4"/>
      <c r="E8" s="4"/>
      <c r="F8" s="4"/>
      <c r="G8" s="4"/>
    </row>
    <row r="9" spans="1:7" ht="12.75">
      <c r="A9" s="4"/>
      <c r="B9" s="5"/>
      <c r="C9" s="4"/>
      <c r="D9" s="4"/>
      <c r="E9" s="4"/>
      <c r="F9" s="4"/>
      <c r="G9" s="4"/>
    </row>
    <row r="10" spans="1:7" ht="12.75">
      <c r="A10" s="4"/>
      <c r="B10" s="5" t="s">
        <v>16</v>
      </c>
      <c r="C10" s="13">
        <f>roundtoeven(BaseCriticalInventoryAmount*UnsoldSlicePercentage,0)</f>
        <v>0</v>
      </c>
      <c r="D10" s="14"/>
      <c r="E10" s="15"/>
      <c r="F10" s="4"/>
      <c r="G10" s="4"/>
    </row>
    <row r="11" spans="1:7" ht="12.75">
      <c r="A11" s="4"/>
      <c r="B11" s="5" t="s">
        <v>10</v>
      </c>
      <c r="C11" s="16" t="b">
        <f>UnsoldSliceAmount&gt;=1</f>
        <v>0</v>
      </c>
      <c r="D11" s="4"/>
      <c r="E11" s="4"/>
      <c r="F11" s="4"/>
      <c r="G11" s="4"/>
    </row>
    <row r="12" spans="1:7" ht="12.75">
      <c r="A12" s="4"/>
      <c r="B12" s="5" t="s">
        <v>11</v>
      </c>
      <c r="C12" s="17">
        <f>IF(AllocationPermitted,roundtoeven(UnsoldSliceAmount/SumOfMaxAdditionalSliceAmount,5),0)</f>
        <v>0</v>
      </c>
      <c r="D12" s="4"/>
      <c r="E12" s="4"/>
      <c r="F12" s="4"/>
      <c r="G12" s="4"/>
    </row>
    <row r="13" spans="1:7" ht="12.75">
      <c r="A13" s="4"/>
      <c r="B13" s="5"/>
      <c r="C13" s="5"/>
      <c r="D13" s="5"/>
      <c r="E13" s="4"/>
      <c r="F13" s="4"/>
      <c r="G13" s="4"/>
    </row>
    <row r="14" spans="1:7" ht="12.75">
      <c r="A14" s="4"/>
      <c r="B14" s="18" t="s">
        <v>1</v>
      </c>
      <c r="C14" s="19">
        <f>G25</f>
        <v>0.25</v>
      </c>
      <c r="D14" s="4"/>
      <c r="E14" s="4"/>
      <c r="F14" s="4"/>
      <c r="G14" s="4"/>
    </row>
    <row r="15" spans="1:7" ht="13.5" thickBot="1">
      <c r="A15" s="4"/>
      <c r="B15" s="5"/>
      <c r="C15" s="5"/>
      <c r="D15" s="5"/>
      <c r="E15" s="4"/>
      <c r="F15" s="4"/>
      <c r="G15" s="4"/>
    </row>
    <row r="16" spans="1:7" ht="25.5">
      <c r="A16" s="4"/>
      <c r="B16" s="20"/>
      <c r="C16" s="21" t="s">
        <v>4</v>
      </c>
      <c r="D16" s="21" t="s">
        <v>5</v>
      </c>
      <c r="E16" s="21" t="s">
        <v>6</v>
      </c>
      <c r="F16" s="22" t="s">
        <v>15</v>
      </c>
      <c r="G16" s="23" t="s">
        <v>7</v>
      </c>
    </row>
    <row r="17" spans="1:7" ht="12.75">
      <c r="A17" s="4"/>
      <c r="B17" s="24" t="s">
        <v>22</v>
      </c>
      <c r="C17" s="25">
        <v>75</v>
      </c>
      <c r="D17" s="25">
        <v>250</v>
      </c>
      <c r="E17" s="25">
        <v>700</v>
      </c>
      <c r="F17" s="26">
        <v>2664</v>
      </c>
      <c r="G17" s="27">
        <f>SUM(C17:F17)</f>
        <v>3689</v>
      </c>
    </row>
    <row r="18" spans="1:7" ht="12.75">
      <c r="A18" s="4"/>
      <c r="B18" s="28" t="s">
        <v>14</v>
      </c>
      <c r="C18" s="3" t="b">
        <v>1</v>
      </c>
      <c r="D18" s="3" t="b">
        <v>1</v>
      </c>
      <c r="E18" s="3" t="b">
        <v>1</v>
      </c>
      <c r="F18" s="29" t="b">
        <v>1</v>
      </c>
      <c r="G18" s="30"/>
    </row>
    <row r="19" spans="1:7" ht="12.75">
      <c r="A19" s="4"/>
      <c r="B19" s="31" t="s">
        <v>9</v>
      </c>
      <c r="C19" s="32">
        <v>0.005</v>
      </c>
      <c r="D19" s="32">
        <v>0.017</v>
      </c>
      <c r="E19" s="32">
        <v>0.048</v>
      </c>
      <c r="F19" s="33">
        <f>roundtoeven(F20/BaseCriticalInventoryAmount,7)</f>
        <v>0.18</v>
      </c>
      <c r="G19" s="34">
        <f aca="true" t="shared" si="0" ref="G19:G25">SUM(C19:F19)</f>
        <v>0.25</v>
      </c>
    </row>
    <row r="20" spans="1:7" ht="12.75">
      <c r="A20" s="4"/>
      <c r="B20" s="28" t="s">
        <v>17</v>
      </c>
      <c r="C20" s="1">
        <f>IF(Cust1_HasPSA,roundtoeven(Cust1_PreliminarySlicePercentage*BaseCriticalInventoryAmount,5),0)</f>
        <v>37</v>
      </c>
      <c r="D20" s="1">
        <f>IF(D18,roundtoeven(BaseCriticalInventoryAmount*D19,5),0)</f>
        <v>125.8</v>
      </c>
      <c r="E20" s="1">
        <f>IF(E18,roundtoeven(BaseCriticalInventoryAmount*E19,5),0)</f>
        <v>355.2</v>
      </c>
      <c r="F20" s="2">
        <f>0.5*F17</f>
        <v>1332</v>
      </c>
      <c r="G20" s="35">
        <f t="shared" si="0"/>
        <v>1850</v>
      </c>
    </row>
    <row r="21" spans="1:7" ht="13.5" thickBot="1">
      <c r="A21" s="4"/>
      <c r="B21" s="28" t="s">
        <v>18</v>
      </c>
      <c r="C21" s="36">
        <f>roundtoeven(Cust1_SPDRL*0.7,0)</f>
        <v>52</v>
      </c>
      <c r="D21" s="36">
        <f>roundtoeven(D17*0.7,0)</f>
        <v>175</v>
      </c>
      <c r="E21" s="36">
        <f>roundtoeven(E17*0.7,0)</f>
        <v>490</v>
      </c>
      <c r="F21" s="37">
        <f>roundtoeven(F17*0.7,0)</f>
        <v>1865</v>
      </c>
      <c r="G21" s="38">
        <f t="shared" si="0"/>
        <v>2582</v>
      </c>
    </row>
    <row r="22" spans="1:7" ht="12.75">
      <c r="A22" s="4"/>
      <c r="B22" s="39" t="s">
        <v>19</v>
      </c>
      <c r="C22" s="40">
        <f>IF(AND(AllocationPermitted,Cust1_HasPSA),MAX(0,Cust1_MaximumSliceAmount-Cust1_PreliminaryCSA),0)</f>
        <v>0</v>
      </c>
      <c r="D22" s="40">
        <f>IF(AND(AllocationPermitted,D18),MAX(0,D21-D20),0)</f>
        <v>0</v>
      </c>
      <c r="E22" s="40">
        <f>IF(AND(AllocationPermitted,E18),MAX(0,E21-E20),0)</f>
        <v>0</v>
      </c>
      <c r="F22" s="41">
        <f>IF(AllocationPermitted,MAX(0,F21-F20),0)</f>
        <v>0</v>
      </c>
      <c r="G22" s="42">
        <f t="shared" si="0"/>
        <v>0</v>
      </c>
    </row>
    <row r="23" spans="1:7" ht="15.75" customHeight="1">
      <c r="A23" s="4"/>
      <c r="B23" s="28" t="s">
        <v>20</v>
      </c>
      <c r="C23" s="43">
        <f>IF(Cust1_MaxAdditionalSliceAmount&gt;0,roundtoeven(Cust1_MaxAdditionalSliceAmount*ProrataAllocationRatio,5),0)</f>
        <v>0</v>
      </c>
      <c r="D23" s="43">
        <f>IF(D22&gt;0,roundtoeven(D22*ProrataAllocationRatio,5),0)</f>
        <v>0</v>
      </c>
      <c r="E23" s="43">
        <f>IF(E22&gt;0,roundtoeven(E22*ProrataAllocationRatio,5),0)</f>
        <v>0</v>
      </c>
      <c r="F23" s="44">
        <f>IF(F22&gt;0,roundtoeven(F22*ProrataAllocationRatio,5),0)</f>
        <v>0</v>
      </c>
      <c r="G23" s="35">
        <f t="shared" si="0"/>
        <v>0</v>
      </c>
    </row>
    <row r="24" spans="1:7" ht="12.75">
      <c r="A24" s="4"/>
      <c r="B24" s="28" t="s">
        <v>21</v>
      </c>
      <c r="C24" s="17">
        <f>IF(Cust1_AdditionalSliceAmount&gt;0,Cust1_PreliminaryCSA+Cust1_AdditionalSliceAmount,0)</f>
        <v>0</v>
      </c>
      <c r="D24" s="17">
        <f>IF(AND(AllocationPermitted,D22&gt;0),D20+D23,0)</f>
        <v>0</v>
      </c>
      <c r="E24" s="17">
        <f>IF(AND(AllocationPermitted,E22&gt;0),E20+E23,0)</f>
        <v>0</v>
      </c>
      <c r="F24" s="45">
        <f>IF(AND(AllocationPermitted,F22&gt;0),F20+F23,0)</f>
        <v>0</v>
      </c>
      <c r="G24" s="35">
        <f t="shared" si="0"/>
        <v>0</v>
      </c>
    </row>
    <row r="25" spans="1:8" ht="13.5" thickBot="1">
      <c r="A25" s="4"/>
      <c r="B25" s="46" t="s">
        <v>0</v>
      </c>
      <c r="C25" s="47">
        <f>IF(AND(AllocationPermitted,Cust1_AdditionalSliceAmount&gt;0),roundtoeven((Cust1_PreliminarySlicePercentage*BaseCriticalInventoryAmount+Cust1_AdditionalSliceAmount)/BaseCriticalInventoryAmount,7),IF(Cust1_HasPSA,Cust1_PreliminarySlicePercentage,0))</f>
        <v>0.005</v>
      </c>
      <c r="D25" s="47">
        <f>IF(AND(AllocationPermitted,D23&gt;0),roundtoeven((D19*BaseCriticalInventoryAmount+D23)/BaseCriticalInventoryAmount,7),IF(D18,D19,0))</f>
        <v>0.017</v>
      </c>
      <c r="E25" s="47">
        <f>IF(AND(AllocationPermitted,E23&gt;0),roundtoeven((E19*BaseCriticalInventoryAmount+E23)/BaseCriticalInventoryAmount,7),IF(E18,E19,0))</f>
        <v>0.048</v>
      </c>
      <c r="F25" s="48">
        <f>IF(AND(AllocationPermitted,F23&gt;0),roundtoeven((F19*BaseCriticalInventoryAmount+F23)/BaseCriticalInventoryAmount,7),IF(F18,F19,0))</f>
        <v>0.18</v>
      </c>
      <c r="G25" s="49">
        <f t="shared" si="0"/>
        <v>0.25</v>
      </c>
      <c r="H25" s="50"/>
    </row>
    <row r="26" spans="1:9" ht="12.75">
      <c r="A26" s="4"/>
      <c r="B26" s="5"/>
      <c r="C26" s="4"/>
      <c r="D26" s="4"/>
      <c r="E26" s="4"/>
      <c r="F26" s="4"/>
      <c r="G26" s="4"/>
      <c r="H26" s="51"/>
      <c r="I26" s="51"/>
    </row>
    <row r="27" spans="1:9" ht="12.75">
      <c r="A27" s="4"/>
      <c r="B27" s="5"/>
      <c r="C27" s="4"/>
      <c r="D27" s="4"/>
      <c r="E27" s="4"/>
      <c r="F27" s="4"/>
      <c r="G27" s="4"/>
      <c r="H27" s="52"/>
      <c r="I27" s="52"/>
    </row>
    <row r="28" spans="1:7" ht="12.75">
      <c r="A28" s="4"/>
      <c r="B28" s="5"/>
      <c r="C28" s="4"/>
      <c r="D28" s="53"/>
      <c r="E28" s="4"/>
      <c r="F28" s="4"/>
      <c r="G28" s="4"/>
    </row>
    <row r="29" spans="1:7" ht="12.75">
      <c r="A29" s="4"/>
      <c r="B29" s="5"/>
      <c r="C29" s="4"/>
      <c r="D29" s="4"/>
      <c r="E29" s="4"/>
      <c r="F29" s="4"/>
      <c r="G29" s="4"/>
    </row>
    <row r="30" spans="1:7" ht="12.75">
      <c r="A30" s="4"/>
      <c r="B30" s="5"/>
      <c r="C30" s="4"/>
      <c r="D30" s="4"/>
      <c r="E30" s="4"/>
      <c r="F30" s="4"/>
      <c r="G30" s="4"/>
    </row>
    <row r="31" spans="1:7" ht="12.75">
      <c r="A31" s="4"/>
      <c r="B31" s="5"/>
      <c r="C31" s="4"/>
      <c r="D31" s="4"/>
      <c r="E31" s="4"/>
      <c r="F31" s="4"/>
      <c r="G31" s="4"/>
    </row>
    <row r="32" spans="1:7" ht="12.75">
      <c r="A32" s="4"/>
      <c r="B32" s="5"/>
      <c r="C32" s="4"/>
      <c r="D32" s="4"/>
      <c r="E32" s="4"/>
      <c r="F32" s="4"/>
      <c r="G32" s="4"/>
    </row>
    <row r="33" s="4" customFormat="1" ht="12.75">
      <c r="B33" s="5"/>
    </row>
    <row r="34" s="4" customFormat="1" ht="12.75">
      <c r="B34" s="5"/>
    </row>
    <row r="35" s="4" customFormat="1" ht="12.75">
      <c r="B35" s="5"/>
    </row>
    <row r="36" s="4" customFormat="1" ht="12.75">
      <c r="B36" s="5"/>
    </row>
    <row r="37" s="4" customFormat="1" ht="12.75">
      <c r="B37" s="5"/>
    </row>
    <row r="38" s="4" customFormat="1" ht="12.75">
      <c r="B38" s="5"/>
    </row>
    <row r="39" s="4" customFormat="1" ht="12.75">
      <c r="B39" s="5"/>
    </row>
    <row r="40" s="4" customFormat="1" ht="12.75">
      <c r="B40" s="5"/>
    </row>
    <row r="41" s="4" customFormat="1" ht="12.75">
      <c r="B41" s="5"/>
    </row>
    <row r="42" s="4" customFormat="1" ht="12.75">
      <c r="B42" s="5"/>
    </row>
    <row r="43" s="4" customFormat="1" ht="12.75">
      <c r="B43" s="5"/>
    </row>
    <row r="44" s="4" customFormat="1" ht="12.75">
      <c r="B44" s="5"/>
    </row>
    <row r="45" s="4" customFormat="1" ht="12.75">
      <c r="B45" s="5"/>
    </row>
    <row r="46" s="4" customFormat="1" ht="12.75">
      <c r="B46" s="5"/>
    </row>
    <row r="47" s="4" customFormat="1" ht="12.75">
      <c r="B47" s="5"/>
    </row>
    <row r="48" s="4" customFormat="1" ht="12.75">
      <c r="B48" s="5"/>
    </row>
    <row r="49" s="4" customFormat="1" ht="12.75">
      <c r="B49" s="5"/>
    </row>
    <row r="50" s="4" customFormat="1" ht="12.75">
      <c r="B50" s="5"/>
    </row>
    <row r="51" s="4" customFormat="1" ht="12.75">
      <c r="B51" s="5"/>
    </row>
    <row r="52" s="4" customFormat="1" ht="12.75">
      <c r="B52" s="5"/>
    </row>
    <row r="53" s="4" customFormat="1" ht="12.75">
      <c r="B53" s="5"/>
    </row>
    <row r="54" s="4" customFormat="1" ht="12.75">
      <c r="B54" s="5"/>
    </row>
    <row r="55" s="4" customFormat="1" ht="12.75">
      <c r="B55" s="5"/>
    </row>
    <row r="56" s="4" customFormat="1" ht="12.75">
      <c r="B56" s="5"/>
    </row>
    <row r="57" s="4" customFormat="1" ht="12.75">
      <c r="B57" s="5"/>
    </row>
    <row r="58" s="4" customFormat="1" ht="12.75">
      <c r="B58" s="5"/>
    </row>
    <row r="59" s="4" customFormat="1" ht="12.75">
      <c r="B59" s="5"/>
    </row>
    <row r="60" s="4" customFormat="1" ht="12.75">
      <c r="B60" s="5"/>
    </row>
    <row r="61" s="4" customFormat="1" ht="12.75">
      <c r="B61" s="5"/>
    </row>
    <row r="62" s="4" customFormat="1" ht="12.75">
      <c r="B62" s="5"/>
    </row>
    <row r="63" s="4" customFormat="1" ht="12.75">
      <c r="B63" s="5"/>
    </row>
    <row r="64" s="4" customFormat="1" ht="12.75">
      <c r="B64" s="5"/>
    </row>
    <row r="65" s="4" customFormat="1" ht="12.75">
      <c r="B65" s="5"/>
    </row>
    <row r="66" s="4" customFormat="1" ht="12.75">
      <c r="B66" s="5"/>
    </row>
    <row r="67" s="4" customFormat="1" ht="12.75">
      <c r="B67" s="5"/>
    </row>
    <row r="68" s="4" customFormat="1" ht="12.75">
      <c r="B68" s="5"/>
    </row>
    <row r="69" s="4" customFormat="1" ht="12.75">
      <c r="B69" s="5"/>
    </row>
  </sheetData>
  <sheetProtection sheet="1" objects="1" scenarios="1"/>
  <conditionalFormatting sqref="G20">
    <cfRule type="cellIs" priority="1" dxfId="0" operator="greaterThan" stopIfTrue="1">
      <formula>BaseCriticalSliceAmount</formula>
    </cfRule>
  </conditionalFormatting>
  <conditionalFormatting sqref="G19">
    <cfRule type="cellIs" priority="2" dxfId="0" operator="greaterThan" stopIfTrue="1">
      <formula>BaseSlicePercentage</formula>
    </cfRule>
  </conditionalFormatting>
  <conditionalFormatting sqref="G25">
    <cfRule type="cellIs" priority="3" dxfId="1" operator="greaterThan" stopIfTrue="1">
      <formula>BaseSlicePercentage</formula>
    </cfRule>
  </conditionalFormatting>
  <conditionalFormatting sqref="G23">
    <cfRule type="cellIs" priority="4" dxfId="1" operator="greaterThan" stopIfTrue="1">
      <formula>UnsoldSliceAmount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</dc:creator>
  <cp:keywords/>
  <dc:description/>
  <cp:lastModifiedBy>Timothy</cp:lastModifiedBy>
  <dcterms:created xsi:type="dcterms:W3CDTF">2008-07-13T05:21:29Z</dcterms:created>
  <dcterms:modified xsi:type="dcterms:W3CDTF">2008-07-28T17:29:16Z</dcterms:modified>
  <cp:category/>
  <cp:version/>
  <cp:contentType/>
  <cp:contentStatus/>
</cp:coreProperties>
</file>