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7008" activeTab="0"/>
  </bookViews>
  <sheets>
    <sheet name="Sheet1" sheetId="1" r:id="rId1"/>
  </sheets>
  <definedNames>
    <definedName name="_xlnm.Print_Area" localSheetId="0">'Sheet1'!$A$2:$J$170</definedName>
  </definedNames>
  <calcPr fullCalcOnLoad="1"/>
</workbook>
</file>

<file path=xl/sharedStrings.xml><?xml version="1.0" encoding="utf-8"?>
<sst xmlns="http://schemas.openxmlformats.org/spreadsheetml/2006/main" count="431" uniqueCount="197">
  <si>
    <t>Price</t>
  </si>
  <si>
    <t>Unit</t>
  </si>
  <si>
    <t>Returns</t>
  </si>
  <si>
    <t>Ton</t>
  </si>
  <si>
    <t>Ownership</t>
  </si>
  <si>
    <t>Operating</t>
  </si>
  <si>
    <t>Total</t>
  </si>
  <si>
    <t>Cultural Operations</t>
  </si>
  <si>
    <t>Date</t>
  </si>
  <si>
    <t>Costs</t>
  </si>
  <si>
    <t>Labor</t>
  </si>
  <si>
    <t>Service</t>
  </si>
  <si>
    <t xml:space="preserve"> Materials</t>
  </si>
  <si>
    <t>Cost</t>
  </si>
  <si>
    <t>Comments</t>
  </si>
  <si>
    <t xml:space="preserve">  Harvest</t>
  </si>
  <si>
    <t xml:space="preserve">    Swath</t>
  </si>
  <si>
    <t xml:space="preserve">    Rake</t>
  </si>
  <si>
    <t xml:space="preserve">    Stack</t>
  </si>
  <si>
    <t xml:space="preserve"> </t>
  </si>
  <si>
    <t>Custom Truck and Labor</t>
  </si>
  <si>
    <t xml:space="preserve">  Other Charges</t>
  </si>
  <si>
    <t xml:space="preserve">    Establishment Cost</t>
  </si>
  <si>
    <t>Season</t>
  </si>
  <si>
    <t xml:space="preserve">    Pick-up</t>
  </si>
  <si>
    <t>3/4 Ton</t>
  </si>
  <si>
    <t xml:space="preserve">    Land Cost</t>
  </si>
  <si>
    <t>Land Rent/Ownership Cost</t>
  </si>
  <si>
    <t xml:space="preserve">    Overhead</t>
  </si>
  <si>
    <t>Legal, Accounting, Etc. 1%</t>
  </si>
  <si>
    <t xml:space="preserve">    Management</t>
  </si>
  <si>
    <t>6% of Gross Returns</t>
  </si>
  <si>
    <t xml:space="preserve">    Interest Charge</t>
  </si>
  <si>
    <t>Cost of borrowing money</t>
  </si>
  <si>
    <t xml:space="preserve">  Total Costs per Acre</t>
  </si>
  <si>
    <t xml:space="preserve">    Fertilize</t>
  </si>
  <si>
    <t>85HP-WT, Swather 12'</t>
  </si>
  <si>
    <t>85HP-WT, Rake</t>
  </si>
  <si>
    <t xml:space="preserve">    Bail</t>
  </si>
  <si>
    <t>85HP-WT, Bailer, Twine</t>
  </si>
  <si>
    <t>Custom Fertilizer</t>
  </si>
  <si>
    <t xml:space="preserve">    Irrigate 8X</t>
  </si>
  <si>
    <t>Side Roll System</t>
  </si>
  <si>
    <t xml:space="preserve">    Utility</t>
  </si>
  <si>
    <t>Electric Pump Bill</t>
  </si>
  <si>
    <t xml:space="preserve">  Grass/Alfalfa Hay</t>
  </si>
  <si>
    <t>Side Roll Sprinkler Irrigated</t>
  </si>
  <si>
    <t>Notes:</t>
  </si>
  <si>
    <t>Hay for "Recreation" Horse Market</t>
  </si>
  <si>
    <t>Hay: Orchard Grass, Tall Fescue, Smooth Brome, Timothy, Alfalfa</t>
  </si>
  <si>
    <t>June</t>
  </si>
  <si>
    <t>July</t>
  </si>
  <si>
    <t>August</t>
  </si>
  <si>
    <t>Custom</t>
  </si>
  <si>
    <t>Per Acre Crop Budget</t>
  </si>
  <si>
    <t xml:space="preserve">  None</t>
  </si>
  <si>
    <t xml:space="preserve">  Spring</t>
  </si>
  <si>
    <t xml:space="preserve">    Disk 2X</t>
  </si>
  <si>
    <t>125HP-WT, Disc 15'</t>
  </si>
  <si>
    <t xml:space="preserve">    Plow</t>
  </si>
  <si>
    <t>125HP-WT, 12' Moldboard</t>
  </si>
  <si>
    <t xml:space="preserve">    Harrow/Roll</t>
  </si>
  <si>
    <t xml:space="preserve">    Drill Seed</t>
  </si>
  <si>
    <t>95HP-WT, Grain Drill 15'</t>
  </si>
  <si>
    <t>250lbs 16-20-0 W/ Drill</t>
  </si>
  <si>
    <t xml:space="preserve">    Irrigate</t>
  </si>
  <si>
    <t>Irrigated Pasture/Hayland Establishment</t>
  </si>
  <si>
    <t>Tons</t>
  </si>
  <si>
    <t>Convert from cropland or pasture.</t>
  </si>
  <si>
    <t>Buy Steer Weight:</t>
  </si>
  <si>
    <t>Buy Steer Cost:</t>
  </si>
  <si>
    <t>Sell Steer Weight:</t>
  </si>
  <si>
    <t>Sell Steer Cost:</t>
  </si>
  <si>
    <t>Days Grazed:</t>
  </si>
  <si>
    <t>Acres:</t>
  </si>
  <si>
    <t>Pasture AUMs/Ac/Yr:</t>
  </si>
  <si>
    <t>Total AUMs/Ranch:</t>
  </si>
  <si>
    <t>1 Steer (Animal Units):</t>
  </si>
  <si>
    <t>Stocking Rate (AUs):</t>
  </si>
  <si>
    <t xml:space="preserve">     Total Cost:</t>
  </si>
  <si>
    <t xml:space="preserve">     Total Returns:</t>
  </si>
  <si>
    <t>Variable Costs ($/Hd):</t>
  </si>
  <si>
    <t>Graze 4/15 - 9/15</t>
  </si>
  <si>
    <t>Weight Gain (Lbs/Day):</t>
  </si>
  <si>
    <t>Graze 7/1 - 9/15</t>
  </si>
  <si>
    <t>GRASS/ALFALFA HAY (1 Cutting)</t>
  </si>
  <si>
    <t>GRASS/ALFALFA HAY (2 Cuttings)</t>
  </si>
  <si>
    <t>Custom assumes you hire labor and equipment for all farming activities.</t>
  </si>
  <si>
    <t>1. Hay Production</t>
  </si>
  <si>
    <t>2. Hay Production / Graze Aftermath</t>
  </si>
  <si>
    <t>3. Graze Stocker Steers</t>
  </si>
  <si>
    <t>3. Graze Stocker Steers / Irrigated Pasture</t>
  </si>
  <si>
    <t>Take two cutting of irrigated hay each year.</t>
  </si>
  <si>
    <t>Estimated Annual Income:</t>
  </si>
  <si>
    <t>Hire</t>
  </si>
  <si>
    <t>Total acres:</t>
  </si>
  <si>
    <t xml:space="preserve">  Net Returns ($/Acre)</t>
  </si>
  <si>
    <t>Total Cost ($/Acre)</t>
  </si>
  <si>
    <t>Irr / Pasture Cost:</t>
  </si>
  <si>
    <t>Pasture / Irrigation Costs</t>
  </si>
  <si>
    <t>Economic Analysis of a Small Acreage Ranch in Central Oregon</t>
  </si>
  <si>
    <t>Benchmark Condition</t>
  </si>
  <si>
    <t xml:space="preserve">     25% Good Condition, Grasses, 1 AUM/Acre</t>
  </si>
  <si>
    <t xml:space="preserve">     25% Poor Condition, Sedges &amp; Rushes, 0 AUM/Acre</t>
  </si>
  <si>
    <t>Improvement Costs</t>
  </si>
  <si>
    <t>Forage</t>
  </si>
  <si>
    <t>(AUMs/Ac)</t>
  </si>
  <si>
    <t>Gross Receipts</t>
  </si>
  <si>
    <t>Quantity</t>
  </si>
  <si>
    <t>Approx.</t>
  </si>
  <si>
    <t xml:space="preserve">  Gross Receipts</t>
  </si>
  <si>
    <t xml:space="preserve">       Amortized (average annual) establishment cost (20 years, 9% interest):</t>
  </si>
  <si>
    <t>Conventional Tillage.</t>
  </si>
  <si>
    <t xml:space="preserve">     50% Poor Condition, Sagebrush &amp; Rabbit Brush, .75 AUM/Acre</t>
  </si>
  <si>
    <t>(Sensitivity Analysis)</t>
  </si>
  <si>
    <t>Steer Price ($/Lb)</t>
  </si>
  <si>
    <t>2. Hay Production / Graze</t>
  </si>
  <si>
    <t>Results ($/Ranch/Year):</t>
  </si>
  <si>
    <t>Hay Price ($/Ton)</t>
  </si>
  <si>
    <t>Annual Ranch Income</t>
  </si>
  <si>
    <t>Pasture/Hayland Improvement</t>
  </si>
  <si>
    <t>Income</t>
  </si>
  <si>
    <t>4. Lease Forage</t>
  </si>
  <si>
    <t>Hay Yield</t>
  </si>
  <si>
    <t>(Tons/Ac)</t>
  </si>
  <si>
    <t>Graze Aftermath</t>
  </si>
  <si>
    <t>Graze Pasture</t>
  </si>
  <si>
    <t>4. Lease Irrigated Pasture</t>
  </si>
  <si>
    <t>Lease forage (do not own steers)</t>
  </si>
  <si>
    <t>Forage Price ($/AUM)</t>
  </si>
  <si>
    <t>Forage Yield</t>
  </si>
  <si>
    <t>Sensitivity Analysis</t>
  </si>
  <si>
    <t>$/Ranch</t>
  </si>
  <si>
    <t>Alternatives</t>
  </si>
  <si>
    <t>The land owner is considering hay production and/or livestock grazing.</t>
  </si>
  <si>
    <t xml:space="preserve">     Pump &amp; Plant</t>
  </si>
  <si>
    <t>*2.5</t>
  </si>
  <si>
    <t>110*</t>
  </si>
  <si>
    <t>*</t>
  </si>
  <si>
    <t>Amortized value used in pasture/hayland budget as annual cost.</t>
  </si>
  <si>
    <t xml:space="preserve">  Hayland:</t>
  </si>
  <si>
    <t xml:space="preserve">     Total returns</t>
  </si>
  <si>
    <t xml:space="preserve">     Total cost</t>
  </si>
  <si>
    <t xml:space="preserve">  Graze Livestock:</t>
  </si>
  <si>
    <t>*400</t>
  </si>
  <si>
    <t xml:space="preserve">     Estimated Annual Income:</t>
  </si>
  <si>
    <t xml:space="preserve">     Irrigation Cost:</t>
  </si>
  <si>
    <t xml:space="preserve">     *20 years, 9% Interest</t>
  </si>
  <si>
    <t>Total Estimated Cost:</t>
  </si>
  <si>
    <t>*Assume: 790 Lbs/AUM, 35% Grazing Efficiency, 70% Hay Harvest Efficiency.</t>
  </si>
  <si>
    <t>Ranch</t>
  </si>
  <si>
    <t>Flood irrigated pasture</t>
  </si>
  <si>
    <t>Family labor, no hired help, limited funds</t>
  </si>
  <si>
    <t>Weed infested pasture producing .6 AUM/Acre*:</t>
  </si>
  <si>
    <t>Hay (T)</t>
  </si>
  <si>
    <t>AUMs</t>
  </si>
  <si>
    <t xml:space="preserve">     Total Hay Cost:</t>
  </si>
  <si>
    <t xml:space="preserve">     Total Hay Returns:</t>
  </si>
  <si>
    <t xml:space="preserve">     Re-Seeding Pasture</t>
  </si>
  <si>
    <t xml:space="preserve">     Irrigation Mainline</t>
  </si>
  <si>
    <t xml:space="preserve">     Sideroll Sprinklers</t>
  </si>
  <si>
    <t xml:space="preserve">     Water Meter</t>
  </si>
  <si>
    <t>95HP-WT, Harrow/Packer</t>
  </si>
  <si>
    <t>95HP-WT, Harrow 15' Roll</t>
  </si>
  <si>
    <t>$0.90*</t>
  </si>
  <si>
    <t>Break-</t>
  </si>
  <si>
    <t>Even Yrs</t>
  </si>
  <si>
    <t>Purchase steers in the spring, graze on irrigated pasture</t>
  </si>
  <si>
    <t>through the summer and sell steers in the fall.</t>
  </si>
  <si>
    <t>(Lbs)</t>
  </si>
  <si>
    <t>Gain</t>
  </si>
  <si>
    <t>AUM Value to the Ranch (Stocker Steers)</t>
  </si>
  <si>
    <t>Sensitivity Analysis:</t>
  </si>
  <si>
    <t>Cost-Share</t>
  </si>
  <si>
    <t xml:space="preserve">     Landowner Cost</t>
  </si>
  <si>
    <t xml:space="preserve">     Landowner Annual Cost*</t>
  </si>
  <si>
    <t xml:space="preserve">     Improvement Costs:</t>
  </si>
  <si>
    <t xml:space="preserve">     Total Annual Cost*</t>
  </si>
  <si>
    <t>Take one cutting of irrigated hay, purchase steers early</t>
  </si>
  <si>
    <t>summer, graze irrigated pasture and sell steers in the fall.</t>
  </si>
  <si>
    <t>(See crop budget)</t>
  </si>
  <si>
    <t xml:space="preserve">     Total Hay Returns</t>
  </si>
  <si>
    <t xml:space="preserve">     Total Hay Cost</t>
  </si>
  <si>
    <t>Estimated Annual Income</t>
  </si>
  <si>
    <t xml:space="preserve">          Total Hay Income</t>
  </si>
  <si>
    <t xml:space="preserve">     Improvement Costs</t>
  </si>
  <si>
    <t xml:space="preserve">          Total Livestock Income</t>
  </si>
  <si>
    <t xml:space="preserve">     Total Steer/Pasture Cost:</t>
  </si>
  <si>
    <t xml:space="preserve">     Total Steer Returns:</t>
  </si>
  <si>
    <t>Sell Steer Price:</t>
  </si>
  <si>
    <t>Total Weight Gain:</t>
  </si>
  <si>
    <t>($20/AUM)</t>
  </si>
  <si>
    <t>Share</t>
  </si>
  <si>
    <t>Income/Ac</t>
  </si>
  <si>
    <t>The small acerage ranch has 33.2 acres of surface irrigated pasture/hayland.</t>
  </si>
  <si>
    <t>The land owner has limited farm equipment, most field operations require hired machinery.</t>
  </si>
  <si>
    <t>Hal Gordon, USDA-NRCS Economist, 8/2000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</si>
</sst>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#,##0.0"/>
    <numFmt numFmtId="168" formatCode="&quot;$&quot;#,##0.0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u val="single"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center"/>
    </xf>
    <xf numFmtId="6" fontId="8" fillId="0" borderId="1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6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right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165" fontId="8" fillId="0" borderId="0" xfId="0" applyNumberFormat="1" applyFont="1" applyAlignment="1">
      <alignment horizontal="right"/>
    </xf>
    <xf numFmtId="6" fontId="8" fillId="0" borderId="0" xfId="0" applyNumberFormat="1" applyFont="1" applyBorder="1" applyAlignment="1">
      <alignment/>
    </xf>
    <xf numFmtId="6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 quotePrefix="1">
      <alignment horizontal="right"/>
    </xf>
    <xf numFmtId="164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6" fontId="8" fillId="0" borderId="0" xfId="0" applyNumberFormat="1" applyFont="1" applyAlignment="1" quotePrefix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66" fontId="8" fillId="0" borderId="1" xfId="0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/>
    </xf>
    <xf numFmtId="166" fontId="8" fillId="0" borderId="3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8" fillId="0" borderId="1" xfId="0" applyNumberFormat="1" applyFont="1" applyBorder="1" applyAlignment="1">
      <alignment horizontal="right"/>
    </xf>
    <xf numFmtId="0" fontId="11" fillId="0" borderId="4" xfId="0" applyFont="1" applyBorder="1" applyAlignment="1" quotePrefix="1">
      <alignment horizontal="lef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7" xfId="0" applyFont="1" applyBorder="1" applyAlignment="1" quotePrefix="1">
      <alignment horizontal="left"/>
    </xf>
    <xf numFmtId="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8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8" fontId="8" fillId="0" borderId="1" xfId="0" applyNumberFormat="1" applyFont="1" applyBorder="1" applyAlignment="1">
      <alignment/>
    </xf>
    <xf numFmtId="0" fontId="9" fillId="0" borderId="7" xfId="0" applyFont="1" applyBorder="1" applyAlignment="1" quotePrefix="1">
      <alignment horizontal="left"/>
    </xf>
    <xf numFmtId="0" fontId="8" fillId="0" borderId="9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7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9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6" fontId="4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64" fontId="9" fillId="0" borderId="0" xfId="0" applyNumberFormat="1" applyFont="1" applyAlignment="1" quotePrefix="1">
      <alignment horizontal="right"/>
    </xf>
    <xf numFmtId="164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6" fontId="9" fillId="0" borderId="0" xfId="0" applyNumberFormat="1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center"/>
    </xf>
    <xf numFmtId="166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quotePrefix="1">
      <alignment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quotePrefix="1">
      <alignment horizontal="right"/>
    </xf>
    <xf numFmtId="167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Hay - Forage Production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Sheet1!$I$56:$I$59</c:f>
              <c:numCache/>
            </c:numRef>
          </c:xVal>
          <c:yVal>
            <c:numRef>
              <c:f>Sheet1!$J$56:$J$59</c:f>
              <c:numCache/>
            </c:numRef>
          </c:yVal>
          <c:smooth val="1"/>
        </c:ser>
        <c:axId val="30025830"/>
        <c:axId val="1797015"/>
      </c:scatterChart>
      <c:valAx>
        <c:axId val="300258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Hay Production 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015"/>
        <c:crosses val="autoZero"/>
        <c:crossBetween val="midCat"/>
        <c:dispUnits/>
      </c:valAx>
      <c:valAx>
        <c:axId val="179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Forage Production (AUMs)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258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Ranch Income &amp; Cost Comparison</a:t>
            </a:r>
          </a:p>
        </c:rich>
      </c:tx>
      <c:layout>
        <c:manualLayout>
          <c:xMode val="factor"/>
          <c:yMode val="factor"/>
          <c:x val="0.112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8325"/>
          <c:w val="0.88225"/>
          <c:h val="0.60025"/>
        </c:manualLayout>
      </c:layout>
      <c:barChart>
        <c:barDir val="col"/>
        <c:grouping val="clustered"/>
        <c:varyColors val="0"/>
        <c:ser>
          <c:idx val="1"/>
          <c:order val="0"/>
          <c:tx>
            <c:v>Cost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Sheet1!$M$44:$M$47</c:f>
              <c:numCache/>
            </c:numRef>
          </c:val>
        </c:ser>
        <c:ser>
          <c:idx val="0"/>
          <c:order val="1"/>
          <c:tx>
            <c:v>Returns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Sheet1!$N$44:$N$47</c:f>
              <c:numCache/>
            </c:numRef>
          </c:val>
        </c:ser>
        <c:axId val="16173136"/>
        <c:axId val="11340497"/>
      </c:barChart>
      <c:lineChart>
        <c:grouping val="standard"/>
        <c:varyColors val="0"/>
        <c:ser>
          <c:idx val="2"/>
          <c:order val="2"/>
          <c:tx>
            <c:v>Income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Sheet1!$O$44:$O$47</c:f>
              <c:numCache/>
            </c:numRef>
          </c:val>
          <c:smooth val="0"/>
        </c:ser>
        <c:axId val="34955610"/>
        <c:axId val="46165035"/>
      </c:lineChart>
      <c:catAx>
        <c:axId val="16173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Ranch Alternatives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40497"/>
        <c:crosses val="autoZero"/>
        <c:auto val="0"/>
        <c:lblOffset val="100"/>
        <c:noMultiLvlLbl val="0"/>
      </c:catAx>
      <c:valAx>
        <c:axId val="11340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73136"/>
        <c:crossesAt val="1"/>
        <c:crossBetween val="between"/>
        <c:dispUnits/>
      </c:valAx>
      <c:catAx>
        <c:axId val="3495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Hay      Hay/Graze       Graze          Lease</a:t>
                </a:r>
              </a:p>
            </c:rich>
          </c:tx>
          <c:layout>
            <c:manualLayout>
              <c:xMode val="factor"/>
              <c:yMode val="factor"/>
              <c:x val="0.20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165035"/>
        <c:crosses val="autoZero"/>
        <c:auto val="0"/>
        <c:lblOffset val="100"/>
        <c:noMultiLvlLbl val="0"/>
      </c:catAx>
      <c:valAx>
        <c:axId val="46165035"/>
        <c:scaling>
          <c:orientation val="minMax"/>
        </c:scaling>
        <c:axPos val="l"/>
        <c:delete val="1"/>
        <c:majorTickMark val="in"/>
        <c:minorTickMark val="none"/>
        <c:tickLblPos val="nextTo"/>
        <c:crossAx val="34955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33</xdr:row>
      <xdr:rowOff>28575</xdr:rowOff>
    </xdr:from>
    <xdr:to>
      <xdr:col>9</xdr:col>
      <xdr:colOff>600075</xdr:colOff>
      <xdr:row>48</xdr:row>
      <xdr:rowOff>133350</xdr:rowOff>
    </xdr:to>
    <xdr:graphicFrame>
      <xdr:nvGraphicFramePr>
        <xdr:cNvPr id="1" name="Chart 11"/>
        <xdr:cNvGraphicFramePr/>
      </xdr:nvGraphicFramePr>
      <xdr:xfrm>
        <a:off x="4257675" y="5705475"/>
        <a:ext cx="29241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33</xdr:row>
      <xdr:rowOff>38100</xdr:rowOff>
    </xdr:from>
    <xdr:to>
      <xdr:col>5</xdr:col>
      <xdr:colOff>47625</xdr:colOff>
      <xdr:row>48</xdr:row>
      <xdr:rowOff>123825</xdr:rowOff>
    </xdr:to>
    <xdr:graphicFrame>
      <xdr:nvGraphicFramePr>
        <xdr:cNvPr id="2" name="Chart 12"/>
        <xdr:cNvGraphicFramePr/>
      </xdr:nvGraphicFramePr>
      <xdr:xfrm>
        <a:off x="238125" y="5715000"/>
        <a:ext cx="37147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66675</xdr:colOff>
      <xdr:row>18</xdr:row>
      <xdr:rowOff>85725</xdr:rowOff>
    </xdr:from>
    <xdr:to>
      <xdr:col>9</xdr:col>
      <xdr:colOff>504825</xdr:colOff>
      <xdr:row>30</xdr:row>
      <xdr:rowOff>142875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3257550"/>
          <a:ext cx="3114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0.7109375" style="0" customWidth="1"/>
    <col min="4" max="4" width="10.7109375" style="0" bestFit="1" customWidth="1"/>
    <col min="5" max="6" width="10.7109375" style="0" customWidth="1"/>
    <col min="7" max="7" width="9.8515625" style="0" customWidth="1"/>
    <col min="8" max="8" width="9.8515625" style="0" bestFit="1" customWidth="1"/>
    <col min="9" max="10" width="9.7109375" style="0" customWidth="1"/>
    <col min="11" max="11" width="3.28125" style="0" customWidth="1"/>
  </cols>
  <sheetData>
    <row r="1" spans="1:1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>
      <c r="A2" s="7"/>
      <c r="B2" s="84" t="s">
        <v>100</v>
      </c>
      <c r="C2" s="7"/>
      <c r="D2" s="7"/>
      <c r="E2" s="7"/>
      <c r="F2" s="7"/>
      <c r="G2" s="7"/>
      <c r="H2" s="7"/>
      <c r="I2" s="7"/>
      <c r="J2" s="7"/>
      <c r="K2" s="7"/>
    </row>
    <row r="3" spans="1:11" ht="17.25">
      <c r="A3" s="7"/>
      <c r="B3" s="8" t="s">
        <v>120</v>
      </c>
      <c r="C3" s="7"/>
      <c r="D3" s="7"/>
      <c r="E3" s="7"/>
      <c r="G3" s="7"/>
      <c r="H3" s="7"/>
      <c r="I3" s="7"/>
      <c r="J3" s="7"/>
      <c r="K3" s="7"/>
    </row>
    <row r="4" spans="1:11" ht="12.75">
      <c r="A4" s="7"/>
      <c r="C4" s="7"/>
      <c r="D4" s="7"/>
      <c r="E4" s="7"/>
      <c r="G4" s="7"/>
      <c r="H4" s="7"/>
      <c r="I4" s="7"/>
      <c r="J4" s="7"/>
      <c r="K4" s="7"/>
    </row>
    <row r="5" spans="1:11" ht="12.75">
      <c r="A5" s="7"/>
      <c r="B5" s="9"/>
      <c r="C5" s="7"/>
      <c r="D5" s="7"/>
      <c r="E5" s="7"/>
      <c r="G5" s="7"/>
      <c r="H5" s="7"/>
      <c r="I5" s="7"/>
      <c r="J5" s="7"/>
      <c r="K5" s="7"/>
    </row>
    <row r="6" spans="1:11" ht="17.25">
      <c r="A6" s="7"/>
      <c r="B6" s="10" t="s">
        <v>101</v>
      </c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11" t="s">
        <v>194</v>
      </c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/>
      <c r="B8" s="11" t="s">
        <v>195</v>
      </c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7"/>
      <c r="B9" s="11" t="s">
        <v>134</v>
      </c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7"/>
      <c r="B10" s="11" t="s">
        <v>153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11" t="s">
        <v>102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7"/>
      <c r="B12" s="11" t="s">
        <v>103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7"/>
      <c r="B13" s="12" t="s">
        <v>113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7"/>
      <c r="B14" s="11" t="s">
        <v>151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7"/>
      <c r="B15" s="11" t="s">
        <v>152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9" t="s">
        <v>149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9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7"/>
      <c r="B18" s="9"/>
      <c r="C18" s="7"/>
      <c r="D18" s="7"/>
      <c r="E18" s="7"/>
      <c r="G18" s="7"/>
      <c r="H18" s="7"/>
      <c r="I18" s="7"/>
      <c r="J18" s="7"/>
      <c r="K18" s="7"/>
    </row>
    <row r="19" spans="1:11" ht="18.75">
      <c r="A19" s="7"/>
      <c r="B19" s="10" t="s">
        <v>104</v>
      </c>
      <c r="C19" s="7"/>
      <c r="D19" s="7"/>
      <c r="E19" s="7"/>
      <c r="F19" s="7"/>
      <c r="G19" s="7"/>
      <c r="H19" s="13"/>
      <c r="I19" s="7"/>
      <c r="J19" s="7"/>
      <c r="K19" s="7"/>
    </row>
    <row r="20" spans="1:11" ht="12.75">
      <c r="A20" s="7"/>
      <c r="B20" s="11" t="s">
        <v>158</v>
      </c>
      <c r="C20" s="7"/>
      <c r="D20" s="14">
        <v>2500</v>
      </c>
      <c r="E20" s="7"/>
      <c r="F20" s="18"/>
      <c r="G20" s="7"/>
      <c r="H20" s="7"/>
      <c r="I20" s="7"/>
      <c r="J20" s="7"/>
      <c r="K20" s="7"/>
    </row>
    <row r="21" spans="1:11" ht="12.75">
      <c r="A21" s="7"/>
      <c r="B21" s="11" t="s">
        <v>159</v>
      </c>
      <c r="C21" s="7"/>
      <c r="D21" s="15">
        <v>13000</v>
      </c>
      <c r="E21" s="7"/>
      <c r="F21" s="85"/>
      <c r="G21" s="7"/>
      <c r="H21" s="7"/>
      <c r="I21" s="86"/>
      <c r="J21" s="7"/>
      <c r="K21" s="7"/>
    </row>
    <row r="22" spans="1:11" ht="12.75">
      <c r="A22" s="7"/>
      <c r="B22" s="11" t="s">
        <v>135</v>
      </c>
      <c r="C22" s="7"/>
      <c r="D22" s="15">
        <v>3500</v>
      </c>
      <c r="E22" s="7"/>
      <c r="F22" s="87"/>
      <c r="G22" s="7"/>
      <c r="H22" s="7"/>
      <c r="I22" s="47"/>
      <c r="J22" s="7"/>
      <c r="K22" s="7"/>
    </row>
    <row r="23" spans="1:11" ht="12.75">
      <c r="A23" s="7"/>
      <c r="B23" s="11" t="s">
        <v>160</v>
      </c>
      <c r="C23" s="7"/>
      <c r="D23" s="15">
        <v>3000</v>
      </c>
      <c r="E23" s="7"/>
      <c r="F23" s="87"/>
      <c r="G23" s="7"/>
      <c r="H23" s="7"/>
      <c r="I23" s="88"/>
      <c r="J23" s="7"/>
      <c r="K23" s="7"/>
    </row>
    <row r="24" spans="1:11" ht="12.75">
      <c r="A24" s="7"/>
      <c r="B24" s="11" t="s">
        <v>161</v>
      </c>
      <c r="C24" s="7"/>
      <c r="D24" s="15">
        <v>500</v>
      </c>
      <c r="E24" s="7"/>
      <c r="F24" s="87"/>
      <c r="G24" s="7"/>
      <c r="H24" s="7"/>
      <c r="I24" s="47"/>
      <c r="J24" s="7"/>
      <c r="K24" s="7"/>
    </row>
    <row r="25" spans="1:11" ht="12.75">
      <c r="A25" s="7"/>
      <c r="B25" s="11" t="s">
        <v>148</v>
      </c>
      <c r="C25" s="7"/>
      <c r="D25" s="109">
        <f>SUM(D20:D24)</f>
        <v>22500</v>
      </c>
      <c r="E25" s="7"/>
      <c r="F25" s="89"/>
      <c r="G25" s="7"/>
      <c r="H25" s="7"/>
      <c r="I25" s="7"/>
      <c r="J25" s="7"/>
      <c r="K25" s="7"/>
    </row>
    <row r="26" spans="1:11" ht="12.75">
      <c r="A26" s="7"/>
      <c r="B26" s="11" t="s">
        <v>177</v>
      </c>
      <c r="C26" s="7"/>
      <c r="D26" s="15">
        <f>PMT(0.09,20,D25)*-1</f>
        <v>2464.7956876851576</v>
      </c>
      <c r="E26" s="7"/>
      <c r="F26" s="87"/>
      <c r="G26" s="7"/>
      <c r="H26" s="7"/>
      <c r="I26" s="47"/>
      <c r="J26" s="7"/>
      <c r="K26" s="7"/>
    </row>
    <row r="27" spans="1:11" ht="12.75">
      <c r="A27" s="7"/>
      <c r="B27" s="11"/>
      <c r="C27" s="7"/>
      <c r="D27" s="15"/>
      <c r="E27" s="7"/>
      <c r="F27" s="87"/>
      <c r="G27" s="7"/>
      <c r="H27" s="7"/>
      <c r="I27" s="47"/>
      <c r="J27" s="7"/>
      <c r="K27" s="7"/>
    </row>
    <row r="28" spans="1:11" ht="12.75">
      <c r="A28" s="7"/>
      <c r="B28" s="11" t="s">
        <v>173</v>
      </c>
      <c r="C28" s="7"/>
      <c r="D28" s="17">
        <v>0.75</v>
      </c>
      <c r="F28" s="87"/>
      <c r="G28" s="7"/>
      <c r="H28" s="87"/>
      <c r="I28" s="7"/>
      <c r="J28" s="7"/>
      <c r="K28" s="7"/>
    </row>
    <row r="29" spans="1:11" ht="12.75">
      <c r="A29" s="7"/>
      <c r="B29" s="11" t="s">
        <v>174</v>
      </c>
      <c r="C29" s="7"/>
      <c r="D29" s="15">
        <f>+D25*(1-D28)</f>
        <v>5625</v>
      </c>
      <c r="E29" s="14"/>
      <c r="F29" s="11"/>
      <c r="G29" s="7"/>
      <c r="H29" s="11"/>
      <c r="I29" s="7"/>
      <c r="J29" s="7"/>
      <c r="K29" s="7"/>
    </row>
    <row r="30" spans="1:11" ht="12.75">
      <c r="A30" s="7"/>
      <c r="B30" s="11" t="s">
        <v>175</v>
      </c>
      <c r="C30" s="14"/>
      <c r="D30" s="109">
        <f>PMT(0.09,20,D29)*-1</f>
        <v>616.1989219212894</v>
      </c>
      <c r="E30" s="18"/>
      <c r="F30" s="11"/>
      <c r="G30" s="7"/>
      <c r="H30" s="11"/>
      <c r="I30" s="7"/>
      <c r="J30" s="7"/>
      <c r="K30" s="7"/>
    </row>
    <row r="31" spans="1:11" ht="12.75">
      <c r="A31" s="7"/>
      <c r="B31" s="9" t="s">
        <v>147</v>
      </c>
      <c r="C31" s="14"/>
      <c r="D31" s="18"/>
      <c r="E31" s="18"/>
      <c r="F31" s="11"/>
      <c r="G31" s="7"/>
      <c r="H31" s="11"/>
      <c r="I31" s="7"/>
      <c r="J31" s="7"/>
      <c r="K31" s="7"/>
    </row>
    <row r="32" spans="1:11" ht="12.75">
      <c r="A32" s="7"/>
      <c r="B32" s="87"/>
      <c r="C32" s="7"/>
      <c r="D32" s="7"/>
      <c r="E32" s="47"/>
      <c r="F32" s="11"/>
      <c r="G32" s="7"/>
      <c r="H32" s="11"/>
      <c r="I32" s="7"/>
      <c r="J32" s="7"/>
      <c r="K32" s="7"/>
    </row>
    <row r="33" spans="1:11" ht="12.75">
      <c r="A33" s="78"/>
      <c r="B33" s="93"/>
      <c r="C33" s="93"/>
      <c r="J33" s="7"/>
      <c r="K33" s="7"/>
    </row>
    <row r="34" spans="1:11" ht="12.75">
      <c r="A34" s="78"/>
      <c r="B34" s="104"/>
      <c r="C34" s="93"/>
      <c r="J34" s="7"/>
      <c r="K34" s="7"/>
    </row>
    <row r="35" spans="1:11" ht="12.75">
      <c r="A35" s="78"/>
      <c r="B35" s="73"/>
      <c r="C35" s="93"/>
      <c r="J35" s="7"/>
      <c r="K35" s="7"/>
    </row>
    <row r="36" spans="1:11" ht="12.75">
      <c r="A36" s="78"/>
      <c r="B36" s="73"/>
      <c r="C36" s="78"/>
      <c r="G36" s="7"/>
      <c r="H36" s="7"/>
      <c r="I36" s="7"/>
      <c r="J36" s="7"/>
      <c r="K36" s="7"/>
    </row>
    <row r="37" spans="1:13" ht="12.75">
      <c r="A37" s="78"/>
      <c r="B37" s="73"/>
      <c r="C37" s="93"/>
      <c r="K37" s="7"/>
      <c r="L37" s="3"/>
      <c r="M37" s="3"/>
    </row>
    <row r="38" spans="1:13" ht="12.75">
      <c r="A38" s="78"/>
      <c r="B38" s="53"/>
      <c r="C38" s="93"/>
      <c r="K38" s="7"/>
      <c r="L38" s="2"/>
      <c r="M38" s="5"/>
    </row>
    <row r="39" spans="1:13" ht="12.75">
      <c r="A39" s="78"/>
      <c r="B39" s="93"/>
      <c r="C39" s="93"/>
      <c r="K39" s="7"/>
      <c r="L39" s="2"/>
      <c r="M39" s="5"/>
    </row>
    <row r="40" spans="1:11" ht="12.75">
      <c r="A40" s="78"/>
      <c r="B40" s="93"/>
      <c r="C40" s="93"/>
      <c r="K40" s="7"/>
    </row>
    <row r="41" spans="1:11" ht="12.75">
      <c r="A41" s="7"/>
      <c r="K41" s="7"/>
    </row>
    <row r="42" spans="1:16" ht="12.75">
      <c r="A42" s="7"/>
      <c r="K42" s="7"/>
      <c r="M42" s="60" t="s">
        <v>150</v>
      </c>
      <c r="N42" s="60" t="s">
        <v>150</v>
      </c>
      <c r="O42" s="60" t="s">
        <v>150</v>
      </c>
      <c r="P42" s="60"/>
    </row>
    <row r="43" spans="1:16" ht="12.75">
      <c r="A43" s="7"/>
      <c r="K43" s="7"/>
      <c r="M43" s="56" t="s">
        <v>9</v>
      </c>
      <c r="N43" s="56" t="s">
        <v>2</v>
      </c>
      <c r="O43" s="99" t="s">
        <v>121</v>
      </c>
      <c r="P43" s="56"/>
    </row>
    <row r="44" spans="1:16" ht="12.75">
      <c r="A44" s="7"/>
      <c r="K44" s="7"/>
      <c r="M44" s="105">
        <f>(F56+G56)*-1</f>
        <v>-6563.060091242221</v>
      </c>
      <c r="N44" s="105">
        <f>+E56</f>
        <v>9130</v>
      </c>
      <c r="O44" s="105">
        <f>+D56</f>
        <v>2566.9399087577794</v>
      </c>
      <c r="P44" s="105"/>
    </row>
    <row r="45" spans="1:16" ht="12.75">
      <c r="A45" s="7"/>
      <c r="K45" s="7"/>
      <c r="M45" s="105">
        <f>(F57+G57)*-1</f>
        <v>-8548.235646797777</v>
      </c>
      <c r="N45" s="105">
        <f>+E57</f>
        <v>9362.400000000001</v>
      </c>
      <c r="O45" s="105">
        <f>+D57</f>
        <v>814.1643532022242</v>
      </c>
      <c r="P45" s="105"/>
    </row>
    <row r="46" spans="1:16" ht="12.75">
      <c r="A46" s="7"/>
      <c r="K46" s="7"/>
      <c r="M46" s="105">
        <f>(F58+G58)*-1</f>
        <v>-9931.015646797776</v>
      </c>
      <c r="N46" s="105">
        <f>+E58</f>
        <v>9561.6</v>
      </c>
      <c r="O46" s="105">
        <f>+D58</f>
        <v>-369.4156467977748</v>
      </c>
      <c r="P46" s="105"/>
    </row>
    <row r="47" spans="1:16" ht="12.75">
      <c r="A47" s="7"/>
      <c r="K47" s="7"/>
      <c r="M47" s="105">
        <f>(F59+G59)*-1</f>
        <v>-4205.86009124222</v>
      </c>
      <c r="N47" s="105">
        <f>+E59</f>
        <v>1726.4</v>
      </c>
      <c r="O47" s="105">
        <f>+D59</f>
        <v>-2479.46009124222</v>
      </c>
      <c r="P47" s="105"/>
    </row>
    <row r="48" spans="1:11" ht="12.75">
      <c r="A48" s="7"/>
      <c r="K48" s="7"/>
    </row>
    <row r="49" spans="1:11" ht="12.75">
      <c r="A49" s="7"/>
      <c r="K49" s="7"/>
    </row>
    <row r="50" spans="1:11" ht="12.75">
      <c r="A50" s="7"/>
      <c r="K50" s="7"/>
    </row>
    <row r="51" spans="1:11" ht="12.75">
      <c r="A51" s="7"/>
      <c r="B51" s="7"/>
      <c r="C51" s="18"/>
      <c r="D51" s="18"/>
      <c r="E51" s="7"/>
      <c r="F51" s="12"/>
      <c r="G51" s="7"/>
      <c r="H51" s="7"/>
      <c r="I51" s="7"/>
      <c r="J51" s="7"/>
      <c r="K51" s="7"/>
    </row>
    <row r="52" spans="1:14" ht="12.75">
      <c r="A52" s="7"/>
      <c r="I52" s="78"/>
      <c r="K52" s="7"/>
      <c r="N52" s="4"/>
    </row>
    <row r="53" spans="1:15" ht="17.25">
      <c r="A53" s="7"/>
      <c r="B53" s="110" t="s">
        <v>117</v>
      </c>
      <c r="C53" s="78"/>
      <c r="D53" s="78"/>
      <c r="E53" s="78"/>
      <c r="F53" s="78"/>
      <c r="G53" s="60"/>
      <c r="H53" s="78"/>
      <c r="I53" s="93"/>
      <c r="J53" s="93"/>
      <c r="K53" s="7"/>
      <c r="N53" s="99"/>
      <c r="O53" s="99"/>
    </row>
    <row r="54" spans="1:18" ht="12.75">
      <c r="A54" s="7"/>
      <c r="B54" s="73"/>
      <c r="C54" s="78"/>
      <c r="D54" s="60" t="s">
        <v>150</v>
      </c>
      <c r="E54" s="60" t="s">
        <v>150</v>
      </c>
      <c r="F54" s="60" t="s">
        <v>150</v>
      </c>
      <c r="G54" s="60" t="s">
        <v>13</v>
      </c>
      <c r="H54" s="62" t="s">
        <v>165</v>
      </c>
      <c r="I54" s="93"/>
      <c r="J54" s="93"/>
      <c r="K54" s="7"/>
      <c r="N54" s="101"/>
      <c r="O54" s="101"/>
      <c r="Q54" s="97"/>
      <c r="R54" s="103"/>
    </row>
    <row r="55" spans="1:18" ht="12.75">
      <c r="A55" s="7"/>
      <c r="B55" s="104" t="s">
        <v>133</v>
      </c>
      <c r="C55" s="78"/>
      <c r="D55" s="99" t="s">
        <v>121</v>
      </c>
      <c r="E55" s="56" t="s">
        <v>2</v>
      </c>
      <c r="F55" s="56" t="s">
        <v>9</v>
      </c>
      <c r="G55" s="56" t="s">
        <v>192</v>
      </c>
      <c r="H55" s="99" t="s">
        <v>166</v>
      </c>
      <c r="I55" s="99" t="s">
        <v>154</v>
      </c>
      <c r="J55" s="99" t="s">
        <v>155</v>
      </c>
      <c r="K55" s="7"/>
      <c r="N55" s="102"/>
      <c r="O55" s="101"/>
      <c r="Q55" s="97"/>
      <c r="R55" s="103"/>
    </row>
    <row r="56" spans="1:18" ht="12.75">
      <c r="A56" s="7"/>
      <c r="B56" s="73" t="s">
        <v>88</v>
      </c>
      <c r="C56" s="78"/>
      <c r="D56" s="100">
        <f>+E56-F56-G56</f>
        <v>2566.9399087577794</v>
      </c>
      <c r="E56" s="14">
        <f>+D70</f>
        <v>9130</v>
      </c>
      <c r="F56" s="14">
        <f>+D69</f>
        <v>5946.861169320931</v>
      </c>
      <c r="G56" s="14">
        <f>+$D$30</f>
        <v>616.1989219212894</v>
      </c>
      <c r="H56" s="108">
        <f>+$D$29/D56</f>
        <v>2.1913251575577823</v>
      </c>
      <c r="I56" s="106">
        <f>2.5*$D$66</f>
        <v>83</v>
      </c>
      <c r="J56" s="106">
        <v>0</v>
      </c>
      <c r="K56" s="7"/>
      <c r="N56" s="101"/>
      <c r="O56" s="101"/>
      <c r="Q56" s="97"/>
      <c r="R56" s="103"/>
    </row>
    <row r="57" spans="1:18" ht="12.75">
      <c r="A57" s="7"/>
      <c r="B57" s="73" t="s">
        <v>116</v>
      </c>
      <c r="C57" s="78"/>
      <c r="D57" s="100">
        <f>+E57-F57-G57</f>
        <v>814.1643532022242</v>
      </c>
      <c r="E57" s="14">
        <f>+D97+D103</f>
        <v>9362.400000000001</v>
      </c>
      <c r="F57" s="14">
        <f>+D98+D104</f>
        <v>7932.036724876488</v>
      </c>
      <c r="G57" s="14">
        <f>+$D$30</f>
        <v>616.1989219212894</v>
      </c>
      <c r="H57" s="108">
        <f>+$D$29/D57</f>
        <v>6.908924442437297</v>
      </c>
      <c r="I57" s="107">
        <f>1.5*$D$66</f>
        <v>49.800000000000004</v>
      </c>
      <c r="J57" s="106">
        <f>1.3*$D$66</f>
        <v>43.160000000000004</v>
      </c>
      <c r="K57" s="7"/>
      <c r="N57" s="101"/>
      <c r="O57" s="101"/>
      <c r="Q57" s="97"/>
      <c r="R57" s="103"/>
    </row>
    <row r="58" spans="1:18" ht="12.75">
      <c r="A58" s="7"/>
      <c r="B58" s="73" t="s">
        <v>90</v>
      </c>
      <c r="C58" s="78"/>
      <c r="D58" s="100">
        <f>+E58-F58-G58</f>
        <v>-369.4156467977748</v>
      </c>
      <c r="E58" s="14">
        <f>+D118</f>
        <v>9561.6</v>
      </c>
      <c r="F58" s="14">
        <f>+D119</f>
        <v>9314.816724876486</v>
      </c>
      <c r="G58" s="14">
        <f>+$D$30</f>
        <v>616.1989219212894</v>
      </c>
      <c r="H58" s="108">
        <f>+$D$29/D58</f>
        <v>-15.22675081242358</v>
      </c>
      <c r="I58" s="106">
        <v>0</v>
      </c>
      <c r="J58" s="106">
        <f>3.2*$D$66</f>
        <v>106.24000000000001</v>
      </c>
      <c r="K58" s="7"/>
      <c r="L58" s="93"/>
      <c r="M58" s="93"/>
      <c r="N58" s="93"/>
      <c r="O58" s="93"/>
      <c r="R58" s="93"/>
    </row>
    <row r="59" spans="1:18" ht="12.75">
      <c r="A59" s="7"/>
      <c r="B59" s="53" t="s">
        <v>122</v>
      </c>
      <c r="C59" s="78"/>
      <c r="D59" s="100">
        <f>+E59-F59-G59</f>
        <v>-2479.46009124222</v>
      </c>
      <c r="E59" s="14">
        <f>+F155</f>
        <v>1726.4</v>
      </c>
      <c r="F59" s="14">
        <f>+F156</f>
        <v>3589.6611693209306</v>
      </c>
      <c r="G59" s="14">
        <f>+$D$30</f>
        <v>616.1989219212894</v>
      </c>
      <c r="H59" s="108">
        <f>+$D$29/D59</f>
        <v>-2.2686390556832277</v>
      </c>
      <c r="I59" s="106">
        <v>0</v>
      </c>
      <c r="J59" s="106">
        <f>3.2*$D$66</f>
        <v>106.24000000000001</v>
      </c>
      <c r="K59" s="7"/>
      <c r="M59" s="93"/>
      <c r="N59" s="93"/>
      <c r="O59" s="93"/>
      <c r="P59" s="93"/>
      <c r="Q59" s="93"/>
      <c r="R59" s="93"/>
    </row>
    <row r="60" spans="1:11" ht="12.75">
      <c r="A60" s="7"/>
      <c r="B60" s="7"/>
      <c r="C60" s="7"/>
      <c r="D60" s="7"/>
      <c r="E60" s="7"/>
      <c r="H60" s="7"/>
      <c r="I60" s="7"/>
      <c r="J60" s="7"/>
      <c r="K60" s="7"/>
    </row>
    <row r="61" spans="1:11" ht="12.75">
      <c r="A61" s="7"/>
      <c r="B61" s="7"/>
      <c r="C61" s="7"/>
      <c r="D61" s="7"/>
      <c r="E61" s="7"/>
      <c r="H61" s="7"/>
      <c r="I61" s="7"/>
      <c r="J61" s="7"/>
      <c r="K61" s="7"/>
    </row>
    <row r="62" spans="1:11" ht="12.75">
      <c r="A62" s="7"/>
      <c r="B62" s="7"/>
      <c r="C62" s="7"/>
      <c r="D62" s="7"/>
      <c r="E62" s="7"/>
      <c r="G62" s="11" t="s">
        <v>196</v>
      </c>
      <c r="H62" s="7"/>
      <c r="I62" s="7"/>
      <c r="J62" s="7"/>
      <c r="K62" s="7"/>
    </row>
    <row r="63" spans="1:11" ht="24">
      <c r="A63" s="7"/>
      <c r="B63" s="95" t="s">
        <v>88</v>
      </c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"/>
      <c r="B64" s="11"/>
      <c r="C64" s="7"/>
      <c r="D64" s="7"/>
      <c r="E64" s="7"/>
      <c r="F64" s="7"/>
      <c r="G64" s="7"/>
      <c r="H64" s="7"/>
      <c r="I64" s="7"/>
      <c r="J64" s="7"/>
      <c r="K64" s="7"/>
    </row>
    <row r="65" spans="1:11" ht="12.75">
      <c r="A65" s="7"/>
      <c r="B65" s="12" t="s">
        <v>92</v>
      </c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7"/>
      <c r="B66" s="12" t="s">
        <v>95</v>
      </c>
      <c r="C66" s="7"/>
      <c r="D66" s="18">
        <v>33.2</v>
      </c>
      <c r="E66" s="7"/>
      <c r="F66" s="7"/>
      <c r="G66" s="7"/>
      <c r="H66" s="7"/>
      <c r="I66" s="7"/>
      <c r="J66" s="7"/>
      <c r="K66" s="7"/>
    </row>
    <row r="67" spans="1:11" ht="12.75">
      <c r="A67" s="7"/>
      <c r="B67" s="12"/>
      <c r="C67" s="7"/>
      <c r="D67" s="18"/>
      <c r="E67" s="7"/>
      <c r="F67" s="7"/>
      <c r="G67" s="7"/>
      <c r="H67" s="7"/>
      <c r="I67" s="7"/>
      <c r="J67" s="7"/>
      <c r="K67" s="7"/>
    </row>
    <row r="68" spans="1:11" ht="12.75">
      <c r="A68" s="7"/>
      <c r="B68" s="16" t="s">
        <v>183</v>
      </c>
      <c r="C68" s="7"/>
      <c r="D68" s="23">
        <f>+D70-D69-D71</f>
        <v>2566.9399087577794</v>
      </c>
      <c r="E68" s="7"/>
      <c r="G68" s="7"/>
      <c r="H68" s="7"/>
      <c r="I68" s="7"/>
      <c r="J68" s="7"/>
      <c r="K68" s="7"/>
    </row>
    <row r="69" spans="1:11" ht="12.75">
      <c r="A69" s="7"/>
      <c r="B69" s="11" t="s">
        <v>156</v>
      </c>
      <c r="C69" s="7"/>
      <c r="D69" s="24">
        <f>+I206*D66</f>
        <v>5946.861169320931</v>
      </c>
      <c r="E69" s="7"/>
      <c r="G69" s="7"/>
      <c r="H69" s="7"/>
      <c r="I69" s="7"/>
      <c r="J69" s="7"/>
      <c r="K69" s="7"/>
    </row>
    <row r="70" spans="1:11" ht="12.75">
      <c r="A70" s="7"/>
      <c r="B70" s="11" t="s">
        <v>157</v>
      </c>
      <c r="C70" s="7"/>
      <c r="D70" s="24">
        <f>+I208*D66</f>
        <v>9130</v>
      </c>
      <c r="E70" s="7"/>
      <c r="F70" s="7"/>
      <c r="G70" s="7"/>
      <c r="H70" s="7"/>
      <c r="I70" s="7"/>
      <c r="J70" s="7"/>
      <c r="K70" s="7"/>
    </row>
    <row r="71" spans="1:11" ht="12.75">
      <c r="A71" s="7"/>
      <c r="B71" s="11" t="s">
        <v>176</v>
      </c>
      <c r="C71" s="7"/>
      <c r="D71" s="24">
        <f>+$D$30</f>
        <v>616.1989219212894</v>
      </c>
      <c r="E71" s="7"/>
      <c r="F71" s="7"/>
      <c r="G71" s="7"/>
      <c r="H71" s="7"/>
      <c r="I71" s="7"/>
      <c r="J71" s="7"/>
      <c r="K71" s="7"/>
    </row>
    <row r="72" spans="1:11" ht="12.75">
      <c r="A72" s="7"/>
      <c r="B72" s="36" t="s">
        <v>180</v>
      </c>
      <c r="C72" s="7"/>
      <c r="D72" s="24"/>
      <c r="E72" s="7"/>
      <c r="F72" s="7"/>
      <c r="G72" s="7"/>
      <c r="H72" s="7"/>
      <c r="I72" s="7"/>
      <c r="J72" s="7"/>
      <c r="K72" s="7"/>
    </row>
    <row r="73" spans="1:11" ht="12.75">
      <c r="A73" s="7"/>
      <c r="C73" s="7"/>
      <c r="D73" s="24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18"/>
      <c r="F74" s="18"/>
      <c r="G74" s="18"/>
      <c r="H74" s="18"/>
      <c r="I74" s="18"/>
      <c r="J74" s="18"/>
      <c r="K74" s="7"/>
    </row>
    <row r="75" spans="1:11" ht="12.75">
      <c r="A75" s="7"/>
      <c r="B75" s="16" t="s">
        <v>119</v>
      </c>
      <c r="C75" s="7"/>
      <c r="D75" s="7"/>
      <c r="E75" s="18"/>
      <c r="F75" s="18"/>
      <c r="G75" s="18"/>
      <c r="H75" s="18"/>
      <c r="I75" s="18"/>
      <c r="J75" s="18"/>
      <c r="K75" s="7"/>
    </row>
    <row r="76" spans="1:11" ht="12.75">
      <c r="A76" s="7"/>
      <c r="B76" s="9" t="s">
        <v>114</v>
      </c>
      <c r="C76" s="7"/>
      <c r="D76" s="7"/>
      <c r="E76" s="7"/>
      <c r="F76" s="7"/>
      <c r="G76" s="18"/>
      <c r="H76" s="18"/>
      <c r="I76" s="18"/>
      <c r="J76" s="18"/>
      <c r="K76" s="7"/>
    </row>
    <row r="77" spans="1:11" ht="12.75">
      <c r="A77" s="7"/>
      <c r="B77" s="7"/>
      <c r="C77" s="19" t="s">
        <v>123</v>
      </c>
      <c r="D77" s="24"/>
      <c r="E77" s="25" t="s">
        <v>118</v>
      </c>
      <c r="F77" s="18"/>
      <c r="G77" s="7"/>
      <c r="H77" s="7"/>
      <c r="I77" s="18"/>
      <c r="J77" s="18"/>
      <c r="K77" s="7"/>
    </row>
    <row r="78" spans="1:11" ht="13.5" thickBot="1">
      <c r="A78" s="7"/>
      <c r="B78" s="7"/>
      <c r="C78" s="26" t="s">
        <v>124</v>
      </c>
      <c r="D78" s="15">
        <v>75</v>
      </c>
      <c r="E78" s="27" t="s">
        <v>137</v>
      </c>
      <c r="F78" s="15">
        <v>125</v>
      </c>
      <c r="G78" s="18"/>
      <c r="H78" s="18"/>
      <c r="I78" s="18"/>
      <c r="J78" s="18"/>
      <c r="K78" s="7"/>
    </row>
    <row r="79" spans="1:11" ht="13.5" thickBot="1">
      <c r="A79" s="7"/>
      <c r="B79" s="11"/>
      <c r="C79" s="28">
        <v>1.5</v>
      </c>
      <c r="D79" s="29">
        <f>-66.62*$D$66-$D$71</f>
        <v>-2827.9829219212897</v>
      </c>
      <c r="E79" s="29">
        <f>-14.12*$D$66-$D$71</f>
        <v>-1084.9829219212893</v>
      </c>
      <c r="F79" s="29">
        <f>8.38*$D$66-$D$71</f>
        <v>-337.98292192128935</v>
      </c>
      <c r="G79" s="18"/>
      <c r="H79" s="18"/>
      <c r="I79" s="18"/>
      <c r="J79" s="18"/>
      <c r="K79" s="7"/>
    </row>
    <row r="80" spans="1:11" ht="13.5" thickBot="1">
      <c r="A80" s="7"/>
      <c r="B80" s="11"/>
      <c r="C80" s="28">
        <v>2</v>
      </c>
      <c r="D80" s="29">
        <f>-29.12*$D$66-$D$71</f>
        <v>-1582.9829219212895</v>
      </c>
      <c r="E80" s="29">
        <f>40.88*$D$66-$D$71</f>
        <v>741.0170780787107</v>
      </c>
      <c r="F80" s="29">
        <f>70.88*$D$66-$D$71</f>
        <v>1737.0170780787105</v>
      </c>
      <c r="G80" s="18"/>
      <c r="H80" s="18"/>
      <c r="I80" s="18"/>
      <c r="J80" s="18"/>
      <c r="K80" s="7"/>
    </row>
    <row r="81" spans="1:11" ht="13.5" thickBot="1">
      <c r="A81" s="7"/>
      <c r="B81" s="11"/>
      <c r="C81" s="30" t="s">
        <v>136</v>
      </c>
      <c r="D81" s="29">
        <f>8.38*$D$66-$D$71</f>
        <v>-337.98292192128935</v>
      </c>
      <c r="E81" s="29">
        <f>95.88*$D$66-$D$71</f>
        <v>2567.0170780787103</v>
      </c>
      <c r="F81" s="29">
        <f>133.38*$D$66-$D$71</f>
        <v>3812.017078078711</v>
      </c>
      <c r="G81" s="18"/>
      <c r="H81" s="18"/>
      <c r="I81" s="18"/>
      <c r="J81" s="18"/>
      <c r="K81" s="7"/>
    </row>
    <row r="82" spans="1:11" ht="13.5" thickBot="1">
      <c r="A82" s="7"/>
      <c r="B82" s="11"/>
      <c r="C82" s="28">
        <v>3</v>
      </c>
      <c r="D82" s="29">
        <f>45.88*$D$66-$D$71</f>
        <v>907.0170780787107</v>
      </c>
      <c r="E82" s="29">
        <f>150.88*$D$66-$D$71</f>
        <v>4393.017078078711</v>
      </c>
      <c r="F82" s="29">
        <f>195.88*$D$66-$D$71</f>
        <v>5887.017078078711</v>
      </c>
      <c r="G82" s="18"/>
      <c r="H82" s="18"/>
      <c r="I82" s="18"/>
      <c r="J82" s="18"/>
      <c r="K82" s="7"/>
    </row>
    <row r="83" spans="1:11" ht="12.75">
      <c r="A83" s="7"/>
      <c r="B83" s="11"/>
      <c r="C83" s="28">
        <v>3.5</v>
      </c>
      <c r="D83" s="29">
        <f>83.38*$D$66-$D$71</f>
        <v>2152.0170780787103</v>
      </c>
      <c r="E83" s="29">
        <f>205.88*$D$66-$D$71</f>
        <v>6219.017078078711</v>
      </c>
      <c r="F83" s="29">
        <f>258.38*$D$66-$D$71</f>
        <v>7962.017078078711</v>
      </c>
      <c r="G83" s="7"/>
      <c r="H83" s="7"/>
      <c r="I83" s="7"/>
      <c r="J83" s="7"/>
      <c r="K83" s="7"/>
    </row>
    <row r="84" spans="1:11" ht="12.75">
      <c r="A84" s="7"/>
      <c r="B84" s="11"/>
      <c r="C84" s="7"/>
      <c r="D84" s="24"/>
      <c r="E84" s="7"/>
      <c r="F84" s="7"/>
      <c r="G84" s="7"/>
      <c r="H84" s="7"/>
      <c r="I84" s="7"/>
      <c r="J84" s="7"/>
      <c r="K84" s="7"/>
    </row>
    <row r="85" spans="1:11" ht="12.75">
      <c r="A85" s="7"/>
      <c r="B85" s="11"/>
      <c r="C85" s="7"/>
      <c r="D85" s="24"/>
      <c r="E85" s="7"/>
      <c r="F85" s="7"/>
      <c r="G85" s="7"/>
      <c r="H85" s="7"/>
      <c r="I85" s="7"/>
      <c r="J85" s="7"/>
      <c r="K85" s="7"/>
    </row>
    <row r="86" spans="1:11" ht="12.75">
      <c r="A86" s="7"/>
      <c r="B86" s="11"/>
      <c r="C86" s="7"/>
      <c r="D86" s="24"/>
      <c r="E86" s="7"/>
      <c r="F86" s="7"/>
      <c r="G86" s="7"/>
      <c r="H86" s="7"/>
      <c r="I86" s="7"/>
      <c r="J86" s="7"/>
      <c r="K86" s="7"/>
    </row>
    <row r="87" spans="1:11" ht="12.75">
      <c r="A87" s="7"/>
      <c r="B87" s="11"/>
      <c r="C87" s="7"/>
      <c r="D87" s="24"/>
      <c r="E87" s="7"/>
      <c r="F87" s="7"/>
      <c r="G87" s="7"/>
      <c r="H87" s="7"/>
      <c r="I87" s="7"/>
      <c r="J87" s="7"/>
      <c r="K87" s="7"/>
    </row>
    <row r="88" spans="1:11" ht="12.75">
      <c r="A88" s="7"/>
      <c r="B88" s="11"/>
      <c r="C88" s="7"/>
      <c r="D88" s="24"/>
      <c r="E88" s="7"/>
      <c r="F88" s="7"/>
      <c r="G88" s="7"/>
      <c r="H88" s="7"/>
      <c r="I88" s="7"/>
      <c r="J88" s="7"/>
      <c r="K88" s="7"/>
    </row>
    <row r="89" spans="1:11" ht="24">
      <c r="A89" s="7"/>
      <c r="B89" s="96" t="s">
        <v>89</v>
      </c>
      <c r="C89" s="7"/>
      <c r="D89" s="18"/>
      <c r="E89" s="18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18"/>
      <c r="E90" s="18"/>
      <c r="F90" s="7"/>
      <c r="G90" s="7"/>
      <c r="H90" s="7"/>
      <c r="I90" s="7"/>
      <c r="J90" s="7"/>
      <c r="K90" s="7"/>
    </row>
    <row r="91" spans="1:11" ht="12.75">
      <c r="A91" s="7"/>
      <c r="B91" s="11" t="s">
        <v>178</v>
      </c>
      <c r="C91" s="18"/>
      <c r="D91" s="18"/>
      <c r="E91" s="18"/>
      <c r="F91" s="7"/>
      <c r="G91" s="21" t="s">
        <v>125</v>
      </c>
      <c r="H91" s="18"/>
      <c r="I91" s="7"/>
      <c r="J91" s="7"/>
      <c r="K91" s="7"/>
    </row>
    <row r="92" spans="1:11" ht="12.75">
      <c r="A92" s="7"/>
      <c r="B92" s="11" t="s">
        <v>179</v>
      </c>
      <c r="C92" s="18"/>
      <c r="D92" s="18"/>
      <c r="E92" s="18"/>
      <c r="F92" s="7"/>
      <c r="G92" s="11" t="s">
        <v>84</v>
      </c>
      <c r="H92" s="18"/>
      <c r="I92" s="7"/>
      <c r="J92" s="7"/>
      <c r="K92" s="7"/>
    </row>
    <row r="93" spans="1:11" ht="12.75">
      <c r="A93" s="7"/>
      <c r="B93" s="12" t="s">
        <v>95</v>
      </c>
      <c r="C93" s="7"/>
      <c r="D93" s="18">
        <f>+D66</f>
        <v>33.2</v>
      </c>
      <c r="E93" s="18"/>
      <c r="F93" s="7"/>
      <c r="G93" s="11" t="s">
        <v>75</v>
      </c>
      <c r="H93" s="7"/>
      <c r="I93" s="7"/>
      <c r="J93" s="18">
        <v>1.3</v>
      </c>
      <c r="K93" s="7"/>
    </row>
    <row r="94" spans="1:11" ht="12.75">
      <c r="A94" s="7"/>
      <c r="B94" s="12"/>
      <c r="C94" s="7"/>
      <c r="D94" s="18"/>
      <c r="E94" s="18"/>
      <c r="F94" s="7"/>
      <c r="G94" s="18" t="s">
        <v>74</v>
      </c>
      <c r="H94" s="7"/>
      <c r="I94" s="7"/>
      <c r="J94" s="18">
        <v>33.2</v>
      </c>
      <c r="K94" s="7"/>
    </row>
    <row r="95" spans="1:11" ht="12.75">
      <c r="A95" s="7"/>
      <c r="B95" s="21" t="s">
        <v>93</v>
      </c>
      <c r="C95" s="7"/>
      <c r="D95" s="23">
        <f>+D100+D105</f>
        <v>814.1643532022249</v>
      </c>
      <c r="E95" s="7"/>
      <c r="F95" s="7"/>
      <c r="G95" s="11" t="s">
        <v>76</v>
      </c>
      <c r="H95" s="7"/>
      <c r="I95" s="7"/>
      <c r="J95" s="18">
        <f>+J93*J94</f>
        <v>43.160000000000004</v>
      </c>
      <c r="K95" s="7"/>
    </row>
    <row r="96" spans="1:11" ht="12.75">
      <c r="A96" s="7"/>
      <c r="B96" s="11" t="s">
        <v>140</v>
      </c>
      <c r="C96" s="7"/>
      <c r="D96" s="31"/>
      <c r="E96" s="7"/>
      <c r="F96" s="7"/>
      <c r="G96" s="11" t="s">
        <v>77</v>
      </c>
      <c r="H96" s="7"/>
      <c r="I96" s="7"/>
      <c r="J96" s="18">
        <v>0.75</v>
      </c>
      <c r="K96" s="7"/>
    </row>
    <row r="97" spans="1:11" ht="12.75">
      <c r="A97" s="7"/>
      <c r="B97" s="11" t="s">
        <v>181</v>
      </c>
      <c r="C97" s="7"/>
      <c r="D97" s="24">
        <f>+I284*D93</f>
        <v>5478.000000000001</v>
      </c>
      <c r="E97" s="18"/>
      <c r="F97" s="7"/>
      <c r="G97" s="11" t="s">
        <v>78</v>
      </c>
      <c r="H97" s="7"/>
      <c r="I97" s="7"/>
      <c r="J97" s="28">
        <f>+J95/J96/12</f>
        <v>4.7955555555555565</v>
      </c>
      <c r="K97" s="7"/>
    </row>
    <row r="98" spans="1:11" ht="12.75">
      <c r="A98" s="7"/>
      <c r="B98" s="11" t="s">
        <v>182</v>
      </c>
      <c r="C98" s="7"/>
      <c r="D98" s="24">
        <f>+I282*D93</f>
        <v>4776.561169320931</v>
      </c>
      <c r="E98" s="18"/>
      <c r="F98" s="7"/>
      <c r="G98" s="18" t="s">
        <v>73</v>
      </c>
      <c r="H98" s="7"/>
      <c r="I98" s="7"/>
      <c r="J98" s="41">
        <f>2.5*30</f>
        <v>75</v>
      </c>
      <c r="K98" s="7"/>
    </row>
    <row r="99" spans="1:11" ht="12.75">
      <c r="A99" s="7"/>
      <c r="B99" s="11" t="s">
        <v>185</v>
      </c>
      <c r="C99" s="7"/>
      <c r="D99" s="32">
        <f>+$D$30</f>
        <v>616.1989219212894</v>
      </c>
      <c r="E99" s="18"/>
      <c r="F99" s="7"/>
      <c r="G99" s="11" t="s">
        <v>83</v>
      </c>
      <c r="H99" s="7"/>
      <c r="I99" s="7"/>
      <c r="J99" s="42">
        <f>+(J106-J102)/J98</f>
        <v>2.6666666666666665</v>
      </c>
      <c r="K99" s="7"/>
    </row>
    <row r="100" spans="1:11" ht="12.75">
      <c r="A100" s="7"/>
      <c r="B100" s="11" t="s">
        <v>184</v>
      </c>
      <c r="C100" s="7"/>
      <c r="D100" s="24">
        <f>+D97-D99-D98</f>
        <v>85.23990875778054</v>
      </c>
      <c r="E100" s="18"/>
      <c r="F100" s="7"/>
      <c r="K100" s="7"/>
    </row>
    <row r="101" spans="1:11" ht="12.75">
      <c r="A101" s="7"/>
      <c r="E101" s="18"/>
      <c r="F101" s="7"/>
      <c r="G101" s="11" t="s">
        <v>81</v>
      </c>
      <c r="H101" s="7"/>
      <c r="I101" s="7"/>
      <c r="J101" s="33">
        <v>7</v>
      </c>
      <c r="K101" s="7"/>
    </row>
    <row r="102" spans="1:11" ht="12.75">
      <c r="A102" s="7"/>
      <c r="B102" s="11" t="s">
        <v>143</v>
      </c>
      <c r="C102" s="7"/>
      <c r="D102" s="24"/>
      <c r="E102" s="18"/>
      <c r="F102" s="7"/>
      <c r="G102" s="18" t="s">
        <v>69</v>
      </c>
      <c r="H102" s="7"/>
      <c r="I102" s="7"/>
      <c r="J102" s="34">
        <v>700</v>
      </c>
      <c r="K102" s="7"/>
    </row>
    <row r="103" spans="1:11" ht="12.75">
      <c r="A103" s="7"/>
      <c r="B103" s="11" t="s">
        <v>141</v>
      </c>
      <c r="C103" s="7"/>
      <c r="D103" s="24">
        <f>+J108</f>
        <v>3884.400000000001</v>
      </c>
      <c r="E103" s="18"/>
      <c r="F103" s="7"/>
      <c r="G103" s="11" t="s">
        <v>70</v>
      </c>
      <c r="H103" s="7"/>
      <c r="I103" s="7"/>
      <c r="J103" s="90">
        <v>0.93</v>
      </c>
      <c r="K103" s="7"/>
    </row>
    <row r="104" spans="1:11" ht="12.75">
      <c r="A104" s="7"/>
      <c r="B104" s="11" t="s">
        <v>142</v>
      </c>
      <c r="C104" s="7"/>
      <c r="D104" s="32">
        <f>+J104</f>
        <v>3155.4755555555566</v>
      </c>
      <c r="E104" s="18"/>
      <c r="F104" s="7"/>
      <c r="G104" s="11" t="s">
        <v>79</v>
      </c>
      <c r="H104" s="7"/>
      <c r="I104" s="7"/>
      <c r="J104" s="39">
        <f>+($J$97*J101)+($J$97*J102*J103)</f>
        <v>3155.4755555555566</v>
      </c>
      <c r="K104" s="7"/>
    </row>
    <row r="105" spans="1:11" ht="12.75">
      <c r="A105" s="7"/>
      <c r="B105" s="11" t="s">
        <v>186</v>
      </c>
      <c r="C105" s="7"/>
      <c r="D105" s="24">
        <f>+D103-D104</f>
        <v>728.9244444444444</v>
      </c>
      <c r="E105" s="18"/>
      <c r="F105" s="7"/>
      <c r="K105" s="7"/>
    </row>
    <row r="106" spans="1:11" ht="12.75">
      <c r="A106" s="7"/>
      <c r="B106" s="36" t="s">
        <v>180</v>
      </c>
      <c r="C106" s="7"/>
      <c r="D106" s="24"/>
      <c r="E106" s="18"/>
      <c r="F106" s="7"/>
      <c r="G106" s="11" t="s">
        <v>71</v>
      </c>
      <c r="H106" s="7"/>
      <c r="I106" s="7"/>
      <c r="J106" s="37">
        <v>900</v>
      </c>
      <c r="K106" s="7"/>
    </row>
    <row r="107" spans="1:11" ht="12.75">
      <c r="A107" s="7"/>
      <c r="C107" s="18"/>
      <c r="D107" s="18"/>
      <c r="E107" s="18"/>
      <c r="F107" s="7"/>
      <c r="G107" s="11" t="s">
        <v>72</v>
      </c>
      <c r="H107" s="7"/>
      <c r="I107" s="7"/>
      <c r="J107" s="91">
        <v>0.9</v>
      </c>
      <c r="K107" s="7"/>
    </row>
    <row r="108" spans="1:11" ht="12.75">
      <c r="A108" s="7"/>
      <c r="B108" s="7"/>
      <c r="C108" s="7"/>
      <c r="D108" s="18"/>
      <c r="E108" s="18"/>
      <c r="F108" s="7"/>
      <c r="G108" s="11" t="s">
        <v>80</v>
      </c>
      <c r="H108" s="7"/>
      <c r="I108" s="7"/>
      <c r="J108" s="39">
        <f>+($J$97*J106*J107)</f>
        <v>3884.400000000001</v>
      </c>
      <c r="K108" s="7"/>
    </row>
    <row r="109" spans="1:11" ht="12.75">
      <c r="A109" s="7"/>
      <c r="B109" s="11"/>
      <c r="C109" s="7"/>
      <c r="D109" s="24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11"/>
      <c r="C110" s="7"/>
      <c r="D110" s="24"/>
      <c r="E110" s="7"/>
      <c r="F110" s="7"/>
      <c r="G110" s="7"/>
      <c r="H110" s="7"/>
      <c r="I110" s="7"/>
      <c r="J110" s="7"/>
      <c r="K110" s="7"/>
    </row>
    <row r="111" spans="1:11" ht="24">
      <c r="A111" s="7"/>
      <c r="B111" s="84" t="s">
        <v>91</v>
      </c>
      <c r="C111" s="18"/>
      <c r="D111" s="18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18"/>
      <c r="C112" s="18"/>
      <c r="D112" s="18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11" t="s">
        <v>167</v>
      </c>
      <c r="C113" s="18"/>
      <c r="D113" s="18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11" t="s">
        <v>168</v>
      </c>
      <c r="C114" s="18"/>
      <c r="D114" s="18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12" t="s">
        <v>95</v>
      </c>
      <c r="C115" s="7"/>
      <c r="D115" s="18">
        <f>+D66</f>
        <v>33.2</v>
      </c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12"/>
      <c r="C116" s="7"/>
      <c r="D116" s="18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11" t="s">
        <v>93</v>
      </c>
      <c r="C117" s="7"/>
      <c r="D117" s="43">
        <f>+D118-D120-D119</f>
        <v>-369.4156467977755</v>
      </c>
      <c r="E117" s="7"/>
      <c r="F117" s="21" t="s">
        <v>172</v>
      </c>
      <c r="G117" s="7"/>
      <c r="H117" s="7"/>
      <c r="I117" s="7"/>
      <c r="J117" s="7"/>
      <c r="K117" s="7"/>
    </row>
    <row r="118" spans="1:11" ht="12.75">
      <c r="A118" s="7"/>
      <c r="B118" s="11" t="s">
        <v>188</v>
      </c>
      <c r="C118" s="7"/>
      <c r="D118" s="15">
        <f>+C141</f>
        <v>9561.6</v>
      </c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11" t="s">
        <v>187</v>
      </c>
      <c r="C119" s="7"/>
      <c r="D119" s="15">
        <f>+C137</f>
        <v>9314.816724876486</v>
      </c>
      <c r="E119" s="7"/>
      <c r="F119" s="21" t="s">
        <v>119</v>
      </c>
      <c r="G119" s="7"/>
      <c r="H119" s="18"/>
      <c r="I119" s="18"/>
      <c r="J119" s="7"/>
      <c r="K119" s="7"/>
    </row>
    <row r="120" spans="1:11" ht="12.75">
      <c r="A120" s="7"/>
      <c r="B120" s="11" t="s">
        <v>176</v>
      </c>
      <c r="C120" s="7"/>
      <c r="D120" s="24">
        <f>+$D$30</f>
        <v>616.1989219212894</v>
      </c>
      <c r="E120" s="7"/>
      <c r="F120" s="44" t="s">
        <v>170</v>
      </c>
      <c r="G120" s="24"/>
      <c r="H120" s="25" t="s">
        <v>115</v>
      </c>
      <c r="I120" s="18"/>
      <c r="J120" s="7"/>
      <c r="K120" s="7"/>
    </row>
    <row r="121" spans="1:11" ht="13.5" thickBot="1">
      <c r="A121" s="7"/>
      <c r="E121" s="7"/>
      <c r="F121" s="26" t="s">
        <v>169</v>
      </c>
      <c r="G121" s="33">
        <v>0.7</v>
      </c>
      <c r="H121" s="35" t="s">
        <v>164</v>
      </c>
      <c r="I121" s="33">
        <v>1.2</v>
      </c>
      <c r="J121" s="7"/>
      <c r="K121" s="7"/>
    </row>
    <row r="122" spans="1:11" ht="13.5" thickBot="1">
      <c r="A122" s="7"/>
      <c r="B122" s="16" t="s">
        <v>126</v>
      </c>
      <c r="C122" s="18"/>
      <c r="D122" s="18"/>
      <c r="E122" s="7"/>
      <c r="F122" s="45">
        <v>200</v>
      </c>
      <c r="G122" s="29">
        <f>5784-$D$119-$D$120</f>
        <v>-4147.015646797775</v>
      </c>
      <c r="H122" s="29">
        <f>7438-$D$119-$D$120</f>
        <v>-2493.015646797775</v>
      </c>
      <c r="I122" s="29">
        <f>9916-$D$119-$D$120</f>
        <v>-15.015646797775162</v>
      </c>
      <c r="J122" s="7"/>
      <c r="K122" s="7"/>
    </row>
    <row r="123" spans="1:11" ht="13.5" thickBot="1">
      <c r="A123" s="7"/>
      <c r="B123" s="11" t="s">
        <v>82</v>
      </c>
      <c r="C123" s="18"/>
      <c r="D123" s="18"/>
      <c r="E123" s="7"/>
      <c r="F123" s="45">
        <v>300</v>
      </c>
      <c r="G123" s="29">
        <f>6610-$D$119-$D$120</f>
        <v>-3321.015646797775</v>
      </c>
      <c r="H123" s="29">
        <f>8499-$D$119-$D$120</f>
        <v>-1432.0156467977752</v>
      </c>
      <c r="I123" s="29">
        <f>11332-$D$119-$D$120</f>
        <v>1400.9843532022248</v>
      </c>
      <c r="J123" s="7"/>
      <c r="K123" s="7"/>
    </row>
    <row r="124" spans="1:11" ht="13.5" thickBot="1">
      <c r="A124" s="7"/>
      <c r="B124" s="18" t="s">
        <v>74</v>
      </c>
      <c r="C124" s="18">
        <v>33.2</v>
      </c>
      <c r="D124" s="18"/>
      <c r="E124" s="7"/>
      <c r="F124" s="34" t="s">
        <v>144</v>
      </c>
      <c r="G124" s="29">
        <f>7437-$D$119-$D$120</f>
        <v>-2494.015646797775</v>
      </c>
      <c r="H124" s="29">
        <f>9562-$D$119-$D$120</f>
        <v>-369.01564679777516</v>
      </c>
      <c r="I124" s="29">
        <f>12749-$D$119-$D$120</f>
        <v>2817.984353202225</v>
      </c>
      <c r="J124" s="7"/>
      <c r="K124" s="7"/>
    </row>
    <row r="125" spans="1:11" ht="13.5" thickBot="1">
      <c r="A125" s="7"/>
      <c r="B125" s="11" t="s">
        <v>75</v>
      </c>
      <c r="C125" s="18">
        <v>3.2</v>
      </c>
      <c r="D125" s="18"/>
      <c r="E125" s="7"/>
      <c r="F125" s="45">
        <v>500</v>
      </c>
      <c r="G125" s="29">
        <f>8263-$D$119-$D$120</f>
        <v>-1668.0156467977752</v>
      </c>
      <c r="H125" s="29">
        <f>10624-$D$119-$D$120</f>
        <v>692.9843532022248</v>
      </c>
      <c r="I125" s="29">
        <f>14165-$D$119-$D$120</f>
        <v>4233.984353202225</v>
      </c>
      <c r="J125" s="7"/>
      <c r="K125" s="7"/>
    </row>
    <row r="126" spans="1:11" ht="12.75">
      <c r="A126" s="7"/>
      <c r="B126" s="11" t="s">
        <v>76</v>
      </c>
      <c r="C126" s="18">
        <f>+C125*C124</f>
        <v>106.24000000000001</v>
      </c>
      <c r="D126" s="18"/>
      <c r="E126" s="7"/>
      <c r="F126" s="45">
        <v>600</v>
      </c>
      <c r="G126" s="29">
        <f>9089-$D$119-$D$120</f>
        <v>-842.0156467977752</v>
      </c>
      <c r="H126" s="29">
        <f>11686-$D$119-$D$120</f>
        <v>1754.9843532022248</v>
      </c>
      <c r="I126" s="29">
        <f>15582-$D$119-$D$120</f>
        <v>5650.984353202225</v>
      </c>
      <c r="J126" s="7"/>
      <c r="K126" s="7"/>
    </row>
    <row r="127" spans="1:11" ht="12.75">
      <c r="A127" s="7"/>
      <c r="B127" s="11" t="s">
        <v>77</v>
      </c>
      <c r="C127" s="18">
        <v>0.75</v>
      </c>
      <c r="D127" s="18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11" t="s">
        <v>78</v>
      </c>
      <c r="C128" s="28">
        <f>+C126/C127/12</f>
        <v>11.804444444444444</v>
      </c>
      <c r="D128" s="18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18" t="s">
        <v>73</v>
      </c>
      <c r="C129" s="41">
        <f>5*30</f>
        <v>150</v>
      </c>
      <c r="D129" s="18"/>
      <c r="E129" s="7"/>
      <c r="F129" s="16" t="s">
        <v>171</v>
      </c>
      <c r="G129" s="7"/>
      <c r="H129" s="7"/>
      <c r="I129" s="7"/>
      <c r="J129" s="7"/>
      <c r="K129" s="7"/>
    </row>
    <row r="130" spans="1:11" ht="12.75">
      <c r="A130" s="7"/>
      <c r="B130" s="11" t="s">
        <v>190</v>
      </c>
      <c r="C130" s="98">
        <f>+C139-C134</f>
        <v>400</v>
      </c>
      <c r="D130" s="18"/>
      <c r="E130" s="7"/>
      <c r="F130" s="44" t="s">
        <v>170</v>
      </c>
      <c r="G130" s="24"/>
      <c r="H130" s="25" t="s">
        <v>115</v>
      </c>
      <c r="I130" s="18"/>
      <c r="J130" s="7"/>
      <c r="K130" s="7"/>
    </row>
    <row r="131" spans="1:11" ht="13.5" thickBot="1">
      <c r="A131" s="7"/>
      <c r="B131" s="11" t="s">
        <v>83</v>
      </c>
      <c r="C131" s="42">
        <f>+(C139-C134)/C129</f>
        <v>2.6666666666666665</v>
      </c>
      <c r="D131" s="18"/>
      <c r="E131" s="7"/>
      <c r="F131" s="26" t="s">
        <v>169</v>
      </c>
      <c r="G131" s="33">
        <v>0.7</v>
      </c>
      <c r="H131" s="33">
        <v>0.9</v>
      </c>
      <c r="I131" s="33">
        <v>1.2</v>
      </c>
      <c r="J131" s="7"/>
      <c r="K131" s="7"/>
    </row>
    <row r="132" spans="1:11" ht="13.5" thickBot="1">
      <c r="A132" s="7"/>
      <c r="D132" s="18"/>
      <c r="E132" s="7"/>
      <c r="F132" s="45">
        <v>200</v>
      </c>
      <c r="G132" s="46">
        <f aca="true" t="shared" si="0" ref="G132:I136">+G122/$C$126</f>
        <v>-39.03440932603327</v>
      </c>
      <c r="H132" s="46">
        <f t="shared" si="0"/>
        <v>-23.46588522964773</v>
      </c>
      <c r="I132" s="46">
        <f t="shared" si="0"/>
        <v>-0.14133703687664873</v>
      </c>
      <c r="J132" s="7"/>
      <c r="K132" s="7"/>
    </row>
    <row r="133" spans="1:11" ht="13.5" thickBot="1">
      <c r="A133" s="7"/>
      <c r="B133" s="11" t="s">
        <v>81</v>
      </c>
      <c r="C133" s="33">
        <v>10</v>
      </c>
      <c r="D133" s="18"/>
      <c r="E133" s="7"/>
      <c r="F133" s="45">
        <v>300</v>
      </c>
      <c r="G133" s="46">
        <f t="shared" si="0"/>
        <v>-31.259559928442908</v>
      </c>
      <c r="H133" s="46">
        <f t="shared" si="0"/>
        <v>-13.479062940491106</v>
      </c>
      <c r="I133" s="46">
        <f t="shared" si="0"/>
        <v>13.186976216135399</v>
      </c>
      <c r="J133" s="7"/>
      <c r="K133" s="7"/>
    </row>
    <row r="134" spans="1:11" ht="13.5" thickBot="1">
      <c r="A134" s="7"/>
      <c r="B134" s="18" t="s">
        <v>69</v>
      </c>
      <c r="C134" s="34">
        <v>500</v>
      </c>
      <c r="D134" s="18"/>
      <c r="E134" s="7"/>
      <c r="F134" s="45">
        <v>400</v>
      </c>
      <c r="G134" s="46">
        <f t="shared" si="0"/>
        <v>-23.47529788025014</v>
      </c>
      <c r="H134" s="46">
        <f t="shared" si="0"/>
        <v>-3.4734153501296605</v>
      </c>
      <c r="I134" s="46">
        <f t="shared" si="0"/>
        <v>26.524702119749858</v>
      </c>
      <c r="J134" s="7"/>
      <c r="K134" s="7"/>
    </row>
    <row r="135" spans="1:11" ht="13.5" thickBot="1">
      <c r="A135" s="7"/>
      <c r="B135" s="11" t="s">
        <v>70</v>
      </c>
      <c r="C135" s="35">
        <v>0.95</v>
      </c>
      <c r="D135" s="18"/>
      <c r="E135" s="7"/>
      <c r="F135" s="45">
        <v>500</v>
      </c>
      <c r="G135" s="46">
        <f t="shared" si="0"/>
        <v>-15.70044848265978</v>
      </c>
      <c r="H135" s="46">
        <f t="shared" si="0"/>
        <v>6.522819589629375</v>
      </c>
      <c r="I135" s="46">
        <f t="shared" si="0"/>
        <v>39.8530153727619</v>
      </c>
      <c r="J135" s="7"/>
      <c r="K135" s="7"/>
    </row>
    <row r="136" spans="1:11" ht="13.5" thickBot="1">
      <c r="A136" s="7"/>
      <c r="B136" s="11" t="s">
        <v>98</v>
      </c>
      <c r="C136" s="39">
        <f>+I309*D115</f>
        <v>3589.6611693209306</v>
      </c>
      <c r="D136" s="18"/>
      <c r="E136" s="7"/>
      <c r="F136" s="18">
        <v>600</v>
      </c>
      <c r="G136" s="46">
        <f t="shared" si="0"/>
        <v>-7.925599085069419</v>
      </c>
      <c r="H136" s="46">
        <f t="shared" si="0"/>
        <v>16.51905452938841</v>
      </c>
      <c r="I136" s="46">
        <f t="shared" si="0"/>
        <v>53.19074127637636</v>
      </c>
      <c r="J136" s="7"/>
      <c r="K136" s="7"/>
    </row>
    <row r="137" spans="1:11" ht="12.75">
      <c r="A137" s="7"/>
      <c r="B137" s="11" t="s">
        <v>79</v>
      </c>
      <c r="C137" s="39">
        <f>+($C$128*C133)+($C$128*C134*C135)+C136</f>
        <v>9314.816724876486</v>
      </c>
      <c r="D137" s="18"/>
      <c r="E137" s="7"/>
      <c r="J137" s="7"/>
      <c r="K137" s="7"/>
    </row>
    <row r="138" spans="1:11" ht="12.75">
      <c r="A138" s="7"/>
      <c r="B138" s="11"/>
      <c r="C138" s="35"/>
      <c r="D138" s="18"/>
      <c r="E138" s="7"/>
      <c r="J138" s="7"/>
      <c r="K138" s="7"/>
    </row>
    <row r="139" spans="1:11" ht="12.75">
      <c r="A139" s="7"/>
      <c r="B139" s="11" t="s">
        <v>71</v>
      </c>
      <c r="C139" s="37">
        <v>900</v>
      </c>
      <c r="D139" s="18"/>
      <c r="E139" s="7"/>
      <c r="K139" s="7"/>
    </row>
    <row r="140" spans="1:11" ht="12.75">
      <c r="A140" s="7"/>
      <c r="B140" s="11" t="s">
        <v>189</v>
      </c>
      <c r="C140" s="38">
        <v>0.9</v>
      </c>
      <c r="D140" s="18"/>
      <c r="E140" s="47"/>
      <c r="J140" s="7"/>
      <c r="K140" s="7"/>
    </row>
    <row r="141" spans="1:11" ht="12.75">
      <c r="A141" s="7"/>
      <c r="B141" s="11" t="s">
        <v>188</v>
      </c>
      <c r="C141" s="39">
        <f>+($C$128*C139*C140)</f>
        <v>9561.6</v>
      </c>
      <c r="D141" s="18"/>
      <c r="E141" s="7"/>
      <c r="J141" s="7"/>
      <c r="K141" s="7"/>
    </row>
    <row r="142" spans="1:11" ht="12.75">
      <c r="A142" s="7"/>
      <c r="B142" s="36" t="s">
        <v>180</v>
      </c>
      <c r="C142" s="27"/>
      <c r="D142" s="18"/>
      <c r="E142" s="7"/>
      <c r="J142" s="7"/>
      <c r="K142" s="7"/>
    </row>
    <row r="143" spans="1:11" ht="12.75">
      <c r="A143" s="7"/>
      <c r="D143" s="18"/>
      <c r="E143" s="7"/>
      <c r="J143" s="7"/>
      <c r="K143" s="7"/>
    </row>
    <row r="144" spans="1:11" ht="12.75">
      <c r="A144" s="7"/>
      <c r="D144" s="18"/>
      <c r="E144" s="7"/>
      <c r="J144" s="7"/>
      <c r="K144" s="7"/>
    </row>
    <row r="145" spans="1:11" ht="12.75">
      <c r="A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11"/>
      <c r="C147" s="7"/>
      <c r="D147" s="24"/>
      <c r="E147" s="7"/>
      <c r="F147" s="7"/>
      <c r="G147" s="7"/>
      <c r="H147" s="7"/>
      <c r="I147" s="7"/>
      <c r="J147" s="7"/>
      <c r="K147" s="7"/>
    </row>
    <row r="148" spans="1:11" ht="24">
      <c r="A148" s="7"/>
      <c r="B148" s="84" t="s">
        <v>127</v>
      </c>
      <c r="C148" s="7"/>
      <c r="D148" s="7"/>
      <c r="E148" s="7"/>
      <c r="F148" s="7"/>
      <c r="G148" s="7"/>
      <c r="H148" s="7"/>
      <c r="I148" s="7"/>
      <c r="J148" s="7"/>
      <c r="K148" s="7"/>
    </row>
    <row r="149" spans="1:11" s="92" customFormat="1" ht="12.75">
      <c r="A149" s="7"/>
      <c r="B149" s="11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11" t="s">
        <v>128</v>
      </c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12" t="s">
        <v>95</v>
      </c>
      <c r="C151" s="7"/>
      <c r="D151" s="18">
        <f>+D66</f>
        <v>33.2</v>
      </c>
      <c r="E151" s="7"/>
      <c r="F151" s="7"/>
      <c r="G151" s="7"/>
      <c r="H151" s="7"/>
      <c r="I151" s="7"/>
      <c r="J151" s="7"/>
      <c r="K151" s="7"/>
    </row>
    <row r="152" spans="1:11" ht="12.75">
      <c r="A152" s="7"/>
      <c r="C152" s="7"/>
      <c r="D152" s="7"/>
      <c r="E152" s="19"/>
      <c r="F152" s="7"/>
      <c r="H152" s="7"/>
      <c r="I152" s="7"/>
      <c r="J152" s="7"/>
      <c r="K152" s="7"/>
    </row>
    <row r="153" spans="1:11" ht="12.75">
      <c r="A153" s="7"/>
      <c r="B153" s="12"/>
      <c r="C153" s="7"/>
      <c r="D153" s="20" t="s">
        <v>105</v>
      </c>
      <c r="E153" s="19" t="s">
        <v>193</v>
      </c>
      <c r="F153" s="7"/>
      <c r="H153" s="7"/>
      <c r="I153" s="7"/>
      <c r="J153" s="7"/>
      <c r="K153" s="7"/>
    </row>
    <row r="154" spans="1:11" ht="12.75">
      <c r="A154" s="7"/>
      <c r="B154" s="12"/>
      <c r="C154" s="7"/>
      <c r="D154" s="22" t="s">
        <v>106</v>
      </c>
      <c r="E154" s="22" t="s">
        <v>191</v>
      </c>
      <c r="F154" s="22" t="s">
        <v>132</v>
      </c>
      <c r="H154" s="7"/>
      <c r="I154" s="7"/>
      <c r="J154" s="7"/>
      <c r="K154" s="7"/>
    </row>
    <row r="155" spans="1:11" ht="12.75">
      <c r="A155" s="7"/>
      <c r="B155" s="11" t="s">
        <v>145</v>
      </c>
      <c r="C155" s="7"/>
      <c r="D155" s="18">
        <v>2.6</v>
      </c>
      <c r="E155" s="15">
        <f>20*D155</f>
        <v>52</v>
      </c>
      <c r="F155" s="27">
        <f>+E155*$D$151</f>
        <v>1726.4</v>
      </c>
      <c r="H155" s="7"/>
      <c r="I155" s="7"/>
      <c r="J155" s="7"/>
      <c r="K155" s="7"/>
    </row>
    <row r="156" spans="1:11" ht="12.75">
      <c r="A156" s="7"/>
      <c r="B156" s="11" t="s">
        <v>146</v>
      </c>
      <c r="C156" s="7"/>
      <c r="D156" s="18"/>
      <c r="E156" s="18"/>
      <c r="F156" s="27">
        <f>+$D$151*I309</f>
        <v>3589.6611693209306</v>
      </c>
      <c r="H156" s="7"/>
      <c r="I156" s="7"/>
      <c r="J156" s="7"/>
      <c r="K156" s="7"/>
    </row>
    <row r="157" spans="1:11" ht="12.75">
      <c r="A157" s="7"/>
      <c r="B157" s="11" t="s">
        <v>176</v>
      </c>
      <c r="C157" s="7"/>
      <c r="D157" s="18"/>
      <c r="E157" s="18"/>
      <c r="F157" s="24">
        <f>+$D$30</f>
        <v>616.1989219212894</v>
      </c>
      <c r="H157" s="7"/>
      <c r="I157" s="7"/>
      <c r="J157" s="7"/>
      <c r="K157" s="7"/>
    </row>
    <row r="158" spans="1:11" ht="12.75">
      <c r="A158" s="7"/>
      <c r="B158" s="12" t="s">
        <v>93</v>
      </c>
      <c r="C158" s="7"/>
      <c r="D158" s="18"/>
      <c r="E158" s="18"/>
      <c r="F158" s="48">
        <f>+F155-F156-F157</f>
        <v>-2479.46009124222</v>
      </c>
      <c r="H158" s="7"/>
      <c r="I158" s="7"/>
      <c r="J158" s="7"/>
      <c r="K158" s="7"/>
    </row>
    <row r="159" spans="1:11" ht="12.75">
      <c r="A159" s="7"/>
      <c r="B159" s="36" t="s">
        <v>180</v>
      </c>
      <c r="C159" s="7"/>
      <c r="D159" s="7"/>
      <c r="E159" s="18"/>
      <c r="F159" s="18"/>
      <c r="G159" s="40"/>
      <c r="H159" s="7"/>
      <c r="I159" s="7"/>
      <c r="J159" s="7"/>
      <c r="K159" s="7"/>
    </row>
    <row r="160" spans="1:11" ht="12.75">
      <c r="A160" s="7"/>
      <c r="B160" s="12"/>
      <c r="C160" s="7"/>
      <c r="D160" s="7"/>
      <c r="E160" s="18"/>
      <c r="F160" s="18"/>
      <c r="G160" s="27"/>
      <c r="H160" s="7"/>
      <c r="I160" s="7"/>
      <c r="J160" s="7"/>
      <c r="K160" s="7"/>
    </row>
    <row r="161" spans="1:11" ht="12.75">
      <c r="A161" s="7"/>
      <c r="B161" s="16" t="s">
        <v>131</v>
      </c>
      <c r="C161" s="11" t="s">
        <v>119</v>
      </c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16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44" t="s">
        <v>130</v>
      </c>
      <c r="C163" s="24"/>
      <c r="D163" s="94" t="s">
        <v>129</v>
      </c>
      <c r="E163" s="18"/>
      <c r="F163" s="7"/>
      <c r="G163" s="7"/>
      <c r="H163" s="7"/>
      <c r="I163" s="7"/>
      <c r="J163" s="7"/>
      <c r="K163" s="7"/>
    </row>
    <row r="164" spans="1:11" ht="13.5" thickBot="1">
      <c r="A164" s="7"/>
      <c r="B164" s="26" t="s">
        <v>106</v>
      </c>
      <c r="C164" s="15">
        <v>10</v>
      </c>
      <c r="D164" s="15">
        <v>20</v>
      </c>
      <c r="E164" s="15">
        <v>30</v>
      </c>
      <c r="F164" s="15">
        <v>40</v>
      </c>
      <c r="H164" s="7"/>
      <c r="I164" s="7"/>
      <c r="J164" s="7"/>
      <c r="K164" s="7"/>
    </row>
    <row r="165" spans="1:11" ht="13.5" thickBot="1">
      <c r="A165" s="7"/>
      <c r="B165" s="28">
        <v>1.5</v>
      </c>
      <c r="C165" s="46">
        <f>$C$164*$B165*$D$151-$F$156-$F$157</f>
        <v>-3707.86009124222</v>
      </c>
      <c r="D165" s="46">
        <f>$D$164*$B165*$D$151-$F$156-$F$157</f>
        <v>-3209.86009124222</v>
      </c>
      <c r="E165" s="46">
        <f>$E$164*$B165*$D$151-$F$156-$F$157</f>
        <v>-2711.86009124222</v>
      </c>
      <c r="F165" s="46">
        <f>$F$164*$B165*$D$151-$F$156-$F$157</f>
        <v>-2213.86009124222</v>
      </c>
      <c r="H165" s="7"/>
      <c r="I165" s="7"/>
      <c r="J165" s="7"/>
      <c r="K165" s="7"/>
    </row>
    <row r="166" spans="1:16" ht="13.5" thickBot="1">
      <c r="A166" s="7"/>
      <c r="B166" s="28">
        <v>2</v>
      </c>
      <c r="C166" s="46">
        <f>$C$164*$B166*$D$151-$F$156-$F$157</f>
        <v>-3541.86009124222</v>
      </c>
      <c r="D166" s="46">
        <f>$D$164*$B166*$D$151-$F$156-$F$157</f>
        <v>-2877.86009124222</v>
      </c>
      <c r="E166" s="46">
        <f>$E$164*$B166*$D$151-$F$156-$F$157</f>
        <v>-2213.86009124222</v>
      </c>
      <c r="F166" s="46">
        <f>$F$164*$B166*$D$151-$F$156-$F$157</f>
        <v>-1549.86009124222</v>
      </c>
      <c r="H166" s="7"/>
      <c r="I166" s="7"/>
      <c r="J166" s="7"/>
      <c r="K166" s="7"/>
      <c r="L166" s="93"/>
      <c r="M166" s="93"/>
      <c r="N166" s="93"/>
      <c r="O166" s="93"/>
      <c r="P166" s="93"/>
    </row>
    <row r="167" spans="1:16" ht="13.5" thickBot="1">
      <c r="A167" s="7"/>
      <c r="B167" s="30">
        <v>2.6</v>
      </c>
      <c r="C167" s="46">
        <f>$C$164*$B167*$D$151-$F$156-$F$157</f>
        <v>-3342.66009124222</v>
      </c>
      <c r="D167" s="46">
        <f>$D$164*$B167*$D$151-$F$156-$F$157</f>
        <v>-2479.46009124222</v>
      </c>
      <c r="E167" s="46">
        <f>$E$164*$B167*$D$151-$F$156-$F$157</f>
        <v>-1616.2600912422197</v>
      </c>
      <c r="F167" s="46">
        <f>$F$164*$B167*$D$151-$F$156-$F$157</f>
        <v>-753.0600912422199</v>
      </c>
      <c r="H167" s="7"/>
      <c r="I167" s="7"/>
      <c r="J167" s="7"/>
      <c r="K167" s="7"/>
      <c r="L167" s="93"/>
      <c r="M167" s="14"/>
      <c r="N167" s="14"/>
      <c r="O167" s="14"/>
      <c r="P167" s="93"/>
    </row>
    <row r="168" spans="1:16" ht="13.5" thickBot="1">
      <c r="A168" s="7"/>
      <c r="B168" s="28">
        <v>3</v>
      </c>
      <c r="C168" s="46">
        <f>$C$164*$B168*$D$151-$F$156-$F$157</f>
        <v>-3209.86009124222</v>
      </c>
      <c r="D168" s="46">
        <f>$D$164*$B168*$D$151-$F$156-$F$157</f>
        <v>-2213.86009124222</v>
      </c>
      <c r="E168" s="46">
        <f>$E$164*$B168*$D$151-$F$156-$F$157</f>
        <v>-1217.8600912422196</v>
      </c>
      <c r="F168" s="46">
        <f>$F$164*$B168*$D$151-$F$156-$F$157</f>
        <v>-221.8600912422196</v>
      </c>
      <c r="H168" s="7"/>
      <c r="I168" s="7"/>
      <c r="J168" s="7"/>
      <c r="K168" s="7"/>
      <c r="L168" s="93"/>
      <c r="M168" s="93"/>
      <c r="N168" s="93"/>
      <c r="O168" s="93"/>
      <c r="P168" s="93"/>
    </row>
    <row r="169" spans="1:11" ht="13.5" thickBot="1">
      <c r="A169" s="7"/>
      <c r="B169" s="28">
        <v>3.5</v>
      </c>
      <c r="C169" s="46">
        <f>$C$164*$B169*$D$151-$F$156-$F$157</f>
        <v>-3043.86009124222</v>
      </c>
      <c r="D169" s="46">
        <f>$D$164*$B169*$D$151-$F$156-$F$157</f>
        <v>-1881.86009124222</v>
      </c>
      <c r="E169" s="46">
        <f>$E$164*$B169*$D$151-$F$156-$F$157</f>
        <v>-719.8600912422196</v>
      </c>
      <c r="F169" s="46">
        <f>$F$164*$B169*$D$151-$F$156-$F$157</f>
        <v>442.13990875777995</v>
      </c>
      <c r="H169" s="7"/>
      <c r="I169" s="7"/>
      <c r="J169" s="7"/>
      <c r="K169" s="7"/>
    </row>
    <row r="170" spans="1:11" ht="12.75">
      <c r="A170" s="7"/>
      <c r="B170" s="7"/>
      <c r="H170" s="7"/>
      <c r="I170" s="7"/>
      <c r="J170" s="7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4" ht="12.75">
      <c r="B174" s="1"/>
    </row>
    <row r="175" ht="15">
      <c r="B175" s="6"/>
    </row>
    <row r="176" spans="1:14" ht="13.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5" ht="15.75" thickTop="1">
      <c r="A177" s="1"/>
      <c r="B177" s="49" t="s">
        <v>86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1"/>
      <c r="O177" s="7"/>
    </row>
    <row r="178" spans="1:15" ht="12.75">
      <c r="A178" s="1"/>
      <c r="B178" s="52" t="s">
        <v>54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4"/>
      <c r="O178" s="7"/>
    </row>
    <row r="179" spans="1:15" ht="12.75">
      <c r="A179" s="1"/>
      <c r="B179" s="55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4"/>
      <c r="O179" s="7"/>
    </row>
    <row r="180" spans="1:15" ht="12.75">
      <c r="A180" s="1"/>
      <c r="B180" s="55" t="s">
        <v>107</v>
      </c>
      <c r="C180" s="53"/>
      <c r="D180" s="56" t="s">
        <v>0</v>
      </c>
      <c r="E180" s="56" t="s">
        <v>1</v>
      </c>
      <c r="F180" s="56" t="s">
        <v>108</v>
      </c>
      <c r="G180" s="56"/>
      <c r="H180" s="56"/>
      <c r="I180" s="56" t="s">
        <v>2</v>
      </c>
      <c r="J180" s="53"/>
      <c r="K180" s="53"/>
      <c r="L180" s="57"/>
      <c r="M180" s="53"/>
      <c r="N180" s="54"/>
      <c r="O180" s="7"/>
    </row>
    <row r="181" spans="1:15" ht="12.75">
      <c r="A181" s="1"/>
      <c r="B181" s="58" t="s">
        <v>45</v>
      </c>
      <c r="C181" s="53"/>
      <c r="D181" s="59">
        <v>110</v>
      </c>
      <c r="E181" s="60" t="s">
        <v>3</v>
      </c>
      <c r="F181" s="61">
        <v>2.5</v>
      </c>
      <c r="G181" s="53"/>
      <c r="H181" s="53"/>
      <c r="I181" s="31">
        <f>+D181*F181</f>
        <v>275</v>
      </c>
      <c r="J181" s="53"/>
      <c r="K181" s="53"/>
      <c r="L181" s="53"/>
      <c r="M181" s="53"/>
      <c r="N181" s="54"/>
      <c r="O181" s="7"/>
    </row>
    <row r="182" spans="1:15" ht="12.75">
      <c r="A182" s="1"/>
      <c r="B182" s="55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4"/>
      <c r="O182" s="7"/>
    </row>
    <row r="183" spans="1:15" ht="12.75">
      <c r="A183" s="1"/>
      <c r="B183" s="55"/>
      <c r="C183" s="60" t="s">
        <v>109</v>
      </c>
      <c r="D183" s="60" t="s">
        <v>4</v>
      </c>
      <c r="E183" s="60" t="s">
        <v>5</v>
      </c>
      <c r="F183" s="60"/>
      <c r="G183" s="60"/>
      <c r="H183" s="60"/>
      <c r="I183" s="60" t="s">
        <v>6</v>
      </c>
      <c r="J183" s="62" t="s">
        <v>94</v>
      </c>
      <c r="K183" s="53"/>
      <c r="L183" s="53"/>
      <c r="M183" s="53"/>
      <c r="N183" s="54"/>
      <c r="O183" s="7"/>
    </row>
    <row r="184" spans="1:15" ht="12.75">
      <c r="A184" s="1"/>
      <c r="B184" s="63" t="s">
        <v>7</v>
      </c>
      <c r="C184" s="56" t="s">
        <v>8</v>
      </c>
      <c r="D184" s="56" t="s">
        <v>9</v>
      </c>
      <c r="E184" s="56" t="s">
        <v>9</v>
      </c>
      <c r="F184" s="56" t="s">
        <v>10</v>
      </c>
      <c r="G184" s="56" t="s">
        <v>11</v>
      </c>
      <c r="H184" s="56" t="s">
        <v>12</v>
      </c>
      <c r="I184" s="56" t="s">
        <v>13</v>
      </c>
      <c r="J184" s="56" t="s">
        <v>53</v>
      </c>
      <c r="K184" s="56"/>
      <c r="L184" s="64" t="s">
        <v>14</v>
      </c>
      <c r="M184" s="53"/>
      <c r="N184" s="54"/>
      <c r="O184" s="7"/>
    </row>
    <row r="185" spans="1:15" ht="12.75">
      <c r="A185" s="1"/>
      <c r="B185" s="55" t="s">
        <v>15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4"/>
      <c r="O185" s="7"/>
    </row>
    <row r="186" spans="1:15" ht="12.75">
      <c r="A186" s="1"/>
      <c r="B186" s="55" t="s">
        <v>16</v>
      </c>
      <c r="C186" s="57" t="s">
        <v>50</v>
      </c>
      <c r="D186" s="65">
        <v>2.22</v>
      </c>
      <c r="E186" s="65">
        <v>2.1</v>
      </c>
      <c r="F186" s="65">
        <v>1.04</v>
      </c>
      <c r="G186" s="53"/>
      <c r="H186" s="53"/>
      <c r="I186" s="65">
        <f>SUM(D186:H186)</f>
        <v>5.36</v>
      </c>
      <c r="J186" s="66">
        <v>10</v>
      </c>
      <c r="K186" s="66"/>
      <c r="L186" s="53" t="s">
        <v>36</v>
      </c>
      <c r="M186" s="53"/>
      <c r="N186" s="54"/>
      <c r="O186" s="7"/>
    </row>
    <row r="187" spans="1:15" ht="12.75">
      <c r="A187" s="1"/>
      <c r="B187" s="55" t="s">
        <v>17</v>
      </c>
      <c r="C187" s="57" t="s">
        <v>50</v>
      </c>
      <c r="D187" s="65">
        <v>0.75</v>
      </c>
      <c r="E187" s="65">
        <v>1.22</v>
      </c>
      <c r="F187" s="65">
        <v>0.83</v>
      </c>
      <c r="G187" s="53"/>
      <c r="H187" s="53"/>
      <c r="I187" s="65">
        <f aca="true" t="shared" si="1" ref="I187:I204">SUM(D187:H187)</f>
        <v>2.8</v>
      </c>
      <c r="J187" s="66">
        <v>4</v>
      </c>
      <c r="K187" s="66"/>
      <c r="L187" s="53" t="s">
        <v>37</v>
      </c>
      <c r="M187" s="53"/>
      <c r="N187" s="54"/>
      <c r="O187" s="7"/>
    </row>
    <row r="188" spans="1:15" ht="12.75">
      <c r="A188" s="1"/>
      <c r="B188" s="55" t="s">
        <v>38</v>
      </c>
      <c r="C188" s="57" t="s">
        <v>50</v>
      </c>
      <c r="D188" s="65">
        <v>4.26</v>
      </c>
      <c r="E188" s="65">
        <v>3.7</v>
      </c>
      <c r="F188" s="65">
        <v>1.63</v>
      </c>
      <c r="G188" s="53"/>
      <c r="H188" s="65">
        <v>4</v>
      </c>
      <c r="I188" s="65">
        <f t="shared" si="1"/>
        <v>13.59</v>
      </c>
      <c r="J188" s="66">
        <f>+$F$181*2000/80*0.4*0.6</f>
        <v>15</v>
      </c>
      <c r="K188" s="66"/>
      <c r="L188" s="53" t="s">
        <v>39</v>
      </c>
      <c r="M188" s="53"/>
      <c r="N188" s="54"/>
      <c r="O188" s="7"/>
    </row>
    <row r="189" spans="1:15" ht="12.75">
      <c r="A189" s="1"/>
      <c r="B189" s="55" t="s">
        <v>18</v>
      </c>
      <c r="C189" s="57" t="s">
        <v>50</v>
      </c>
      <c r="D189" s="53" t="s">
        <v>19</v>
      </c>
      <c r="E189" s="53" t="s">
        <v>19</v>
      </c>
      <c r="F189" s="53" t="s">
        <v>19</v>
      </c>
      <c r="G189" s="65">
        <v>6</v>
      </c>
      <c r="H189" s="53"/>
      <c r="I189" s="65">
        <f t="shared" si="1"/>
        <v>6</v>
      </c>
      <c r="J189" s="66">
        <f>+$F$181*2000/80*0.33*0.6</f>
        <v>12.375</v>
      </c>
      <c r="K189" s="66"/>
      <c r="L189" s="53" t="s">
        <v>20</v>
      </c>
      <c r="M189" s="53"/>
      <c r="N189" s="54"/>
      <c r="O189" s="7"/>
    </row>
    <row r="190" spans="1:15" ht="12.75">
      <c r="A190" s="1"/>
      <c r="B190" s="55" t="s">
        <v>35</v>
      </c>
      <c r="C190" s="57" t="s">
        <v>50</v>
      </c>
      <c r="D190" s="53" t="s">
        <v>19</v>
      </c>
      <c r="E190" s="53" t="s">
        <v>19</v>
      </c>
      <c r="F190" s="53" t="s">
        <v>19</v>
      </c>
      <c r="G190" s="65">
        <v>8</v>
      </c>
      <c r="H190" s="53" t="s">
        <v>19</v>
      </c>
      <c r="I190" s="65">
        <f t="shared" si="1"/>
        <v>8</v>
      </c>
      <c r="J190" s="66">
        <v>8</v>
      </c>
      <c r="K190" s="66"/>
      <c r="L190" s="53" t="s">
        <v>40</v>
      </c>
      <c r="M190" s="53"/>
      <c r="N190" s="54"/>
      <c r="O190" s="7"/>
    </row>
    <row r="191" spans="1:15" ht="12.75">
      <c r="A191" s="1"/>
      <c r="B191" s="55" t="s">
        <v>16</v>
      </c>
      <c r="C191" s="57" t="s">
        <v>51</v>
      </c>
      <c r="D191" s="65">
        <v>2.22</v>
      </c>
      <c r="E191" s="65">
        <v>2.1</v>
      </c>
      <c r="F191" s="65">
        <v>1.04</v>
      </c>
      <c r="G191" s="53"/>
      <c r="H191" s="53"/>
      <c r="I191" s="65">
        <f t="shared" si="1"/>
        <v>5.36</v>
      </c>
      <c r="J191" s="66">
        <v>10</v>
      </c>
      <c r="K191" s="66"/>
      <c r="L191" s="53" t="s">
        <v>36</v>
      </c>
      <c r="M191" s="53"/>
      <c r="N191" s="54"/>
      <c r="O191" s="7"/>
    </row>
    <row r="192" spans="1:15" ht="12.75">
      <c r="A192" s="1"/>
      <c r="B192" s="55" t="s">
        <v>17</v>
      </c>
      <c r="C192" s="57" t="s">
        <v>51</v>
      </c>
      <c r="D192" s="65">
        <v>0.75</v>
      </c>
      <c r="E192" s="65">
        <v>1.22</v>
      </c>
      <c r="F192" s="65">
        <v>0.83</v>
      </c>
      <c r="G192" s="53"/>
      <c r="H192" s="53"/>
      <c r="I192" s="65">
        <f t="shared" si="1"/>
        <v>2.8</v>
      </c>
      <c r="J192" s="66">
        <v>4</v>
      </c>
      <c r="K192" s="66"/>
      <c r="L192" s="53" t="s">
        <v>37</v>
      </c>
      <c r="M192" s="53"/>
      <c r="N192" s="54"/>
      <c r="O192" s="7"/>
    </row>
    <row r="193" spans="1:15" ht="12.75">
      <c r="A193" s="1"/>
      <c r="B193" s="55" t="s">
        <v>38</v>
      </c>
      <c r="C193" s="57" t="s">
        <v>51</v>
      </c>
      <c r="D193" s="65">
        <v>4.26</v>
      </c>
      <c r="E193" s="65">
        <v>3.7</v>
      </c>
      <c r="F193" s="65">
        <v>1.63</v>
      </c>
      <c r="G193" s="53"/>
      <c r="H193" s="65">
        <v>4</v>
      </c>
      <c r="I193" s="65">
        <f t="shared" si="1"/>
        <v>13.59</v>
      </c>
      <c r="J193" s="66">
        <f>+$F$181*2000/80*0.4*0.4</f>
        <v>10</v>
      </c>
      <c r="K193" s="66"/>
      <c r="L193" s="53" t="s">
        <v>39</v>
      </c>
      <c r="M193" s="53"/>
      <c r="N193" s="54"/>
      <c r="O193" s="7"/>
    </row>
    <row r="194" spans="1:15" ht="12.75">
      <c r="A194" s="1"/>
      <c r="B194" s="55" t="s">
        <v>18</v>
      </c>
      <c r="C194" s="57" t="s">
        <v>51</v>
      </c>
      <c r="D194" s="53" t="s">
        <v>19</v>
      </c>
      <c r="E194" s="53" t="s">
        <v>19</v>
      </c>
      <c r="F194" s="53" t="s">
        <v>19</v>
      </c>
      <c r="G194" s="65">
        <v>6</v>
      </c>
      <c r="H194" s="53"/>
      <c r="I194" s="65">
        <f t="shared" si="1"/>
        <v>6</v>
      </c>
      <c r="J194" s="66">
        <f>+$F$181*2000/80*0.4*0.33</f>
        <v>8.25</v>
      </c>
      <c r="K194" s="66"/>
      <c r="L194" s="53" t="s">
        <v>20</v>
      </c>
      <c r="M194" s="53"/>
      <c r="N194" s="54"/>
      <c r="O194" s="7"/>
    </row>
    <row r="195" spans="1:15" ht="12.75">
      <c r="A195" s="1"/>
      <c r="B195" s="55" t="s">
        <v>35</v>
      </c>
      <c r="C195" s="57" t="s">
        <v>52</v>
      </c>
      <c r="D195" s="53" t="s">
        <v>19</v>
      </c>
      <c r="E195" s="53" t="s">
        <v>19</v>
      </c>
      <c r="F195" s="53" t="s">
        <v>19</v>
      </c>
      <c r="G195" s="65">
        <v>7.5</v>
      </c>
      <c r="H195" s="53" t="s">
        <v>19</v>
      </c>
      <c r="I195" s="65">
        <f t="shared" si="1"/>
        <v>7.5</v>
      </c>
      <c r="J195" s="66">
        <v>8</v>
      </c>
      <c r="K195" s="66"/>
      <c r="L195" s="53" t="s">
        <v>40</v>
      </c>
      <c r="M195" s="53"/>
      <c r="N195" s="54"/>
      <c r="O195" s="7"/>
    </row>
    <row r="196" spans="1:15" ht="12.75">
      <c r="A196" s="1"/>
      <c r="B196" s="63" t="s">
        <v>21</v>
      </c>
      <c r="C196" s="53"/>
      <c r="D196" s="53"/>
      <c r="E196" s="53"/>
      <c r="F196" s="53"/>
      <c r="G196" s="53"/>
      <c r="H196" s="53"/>
      <c r="I196" s="65"/>
      <c r="J196" s="66"/>
      <c r="K196" s="66"/>
      <c r="L196" s="53"/>
      <c r="M196" s="53"/>
      <c r="N196" s="54"/>
      <c r="O196" s="7"/>
    </row>
    <row r="197" spans="1:15" ht="12.75">
      <c r="A197" s="1"/>
      <c r="B197" s="55" t="s">
        <v>22</v>
      </c>
      <c r="C197" s="53" t="s">
        <v>23</v>
      </c>
      <c r="D197" s="53"/>
      <c r="E197" s="53"/>
      <c r="F197" s="53"/>
      <c r="G197" s="65">
        <f>PMT(0.09,20,+I247)</f>
        <v>8.472324377136449</v>
      </c>
      <c r="H197" s="53"/>
      <c r="I197" s="65">
        <f t="shared" si="1"/>
        <v>8.472324377136449</v>
      </c>
      <c r="J197" s="66">
        <f>+I197</f>
        <v>8.472324377136449</v>
      </c>
      <c r="K197" s="66"/>
      <c r="L197" s="53"/>
      <c r="M197" s="53"/>
      <c r="N197" s="54"/>
      <c r="O197" s="7"/>
    </row>
    <row r="198" spans="1:15" ht="12.75">
      <c r="A198" s="1"/>
      <c r="B198" s="55" t="s">
        <v>41</v>
      </c>
      <c r="C198" s="53" t="s">
        <v>23</v>
      </c>
      <c r="D198" s="65">
        <v>37.04</v>
      </c>
      <c r="E198" s="65">
        <v>23.39</v>
      </c>
      <c r="F198" s="65">
        <v>8.47</v>
      </c>
      <c r="G198" s="53"/>
      <c r="H198" s="65">
        <v>20</v>
      </c>
      <c r="I198" s="65">
        <f t="shared" si="1"/>
        <v>88.9</v>
      </c>
      <c r="J198" s="66">
        <f>+I198</f>
        <v>88.9</v>
      </c>
      <c r="K198" s="66"/>
      <c r="L198" s="53" t="s">
        <v>42</v>
      </c>
      <c r="M198" s="53"/>
      <c r="N198" s="54"/>
      <c r="O198" s="7"/>
    </row>
    <row r="199" spans="1:15" ht="12.75">
      <c r="A199" s="1"/>
      <c r="B199" s="55" t="s">
        <v>43</v>
      </c>
      <c r="C199" s="53" t="s">
        <v>23</v>
      </c>
      <c r="D199" s="53"/>
      <c r="E199" s="53"/>
      <c r="F199" s="53"/>
      <c r="G199" s="65">
        <v>5</v>
      </c>
      <c r="H199" s="53"/>
      <c r="I199" s="65">
        <f t="shared" si="1"/>
        <v>5</v>
      </c>
      <c r="J199" s="66">
        <f aca="true" t="shared" si="2" ref="J199:J204">+I199</f>
        <v>5</v>
      </c>
      <c r="K199" s="66"/>
      <c r="L199" s="53" t="s">
        <v>44</v>
      </c>
      <c r="M199" s="53"/>
      <c r="N199" s="54"/>
      <c r="O199" s="7"/>
    </row>
    <row r="200" spans="1:15" ht="12.75">
      <c r="A200" s="1"/>
      <c r="B200" s="55" t="s">
        <v>24</v>
      </c>
      <c r="C200" s="53" t="s">
        <v>23</v>
      </c>
      <c r="D200" s="53"/>
      <c r="E200" s="53"/>
      <c r="F200" s="53"/>
      <c r="G200" s="65">
        <v>3</v>
      </c>
      <c r="H200" s="53"/>
      <c r="I200" s="65">
        <f t="shared" si="1"/>
        <v>3</v>
      </c>
      <c r="J200" s="66">
        <f t="shared" si="2"/>
        <v>3</v>
      </c>
      <c r="K200" s="66"/>
      <c r="L200" s="53" t="s">
        <v>25</v>
      </c>
      <c r="M200" s="53"/>
      <c r="N200" s="54"/>
      <c r="O200" s="7"/>
    </row>
    <row r="201" spans="1:15" ht="12.75">
      <c r="A201" s="1"/>
      <c r="B201" s="55" t="s">
        <v>26</v>
      </c>
      <c r="C201" s="53" t="s">
        <v>23</v>
      </c>
      <c r="D201" s="53"/>
      <c r="E201" s="53"/>
      <c r="F201" s="53"/>
      <c r="G201" s="65">
        <v>0</v>
      </c>
      <c r="H201" s="53"/>
      <c r="I201" s="65">
        <f t="shared" si="1"/>
        <v>0</v>
      </c>
      <c r="J201" s="66">
        <f t="shared" si="2"/>
        <v>0</v>
      </c>
      <c r="K201" s="66"/>
      <c r="L201" s="53" t="s">
        <v>27</v>
      </c>
      <c r="M201" s="53"/>
      <c r="N201" s="54"/>
      <c r="O201" s="7"/>
    </row>
    <row r="202" spans="1:15" ht="12.75">
      <c r="A202" s="1"/>
      <c r="B202" s="55" t="s">
        <v>28</v>
      </c>
      <c r="C202" s="53" t="s">
        <v>23</v>
      </c>
      <c r="D202" s="53"/>
      <c r="E202" s="53"/>
      <c r="F202" s="53"/>
      <c r="G202" s="65">
        <v>2.75</v>
      </c>
      <c r="H202" s="53"/>
      <c r="I202" s="65">
        <f t="shared" si="1"/>
        <v>2.75</v>
      </c>
      <c r="J202" s="66">
        <f t="shared" si="2"/>
        <v>2.75</v>
      </c>
      <c r="K202" s="66"/>
      <c r="L202" s="53" t="s">
        <v>29</v>
      </c>
      <c r="M202" s="53"/>
      <c r="N202" s="54"/>
      <c r="O202" s="7"/>
    </row>
    <row r="203" spans="1:15" ht="12.75">
      <c r="A203" s="1"/>
      <c r="B203" s="55" t="s">
        <v>30</v>
      </c>
      <c r="C203" s="53" t="s">
        <v>23</v>
      </c>
      <c r="D203" s="53"/>
      <c r="E203" s="53"/>
      <c r="F203" s="53"/>
      <c r="G203" s="65">
        <v>0</v>
      </c>
      <c r="H203" s="53"/>
      <c r="I203" s="65">
        <f t="shared" si="1"/>
        <v>0</v>
      </c>
      <c r="J203" s="66">
        <f t="shared" si="2"/>
        <v>0</v>
      </c>
      <c r="K203" s="66"/>
      <c r="L203" s="53" t="s">
        <v>31</v>
      </c>
      <c r="M203" s="53"/>
      <c r="N203" s="54"/>
      <c r="O203" s="7"/>
    </row>
    <row r="204" spans="1:15" ht="12.75">
      <c r="A204" s="1"/>
      <c r="B204" s="55" t="s">
        <v>32</v>
      </c>
      <c r="C204" s="53" t="s">
        <v>23</v>
      </c>
      <c r="D204" s="53"/>
      <c r="E204" s="53"/>
      <c r="F204" s="53"/>
      <c r="G204" s="65">
        <v>0</v>
      </c>
      <c r="H204" s="53"/>
      <c r="I204" s="65">
        <f t="shared" si="1"/>
        <v>0</v>
      </c>
      <c r="J204" s="66">
        <f t="shared" si="2"/>
        <v>0</v>
      </c>
      <c r="K204" s="66"/>
      <c r="L204" s="53" t="s">
        <v>33</v>
      </c>
      <c r="M204" s="53"/>
      <c r="N204" s="54"/>
      <c r="O204" s="7"/>
    </row>
    <row r="205" spans="1:15" ht="12.75">
      <c r="A205" s="1"/>
      <c r="B205" s="55"/>
      <c r="C205" s="53"/>
      <c r="D205" s="53"/>
      <c r="E205" s="53"/>
      <c r="F205" s="53"/>
      <c r="G205" s="53"/>
      <c r="H205" s="53"/>
      <c r="I205" s="53"/>
      <c r="J205" s="66"/>
      <c r="K205" s="66"/>
      <c r="L205" s="53"/>
      <c r="M205" s="53"/>
      <c r="N205" s="54"/>
      <c r="O205" s="7"/>
    </row>
    <row r="206" spans="1:15" ht="12.75">
      <c r="A206" s="1"/>
      <c r="B206" s="55" t="s">
        <v>34</v>
      </c>
      <c r="C206" s="53"/>
      <c r="D206" s="65">
        <f aca="true" t="shared" si="3" ref="D206:J206">SUM(D185:D205)</f>
        <v>51.5</v>
      </c>
      <c r="E206" s="65">
        <f t="shared" si="3"/>
        <v>37.43000000000001</v>
      </c>
      <c r="F206" s="65">
        <f t="shared" si="3"/>
        <v>15.47</v>
      </c>
      <c r="G206" s="65">
        <f t="shared" si="3"/>
        <v>46.722324377136445</v>
      </c>
      <c r="H206" s="65">
        <f t="shared" si="3"/>
        <v>28</v>
      </c>
      <c r="I206" s="65">
        <f t="shared" si="3"/>
        <v>179.12232437713647</v>
      </c>
      <c r="J206" s="65">
        <f t="shared" si="3"/>
        <v>197.74732437713647</v>
      </c>
      <c r="K206" s="65"/>
      <c r="L206" s="53"/>
      <c r="M206" s="53"/>
      <c r="N206" s="54"/>
      <c r="O206" s="7"/>
    </row>
    <row r="207" spans="1:15" ht="12.75">
      <c r="A207" s="1"/>
      <c r="B207" s="55"/>
      <c r="C207" s="53"/>
      <c r="D207" s="53"/>
      <c r="E207" s="53"/>
      <c r="F207" s="53"/>
      <c r="G207" s="53"/>
      <c r="H207" s="53"/>
      <c r="I207" s="53"/>
      <c r="J207" s="66"/>
      <c r="K207" s="66"/>
      <c r="L207" s="53"/>
      <c r="M207" s="53"/>
      <c r="N207" s="54"/>
      <c r="O207" s="7"/>
    </row>
    <row r="208" spans="1:15" ht="12.75">
      <c r="A208" s="1"/>
      <c r="B208" s="55" t="s">
        <v>110</v>
      </c>
      <c r="C208" s="53"/>
      <c r="D208" s="53"/>
      <c r="E208" s="53"/>
      <c r="F208" s="53"/>
      <c r="G208" s="53"/>
      <c r="H208" s="53"/>
      <c r="I208" s="65">
        <f>+I181</f>
        <v>275</v>
      </c>
      <c r="J208" s="66">
        <f>+I181</f>
        <v>275</v>
      </c>
      <c r="K208" s="66"/>
      <c r="L208" s="53"/>
      <c r="M208" s="53"/>
      <c r="N208" s="54"/>
      <c r="O208" s="7"/>
    </row>
    <row r="209" spans="1:15" ht="12.75">
      <c r="A209" s="1"/>
      <c r="B209" s="55"/>
      <c r="C209" s="53"/>
      <c r="D209" s="53"/>
      <c r="E209" s="53"/>
      <c r="F209" s="53"/>
      <c r="G209" s="53"/>
      <c r="H209" s="53"/>
      <c r="I209" s="53"/>
      <c r="J209" s="66"/>
      <c r="K209" s="66"/>
      <c r="L209" s="53"/>
      <c r="M209" s="53"/>
      <c r="N209" s="54"/>
      <c r="O209" s="7"/>
    </row>
    <row r="210" spans="1:15" ht="12.75">
      <c r="A210" s="1"/>
      <c r="B210" s="58" t="s">
        <v>96</v>
      </c>
      <c r="C210" s="53"/>
      <c r="D210" s="53"/>
      <c r="E210" s="53"/>
      <c r="F210" s="53"/>
      <c r="G210" s="53"/>
      <c r="H210" s="53"/>
      <c r="I210" s="67">
        <f>+I208-I206</f>
        <v>95.87767562286353</v>
      </c>
      <c r="J210" s="65">
        <f>+J208-J206</f>
        <v>77.25267562286353</v>
      </c>
      <c r="K210" s="65"/>
      <c r="L210" s="53"/>
      <c r="M210" s="53"/>
      <c r="N210" s="54"/>
      <c r="O210" s="7"/>
    </row>
    <row r="211" spans="1:15" ht="12.75">
      <c r="A211" s="1"/>
      <c r="B211" s="55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4"/>
      <c r="O211" s="7"/>
    </row>
    <row r="212" spans="1:15" ht="12.75">
      <c r="A212" s="1"/>
      <c r="B212" s="68" t="s">
        <v>47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4"/>
      <c r="O212" s="7"/>
    </row>
    <row r="213" spans="1:15" ht="12.75">
      <c r="A213" s="1"/>
      <c r="B213" s="58" t="s">
        <v>46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4"/>
      <c r="O213" s="7"/>
    </row>
    <row r="214" spans="1:15" ht="12.75">
      <c r="A214" s="1"/>
      <c r="B214" s="58" t="s">
        <v>48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4"/>
      <c r="O214" s="7"/>
    </row>
    <row r="215" spans="1:15" ht="12.75">
      <c r="A215" s="1"/>
      <c r="B215" s="58" t="s">
        <v>49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4"/>
      <c r="O215" s="7"/>
    </row>
    <row r="216" spans="1:15" ht="12.75">
      <c r="A216" s="1"/>
      <c r="B216" s="58" t="s">
        <v>87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4"/>
      <c r="O216" s="7"/>
    </row>
    <row r="217" spans="1:15" ht="13.5" thickBot="1">
      <c r="A217" s="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1"/>
      <c r="O217" s="7"/>
    </row>
    <row r="218" spans="1:15" ht="13.5" thickTop="1">
      <c r="A218" s="1"/>
      <c r="B218" s="11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7"/>
    </row>
    <row r="219" spans="2:15" ht="13.5" thickBo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ht="15.75" thickTop="1">
      <c r="B220" s="49" t="s">
        <v>66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1"/>
      <c r="O220" s="7"/>
    </row>
    <row r="221" spans="2:15" ht="12.75">
      <c r="B221" s="52" t="s">
        <v>54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4"/>
      <c r="O221" s="7"/>
    </row>
    <row r="222" spans="2:15" ht="12.75"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4"/>
      <c r="O222" s="7"/>
    </row>
    <row r="223" spans="2:15" ht="12.75">
      <c r="B223" s="72" t="s">
        <v>107</v>
      </c>
      <c r="C223" s="56"/>
      <c r="D223" s="56" t="s">
        <v>0</v>
      </c>
      <c r="E223" s="56" t="s">
        <v>1</v>
      </c>
      <c r="F223" s="56" t="s">
        <v>108</v>
      </c>
      <c r="G223" s="56"/>
      <c r="H223" s="56"/>
      <c r="I223" s="56" t="s">
        <v>2</v>
      </c>
      <c r="J223" s="53"/>
      <c r="K223" s="53"/>
      <c r="L223" s="57"/>
      <c r="M223" s="53"/>
      <c r="N223" s="54"/>
      <c r="O223" s="7"/>
    </row>
    <row r="224" spans="2:15" ht="12.75">
      <c r="B224" s="55" t="s">
        <v>55</v>
      </c>
      <c r="C224" s="53"/>
      <c r="D224" s="65">
        <v>0</v>
      </c>
      <c r="E224" s="60" t="s">
        <v>67</v>
      </c>
      <c r="F224" s="53">
        <v>0</v>
      </c>
      <c r="G224" s="53"/>
      <c r="H224" s="53"/>
      <c r="I224" s="31">
        <v>0</v>
      </c>
      <c r="J224" s="53"/>
      <c r="K224" s="53"/>
      <c r="L224" s="53"/>
      <c r="M224" s="53"/>
      <c r="N224" s="54"/>
      <c r="O224" s="7"/>
    </row>
    <row r="225" spans="2:15" ht="12.75">
      <c r="B225" s="55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4"/>
      <c r="O225" s="7"/>
    </row>
    <row r="226" spans="2:15" ht="12.75">
      <c r="B226" s="55"/>
      <c r="C226" s="60" t="s">
        <v>109</v>
      </c>
      <c r="D226" s="60" t="s">
        <v>4</v>
      </c>
      <c r="E226" s="60" t="s">
        <v>5</v>
      </c>
      <c r="F226" s="60"/>
      <c r="G226" s="60"/>
      <c r="H226" s="60"/>
      <c r="I226" s="60" t="s">
        <v>6</v>
      </c>
      <c r="J226" s="53"/>
      <c r="K226" s="53"/>
      <c r="L226" s="53"/>
      <c r="M226" s="53"/>
      <c r="N226" s="54"/>
      <c r="O226" s="7"/>
    </row>
    <row r="227" spans="2:15" ht="12.75">
      <c r="B227" s="72" t="s">
        <v>7</v>
      </c>
      <c r="C227" s="56" t="s">
        <v>8</v>
      </c>
      <c r="D227" s="56" t="s">
        <v>9</v>
      </c>
      <c r="E227" s="56" t="s">
        <v>9</v>
      </c>
      <c r="F227" s="56" t="s">
        <v>10</v>
      </c>
      <c r="G227" s="56" t="s">
        <v>11</v>
      </c>
      <c r="H227" s="56" t="s">
        <v>12</v>
      </c>
      <c r="I227" s="56" t="s">
        <v>13</v>
      </c>
      <c r="J227" s="53"/>
      <c r="K227" s="53"/>
      <c r="L227" s="64" t="s">
        <v>14</v>
      </c>
      <c r="M227" s="53"/>
      <c r="N227" s="54"/>
      <c r="O227" s="7"/>
    </row>
    <row r="228" spans="2:15" ht="12.75">
      <c r="B228" s="55" t="s">
        <v>56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4"/>
      <c r="O228" s="7"/>
    </row>
    <row r="229" spans="2:15" ht="12.75">
      <c r="B229" s="55" t="s">
        <v>57</v>
      </c>
      <c r="C229" s="57">
        <v>34820</v>
      </c>
      <c r="D229" s="65">
        <v>3.68</v>
      </c>
      <c r="E229" s="65">
        <v>4.88</v>
      </c>
      <c r="F229" s="65">
        <v>2.1</v>
      </c>
      <c r="G229" s="53" t="s">
        <v>19</v>
      </c>
      <c r="H229" s="53"/>
      <c r="I229" s="65">
        <v>10.66</v>
      </c>
      <c r="J229" s="53"/>
      <c r="K229" s="53"/>
      <c r="L229" s="53" t="s">
        <v>58</v>
      </c>
      <c r="M229" s="53"/>
      <c r="N229" s="54"/>
      <c r="O229" s="7"/>
    </row>
    <row r="230" spans="2:15" ht="12.75">
      <c r="B230" s="55" t="s">
        <v>59</v>
      </c>
      <c r="C230" s="57">
        <v>34820</v>
      </c>
      <c r="D230" s="65">
        <v>3.84</v>
      </c>
      <c r="E230" s="65">
        <v>5.5</v>
      </c>
      <c r="F230" s="65">
        <v>1.76</v>
      </c>
      <c r="G230" s="53" t="s">
        <v>19</v>
      </c>
      <c r="H230" s="53"/>
      <c r="I230" s="65">
        <v>11.1</v>
      </c>
      <c r="J230" s="53"/>
      <c r="K230" s="53"/>
      <c r="L230" s="53" t="s">
        <v>60</v>
      </c>
      <c r="M230" s="53"/>
      <c r="N230" s="54"/>
      <c r="O230" s="7"/>
    </row>
    <row r="231" spans="2:15" ht="12.75">
      <c r="B231" s="55" t="s">
        <v>61</v>
      </c>
      <c r="C231" s="57">
        <v>34820</v>
      </c>
      <c r="D231" s="65">
        <v>1.32</v>
      </c>
      <c r="E231" s="65">
        <v>9.48</v>
      </c>
      <c r="F231" s="65">
        <v>1.06</v>
      </c>
      <c r="G231" s="53"/>
      <c r="H231" s="53"/>
      <c r="I231" s="65">
        <v>11.86</v>
      </c>
      <c r="J231" s="53"/>
      <c r="K231" s="53"/>
      <c r="L231" s="73" t="s">
        <v>163</v>
      </c>
      <c r="M231" s="53"/>
      <c r="N231" s="54"/>
      <c r="O231" s="7"/>
    </row>
    <row r="232" spans="2:15" ht="12.75">
      <c r="B232" s="55" t="s">
        <v>62</v>
      </c>
      <c r="C232" s="57">
        <v>34851</v>
      </c>
      <c r="D232" s="65">
        <v>3.68</v>
      </c>
      <c r="E232" s="65">
        <v>3.37</v>
      </c>
      <c r="F232" s="65">
        <v>1.37</v>
      </c>
      <c r="G232" s="53"/>
      <c r="H232" s="65">
        <v>21</v>
      </c>
      <c r="I232" s="65">
        <v>29.42</v>
      </c>
      <c r="J232" s="53"/>
      <c r="K232" s="53"/>
      <c r="L232" s="53" t="s">
        <v>63</v>
      </c>
      <c r="M232" s="53"/>
      <c r="N232" s="54"/>
      <c r="O232" s="7"/>
    </row>
    <row r="233" spans="2:15" ht="12.75">
      <c r="B233" s="55" t="s">
        <v>35</v>
      </c>
      <c r="C233" s="57">
        <v>34851</v>
      </c>
      <c r="D233" s="53"/>
      <c r="E233" s="53"/>
      <c r="F233" s="53"/>
      <c r="G233" s="53"/>
      <c r="H233" s="65">
        <v>11.3</v>
      </c>
      <c r="I233" s="65">
        <v>11.3</v>
      </c>
      <c r="J233" s="53"/>
      <c r="K233" s="53"/>
      <c r="L233" s="53" t="s">
        <v>64</v>
      </c>
      <c r="M233" s="53"/>
      <c r="N233" s="54"/>
      <c r="O233" s="7"/>
    </row>
    <row r="234" spans="2:15" ht="12.75">
      <c r="B234" s="55" t="s">
        <v>65</v>
      </c>
      <c r="C234" s="57">
        <v>34881</v>
      </c>
      <c r="D234" s="53"/>
      <c r="E234" s="53"/>
      <c r="F234" s="53"/>
      <c r="G234" s="53"/>
      <c r="H234" s="53"/>
      <c r="I234" s="65">
        <v>0</v>
      </c>
      <c r="J234" s="53"/>
      <c r="K234" s="53"/>
      <c r="L234" s="73" t="s">
        <v>162</v>
      </c>
      <c r="M234" s="53"/>
      <c r="N234" s="54"/>
      <c r="O234" s="7"/>
    </row>
    <row r="235" spans="2:15" ht="12.75">
      <c r="B235" s="55" t="s">
        <v>21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4"/>
      <c r="O235" s="7"/>
    </row>
    <row r="236" spans="2:15" ht="12.75">
      <c r="B236" s="55" t="s">
        <v>24</v>
      </c>
      <c r="C236" s="53" t="s">
        <v>23</v>
      </c>
      <c r="D236" s="53"/>
      <c r="E236" s="53"/>
      <c r="F236" s="53"/>
      <c r="G236" s="65">
        <v>3</v>
      </c>
      <c r="H236" s="53"/>
      <c r="I236" s="65">
        <v>3</v>
      </c>
      <c r="J236" s="53"/>
      <c r="K236" s="53"/>
      <c r="L236" s="53" t="s">
        <v>25</v>
      </c>
      <c r="M236" s="53"/>
      <c r="N236" s="54"/>
      <c r="O236" s="7"/>
    </row>
    <row r="237" spans="2:15" ht="12.75">
      <c r="B237" s="55" t="s">
        <v>26</v>
      </c>
      <c r="C237" s="53" t="s">
        <v>23</v>
      </c>
      <c r="D237" s="53"/>
      <c r="E237" s="53"/>
      <c r="F237" s="53"/>
      <c r="G237" s="65">
        <v>0</v>
      </c>
      <c r="H237" s="53"/>
      <c r="I237" s="65">
        <v>0</v>
      </c>
      <c r="J237" s="53"/>
      <c r="K237" s="53"/>
      <c r="L237" s="53" t="s">
        <v>27</v>
      </c>
      <c r="M237" s="53"/>
      <c r="N237" s="54"/>
      <c r="O237" s="7"/>
    </row>
    <row r="238" spans="2:15" ht="12.75">
      <c r="B238" s="55" t="s">
        <v>28</v>
      </c>
      <c r="C238" s="53" t="s">
        <v>23</v>
      </c>
      <c r="D238" s="53"/>
      <c r="E238" s="53"/>
      <c r="F238" s="53"/>
      <c r="G238" s="65">
        <v>0</v>
      </c>
      <c r="H238" s="53"/>
      <c r="I238" s="65">
        <v>0</v>
      </c>
      <c r="J238" s="53"/>
      <c r="K238" s="53"/>
      <c r="L238" s="53" t="s">
        <v>29</v>
      </c>
      <c r="M238" s="53"/>
      <c r="N238" s="54"/>
      <c r="O238" s="7"/>
    </row>
    <row r="239" spans="2:15" ht="12.75">
      <c r="B239" s="55" t="s">
        <v>30</v>
      </c>
      <c r="C239" s="53" t="s">
        <v>23</v>
      </c>
      <c r="D239" s="53"/>
      <c r="E239" s="53"/>
      <c r="F239" s="53"/>
      <c r="G239" s="65">
        <v>0</v>
      </c>
      <c r="H239" s="53"/>
      <c r="I239" s="65">
        <v>0</v>
      </c>
      <c r="J239" s="53"/>
      <c r="K239" s="53"/>
      <c r="L239" s="53" t="s">
        <v>31</v>
      </c>
      <c r="M239" s="53"/>
      <c r="N239" s="54"/>
      <c r="O239" s="7"/>
    </row>
    <row r="240" spans="2:15" ht="12.75">
      <c r="B240" s="55" t="s">
        <v>32</v>
      </c>
      <c r="C240" s="53" t="s">
        <v>23</v>
      </c>
      <c r="D240" s="53"/>
      <c r="E240" s="53"/>
      <c r="F240" s="53"/>
      <c r="G240" s="65">
        <v>0</v>
      </c>
      <c r="H240" s="53"/>
      <c r="I240" s="65">
        <v>0</v>
      </c>
      <c r="J240" s="53"/>
      <c r="K240" s="53"/>
      <c r="L240" s="53" t="s">
        <v>33</v>
      </c>
      <c r="M240" s="53"/>
      <c r="N240" s="54"/>
      <c r="O240" s="7"/>
    </row>
    <row r="241" spans="2:15" ht="12.75">
      <c r="B241" s="55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4"/>
      <c r="O241" s="7"/>
    </row>
    <row r="242" spans="2:15" ht="12.75">
      <c r="B242" s="55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4"/>
      <c r="O242" s="7"/>
    </row>
    <row r="243" spans="2:15" ht="12.75">
      <c r="B243" s="55" t="s">
        <v>34</v>
      </c>
      <c r="C243" s="53"/>
      <c r="D243" s="65">
        <v>12.52</v>
      </c>
      <c r="E243" s="65">
        <v>23.23</v>
      </c>
      <c r="F243" s="65">
        <v>6.29</v>
      </c>
      <c r="G243" s="65">
        <v>3</v>
      </c>
      <c r="H243" s="65">
        <v>32.3</v>
      </c>
      <c r="I243" s="65">
        <v>77.34</v>
      </c>
      <c r="J243" s="53"/>
      <c r="K243" s="53"/>
      <c r="L243" s="53"/>
      <c r="M243" s="53"/>
      <c r="N243" s="54"/>
      <c r="O243" s="7"/>
    </row>
    <row r="244" spans="2:15" ht="12.75">
      <c r="B244" s="55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4"/>
      <c r="O244" s="7"/>
    </row>
    <row r="245" spans="2:15" ht="12.75">
      <c r="B245" s="55" t="s">
        <v>110</v>
      </c>
      <c r="C245" s="53"/>
      <c r="D245" s="53"/>
      <c r="E245" s="53"/>
      <c r="F245" s="53"/>
      <c r="G245" s="53"/>
      <c r="H245" s="53"/>
      <c r="I245" s="65">
        <v>0</v>
      </c>
      <c r="J245" s="53"/>
      <c r="K245" s="53"/>
      <c r="L245" s="53"/>
      <c r="M245" s="53"/>
      <c r="N245" s="54"/>
      <c r="O245" s="7"/>
    </row>
    <row r="246" spans="2:15" ht="12.75">
      <c r="B246" s="55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4"/>
      <c r="O246" s="7"/>
    </row>
    <row r="247" spans="2:15" ht="12.75">
      <c r="B247" s="58" t="s">
        <v>96</v>
      </c>
      <c r="C247" s="53"/>
      <c r="D247" s="53"/>
      <c r="E247" s="53"/>
      <c r="F247" s="53"/>
      <c r="G247" s="53"/>
      <c r="H247" s="53"/>
      <c r="I247" s="66">
        <v>-77.34</v>
      </c>
      <c r="J247" s="53"/>
      <c r="K247" s="53"/>
      <c r="L247" s="53"/>
      <c r="M247" s="53"/>
      <c r="N247" s="54"/>
      <c r="O247" s="7"/>
    </row>
    <row r="248" spans="2:15" ht="12.75">
      <c r="B248" s="74" t="s">
        <v>111</v>
      </c>
      <c r="C248" s="53"/>
      <c r="D248" s="53"/>
      <c r="E248" s="53"/>
      <c r="F248" s="53"/>
      <c r="G248" s="53"/>
      <c r="H248" s="53"/>
      <c r="I248" s="65">
        <f>PMT(0.09,20,+I247)</f>
        <v>8.472324377136449</v>
      </c>
      <c r="J248" s="53" t="s">
        <v>138</v>
      </c>
      <c r="K248" s="53"/>
      <c r="L248" s="53"/>
      <c r="M248" s="53"/>
      <c r="N248" s="54"/>
      <c r="O248" s="7"/>
    </row>
    <row r="249" spans="2:15" ht="12.75">
      <c r="B249" s="68" t="s">
        <v>47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4"/>
      <c r="O249" s="7"/>
    </row>
    <row r="250" spans="2:15" ht="12.75">
      <c r="B250" s="58" t="s">
        <v>68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4"/>
      <c r="O250" s="7"/>
    </row>
    <row r="251" spans="2:15" ht="12.75">
      <c r="B251" s="74" t="s">
        <v>112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4"/>
      <c r="O251" s="7"/>
    </row>
    <row r="252" spans="2:15" ht="12.75">
      <c r="B252" s="55" t="s">
        <v>139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4"/>
      <c r="O252" s="7"/>
    </row>
    <row r="253" spans="2:15" ht="13.5" thickBot="1">
      <c r="B253" s="7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1"/>
      <c r="O253" s="7"/>
    </row>
    <row r="254" spans="2:15" ht="13.5" thickTop="1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7"/>
    </row>
    <row r="255" spans="2:15" ht="13.5" thickBo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.75" thickTop="1">
      <c r="A256" s="1"/>
      <c r="B256" s="49" t="s">
        <v>85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76"/>
      <c r="N256" s="77"/>
      <c r="O256" s="7"/>
    </row>
    <row r="257" spans="1:15" ht="12.75">
      <c r="A257" s="1"/>
      <c r="B257" s="52" t="s">
        <v>54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78"/>
      <c r="N257" s="79"/>
      <c r="O257" s="7"/>
    </row>
    <row r="258" spans="1:15" ht="12.75">
      <c r="A258" s="1"/>
      <c r="B258" s="55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78"/>
      <c r="N258" s="79"/>
      <c r="O258" s="7"/>
    </row>
    <row r="259" spans="1:15" ht="12.75">
      <c r="A259" s="1"/>
      <c r="B259" s="55" t="s">
        <v>107</v>
      </c>
      <c r="C259" s="53"/>
      <c r="D259" s="56" t="s">
        <v>0</v>
      </c>
      <c r="E259" s="56" t="s">
        <v>1</v>
      </c>
      <c r="F259" s="56" t="s">
        <v>108</v>
      </c>
      <c r="G259" s="56"/>
      <c r="H259" s="56"/>
      <c r="I259" s="56" t="s">
        <v>2</v>
      </c>
      <c r="J259" s="53"/>
      <c r="K259" s="53"/>
      <c r="L259" s="57"/>
      <c r="M259" s="78"/>
      <c r="N259" s="79"/>
      <c r="O259" s="7"/>
    </row>
    <row r="260" spans="1:15" ht="12.75">
      <c r="A260" s="1"/>
      <c r="B260" s="58" t="s">
        <v>45</v>
      </c>
      <c r="C260" s="53"/>
      <c r="D260" s="59">
        <v>110</v>
      </c>
      <c r="E260" s="60" t="s">
        <v>3</v>
      </c>
      <c r="F260" s="61">
        <v>1.5</v>
      </c>
      <c r="G260" s="53"/>
      <c r="H260" s="53"/>
      <c r="I260" s="31">
        <f>+D260*F260</f>
        <v>165</v>
      </c>
      <c r="J260" s="53"/>
      <c r="K260" s="53"/>
      <c r="L260" s="53"/>
      <c r="M260" s="78"/>
      <c r="N260" s="79"/>
      <c r="O260" s="7"/>
    </row>
    <row r="261" spans="1:15" ht="12.75">
      <c r="A261" s="1"/>
      <c r="B261" s="55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78"/>
      <c r="N261" s="79"/>
      <c r="O261" s="7"/>
    </row>
    <row r="262" spans="1:15" ht="12.75">
      <c r="A262" s="1"/>
      <c r="B262" s="55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78"/>
      <c r="N262" s="79"/>
      <c r="O262" s="7"/>
    </row>
    <row r="263" spans="1:15" ht="12.75">
      <c r="A263" s="1"/>
      <c r="B263" s="55"/>
      <c r="C263" s="60" t="s">
        <v>109</v>
      </c>
      <c r="D263" s="60" t="s">
        <v>4</v>
      </c>
      <c r="E263" s="60" t="s">
        <v>5</v>
      </c>
      <c r="F263" s="60"/>
      <c r="G263" s="60"/>
      <c r="H263" s="60"/>
      <c r="I263" s="60" t="s">
        <v>6</v>
      </c>
      <c r="J263" s="62" t="s">
        <v>94</v>
      </c>
      <c r="K263" s="53"/>
      <c r="L263" s="53"/>
      <c r="M263" s="78"/>
      <c r="N263" s="79"/>
      <c r="O263" s="7"/>
    </row>
    <row r="264" spans="1:15" ht="12.75">
      <c r="A264" s="1"/>
      <c r="B264" s="63" t="s">
        <v>7</v>
      </c>
      <c r="C264" s="56" t="s">
        <v>8</v>
      </c>
      <c r="D264" s="56" t="s">
        <v>9</v>
      </c>
      <c r="E264" s="56" t="s">
        <v>9</v>
      </c>
      <c r="F264" s="56" t="s">
        <v>10</v>
      </c>
      <c r="G264" s="56" t="s">
        <v>11</v>
      </c>
      <c r="H264" s="56" t="s">
        <v>12</v>
      </c>
      <c r="I264" s="56" t="s">
        <v>13</v>
      </c>
      <c r="J264" s="56" t="s">
        <v>53</v>
      </c>
      <c r="K264" s="56"/>
      <c r="L264" s="64" t="s">
        <v>14</v>
      </c>
      <c r="M264" s="78"/>
      <c r="N264" s="79"/>
      <c r="O264" s="7"/>
    </row>
    <row r="265" spans="1:15" ht="12.75">
      <c r="A265" s="1"/>
      <c r="B265" s="55" t="s">
        <v>15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78"/>
      <c r="N265" s="79"/>
      <c r="O265" s="7"/>
    </row>
    <row r="266" spans="1:15" ht="12.75">
      <c r="A266" s="1"/>
      <c r="B266" s="55" t="s">
        <v>16</v>
      </c>
      <c r="C266" s="57" t="s">
        <v>50</v>
      </c>
      <c r="D266" s="65">
        <v>2.22</v>
      </c>
      <c r="E266" s="65">
        <v>2.1</v>
      </c>
      <c r="F266" s="65">
        <v>1.04</v>
      </c>
      <c r="G266" s="53"/>
      <c r="H266" s="53"/>
      <c r="I266" s="65">
        <f>SUM(D266:H266)</f>
        <v>5.36</v>
      </c>
      <c r="J266" s="66">
        <v>10</v>
      </c>
      <c r="K266" s="66"/>
      <c r="L266" s="53" t="s">
        <v>36</v>
      </c>
      <c r="M266" s="78"/>
      <c r="N266" s="79"/>
      <c r="O266" s="7"/>
    </row>
    <row r="267" spans="1:15" ht="12.75">
      <c r="A267" s="1"/>
      <c r="B267" s="55" t="s">
        <v>17</v>
      </c>
      <c r="C267" s="57" t="s">
        <v>50</v>
      </c>
      <c r="D267" s="65">
        <v>0.75</v>
      </c>
      <c r="E267" s="65">
        <v>1.22</v>
      </c>
      <c r="F267" s="65">
        <v>0.83</v>
      </c>
      <c r="G267" s="53"/>
      <c r="H267" s="53"/>
      <c r="I267" s="65">
        <f>SUM(D267:H267)</f>
        <v>2.8</v>
      </c>
      <c r="J267" s="66">
        <v>4</v>
      </c>
      <c r="K267" s="66"/>
      <c r="L267" s="53" t="s">
        <v>37</v>
      </c>
      <c r="M267" s="78"/>
      <c r="N267" s="79"/>
      <c r="O267" s="7"/>
    </row>
    <row r="268" spans="1:15" ht="12.75">
      <c r="A268" s="1"/>
      <c r="B268" s="55" t="s">
        <v>38</v>
      </c>
      <c r="C268" s="57" t="s">
        <v>50</v>
      </c>
      <c r="D268" s="65">
        <v>4.26</v>
      </c>
      <c r="E268" s="65">
        <v>3.7</v>
      </c>
      <c r="F268" s="65">
        <v>1.63</v>
      </c>
      <c r="G268" s="53"/>
      <c r="H268" s="65">
        <v>4</v>
      </c>
      <c r="I268" s="65">
        <f>SUM(D268:H268)</f>
        <v>13.59</v>
      </c>
      <c r="J268" s="66">
        <f>+$F$181*2000/80*0.4*0.6</f>
        <v>15</v>
      </c>
      <c r="K268" s="66"/>
      <c r="L268" s="53" t="s">
        <v>39</v>
      </c>
      <c r="M268" s="78"/>
      <c r="N268" s="79"/>
      <c r="O268" s="7"/>
    </row>
    <row r="269" spans="1:15" ht="12.75">
      <c r="A269" s="1"/>
      <c r="B269" s="55" t="s">
        <v>18</v>
      </c>
      <c r="C269" s="57" t="s">
        <v>50</v>
      </c>
      <c r="D269" s="53" t="s">
        <v>19</v>
      </c>
      <c r="E269" s="53" t="s">
        <v>19</v>
      </c>
      <c r="F269" s="53" t="s">
        <v>19</v>
      </c>
      <c r="G269" s="65">
        <v>6</v>
      </c>
      <c r="H269" s="53"/>
      <c r="I269" s="65">
        <f>SUM(D269:H269)</f>
        <v>6</v>
      </c>
      <c r="J269" s="66">
        <f>+$F$181*2000/80*0.33*0.6</f>
        <v>12.375</v>
      </c>
      <c r="K269" s="66"/>
      <c r="L269" s="53" t="s">
        <v>20</v>
      </c>
      <c r="M269" s="78"/>
      <c r="N269" s="79"/>
      <c r="O269" s="7"/>
    </row>
    <row r="270" spans="1:15" ht="12.75">
      <c r="A270" s="1"/>
      <c r="B270" s="55" t="s">
        <v>35</v>
      </c>
      <c r="C270" s="57" t="s">
        <v>50</v>
      </c>
      <c r="D270" s="53" t="s">
        <v>19</v>
      </c>
      <c r="E270" s="53" t="s">
        <v>19</v>
      </c>
      <c r="F270" s="53" t="s">
        <v>19</v>
      </c>
      <c r="G270" s="65">
        <v>8</v>
      </c>
      <c r="H270" s="53" t="s">
        <v>19</v>
      </c>
      <c r="I270" s="65">
        <f>SUM(D270:H270)</f>
        <v>8</v>
      </c>
      <c r="J270" s="66">
        <v>8</v>
      </c>
      <c r="K270" s="66"/>
      <c r="L270" s="53" t="s">
        <v>40</v>
      </c>
      <c r="M270" s="78"/>
      <c r="N270" s="79"/>
      <c r="O270" s="7"/>
    </row>
    <row r="271" spans="1:15" ht="12.75">
      <c r="A271" s="1"/>
      <c r="B271" s="63" t="s">
        <v>21</v>
      </c>
      <c r="C271" s="53"/>
      <c r="D271" s="53"/>
      <c r="E271" s="53"/>
      <c r="F271" s="53"/>
      <c r="G271" s="53"/>
      <c r="H271" s="53"/>
      <c r="I271" s="65"/>
      <c r="J271" s="66"/>
      <c r="K271" s="66"/>
      <c r="L271" s="53"/>
      <c r="M271" s="78"/>
      <c r="N271" s="79"/>
      <c r="O271" s="7"/>
    </row>
    <row r="272" spans="1:15" ht="12.75">
      <c r="A272" s="1"/>
      <c r="B272" s="55" t="s">
        <v>22</v>
      </c>
      <c r="C272" s="53" t="s">
        <v>23</v>
      </c>
      <c r="D272" s="53"/>
      <c r="E272" s="53"/>
      <c r="F272" s="53"/>
      <c r="G272" s="65">
        <f>PMT(0.09,20,+I247)</f>
        <v>8.472324377136449</v>
      </c>
      <c r="H272" s="53"/>
      <c r="I272" s="65">
        <f aca="true" t="shared" si="4" ref="I272:I279">SUM(D272:H272)</f>
        <v>8.472324377136449</v>
      </c>
      <c r="J272" s="66">
        <f>+I272</f>
        <v>8.472324377136449</v>
      </c>
      <c r="K272" s="66"/>
      <c r="L272" s="53"/>
      <c r="M272" s="78"/>
      <c r="N272" s="79"/>
      <c r="O272" s="7"/>
    </row>
    <row r="273" spans="1:15" ht="12.75">
      <c r="A273" s="1"/>
      <c r="B273" s="55" t="s">
        <v>41</v>
      </c>
      <c r="C273" s="53" t="s">
        <v>23</v>
      </c>
      <c r="D273" s="65">
        <v>37.04</v>
      </c>
      <c r="E273" s="65">
        <v>23.39</v>
      </c>
      <c r="F273" s="65">
        <v>8.47</v>
      </c>
      <c r="G273" s="53"/>
      <c r="H273" s="65">
        <v>20</v>
      </c>
      <c r="I273" s="65">
        <f t="shared" si="4"/>
        <v>88.9</v>
      </c>
      <c r="J273" s="66">
        <f>+I273</f>
        <v>88.9</v>
      </c>
      <c r="K273" s="66"/>
      <c r="L273" s="53" t="s">
        <v>42</v>
      </c>
      <c r="M273" s="78"/>
      <c r="N273" s="79"/>
      <c r="O273" s="7"/>
    </row>
    <row r="274" spans="1:15" ht="12.75">
      <c r="A274" s="1"/>
      <c r="B274" s="55" t="s">
        <v>43</v>
      </c>
      <c r="C274" s="53" t="s">
        <v>23</v>
      </c>
      <c r="D274" s="53"/>
      <c r="E274" s="53"/>
      <c r="F274" s="53"/>
      <c r="G274" s="65">
        <v>5</v>
      </c>
      <c r="H274" s="53"/>
      <c r="I274" s="65">
        <f t="shared" si="4"/>
        <v>5</v>
      </c>
      <c r="J274" s="66">
        <f aca="true" t="shared" si="5" ref="J274:J279">+I274</f>
        <v>5</v>
      </c>
      <c r="K274" s="66"/>
      <c r="L274" s="53" t="s">
        <v>44</v>
      </c>
      <c r="M274" s="78"/>
      <c r="N274" s="79"/>
      <c r="O274" s="7"/>
    </row>
    <row r="275" spans="1:15" ht="12.75">
      <c r="A275" s="1"/>
      <c r="B275" s="55" t="s">
        <v>24</v>
      </c>
      <c r="C275" s="53" t="s">
        <v>23</v>
      </c>
      <c r="D275" s="53"/>
      <c r="E275" s="53"/>
      <c r="F275" s="53"/>
      <c r="G275" s="65">
        <v>3</v>
      </c>
      <c r="H275" s="53"/>
      <c r="I275" s="65">
        <f t="shared" si="4"/>
        <v>3</v>
      </c>
      <c r="J275" s="66">
        <f t="shared" si="5"/>
        <v>3</v>
      </c>
      <c r="K275" s="66"/>
      <c r="L275" s="53" t="s">
        <v>25</v>
      </c>
      <c r="M275" s="78"/>
      <c r="N275" s="79"/>
      <c r="O275" s="7"/>
    </row>
    <row r="276" spans="1:15" ht="12.75">
      <c r="A276" s="1"/>
      <c r="B276" s="55" t="s">
        <v>26</v>
      </c>
      <c r="C276" s="53" t="s">
        <v>23</v>
      </c>
      <c r="D276" s="53"/>
      <c r="E276" s="53"/>
      <c r="F276" s="53"/>
      <c r="G276" s="65">
        <v>0</v>
      </c>
      <c r="H276" s="53"/>
      <c r="I276" s="65">
        <f t="shared" si="4"/>
        <v>0</v>
      </c>
      <c r="J276" s="66">
        <f t="shared" si="5"/>
        <v>0</v>
      </c>
      <c r="K276" s="66"/>
      <c r="L276" s="53" t="s">
        <v>27</v>
      </c>
      <c r="M276" s="78"/>
      <c r="N276" s="79"/>
      <c r="O276" s="7"/>
    </row>
    <row r="277" spans="1:15" ht="12.75">
      <c r="A277" s="1"/>
      <c r="B277" s="55" t="s">
        <v>28</v>
      </c>
      <c r="C277" s="53" t="s">
        <v>23</v>
      </c>
      <c r="D277" s="53"/>
      <c r="E277" s="53"/>
      <c r="F277" s="53"/>
      <c r="G277" s="65">
        <v>2.75</v>
      </c>
      <c r="H277" s="53"/>
      <c r="I277" s="65">
        <f t="shared" si="4"/>
        <v>2.75</v>
      </c>
      <c r="J277" s="66">
        <f t="shared" si="5"/>
        <v>2.75</v>
      </c>
      <c r="K277" s="66"/>
      <c r="L277" s="53" t="s">
        <v>29</v>
      </c>
      <c r="M277" s="78"/>
      <c r="N277" s="79"/>
      <c r="O277" s="7"/>
    </row>
    <row r="278" spans="1:15" ht="12.75">
      <c r="A278" s="1"/>
      <c r="B278" s="55" t="s">
        <v>30</v>
      </c>
      <c r="C278" s="53" t="s">
        <v>23</v>
      </c>
      <c r="D278" s="53"/>
      <c r="E278" s="53"/>
      <c r="F278" s="53"/>
      <c r="G278" s="65">
        <v>0</v>
      </c>
      <c r="H278" s="53"/>
      <c r="I278" s="65">
        <f t="shared" si="4"/>
        <v>0</v>
      </c>
      <c r="J278" s="66">
        <f t="shared" si="5"/>
        <v>0</v>
      </c>
      <c r="K278" s="66"/>
      <c r="L278" s="53" t="s">
        <v>31</v>
      </c>
      <c r="M278" s="78"/>
      <c r="N278" s="79"/>
      <c r="O278" s="7"/>
    </row>
    <row r="279" spans="1:15" ht="12.75">
      <c r="A279" s="1"/>
      <c r="B279" s="55" t="s">
        <v>32</v>
      </c>
      <c r="C279" s="53" t="s">
        <v>23</v>
      </c>
      <c r="D279" s="53"/>
      <c r="E279" s="53"/>
      <c r="F279" s="53"/>
      <c r="G279" s="65">
        <v>0</v>
      </c>
      <c r="H279" s="53"/>
      <c r="I279" s="65">
        <f t="shared" si="4"/>
        <v>0</v>
      </c>
      <c r="J279" s="66">
        <f t="shared" si="5"/>
        <v>0</v>
      </c>
      <c r="K279" s="66"/>
      <c r="L279" s="53" t="s">
        <v>33</v>
      </c>
      <c r="M279" s="78"/>
      <c r="N279" s="79"/>
      <c r="O279" s="7"/>
    </row>
    <row r="280" spans="1:15" ht="12.75">
      <c r="A280" s="1"/>
      <c r="B280" s="55"/>
      <c r="C280" s="53"/>
      <c r="D280" s="53"/>
      <c r="E280" s="53"/>
      <c r="F280" s="53"/>
      <c r="G280" s="53"/>
      <c r="H280" s="53"/>
      <c r="I280" s="53"/>
      <c r="J280" s="66"/>
      <c r="K280" s="66"/>
      <c r="L280" s="53"/>
      <c r="M280" s="78"/>
      <c r="N280" s="79"/>
      <c r="O280" s="7"/>
    </row>
    <row r="281" spans="1:15" ht="12.75">
      <c r="A281" s="1"/>
      <c r="B281" s="55"/>
      <c r="C281" s="53"/>
      <c r="D281" s="53"/>
      <c r="E281" s="53"/>
      <c r="F281" s="53"/>
      <c r="G281" s="53"/>
      <c r="H281" s="53"/>
      <c r="I281" s="53"/>
      <c r="J281" s="66"/>
      <c r="K281" s="66"/>
      <c r="L281" s="53"/>
      <c r="M281" s="78"/>
      <c r="N281" s="79"/>
      <c r="O281" s="7"/>
    </row>
    <row r="282" spans="1:15" ht="12.75">
      <c r="A282" s="1"/>
      <c r="B282" s="55" t="s">
        <v>34</v>
      </c>
      <c r="C282" s="53"/>
      <c r="D282" s="65">
        <f aca="true" t="shared" si="6" ref="D282:J282">SUM(D265:D281)</f>
        <v>44.269999999999996</v>
      </c>
      <c r="E282" s="65">
        <f t="shared" si="6"/>
        <v>30.41</v>
      </c>
      <c r="F282" s="65">
        <f t="shared" si="6"/>
        <v>11.97</v>
      </c>
      <c r="G282" s="65">
        <f t="shared" si="6"/>
        <v>33.222324377136445</v>
      </c>
      <c r="H282" s="65">
        <f t="shared" si="6"/>
        <v>24</v>
      </c>
      <c r="I282" s="65">
        <f t="shared" si="6"/>
        <v>143.87232437713647</v>
      </c>
      <c r="J282" s="65">
        <f t="shared" si="6"/>
        <v>157.49732437713647</v>
      </c>
      <c r="K282" s="65"/>
      <c r="L282" s="53"/>
      <c r="M282" s="78"/>
      <c r="N282" s="79"/>
      <c r="O282" s="7"/>
    </row>
    <row r="283" spans="1:15" ht="12.75">
      <c r="A283" s="1"/>
      <c r="B283" s="55"/>
      <c r="C283" s="53"/>
      <c r="D283" s="53"/>
      <c r="E283" s="53"/>
      <c r="F283" s="53"/>
      <c r="G283" s="53"/>
      <c r="H283" s="53"/>
      <c r="I283" s="53"/>
      <c r="J283" s="66"/>
      <c r="K283" s="66"/>
      <c r="L283" s="53"/>
      <c r="M283" s="78"/>
      <c r="N283" s="79"/>
      <c r="O283" s="7"/>
    </row>
    <row r="284" spans="1:15" ht="12.75">
      <c r="A284" s="1"/>
      <c r="B284" s="55" t="s">
        <v>110</v>
      </c>
      <c r="C284" s="53"/>
      <c r="D284" s="53"/>
      <c r="E284" s="53"/>
      <c r="F284" s="53"/>
      <c r="G284" s="53"/>
      <c r="H284" s="53"/>
      <c r="I284" s="65">
        <f>+I260</f>
        <v>165</v>
      </c>
      <c r="J284" s="66">
        <f>+I260</f>
        <v>165</v>
      </c>
      <c r="K284" s="66"/>
      <c r="L284" s="53"/>
      <c r="M284" s="78"/>
      <c r="N284" s="79"/>
      <c r="O284" s="7"/>
    </row>
    <row r="285" spans="1:15" ht="12.75">
      <c r="A285" s="1"/>
      <c r="B285" s="55"/>
      <c r="C285" s="53"/>
      <c r="D285" s="53"/>
      <c r="E285" s="53"/>
      <c r="F285" s="53"/>
      <c r="G285" s="53"/>
      <c r="H285" s="53"/>
      <c r="I285" s="53"/>
      <c r="J285" s="66"/>
      <c r="K285" s="66"/>
      <c r="L285" s="53"/>
      <c r="M285" s="78"/>
      <c r="N285" s="79"/>
      <c r="O285" s="7"/>
    </row>
    <row r="286" spans="1:15" ht="12.75">
      <c r="A286" s="1"/>
      <c r="B286" s="58" t="s">
        <v>96</v>
      </c>
      <c r="C286" s="53"/>
      <c r="D286" s="53"/>
      <c r="E286" s="53"/>
      <c r="F286" s="53"/>
      <c r="G286" s="53"/>
      <c r="H286" s="53"/>
      <c r="I286" s="67">
        <f>+I284-I282</f>
        <v>21.127675622863535</v>
      </c>
      <c r="J286" s="65">
        <f>+J284-J282</f>
        <v>7.502675622863535</v>
      </c>
      <c r="K286" s="65"/>
      <c r="L286" s="53"/>
      <c r="M286" s="78"/>
      <c r="N286" s="79"/>
      <c r="O286" s="7"/>
    </row>
    <row r="287" spans="1:15" ht="12.75">
      <c r="A287" s="1"/>
      <c r="B287" s="55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78"/>
      <c r="N287" s="79"/>
      <c r="O287" s="7"/>
    </row>
    <row r="288" spans="1:15" ht="12.75">
      <c r="A288" s="1"/>
      <c r="B288" s="55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78"/>
      <c r="N288" s="79"/>
      <c r="O288" s="7"/>
    </row>
    <row r="289" spans="1:15" ht="12.75">
      <c r="A289" s="1"/>
      <c r="B289" s="68" t="s">
        <v>47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78"/>
      <c r="N289" s="79"/>
      <c r="O289" s="7"/>
    </row>
    <row r="290" spans="1:15" ht="12.75">
      <c r="A290" s="1"/>
      <c r="B290" s="58" t="s">
        <v>46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78"/>
      <c r="N290" s="79"/>
      <c r="O290" s="7"/>
    </row>
    <row r="291" spans="1:15" ht="12.75">
      <c r="A291" s="1"/>
      <c r="B291" s="58" t="s">
        <v>48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78"/>
      <c r="N291" s="79"/>
      <c r="O291" s="7"/>
    </row>
    <row r="292" spans="1:15" ht="12.75">
      <c r="A292" s="1"/>
      <c r="B292" s="58" t="s">
        <v>49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78"/>
      <c r="N292" s="79"/>
      <c r="O292" s="7"/>
    </row>
    <row r="293" spans="1:15" ht="13.5" thickBot="1">
      <c r="A293" s="1"/>
      <c r="B293" s="75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80"/>
      <c r="N293" s="81"/>
      <c r="O293" s="7"/>
    </row>
    <row r="294" spans="2:15" ht="13.5" thickTop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2:15" ht="13.5" thickBo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2:15" ht="15.75" thickTop="1">
      <c r="B296" s="49" t="s">
        <v>99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7"/>
      <c r="O296" s="7"/>
    </row>
    <row r="297" spans="2:15" ht="12.75">
      <c r="B297" s="82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9"/>
      <c r="O297" s="7"/>
    </row>
    <row r="298" spans="2:15" ht="12.75">
      <c r="B298" s="55"/>
      <c r="C298" s="60" t="s">
        <v>109</v>
      </c>
      <c r="D298" s="60" t="s">
        <v>4</v>
      </c>
      <c r="E298" s="60" t="s">
        <v>5</v>
      </c>
      <c r="F298" s="60"/>
      <c r="G298" s="60"/>
      <c r="H298" s="60"/>
      <c r="I298" s="60" t="s">
        <v>6</v>
      </c>
      <c r="J298" s="62"/>
      <c r="K298" s="53"/>
      <c r="L298" s="53"/>
      <c r="M298" s="78"/>
      <c r="N298" s="79"/>
      <c r="O298" s="7"/>
    </row>
    <row r="299" spans="2:15" ht="12.75">
      <c r="B299" s="63" t="s">
        <v>7</v>
      </c>
      <c r="C299" s="56" t="s">
        <v>8</v>
      </c>
      <c r="D299" s="56" t="s">
        <v>9</v>
      </c>
      <c r="E299" s="56" t="s">
        <v>9</v>
      </c>
      <c r="F299" s="56" t="s">
        <v>10</v>
      </c>
      <c r="G299" s="56" t="s">
        <v>11</v>
      </c>
      <c r="H299" s="56" t="s">
        <v>12</v>
      </c>
      <c r="I299" s="56" t="s">
        <v>13</v>
      </c>
      <c r="J299" s="56"/>
      <c r="K299" s="56"/>
      <c r="L299" s="64" t="s">
        <v>14</v>
      </c>
      <c r="M299" s="78"/>
      <c r="N299" s="79"/>
      <c r="O299" s="7"/>
    </row>
    <row r="300" spans="2:15" ht="12.75">
      <c r="B300" s="55" t="s">
        <v>22</v>
      </c>
      <c r="C300" s="53" t="s">
        <v>23</v>
      </c>
      <c r="D300" s="53"/>
      <c r="E300" s="53"/>
      <c r="F300" s="53"/>
      <c r="G300" s="65">
        <f>+$I$248</f>
        <v>8.472324377136449</v>
      </c>
      <c r="H300" s="53"/>
      <c r="I300" s="65">
        <f aca="true" t="shared" si="7" ref="I300:I307">SUM(D300:H300)</f>
        <v>8.472324377136449</v>
      </c>
      <c r="J300" s="66"/>
      <c r="K300" s="66"/>
      <c r="L300" s="53"/>
      <c r="M300" s="78"/>
      <c r="N300" s="79"/>
      <c r="O300" s="7"/>
    </row>
    <row r="301" spans="2:15" ht="12.75">
      <c r="B301" s="55" t="s">
        <v>41</v>
      </c>
      <c r="C301" s="53" t="s">
        <v>23</v>
      </c>
      <c r="D301" s="65">
        <v>37.04</v>
      </c>
      <c r="E301" s="65">
        <v>23.39</v>
      </c>
      <c r="F301" s="65">
        <v>8.47</v>
      </c>
      <c r="G301" s="53"/>
      <c r="H301" s="65">
        <v>20</v>
      </c>
      <c r="I301" s="65">
        <f t="shared" si="7"/>
        <v>88.9</v>
      </c>
      <c r="J301" s="66"/>
      <c r="K301" s="66"/>
      <c r="L301" s="53" t="s">
        <v>42</v>
      </c>
      <c r="M301" s="78"/>
      <c r="N301" s="79"/>
      <c r="O301" s="7"/>
    </row>
    <row r="302" spans="2:15" ht="12.75">
      <c r="B302" s="55" t="s">
        <v>43</v>
      </c>
      <c r="C302" s="53" t="s">
        <v>23</v>
      </c>
      <c r="D302" s="53"/>
      <c r="E302" s="53"/>
      <c r="F302" s="53"/>
      <c r="G302" s="65">
        <v>5</v>
      </c>
      <c r="H302" s="53"/>
      <c r="I302" s="65">
        <f t="shared" si="7"/>
        <v>5</v>
      </c>
      <c r="J302" s="66"/>
      <c r="K302" s="66"/>
      <c r="L302" s="53" t="s">
        <v>44</v>
      </c>
      <c r="M302" s="78"/>
      <c r="N302" s="79"/>
      <c r="O302" s="7"/>
    </row>
    <row r="303" spans="2:15" ht="12.75">
      <c r="B303" s="55" t="s">
        <v>24</v>
      </c>
      <c r="C303" s="53" t="s">
        <v>23</v>
      </c>
      <c r="D303" s="53"/>
      <c r="E303" s="53"/>
      <c r="F303" s="53"/>
      <c r="G303" s="65">
        <v>3</v>
      </c>
      <c r="H303" s="53"/>
      <c r="I303" s="65">
        <f t="shared" si="7"/>
        <v>3</v>
      </c>
      <c r="J303" s="66"/>
      <c r="K303" s="66"/>
      <c r="L303" s="53" t="s">
        <v>25</v>
      </c>
      <c r="M303" s="78"/>
      <c r="N303" s="79"/>
      <c r="O303" s="7"/>
    </row>
    <row r="304" spans="2:15" ht="12.75">
      <c r="B304" s="55" t="s">
        <v>26</v>
      </c>
      <c r="C304" s="53" t="s">
        <v>23</v>
      </c>
      <c r="D304" s="53"/>
      <c r="E304" s="53"/>
      <c r="F304" s="53"/>
      <c r="G304" s="65">
        <v>0</v>
      </c>
      <c r="H304" s="53"/>
      <c r="I304" s="65">
        <f t="shared" si="7"/>
        <v>0</v>
      </c>
      <c r="J304" s="66"/>
      <c r="K304" s="66"/>
      <c r="L304" s="53" t="s">
        <v>27</v>
      </c>
      <c r="M304" s="78"/>
      <c r="N304" s="79"/>
      <c r="O304" s="7"/>
    </row>
    <row r="305" spans="2:15" ht="12.75">
      <c r="B305" s="55" t="s">
        <v>28</v>
      </c>
      <c r="C305" s="53" t="s">
        <v>23</v>
      </c>
      <c r="D305" s="53"/>
      <c r="E305" s="53"/>
      <c r="F305" s="53"/>
      <c r="G305" s="65">
        <v>2.75</v>
      </c>
      <c r="H305" s="53"/>
      <c r="I305" s="65">
        <f t="shared" si="7"/>
        <v>2.75</v>
      </c>
      <c r="J305" s="66"/>
      <c r="K305" s="66"/>
      <c r="L305" s="53" t="s">
        <v>29</v>
      </c>
      <c r="M305" s="78"/>
      <c r="N305" s="79"/>
      <c r="O305" s="7"/>
    </row>
    <row r="306" spans="2:15" ht="12.75">
      <c r="B306" s="55" t="s">
        <v>30</v>
      </c>
      <c r="C306" s="53" t="s">
        <v>23</v>
      </c>
      <c r="D306" s="53"/>
      <c r="E306" s="53"/>
      <c r="F306" s="53"/>
      <c r="G306" s="65">
        <v>0</v>
      </c>
      <c r="H306" s="53"/>
      <c r="I306" s="65">
        <f t="shared" si="7"/>
        <v>0</v>
      </c>
      <c r="J306" s="66"/>
      <c r="K306" s="66"/>
      <c r="L306" s="53" t="s">
        <v>31</v>
      </c>
      <c r="M306" s="78"/>
      <c r="N306" s="79"/>
      <c r="O306" s="7"/>
    </row>
    <row r="307" spans="2:15" ht="12.75">
      <c r="B307" s="55" t="s">
        <v>32</v>
      </c>
      <c r="C307" s="53" t="s">
        <v>23</v>
      </c>
      <c r="D307" s="53"/>
      <c r="E307" s="53"/>
      <c r="F307" s="53"/>
      <c r="G307" s="65">
        <v>0</v>
      </c>
      <c r="H307" s="53"/>
      <c r="I307" s="65">
        <f t="shared" si="7"/>
        <v>0</v>
      </c>
      <c r="J307" s="66"/>
      <c r="K307" s="66"/>
      <c r="L307" s="53" t="s">
        <v>33</v>
      </c>
      <c r="M307" s="78"/>
      <c r="N307" s="79"/>
      <c r="O307" s="7"/>
    </row>
    <row r="308" spans="2:15" ht="12.75">
      <c r="B308" s="82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9"/>
      <c r="O308" s="7"/>
    </row>
    <row r="309" spans="2:15" ht="12.75">
      <c r="B309" s="55" t="s">
        <v>97</v>
      </c>
      <c r="C309" s="78"/>
      <c r="D309" s="78"/>
      <c r="E309" s="78"/>
      <c r="F309" s="78"/>
      <c r="G309" s="78"/>
      <c r="H309" s="78"/>
      <c r="I309" s="67">
        <f>SUM(I300:I308)</f>
        <v>108.12232437713645</v>
      </c>
      <c r="J309" s="65"/>
      <c r="K309" s="78"/>
      <c r="L309" s="78"/>
      <c r="M309" s="78"/>
      <c r="N309" s="79"/>
      <c r="O309" s="7"/>
    </row>
    <row r="310" spans="2:15" ht="13.5" thickBot="1">
      <c r="B310" s="83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1"/>
      <c r="O310" s="7"/>
    </row>
    <row r="311" spans="2:15" ht="13.5" thickTop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</sheetData>
  <printOptions/>
  <pageMargins left="0.75" right="0.75" top="1" bottom="1" header="0.5" footer="0.5"/>
  <pageSetup horizontalDpi="600" verticalDpi="600" orientation="portrait" scale="80" r:id="rId2"/>
  <rowBreaks count="6" manualBreakCount="6">
    <brk id="62" max="9" man="1"/>
    <brk id="110" max="9" man="1"/>
    <brk id="175" max="13" man="1"/>
    <brk id="218" max="13" man="1"/>
    <brk id="254" max="13" man="1"/>
    <brk id="29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Study Example, Sisters Ranch</dc:title>
  <dc:subject/>
  <dc:creator>Hal Gordon</dc:creator>
  <cp:keywords>Economics, Case Study, Range, Pasture</cp:keywords>
  <dc:description/>
  <cp:lastModifiedBy>Administrator</cp:lastModifiedBy>
  <cp:lastPrinted>2001-03-15T19:41:59Z</cp:lastPrinted>
  <dcterms:created xsi:type="dcterms:W3CDTF">2000-08-14T16:49:33Z</dcterms:created>
  <cp:category>Economics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