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90" windowWidth="15360" windowHeight="8685" tabRatio="784" activeTab="0"/>
  </bookViews>
  <sheets>
    <sheet name="Project Summary" sheetId="1" r:id="rId1"/>
    <sheet name="Site Audit" sheetId="2" r:id="rId2"/>
    <sheet name="Verification Report" sheetId="3" r:id="rId3"/>
    <sheet name="Letter" sheetId="4" r:id="rId4"/>
    <sheet name="Data Existing" sheetId="5" r:id="rId5"/>
    <sheet name="Data Proposed" sheetId="6" r:id="rId6"/>
    <sheet name="ProjectBC" sheetId="7" state="hidden" r:id="rId7"/>
    <sheet name="LSYield" sheetId="8" state="hidden" r:id="rId8"/>
    <sheet name="ShapePV" sheetId="9" state="hidden" r:id="rId9"/>
    <sheet name="BugList" sheetId="10" state="hidden" r:id="rId10"/>
    <sheet name="Apps" sheetId="11" r:id="rId11"/>
    <sheet name="Lamps" sheetId="12" r:id="rId12"/>
    <sheet name="Tips" sheetId="13" r:id="rId13"/>
    <sheet name="Definitions" sheetId="14" r:id="rId14"/>
  </sheets>
  <externalReferences>
    <externalReference r:id="rId17"/>
    <externalReference r:id="rId18"/>
  </externalReferences>
  <definedNames>
    <definedName name="_5th_Plan_Building_Type_Names">'[1]BType Names'!$A$2:$B$19</definedName>
    <definedName name="AverageLife">#REF!</definedName>
    <definedName name="BC_Ratio">'ProjectBC'!$C$14</definedName>
    <definedName name="BPA_Reimbursement">'Project Summary'!$I$42</definedName>
    <definedName name="Btype">'LSYield'!$D$2</definedName>
    <definedName name="BTypeNames">'LSYield'!$D$5:$D$30</definedName>
    <definedName name="Cost">#REF!</definedName>
    <definedName name="Cost_Data_03">'[2]Cost Data 03'!$B$3:$M$110</definedName>
    <definedName name="Credit_Data">'Project Summary'!$D$9:$K$332</definedName>
    <definedName name="Data">#REF!</definedName>
    <definedName name="DiscountRate">'ProjectBC'!$G$7</definedName>
    <definedName name="Existing">'Data Existing'!$B$3:$S$193</definedName>
    <definedName name="Existing_Description">'Data Existing'!$B$4:$B$193</definedName>
    <definedName name="Family">#REF!</definedName>
    <definedName name="ID">#REF!</definedName>
    <definedName name="Labor">#REF!</definedName>
    <definedName name="LSYield">'LSYield'!$F$5:$Z$30</definedName>
    <definedName name="MeasureLife">'Project Summary'!$I$21</definedName>
    <definedName name="NPV_kWh">'ShapePV'!$C$4:$D$56</definedName>
    <definedName name="Number">#REF!</definedName>
    <definedName name="OandM">'Project Summary'!$I$11</definedName>
    <definedName name="OperatingHours">#REF!</definedName>
    <definedName name="_xlnm.Print_Area" localSheetId="10">'Apps'!$B:$F</definedName>
    <definedName name="_xlnm.Print_Area" localSheetId="4">'Data Existing'!$B$3:$E$194</definedName>
    <definedName name="_xlnm.Print_Area" localSheetId="5">'Data Proposed'!$B$3:$F$320</definedName>
    <definedName name="_xlnm.Print_Area" localSheetId="11">'Lamps'!$B$1:$K$62</definedName>
    <definedName name="_xlnm.Print_Area" localSheetId="3">'Letter'!$B$1:$H$35</definedName>
    <definedName name="_xlnm.Print_Area" localSheetId="0">'Project Summary'!$B:$I</definedName>
    <definedName name="_xlnm.Print_Area" localSheetId="1">'Site Audit'!$B$2:$Y$54</definedName>
    <definedName name="_xlnm.Print_Area" localSheetId="12">'Tips'!$A:$B</definedName>
    <definedName name="_xlnm.Print_Area" localSheetId="2">'Verification Report'!$B$3:$H$74</definedName>
    <definedName name="_xlnm.Print_Titles" localSheetId="13">'Definitions'!$1:$3</definedName>
    <definedName name="Project_Cost">'Project Summary'!$I$17</definedName>
    <definedName name="Proposed">'Data Proposed'!$B$3:$S$324</definedName>
    <definedName name="Proposed_Description">'Data Proposed'!$B$4:$B$318</definedName>
    <definedName name="PV">#REF!</definedName>
    <definedName name="PV_Energy_Cost">'Project Summary'!$I$34</definedName>
    <definedName name="PV_Energy_Saved">'Project Summary'!$I$33</definedName>
    <definedName name="PV_Gas_OM">'Project Summary'!$I$37</definedName>
    <definedName name="PV_LifeCycle_Cost">'Project Summary'!$I$40</definedName>
    <definedName name="PV_OandM">'Project Summary'!$I$39</definedName>
    <definedName name="PV_Other_OM">'Project Summary'!$I$36</definedName>
    <definedName name="PV_ReLamp_Cost">'Project Summary'!$I$38</definedName>
    <definedName name="Row12">'Site Audit'!#REF!</definedName>
    <definedName name="Row7">'Site Audit'!$B$20:$V$20</definedName>
    <definedName name="Savings_Busbar">'Project Summary'!$I$25</definedName>
    <definedName name="Simple_Payback">'Project Summary'!$I$29</definedName>
    <definedName name="SpaceHeat">'LSYield'!$E$2</definedName>
    <definedName name="SpaceHeatNames">'LSYield'!$E$5:$E$12</definedName>
    <definedName name="Top">'Site Audit'!$B$19</definedName>
    <definedName name="TRC_Lookup">'ShapePV'!$E$4:$S$101</definedName>
  </definedNames>
  <calcPr fullCalcOnLoad="1"/>
</workbook>
</file>

<file path=xl/comments1.xml><?xml version="1.0" encoding="utf-8"?>
<comments xmlns="http://schemas.openxmlformats.org/spreadsheetml/2006/main">
  <authors>
    <author>Charlie Grist</author>
  </authors>
  <commentList>
    <comment ref="C11" authorId="0">
      <text>
        <r>
          <rPr>
            <b/>
            <sz val="8"/>
            <rFont val="Tahoma"/>
            <family val="0"/>
          </rPr>
          <t>Charlie Grist:</t>
        </r>
        <r>
          <rPr>
            <sz val="8"/>
            <rFont val="Tahoma"/>
            <family val="0"/>
          </rPr>
          <t xml:space="preserve">
Include change in maintenance costs (if any)  </t>
        </r>
        <r>
          <rPr>
            <b/>
            <sz val="8"/>
            <rFont val="Tahoma"/>
            <family val="2"/>
          </rPr>
          <t xml:space="preserve">OTHER THAN </t>
        </r>
        <r>
          <rPr>
            <sz val="8"/>
            <rFont val="Tahoma"/>
            <family val="0"/>
          </rPr>
          <t>periodic lamp change costs or fuel costs.
Example:  Change in fixture cleaning costs if new fixtures cleaned more or less frequently than existing fixtures.
Periodic lamp replacement costs and any change in fuel costs due to HVAC interaction are calculated automatically below.</t>
        </r>
      </text>
    </comment>
    <comment ref="C18" authorId="0">
      <text>
        <r>
          <rPr>
            <b/>
            <sz val="8"/>
            <rFont val="Tahoma"/>
            <family val="0"/>
          </rPr>
          <t>Charlie Grist:</t>
        </r>
        <r>
          <rPr>
            <sz val="8"/>
            <rFont val="Tahoma"/>
            <family val="0"/>
          </rPr>
          <t xml:space="preserve">
Automatically calculated based on lamp-life and lighting schedule data taken from Site Audit.  Used for TRC calculations.</t>
        </r>
      </text>
    </comment>
    <comment ref="C39" authorId="0">
      <text>
        <r>
          <rPr>
            <b/>
            <sz val="8"/>
            <rFont val="Tahoma"/>
            <family val="0"/>
          </rPr>
          <t>Charlie Grist:</t>
        </r>
        <r>
          <rPr>
            <sz val="8"/>
            <rFont val="Tahoma"/>
            <family val="0"/>
          </rPr>
          <t xml:space="preserve">
For lighting measures this includes 1) Regular O&amp;M such as change in cleaning costs, 2) Change in gas costs due to HVAC interaction if any and 3) Change in periodic lamp replacement costs over the life cycle of the measure.</t>
        </r>
      </text>
    </comment>
  </commentList>
</comments>
</file>

<file path=xl/comments2.xml><?xml version="1.0" encoding="utf-8"?>
<comments xmlns="http://schemas.openxmlformats.org/spreadsheetml/2006/main">
  <authors>
    <author>Administrator</author>
    <author>cac1154</author>
    <author>Jack M. Callahan</author>
    <author>Charlie Grist</author>
  </authors>
  <commentList>
    <comment ref="M19" authorId="0">
      <text>
        <r>
          <rPr>
            <b/>
            <sz val="10"/>
            <rFont val="Tahoma"/>
            <family val="2"/>
          </rPr>
          <t xml:space="preserve">Automatically copies the Existing Lamp/Ballast Combination Quantity unless user types in a changed value.  For instance, type in a different value if one or more fixtures are removed or added.  </t>
        </r>
      </text>
    </comment>
    <comment ref="G19" authorId="0">
      <text>
        <r>
          <rPr>
            <b/>
            <sz val="8"/>
            <rFont val="Tahoma"/>
            <family val="0"/>
          </rPr>
          <t xml:space="preserve">Mean lamp(s) light output per existing luminaire.  Does not include luminaire efficiency.  Automatically draws from the Data Existing tab column D of this workbook.  </t>
        </r>
        <r>
          <rPr>
            <sz val="8"/>
            <rFont val="Tahoma"/>
            <family val="0"/>
          </rPr>
          <t xml:space="preserve">
</t>
        </r>
      </text>
    </comment>
    <comment ref="E19" authorId="0">
      <text>
        <r>
          <rPr>
            <b/>
            <sz val="10"/>
            <rFont val="Tahoma"/>
            <family val="2"/>
          </rPr>
          <t xml:space="preserve">Quantity of existing luminaires.  User input value.  </t>
        </r>
      </text>
    </comment>
    <comment ref="F19" authorId="0">
      <text>
        <r>
          <rPr>
            <b/>
            <sz val="10"/>
            <rFont val="Tahoma"/>
            <family val="2"/>
          </rPr>
          <t xml:space="preserve">Existing watts per luminaire.  Automatically draws from the Data Existing tab column C of this workbook.  </t>
        </r>
        <r>
          <rPr>
            <sz val="10"/>
            <rFont val="Tahoma"/>
            <family val="2"/>
          </rPr>
          <t xml:space="preserve">
</t>
        </r>
      </text>
    </comment>
    <comment ref="D19" authorId="0">
      <text>
        <r>
          <rPr>
            <b/>
            <sz val="10"/>
            <rFont val="Tahoma"/>
            <family val="2"/>
          </rPr>
          <t>These are drop-down boxes.  Make a selection and it will automatically draw from the Data Existing tab column B of this workbook and populate column F, G, H, I, and J of this spreadsheet.</t>
        </r>
      </text>
    </comment>
    <comment ref="C19" authorId="0">
      <text>
        <r>
          <rPr>
            <b/>
            <sz val="10"/>
            <rFont val="Tahoma"/>
            <family val="2"/>
          </rPr>
          <t xml:space="preserve">Estimated annual operating hours of each lighting measure (not the building).  This value is user calculated and input.  </t>
        </r>
      </text>
    </comment>
    <comment ref="B19" authorId="0">
      <text>
        <r>
          <rPr>
            <b/>
            <sz val="10"/>
            <rFont val="Tahoma"/>
            <family val="2"/>
          </rPr>
          <t xml:space="preserve">Area of building, room number, location, office name, etc..  Be specific enough that someone unfamiliar with the building can easily find the room or area.  You can group exact same rooms together if they have the same hours of operation and are closely located.  </t>
        </r>
      </text>
    </comment>
    <comment ref="R15" authorId="0">
      <text>
        <r>
          <rPr>
            <b/>
            <sz val="11"/>
            <rFont val="Tahoma"/>
            <family val="2"/>
          </rPr>
          <t xml:space="preserve">Must be 30% or greater in order to receive a reimbursement or credit.  Font turns red if less than 30%.  </t>
        </r>
      </text>
    </comment>
    <comment ref="N19" authorId="0">
      <text>
        <r>
          <rPr>
            <b/>
            <sz val="10"/>
            <rFont val="Tahoma"/>
            <family val="2"/>
          </rPr>
          <t xml:space="preserve">Proposed watts per luminaire.  Automatically drawn from the Data Proposed tab column C of this workbook. </t>
        </r>
      </text>
    </comment>
    <comment ref="O19" authorId="0">
      <text>
        <r>
          <rPr>
            <b/>
            <sz val="10"/>
            <rFont val="Tahoma"/>
            <family val="2"/>
          </rPr>
          <t xml:space="preserve">Mean lamp(s) light output per proposed luminaire.  Does not include luminaire efficiency.  Automatically drawn from the Data Proposed tab column D of this workbook. </t>
        </r>
      </text>
    </comment>
    <comment ref="R19" authorId="0">
      <text>
        <r>
          <rPr>
            <b/>
            <sz val="10"/>
            <rFont val="Tahoma"/>
            <family val="2"/>
          </rPr>
          <t xml:space="preserve">Spreadsheet automatically calculates this value.  It is a per room per measure calculation.  </t>
        </r>
      </text>
    </comment>
    <comment ref="L19" authorId="0">
      <text>
        <r>
          <rPr>
            <b/>
            <sz val="10"/>
            <rFont val="Tahoma"/>
            <family val="2"/>
          </rPr>
          <t>These are drop-down boxes.  Make a selection and it will automatically draw from the Data Proposed tab column B of this workbook and populate column N, O, P, and Q of this spreadsheet.</t>
        </r>
      </text>
    </comment>
    <comment ref="M15" authorId="1">
      <text>
        <r>
          <rPr>
            <b/>
            <sz val="10"/>
            <rFont val="Tahoma"/>
            <family val="2"/>
          </rPr>
          <t xml:space="preserve">Weighted average of existing lighting system hours of operation per year.  </t>
        </r>
      </text>
    </comment>
    <comment ref="E15" authorId="1">
      <text>
        <r>
          <rPr>
            <b/>
            <sz val="10"/>
            <rFont val="Tahoma"/>
            <family val="2"/>
          </rPr>
          <t xml:space="preserve">Calculated from column N of this worksheet.  Column N is a hidden column.  </t>
        </r>
      </text>
    </comment>
    <comment ref="D15" authorId="1">
      <text>
        <r>
          <rPr>
            <b/>
            <sz val="10"/>
            <rFont val="Tahoma"/>
            <family val="2"/>
          </rPr>
          <t xml:space="preserve">Calculated from column H of this worksheet.  Column H is a hidden column.  </t>
        </r>
      </text>
    </comment>
    <comment ref="K19" authorId="0">
      <text>
        <r>
          <rPr>
            <b/>
            <sz val="8"/>
            <rFont val="Tahoma"/>
            <family val="0"/>
          </rPr>
          <t xml:space="preserve">Automatically copies the Existing Annual Operating Hours of the measure unless user types in a changed value.  For instance, type in a different value if an occupancy sensor is installed.  </t>
        </r>
      </text>
    </comment>
    <comment ref="L15" authorId="1">
      <text>
        <r>
          <rPr>
            <b/>
            <sz val="10"/>
            <rFont val="Tahoma"/>
            <family val="2"/>
          </rPr>
          <t xml:space="preserve">Total Project Estimated Annual kWh savings at the site.  This value is unadjusted for interactions and busbar savings.  This cell sums up values in column R. </t>
        </r>
      </text>
    </comment>
    <comment ref="M9" authorId="1">
      <text>
        <r>
          <rPr>
            <b/>
            <sz val="10"/>
            <rFont val="Tahoma"/>
            <family val="2"/>
          </rPr>
          <t xml:space="preserve">OPTIONAL:  This value should be the most representative utility demand rate in dollars per kilowatt per month.  You may have to average seasonal demand rates.  </t>
        </r>
      </text>
    </comment>
    <comment ref="R9" authorId="1">
      <text>
        <r>
          <rPr>
            <b/>
            <sz val="10"/>
            <rFont val="Tahoma"/>
            <family val="2"/>
          </rPr>
          <t xml:space="preserve">This cell automatically calculates the estimated dollar savings per year (12 months) associated with kW or Demand savings.  This number is added to the energy savings value and put into the estimated dollar savings cell in the letter tab of this workbook.  </t>
        </r>
      </text>
    </comment>
    <comment ref="M8" authorId="1">
      <text>
        <r>
          <rPr>
            <b/>
            <sz val="10"/>
            <rFont val="Tahoma"/>
            <family val="2"/>
          </rPr>
          <t xml:space="preserve">REQUIRED: This value should be the most representative energy rate in dollars per kilowatt-hour.  Usually the highest block rate in the utilities rate structure.  May have to average seasonal energy rates.  </t>
        </r>
      </text>
    </comment>
    <comment ref="R16" authorId="1">
      <text>
        <r>
          <rPr>
            <b/>
            <sz val="10"/>
            <rFont val="Tahoma"/>
            <family val="2"/>
          </rPr>
          <t xml:space="preserve">This is the Reimbursement or Credit amount.  Based on the total rebate amounts or 70% of project cost whichever is less.  </t>
        </r>
        <r>
          <rPr>
            <sz val="8"/>
            <rFont val="Tahoma"/>
            <family val="0"/>
          </rPr>
          <t xml:space="preserve">
</t>
        </r>
      </text>
    </comment>
    <comment ref="E16" authorId="1">
      <text>
        <r>
          <rPr>
            <b/>
            <sz val="10"/>
            <rFont val="Tahoma"/>
            <family val="2"/>
          </rPr>
          <t xml:space="preserve">Input the total project cost from the installation contractor invoices.    In-house installation labor can be counted,  Use direct labor costs only (no overhead).  </t>
        </r>
        <r>
          <rPr>
            <sz val="10"/>
            <rFont val="Tahoma"/>
            <family val="2"/>
          </rPr>
          <t xml:space="preserve">
</t>
        </r>
      </text>
    </comment>
    <comment ref="X19" authorId="2">
      <text>
        <r>
          <rPr>
            <b/>
            <sz val="11"/>
            <rFont val="Tahoma"/>
            <family val="2"/>
          </rPr>
          <t>This value is taken from the Data Proposed tab column F.</t>
        </r>
      </text>
    </comment>
    <comment ref="Y19" authorId="2">
      <text>
        <r>
          <rPr>
            <b/>
            <sz val="11"/>
            <rFont val="Tahoma"/>
            <family val="2"/>
          </rPr>
          <t xml:space="preserve">This value is the multiplication of column M and column X of this spreadsheet.  It is the total reimbursement or credit per measure. </t>
        </r>
      </text>
    </comment>
    <comment ref="S19" authorId="2">
      <text>
        <r>
          <rPr>
            <b/>
            <sz val="11"/>
            <rFont val="Tahoma"/>
            <family val="2"/>
          </rPr>
          <t xml:space="preserve">Font is </t>
        </r>
        <r>
          <rPr>
            <b/>
            <sz val="11"/>
            <color indexed="10"/>
            <rFont val="Tahoma"/>
            <family val="2"/>
          </rPr>
          <t>RED</t>
        </r>
        <r>
          <rPr>
            <b/>
            <sz val="11"/>
            <rFont val="Tahoma"/>
            <family val="2"/>
          </rPr>
          <t xml:space="preserve"> if Wattage Reduction is NOT between 20 and 50%.  The value(s) below are only related to each measure.  </t>
        </r>
      </text>
    </comment>
    <comment ref="T19" authorId="2">
      <text>
        <r>
          <rPr>
            <b/>
            <sz val="11"/>
            <rFont val="Tahoma"/>
            <family val="2"/>
          </rPr>
          <t xml:space="preserve">Font is </t>
        </r>
        <r>
          <rPr>
            <b/>
            <sz val="11"/>
            <color indexed="10"/>
            <rFont val="Tahoma"/>
            <family val="2"/>
          </rPr>
          <t>RED</t>
        </r>
        <r>
          <rPr>
            <b/>
            <sz val="11"/>
            <rFont val="Tahoma"/>
            <family val="2"/>
          </rPr>
          <t xml:space="preserve"> if Change in Light Level is NOT between -10% and +10%.  Calculates total change in light output of lamp(s) only.  Ignores luminaire efficiency.  Use the below value(s) to determine how close you are to the existing light level.  </t>
        </r>
      </text>
    </comment>
    <comment ref="R18" authorId="1">
      <text>
        <r>
          <rPr>
            <b/>
            <sz val="10"/>
            <rFont val="Tahoma"/>
            <family val="2"/>
          </rPr>
          <t xml:space="preserve">Per measure summary info.  Use this info to check yourself.  </t>
        </r>
      </text>
    </comment>
    <comment ref="R14" authorId="1">
      <text>
        <r>
          <rPr>
            <b/>
            <sz val="10"/>
            <rFont val="Tahoma"/>
            <family val="2"/>
          </rPr>
          <t xml:space="preserve">This value is only related to the lighting wattage affected by the installation.  Does not depict total building wattage reduction.  </t>
        </r>
        <r>
          <rPr>
            <sz val="10"/>
            <rFont val="Tahoma"/>
            <family val="2"/>
          </rPr>
          <t xml:space="preserve">
</t>
        </r>
      </text>
    </comment>
    <comment ref="D16" authorId="1">
      <text>
        <r>
          <rPr>
            <b/>
            <sz val="10"/>
            <rFont val="Tahoma"/>
            <family val="2"/>
          </rPr>
          <t xml:space="preserve">Input the project cost into the cell to the right.  Includes labor and materials from the installation contractors' invoices.  Also, can include in-house labor costs.  Direct installation labor costs only. </t>
        </r>
      </text>
    </comment>
    <comment ref="L16" authorId="1">
      <text>
        <r>
          <rPr>
            <b/>
            <sz val="10"/>
            <rFont val="Tahoma"/>
            <family val="2"/>
          </rPr>
          <t xml:space="preserve">This workbook automatically calculates the lesser of the reimbursement amount or 70% of project cost and shows the answer in the cell to the right.  </t>
        </r>
      </text>
    </comment>
    <comment ref="E14" authorId="1">
      <text>
        <r>
          <rPr>
            <b/>
            <sz val="10"/>
            <rFont val="Tahoma"/>
            <family val="2"/>
          </rPr>
          <t>See the cell below.</t>
        </r>
        <r>
          <rPr>
            <sz val="10"/>
            <rFont val="Tahoma"/>
            <family val="2"/>
          </rPr>
          <t xml:space="preserve">
</t>
        </r>
      </text>
    </comment>
    <comment ref="D14" authorId="1">
      <text>
        <r>
          <rPr>
            <b/>
            <sz val="10"/>
            <rFont val="Tahoma"/>
            <family val="2"/>
          </rPr>
          <t>See the cell below.</t>
        </r>
        <r>
          <rPr>
            <sz val="10"/>
            <rFont val="Tahoma"/>
            <family val="2"/>
          </rPr>
          <t xml:space="preserve">
</t>
        </r>
      </text>
    </comment>
    <comment ref="L14" authorId="1">
      <text>
        <r>
          <rPr>
            <b/>
            <sz val="10"/>
            <rFont val="Tahoma"/>
            <family val="2"/>
          </rPr>
          <t>See the cell below.</t>
        </r>
        <r>
          <rPr>
            <sz val="10"/>
            <rFont val="Tahoma"/>
            <family val="2"/>
          </rPr>
          <t xml:space="preserve">
</t>
        </r>
      </text>
    </comment>
    <comment ref="M14" authorId="1">
      <text>
        <r>
          <rPr>
            <b/>
            <sz val="10"/>
            <rFont val="Tahoma"/>
            <family val="2"/>
          </rPr>
          <t>See the cell below.</t>
        </r>
        <r>
          <rPr>
            <sz val="10"/>
            <rFont val="Tahoma"/>
            <family val="2"/>
          </rPr>
          <t xml:space="preserve">
</t>
        </r>
      </text>
    </comment>
    <comment ref="W19" authorId="2">
      <text>
        <r>
          <rPr>
            <b/>
            <sz val="11"/>
            <rFont val="Tahoma"/>
            <family val="2"/>
          </rPr>
          <t>This value is taken from the Data Proposed tab column E.</t>
        </r>
      </text>
    </comment>
    <comment ref="W18" authorId="2">
      <text>
        <r>
          <rPr>
            <b/>
            <sz val="10"/>
            <rFont val="Tahoma"/>
            <family val="2"/>
          </rPr>
          <t>CAA or CRC Reimbursement or Credit per unit and total per measure</t>
        </r>
      </text>
    </comment>
    <comment ref="R8" authorId="3">
      <text>
        <r>
          <rPr>
            <b/>
            <sz val="10"/>
            <rFont val="Tahoma"/>
            <family val="2"/>
          </rPr>
          <t>Charlie Grist:</t>
        </r>
        <r>
          <rPr>
            <sz val="10"/>
            <rFont val="Tahoma"/>
            <family val="2"/>
          </rPr>
          <t xml:space="preserve">
Electric Savings including estimated interactive effects of lighting and HVAC</t>
        </r>
      </text>
    </comment>
    <comment ref="C5" authorId="3">
      <text>
        <r>
          <rPr>
            <b/>
            <sz val="10"/>
            <rFont val="Tahoma"/>
            <family val="2"/>
          </rPr>
          <t>Charlie Grist:</t>
        </r>
        <r>
          <rPr>
            <sz val="10"/>
            <rFont val="Tahoma"/>
            <family val="2"/>
          </rPr>
          <t xml:space="preserve">
Select building type from list.  If multiple building types are present consider separate audit sheets for separate buildings.  Or select the type that most closely matches the primary areas of the building where proposed lighting measures occur. 
This value is used to estimate interactive effects of lighting energy savings on HVAC.</t>
        </r>
      </text>
    </comment>
    <comment ref="C6" authorId="3">
      <text>
        <r>
          <rPr>
            <b/>
            <sz val="10"/>
            <rFont val="Tahoma"/>
            <family val="2"/>
          </rPr>
          <t>Charlie Grist:</t>
        </r>
        <r>
          <rPr>
            <sz val="10"/>
            <rFont val="Tahoma"/>
            <family val="2"/>
          </rPr>
          <t xml:space="preserve">
Select dominant space heat type from list.  If multiple space heat types are present, consider separate audit sheets for separate buildings.  Or select the type that most closely matches the primary areas of the building where proposed lighting measures occur. 
This value is used to estimate interactive effects of lighting energy savings on HVAC.</t>
        </r>
      </text>
    </comment>
    <comment ref="C10" authorId="1">
      <text>
        <r>
          <rPr>
            <b/>
            <sz val="10"/>
            <rFont val="Tahoma"/>
            <family val="2"/>
          </rPr>
          <t>Input building for this project</t>
        </r>
      </text>
    </comment>
    <comment ref="W15" authorId="1">
      <text>
        <r>
          <rPr>
            <b/>
            <sz val="10"/>
            <rFont val="Tahoma"/>
            <family val="2"/>
          </rPr>
          <t xml:space="preserve">This value takes into account the energy interaction between the lighting system and the HVAC system.  </t>
        </r>
      </text>
    </comment>
    <comment ref="C9" authorId="1">
      <text>
        <r>
          <rPr>
            <b/>
            <sz val="10"/>
            <rFont val="Tahoma"/>
            <family val="2"/>
          </rPr>
          <t xml:space="preserve">Input street address, city, and stare.  Enter enough info to locate the facility. </t>
        </r>
      </text>
    </comment>
  </commentList>
</comments>
</file>

<file path=xl/comments8.xml><?xml version="1.0" encoding="utf-8"?>
<comments xmlns="http://schemas.openxmlformats.org/spreadsheetml/2006/main">
  <authors>
    <author>Charlie Grist</author>
  </authors>
  <commentList>
    <comment ref="G3" authorId="0">
      <text>
        <r>
          <rPr>
            <b/>
            <sz val="8"/>
            <rFont val="Tahoma"/>
            <family val="0"/>
          </rPr>
          <t>Charlie Grist:</t>
        </r>
        <r>
          <rPr>
            <sz val="8"/>
            <rFont val="Tahoma"/>
            <family val="0"/>
          </rPr>
          <t xml:space="preserve">
Lighting Savings Yield is the fraction of lighting energy savings that is realized after taking into account interactions between energy use in the lighting, heating and cooling systems.  These values include region-wide estimates of the average saturation of cooling systems.
Multiply lighting savings by LSYield to get energy savings net of electric space heat &amp; cooling interactions. 
Does not include gas interactions.
Values are from a series of several hundred DOE 2 runs performed by Mike Kennedy in 2003 on several prototypes in several configurations of shell, lpd, ventilation rates, HVAC system configuration and climate.  Adopted by RTF in 2004.
Values are default estimates for common cases of building and system configuration and operating conditions thought to represent the population. Over 600 results were synthesized into the categories represented in the tables as a simplification for regional conservation analysis and for default values for the RTF calculators and deemed savings calculations. As a result the default values may not represent specific cases. Specific cases which are thought to have significantly different interactions than the defaults should be modeled under RTF protocols.
Original work in file: InteractionsBldgType01082004.xls
Default annual hours of lighting operation are estimated from twelve sources by Grist and adopted by RTF in 2004.  See file R:\CG\Main\Plan 5\Commercial\Assessment\Data\hours.xls</t>
        </r>
      </text>
    </comment>
  </commentList>
</comments>
</file>

<file path=xl/sharedStrings.xml><?xml version="1.0" encoding="utf-8"?>
<sst xmlns="http://schemas.openxmlformats.org/spreadsheetml/2006/main" count="2482" uniqueCount="1356">
  <si>
    <t>Non-directional incandescent.</t>
  </si>
  <si>
    <t xml:space="preserve">Over outside doors or pointing toward exit paths. </t>
  </si>
  <si>
    <t xml:space="preserve">3000K &amp; 4000K color temp choices. </t>
  </si>
  <si>
    <t xml:space="preserve">Over machinery &amp; other difficult locations. </t>
  </si>
  <si>
    <t xml:space="preserve">Incandescent. </t>
  </si>
  <si>
    <t xml:space="preserve">Industrial high bay general illumination. </t>
  </si>
  <si>
    <t xml:space="preserve">Industrial high bay task illumination. </t>
  </si>
  <si>
    <t>Occupancy Sensors</t>
  </si>
  <si>
    <t>Infrequently occupied areas.</t>
  </si>
  <si>
    <t>Manual wall switches.</t>
  </si>
  <si>
    <r>
      <t xml:space="preserve">In the </t>
    </r>
    <r>
      <rPr>
        <b/>
        <sz val="12"/>
        <rFont val="Times New Roman"/>
        <family val="1"/>
      </rPr>
      <t>Location column</t>
    </r>
    <r>
      <rPr>
        <sz val="12"/>
        <rFont val="Times New Roman"/>
        <family val="0"/>
      </rPr>
      <t>, input a specific location.  (i.e.. 1st floor, room 123).</t>
    </r>
  </si>
  <si>
    <r>
      <t xml:space="preserve">In the </t>
    </r>
    <r>
      <rPr>
        <b/>
        <sz val="12"/>
        <rFont val="Times New Roman"/>
        <family val="1"/>
      </rPr>
      <t>Annual Operating Hours column</t>
    </r>
    <r>
      <rPr>
        <sz val="12"/>
        <rFont val="Times New Roman"/>
        <family val="0"/>
      </rPr>
      <t xml:space="preserve"> - Fill this in for the spreadsheet to work properly.</t>
    </r>
  </si>
  <si>
    <r>
      <t>New</t>
    </r>
    <r>
      <rPr>
        <sz val="9"/>
        <rFont val="Arial"/>
        <family val="2"/>
      </rPr>
      <t xml:space="preserve"> Hard-Wired CFL fixture, 1-bi-ax 13W, 1-Elec</t>
    </r>
  </si>
  <si>
    <t>New Hard-Wired CFL fixture, 2-bi-ax 13, 1-Elec</t>
  </si>
  <si>
    <t>New Hard-Wired CFL fixture, 2-bi-ax 26W, 1-Elec</t>
  </si>
  <si>
    <r>
      <t>New</t>
    </r>
    <r>
      <rPr>
        <sz val="9"/>
        <rFont val="Arial"/>
        <family val="2"/>
      </rPr>
      <t xml:space="preserve"> Hard-Wired CFL fixture, 1-bi-ax 18W, 1-Elec</t>
    </r>
  </si>
  <si>
    <r>
      <t xml:space="preserve">New </t>
    </r>
    <r>
      <rPr>
        <sz val="9"/>
        <rFont val="Arial"/>
        <family val="2"/>
      </rPr>
      <t>Hard-Wired CFL fixture, 1-bi-ax 26W, 1-Elec</t>
    </r>
  </si>
  <si>
    <r>
      <t>New</t>
    </r>
    <r>
      <rPr>
        <sz val="9"/>
        <rFont val="Arial"/>
        <family val="2"/>
      </rPr>
      <t xml:space="preserve"> Hard-Wired CFL fixture, 1-bi-ax 32W, 1-Elec</t>
    </r>
  </si>
  <si>
    <r>
      <t>New</t>
    </r>
    <r>
      <rPr>
        <sz val="9"/>
        <rFont val="Arial"/>
        <family val="2"/>
      </rPr>
      <t xml:space="preserve"> Hard-Wired CFL fixture, 1-bi-ax 42W, 1-Elec</t>
    </r>
  </si>
  <si>
    <r>
      <t>New</t>
    </r>
    <r>
      <rPr>
        <sz val="9"/>
        <rFont val="Arial"/>
        <family val="2"/>
      </rPr>
      <t xml:space="preserve"> Hard-Wired CFL fixture, 1-bi-ax 55W, 1-Mag</t>
    </r>
  </si>
  <si>
    <r>
      <t>New</t>
    </r>
    <r>
      <rPr>
        <sz val="9"/>
        <rFont val="Arial"/>
        <family val="2"/>
      </rPr>
      <t xml:space="preserve"> Hard-Wired CFL fixture, 1-bi-ax 65W, 1-Mag</t>
    </r>
  </si>
  <si>
    <r>
      <t>New</t>
    </r>
    <r>
      <rPr>
        <sz val="9"/>
        <rFont val="Arial"/>
        <family val="2"/>
      </rPr>
      <t xml:space="preserve"> Hard-Wired CFL fixture, 1-bi-ax 85W, 1-Mag</t>
    </r>
  </si>
  <si>
    <r>
      <t>New</t>
    </r>
    <r>
      <rPr>
        <sz val="9"/>
        <rFont val="Arial"/>
        <family val="2"/>
      </rPr>
      <t xml:space="preserve"> Hard-Wired CFL fixture, 2-bi-ax 5W, 2-Mag</t>
    </r>
  </si>
  <si>
    <r>
      <t>New</t>
    </r>
    <r>
      <rPr>
        <sz val="9"/>
        <rFont val="Arial"/>
        <family val="2"/>
      </rPr>
      <t xml:space="preserve"> Hard-Wired CFL fixture, 2-bi-ax 7W, 2-Mag</t>
    </r>
  </si>
  <si>
    <r>
      <t>New</t>
    </r>
    <r>
      <rPr>
        <sz val="9"/>
        <rFont val="Arial"/>
        <family val="2"/>
      </rPr>
      <t xml:space="preserve"> Hard-Wired CFL fixture, 2-bi-ax 9W, 2-Mag</t>
    </r>
  </si>
  <si>
    <r>
      <t>New</t>
    </r>
    <r>
      <rPr>
        <sz val="9"/>
        <rFont val="Arial"/>
        <family val="2"/>
      </rPr>
      <t xml:space="preserve"> Hard-Wired CFL fixture, 2-bi-ax 13, 1-Elec</t>
    </r>
  </si>
  <si>
    <r>
      <t>New</t>
    </r>
    <r>
      <rPr>
        <sz val="9"/>
        <rFont val="Arial"/>
        <family val="2"/>
      </rPr>
      <t xml:space="preserve"> Hard-Wired CFL fixture, 2-bi-ax 18W, 1-Elec</t>
    </r>
  </si>
  <si>
    <r>
      <t>New</t>
    </r>
    <r>
      <rPr>
        <sz val="9"/>
        <rFont val="Arial"/>
        <family val="2"/>
      </rPr>
      <t xml:space="preserve"> Hard-Wired CFL fixture, 2-bi-ax 26W, 1-Elec</t>
    </r>
  </si>
  <si>
    <r>
      <t>New</t>
    </r>
    <r>
      <rPr>
        <sz val="9"/>
        <rFont val="Arial"/>
        <family val="2"/>
      </rPr>
      <t xml:space="preserve"> Hard-Wired CFL fixture, 2-bi-ax 28W, 2-Mag</t>
    </r>
  </si>
  <si>
    <r>
      <t>New</t>
    </r>
    <r>
      <rPr>
        <sz val="9"/>
        <rFont val="Arial"/>
        <family val="2"/>
      </rPr>
      <t xml:space="preserve"> Hard-Wired CFL fixture, 2-bi-ax 32W, 2-Mag</t>
    </r>
  </si>
  <si>
    <r>
      <t>New</t>
    </r>
    <r>
      <rPr>
        <sz val="9"/>
        <rFont val="Arial"/>
        <family val="2"/>
      </rPr>
      <t xml:space="preserve"> Hard-Wired CFL fixture, 2-bi-ax 32W, 1-Elec</t>
    </r>
  </si>
  <si>
    <r>
      <t>New</t>
    </r>
    <r>
      <rPr>
        <sz val="9"/>
        <rFont val="Arial"/>
        <family val="2"/>
      </rPr>
      <t xml:space="preserve"> Hard-Wired CFL fixture, 2-bi-ax 42W, 1-Elec</t>
    </r>
  </si>
  <si>
    <r>
      <t>New</t>
    </r>
    <r>
      <rPr>
        <sz val="9"/>
        <rFont val="Arial"/>
        <family val="2"/>
      </rPr>
      <t xml:space="preserve"> Hard-Wired CFL fixture, 1-2D 16W, 1-Elec</t>
    </r>
  </si>
  <si>
    <r>
      <t>New</t>
    </r>
    <r>
      <rPr>
        <sz val="9"/>
        <rFont val="Arial"/>
        <family val="2"/>
      </rPr>
      <t xml:space="preserve"> Hard-Wired CFL fixture, 1-2D 21W, 1-Elec</t>
    </r>
  </si>
  <si>
    <r>
      <t>New</t>
    </r>
    <r>
      <rPr>
        <sz val="9"/>
        <rFont val="Arial"/>
        <family val="2"/>
      </rPr>
      <t xml:space="preserve"> Hard-Wired CFL fixture, 1-2D 28W, 1-Elec</t>
    </r>
  </si>
  <si>
    <r>
      <t xml:space="preserve">New </t>
    </r>
    <r>
      <rPr>
        <sz val="9"/>
        <rFont val="Arial"/>
        <family val="2"/>
      </rPr>
      <t>Hard-Wired CFL fixture, 1-2D 38W, 1-Elec</t>
    </r>
  </si>
  <si>
    <r>
      <t>New</t>
    </r>
    <r>
      <rPr>
        <sz val="9"/>
        <rFont val="Arial"/>
        <family val="2"/>
      </rPr>
      <t xml:space="preserve"> Hard-Wired CFL fixture, 2-2D 16W, 1-Elec</t>
    </r>
  </si>
  <si>
    <r>
      <t>New</t>
    </r>
    <r>
      <rPr>
        <sz val="9"/>
        <rFont val="Arial"/>
        <family val="2"/>
      </rPr>
      <t xml:space="preserve"> Hard-Wired CFL fixture, 2-2D 21W, 1-Elec</t>
    </r>
  </si>
  <si>
    <r>
      <t>New</t>
    </r>
    <r>
      <rPr>
        <sz val="9"/>
        <rFont val="Arial"/>
        <family val="2"/>
      </rPr>
      <t xml:space="preserve"> Hard-Wired CFL fixture, 2-2D 28W, 1-Elec</t>
    </r>
  </si>
  <si>
    <r>
      <t>New</t>
    </r>
    <r>
      <rPr>
        <sz val="9"/>
        <rFont val="Arial"/>
        <family val="2"/>
      </rPr>
      <t xml:space="preserve"> Hard-Wired CFL fixture, 2-2D 38W, 1-Elec</t>
    </r>
  </si>
  <si>
    <t>E1</t>
  </si>
  <si>
    <t>E2</t>
  </si>
  <si>
    <t>E3</t>
  </si>
  <si>
    <t>J1</t>
  </si>
  <si>
    <t>J2</t>
  </si>
  <si>
    <t>D1</t>
  </si>
  <si>
    <t>D2</t>
  </si>
  <si>
    <t>F1</t>
  </si>
  <si>
    <t>G1</t>
  </si>
  <si>
    <t>G2</t>
  </si>
  <si>
    <t>I1</t>
  </si>
  <si>
    <t>I2</t>
  </si>
  <si>
    <t>Annual Operat Hours</t>
  </si>
  <si>
    <t>P.S.  The print area on this worksheet is set so the note box does not print.  The print area is set on the other worksheets as well.</t>
  </si>
  <si>
    <t>REL indicates a 120 volt standard electronic ballast manufactured by Advance</t>
  </si>
  <si>
    <t>VEL indicates a 277 volt standard electronic ballast manufactured by Advance</t>
  </si>
  <si>
    <t>Input Watts</t>
  </si>
  <si>
    <t>When you see a "PRS" in the model number of a ballast, it indicates a program-rapid-start ballast.</t>
  </si>
  <si>
    <t>NOMENCLATURE  for this Drop-Down workbook (typical)</t>
  </si>
  <si>
    <t>Category A1 Example</t>
  </si>
  <si>
    <t>Category A2 Example</t>
  </si>
  <si>
    <t>Category B1 Example</t>
  </si>
  <si>
    <t>Category B2 Example</t>
  </si>
  <si>
    <t>Category C1 Example</t>
  </si>
  <si>
    <t>Category C2  Example</t>
  </si>
  <si>
    <t>Category D1  Example</t>
  </si>
  <si>
    <t>Category D2  Example</t>
  </si>
  <si>
    <t>Category E1  Example</t>
  </si>
  <si>
    <t>Category E2  Example</t>
  </si>
  <si>
    <t>Category E3  Example</t>
  </si>
  <si>
    <t>Category F1  Example</t>
  </si>
  <si>
    <t>Category G1  Example</t>
  </si>
  <si>
    <t>Category G2  Example</t>
  </si>
  <si>
    <t>Category H1  Example</t>
  </si>
  <si>
    <t xml:space="preserve">Category J1 Occupancy Sensor  Example  </t>
  </si>
  <si>
    <t>Category H2 Example</t>
  </si>
  <si>
    <t>Category J1 Occupancy Sensor  Example</t>
  </si>
  <si>
    <t>Category H3  Example</t>
  </si>
  <si>
    <t>Category J2 Occupancy Sensor  Example</t>
  </si>
  <si>
    <t>Category H4  Example</t>
  </si>
  <si>
    <t>Category I1  Example</t>
  </si>
  <si>
    <t>Category I2  Example</t>
  </si>
  <si>
    <t>Category K1  Example</t>
  </si>
  <si>
    <t>Category K2  Example</t>
  </si>
  <si>
    <t>Category L1  Example</t>
  </si>
  <si>
    <t>Category L2  Example</t>
  </si>
  <si>
    <t>No recommendation (leave fixture as-is)</t>
  </si>
  <si>
    <t>Leave fixture as-is</t>
  </si>
  <si>
    <t>No Recommendation Example</t>
  </si>
  <si>
    <t>T8HP 4', 1-F32T8, 3100+lumen, 1-HLO Universal B232PUNVHP-A</t>
  </si>
  <si>
    <t>T8HP 4', 1-F32T8, 3100+lumen, 1-HLO Universal B232I120HE</t>
  </si>
  <si>
    <t>T8HP 8', 2-F96T8, 5780+lumens Alto+, 1-Universal B259I277HE</t>
  </si>
  <si>
    <t>T8HP 8', 2-F96T8, 5900+lumens Alto+, 1-Universal B259I120HE</t>
  </si>
  <si>
    <t>T8HP 8', 2-F96T8, 5900+lumens Alto+, 1-Universal B259I277HE</t>
  </si>
  <si>
    <t>T8HP 8', 2-F96T8, 5950+lumens GE XL Starcoat, 1-Universal B259I120HE</t>
  </si>
  <si>
    <t>Gas Heat NPV per kWh electric lighting saved</t>
  </si>
  <si>
    <t>Default Measure Life</t>
  </si>
  <si>
    <t>LgOff</t>
  </si>
  <si>
    <t>SmOff</t>
  </si>
  <si>
    <t>LgRet</t>
  </si>
  <si>
    <t>SmRet</t>
  </si>
  <si>
    <t>Wareh</t>
  </si>
  <si>
    <t>Groc</t>
  </si>
  <si>
    <t>Rest</t>
  </si>
  <si>
    <t>Hotel</t>
  </si>
  <si>
    <t>CommLight</t>
  </si>
  <si>
    <t>Ind</t>
  </si>
  <si>
    <t>Industrial Plant with One Shift</t>
  </si>
  <si>
    <t>IndShift1</t>
  </si>
  <si>
    <r>
      <t>HP</t>
    </r>
    <r>
      <rPr>
        <sz val="12"/>
        <rFont val="Times New Roman"/>
        <family val="0"/>
      </rPr>
      <t xml:space="preserve"> - indicates high performance fluorescent products. So far, only T8 products have high performance capabilities.  High performance is a generic term which is defined in the ESO contract.</t>
    </r>
  </si>
  <si>
    <r>
      <t>Luminaire</t>
    </r>
    <r>
      <rPr>
        <sz val="12"/>
        <rFont val="Times New Roman"/>
        <family val="0"/>
      </rPr>
      <t xml:space="preserve"> - includes the lamp, ballast, fixture, lens, reflector, etc..  In other words, the whole lighting unit.</t>
    </r>
  </si>
  <si>
    <r>
      <t xml:space="preserve">You can move the curser across cells that have a </t>
    </r>
    <r>
      <rPr>
        <b/>
        <sz val="12"/>
        <rFont val="Times New Roman"/>
        <family val="1"/>
      </rPr>
      <t>small red triangle</t>
    </r>
    <r>
      <rPr>
        <sz val="12"/>
        <rFont val="Times New Roman"/>
        <family val="1"/>
      </rPr>
      <t xml:space="preserve"> in the top right corner of the cell to review comments associated with that cell.  </t>
    </r>
  </si>
  <si>
    <r>
      <t xml:space="preserve">When </t>
    </r>
    <r>
      <rPr>
        <b/>
        <sz val="12"/>
        <rFont val="Times New Roman"/>
        <family val="1"/>
      </rPr>
      <t>picking Proposed Lamp/Ballast Combinations</t>
    </r>
    <r>
      <rPr>
        <sz val="12"/>
        <rFont val="Times New Roman"/>
        <family val="0"/>
      </rPr>
      <t>, check the change in light level column to see if it is within limits.  If the calculated value turns red, it is outside of the normal (</t>
    </r>
    <r>
      <rPr>
        <u val="single"/>
        <sz val="12"/>
        <rFont val="Times New Roman"/>
        <family val="1"/>
      </rPr>
      <t>+</t>
    </r>
    <r>
      <rPr>
        <sz val="12"/>
        <rFont val="Times New Roman"/>
        <family val="0"/>
      </rPr>
      <t xml:space="preserve">10%) limit.  This doesn't mean you shouldn't recommend it.  It just means you should be cautious about the recommendation.  </t>
    </r>
  </si>
  <si>
    <r>
      <t>Mean Lumens</t>
    </r>
    <r>
      <rPr>
        <sz val="12"/>
        <rFont val="Times New Roman"/>
        <family val="0"/>
      </rPr>
      <t xml:space="preserve"> - or design lumens is an IES standard.  Basically, the "mean or design" lumen output is the measured lumen output of the lamp or luminaire at 40% of the rated lamp life.  To get the values used in the data tables, multiply lamp lumens * # lamps * bf * lumen maintenance factor.</t>
    </r>
  </si>
  <si>
    <t xml:space="preserve">bf </t>
  </si>
  <si>
    <t># lamps</t>
  </si>
  <si>
    <t>lumen maint</t>
  </si>
  <si>
    <r>
      <t>lumen</t>
    </r>
    <r>
      <rPr>
        <sz val="12"/>
        <rFont val="Times New Roman"/>
        <family val="0"/>
      </rPr>
      <t xml:space="preserve"> lamp</t>
    </r>
  </si>
  <si>
    <t>Metal Halide, 1500W, 1-Std Mag</t>
  </si>
  <si>
    <t>High Pressure Sodium, 35W, 1-Std Mag</t>
  </si>
  <si>
    <t>High Pressure Sodium, 50W, 1-Std Mag</t>
  </si>
  <si>
    <t>High Pressure Sodium, 70W, 1-Std Mag</t>
  </si>
  <si>
    <t>High Pressure Sodium, 100W, 1-Std Mag</t>
  </si>
  <si>
    <t>High Pressure Sodium, 150W, 1-Std Mag</t>
  </si>
  <si>
    <t>High Pressure Sodium,  200W, 1-Std Mag</t>
  </si>
  <si>
    <t>High Pressure Sodium, 250W, 1-Std Mag</t>
  </si>
  <si>
    <t>High Pressure Sodium, 310W, 1-Std Mag</t>
  </si>
  <si>
    <t>High Pressure Sodium, 400W, 1-Std Mag</t>
  </si>
  <si>
    <t>High Pressure Sodium, 1000W, 1-Std Mag</t>
  </si>
  <si>
    <t>Mercury Vapor, 100W, 1-Std Mag</t>
  </si>
  <si>
    <t>Mercury Vapor, 175W, 1-Std Mag</t>
  </si>
  <si>
    <t>Mercury Vapor, 250W, 1-Std Mag</t>
  </si>
  <si>
    <t>Mercury Vapor, 400W, 1-Std Mag</t>
  </si>
  <si>
    <t>Mercury Vapor, 1000W, 1-Std Mag</t>
  </si>
  <si>
    <t>Metal Halide, 50W, 1-Std Mag</t>
  </si>
  <si>
    <t>Metal Halide, 70W, 1-Std Mag</t>
  </si>
  <si>
    <t>Metal Halide, 100W, 1-Std Mag</t>
  </si>
  <si>
    <t>Metal Halide, 150W, 1-Std Mag</t>
  </si>
  <si>
    <t>Metal Halide, 175W, 1-Std Mag</t>
  </si>
  <si>
    <t>Metal Halide, 250W, 1-Std Mag</t>
  </si>
  <si>
    <t>Metal Halide, 400W, 1-Std Mag</t>
  </si>
  <si>
    <t>Exit Sign, 2-Inc 15W, no ballast</t>
  </si>
  <si>
    <t>Exit Sign, 2-Inc 20W, no ballast</t>
  </si>
  <si>
    <t>T5HO Fluorescent, 5-F54T5HO 54W, 3-Program Start</t>
  </si>
  <si>
    <t>When you see a "120 or 277" in the model number of a ballast, it indicates the ballast is dedicated to that specific line voltage.</t>
  </si>
  <si>
    <t>T8HP indicates a high performance T8 lighting system</t>
  </si>
  <si>
    <t xml:space="preserve">When you see Universal/GE in the model number of a ballast, it indicates a ballast that was manufactured by Universal but could be sold by Universal or GE.  </t>
  </si>
  <si>
    <t>Bi-Level indicates a single ballast that is capable of dual-switching (high/low system)</t>
  </si>
  <si>
    <t>Drop-Down Workbook User Tips &amp; Nomenclature</t>
  </si>
  <si>
    <t>MR-16 or MRC-16 Halogen Display Lamps, 20W, no ballast</t>
  </si>
  <si>
    <t>MR-16 or MRC-16 Halogen Display Lamps, 35W, no ballast</t>
  </si>
  <si>
    <t>MR-16 or MRC-16 Halogen Display Lamps, 40W, no ballast</t>
  </si>
  <si>
    <t>MR-16 or MRC-16 Halogen Display Lamps, 50W, no ballast</t>
  </si>
  <si>
    <t>MR-16 or MRC-16 Halogen Display Lamps, 75W, no ballast</t>
  </si>
  <si>
    <t>Non-Standard Measures</t>
  </si>
  <si>
    <t>Screw-In CFL, 1-3W capsule, 1-Elec</t>
  </si>
  <si>
    <t>Screw-In CFL, 1-5W capsule, 1-Elec</t>
  </si>
  <si>
    <t>Screw-In CFL, 1-7W capsule, 1-Elec</t>
  </si>
  <si>
    <t>Screw-In CFL, 1-10W, 1-Elec</t>
  </si>
  <si>
    <t>Screw-In CFL, 1-16W, 1-Elec</t>
  </si>
  <si>
    <t>Screw-In CFL, 1-22W circline, 1-Elec</t>
  </si>
  <si>
    <t>MH Pulse Start, 1-PS 150W, 1-SCWA typical ballast</t>
  </si>
  <si>
    <t>MH Pulse Start, 1-PS 175W, 1-SCWA typical ballast</t>
  </si>
  <si>
    <t>MH Pulse Start, 1-PS 100W, 1-SCWA typical ballast</t>
  </si>
  <si>
    <t>MH Pulse Start, 1-PS 70W, 1-SCWA typical ballast</t>
  </si>
  <si>
    <t>MH Pulse Start, 1-PS 50W, 1-SCWA typical ballast</t>
  </si>
  <si>
    <t>Venture Lighting Catalog</t>
  </si>
  <si>
    <t>Screw-In CFL, 1-22W, 1-Elec</t>
  </si>
  <si>
    <t>Screw-In CFL, 1-30W circline, 1-Elec</t>
  </si>
  <si>
    <t>Screw-In CFL, 1-36W circline, 1-Elec</t>
  </si>
  <si>
    <t>Screw-In CFL, 1-40W circline, 1-Elec</t>
  </si>
  <si>
    <t>Screw-In CFL, 1-25W, 1-Elec</t>
  </si>
  <si>
    <t>Screw-In CFL, 1-26W, 1-Elec</t>
  </si>
  <si>
    <t>Screw-In CFL, 1-27W, 1-Elec</t>
  </si>
  <si>
    <t>Screw-In CFL, 1-28W, 1-Elec</t>
  </si>
  <si>
    <t>Screw-In CFL, 1-32W, 1-Elec</t>
  </si>
  <si>
    <t>Screw-In CFL, 1-42W, 1-Elec</t>
  </si>
  <si>
    <t>Screw-In CFL, 1-44W, 1-Elec</t>
  </si>
  <si>
    <t>Screw-In CFL, 1-55W, 1-Elec</t>
  </si>
  <si>
    <t>Screw-In CFL, 1-65W, 1-Elec</t>
  </si>
  <si>
    <t>Screw-In CFL, 1-85W, 1-Elec</t>
  </si>
  <si>
    <t>Screw-In CFL, 1-105W, 1-Elec</t>
  </si>
  <si>
    <t>Screw-In CFL, 1-100W, 1-Elec</t>
  </si>
  <si>
    <t>Screw-In CFL, 1-125W, 1-Elec</t>
  </si>
  <si>
    <t>Screw-In CFL, 1-150W, 1-Elec</t>
  </si>
  <si>
    <t>Screw-In CFL, 1-24W, 1-Elec</t>
  </si>
  <si>
    <t>Screw-In CFL, 1-23W, 1-Elec</t>
  </si>
  <si>
    <t>Screw-In CFL, 1-20W, 1-Elec</t>
  </si>
  <si>
    <t>Screw-In CFL, 1-18W, 1-Elec</t>
  </si>
  <si>
    <t>Screw-In CFL, 1-15W, 1-Elec</t>
  </si>
  <si>
    <t>Screw-In CFL, 1-14W, 1-Elec</t>
  </si>
  <si>
    <t>Screw-In CFL, 1-13W, 1-Elec</t>
  </si>
  <si>
    <t>Screw-In CFL, 1-11W, 1-Elec</t>
  </si>
  <si>
    <t>Screw-In CFL, 1-9W, 1-Elec</t>
  </si>
  <si>
    <t>Wattage Reduction (%)</t>
  </si>
  <si>
    <t>Total BPA Credit/ Reimbursement</t>
  </si>
  <si>
    <t>Present Value Project/Measure Change in O&amp;M Cost (Savings -$ or Increases +$)</t>
  </si>
  <si>
    <t>Default lamp life and cost data used for estimating life-cycle periodic replacement costs.</t>
  </si>
  <si>
    <t>Dominant Building Type</t>
  </si>
  <si>
    <t>Primary Space Heat Fuel Source</t>
  </si>
  <si>
    <t>Space Heat Fuel Source:</t>
  </si>
  <si>
    <t>Dominant Building Type:</t>
  </si>
  <si>
    <t>from Site Audit</t>
  </si>
  <si>
    <t>PV Cleaning or Other O&amp;M Cost</t>
  </si>
  <si>
    <t>Present Value of Change in Gas Heating Cost</t>
  </si>
  <si>
    <t>Present Value of Change in Cleaning/Other O&amp;M Cost (Savings -$ or Increases +$)</t>
  </si>
  <si>
    <t>Present Value of Energy Costs</t>
  </si>
  <si>
    <t>Project Life Cycle Cost</t>
  </si>
  <si>
    <t>Present Value Energy Savings</t>
  </si>
  <si>
    <t>Annual Cleaning or Other O&amp;M</t>
  </si>
  <si>
    <t>High temperature applications.</t>
  </si>
  <si>
    <t>T12 Other Fluorescent, 1-F30T12ES 25W, 1-Mag</t>
  </si>
  <si>
    <t>T12 Other Fluorescent, 1-FC12T9 32W, 1-Mag</t>
  </si>
  <si>
    <t>T12 Other Fluorescent, 1-F30T12 30W, 1-Mag</t>
  </si>
  <si>
    <t>T12 Other Fluorescent, 1-FB40T12 40W, 1-Mag EE</t>
  </si>
  <si>
    <t>T12 Other Fluorescent, 1-FC16T9 40W, 1-Mag</t>
  </si>
  <si>
    <t>T12 Other Fluorescent, 2-F30T12ES 25W, 1-Mag EE</t>
  </si>
  <si>
    <t>Reduced-Output</t>
  </si>
  <si>
    <t>T12 Other Fluorescent, 2-F30T12ES 25W, 1-Mag</t>
  </si>
  <si>
    <t>T12 Other Fluorescent, 2-F30T12 30W, 1-Mag</t>
  </si>
  <si>
    <t>T12 Other Fluorescent, 2-FB40T12 40W, 1-Mag EE</t>
  </si>
  <si>
    <t>T12 4' Fluorescent, 1-F40T12ES 34W, 1-Mag EE</t>
  </si>
  <si>
    <t>T12 4' Fluorescent, 1-F40T12 40W, 1-Mag EE</t>
  </si>
  <si>
    <t>T12 4' Fluorescent, 1-F40T12ES 34W, 1-Mag</t>
  </si>
  <si>
    <t>New Exit Sign, 2 faced LED,  1.5W/face, no ballast</t>
  </si>
  <si>
    <t>New Exit Sign, 2 faced Cold Cathode,  4W/face, no ballast</t>
  </si>
  <si>
    <t>New Exit Sign, 1 face LED,  1.5W, no ballast</t>
  </si>
  <si>
    <t>New Exit Sign, 1 face Cold Cathode,  4W, no ballast</t>
  </si>
  <si>
    <t>New Exit Sign, 2 faced LED with battery back-up,   no ballast</t>
  </si>
  <si>
    <t>Induction, 1-Icetron 100W donut, 1-RF Generator</t>
  </si>
  <si>
    <t xml:space="preserve">        Notes / Alternate Suggestions </t>
  </si>
  <si>
    <t>T8 Standard Electronic, 6-F32T8, 2950+lumen, 2-Elec HLO</t>
  </si>
  <si>
    <t>T8 Standard Electronic, 1-F32T8, 2950+lumen, 1-Elec RLO</t>
  </si>
  <si>
    <t>T8 Standard Electronic, 1-F32T8, 2950+lumen, 1-Elec</t>
  </si>
  <si>
    <t>Input the Project Cost&gt;&gt;</t>
  </si>
  <si>
    <t>Total Estimated Annual kWh Site Savings (unadjusted)</t>
  </si>
  <si>
    <t>I have attached a copy of the program requirements and specifications for your review.</t>
  </si>
  <si>
    <r>
      <t xml:space="preserve">Energy Rate ($/kWh) </t>
    </r>
    <r>
      <rPr>
        <b/>
        <sz val="12"/>
        <rFont val="Arial"/>
        <family val="2"/>
      </rPr>
      <t>&amp; estimated $ savings/yr:</t>
    </r>
  </si>
  <si>
    <r>
      <t xml:space="preserve">Demand Rate ($/kW) </t>
    </r>
    <r>
      <rPr>
        <b/>
        <sz val="12"/>
        <rFont val="Arial"/>
        <family val="2"/>
      </rPr>
      <t>&amp; estimated $ savings/yr:</t>
    </r>
  </si>
  <si>
    <t>Annual Hours (weighted)</t>
  </si>
  <si>
    <t>T12 8' Fluorescent, 3-F96T12HO 110W, 2-Mag EE</t>
  </si>
  <si>
    <t>T12 8' Fluorescent, 4-F96T12ES 60W, 2-Mag EE</t>
  </si>
  <si>
    <t>T12 8' Fluorescent, 4-F96T12ES 60W, 2-Mag</t>
  </si>
  <si>
    <t>T12 8' Fluorescent, 4-F96T12 75W, 2-Mag EE</t>
  </si>
  <si>
    <t>T12 8' Fluorescent, 4-F96T12 75W, 2-Mag</t>
  </si>
  <si>
    <t>T12 Other Fluorescent, 1-F4T5 4W, 1-Mag Pre</t>
  </si>
  <si>
    <t>T12 Other Fluorescent, 1-F6T5 6W, 1-Mag Pre</t>
  </si>
  <si>
    <t>T12 Other Fluorescent, 1-F8T5 8W, 1-Mag Pre</t>
  </si>
  <si>
    <t>T12 Other Fluorescent, 1-F15T12 15W, 1-Mag Pre</t>
  </si>
  <si>
    <t>T12 Other Fluorescent, 1-F15T8 15W, 1-Mag Pre</t>
  </si>
  <si>
    <t>T12 Other Fluorescent, 1-F20T12 20W, 1-Mag Pre</t>
  </si>
  <si>
    <t>T12 Other Fluorescent, 1-F30T12 30W, 1-Mag Pre</t>
  </si>
  <si>
    <t>T12 Other Fluorescent, 1-F30T8 30W, 1-Mag Pre</t>
  </si>
  <si>
    <t>T12 Other Fluorescent, 2-F20T12 20W, 1-Mag Pre</t>
  </si>
  <si>
    <t>T12 Other Fluorescent, 2-F30T12 30W, 1-Mag Pre EE</t>
  </si>
  <si>
    <t>T12 Other Fluorescent, 2-F30T12 30W, 1-Mag Pre</t>
  </si>
  <si>
    <t>T12 Other Fluorescent, 2-F30T8 30W, 1-Mag Pre</t>
  </si>
  <si>
    <t>T5HO Fluorescent, 4-F54T5HO 54W, 1-Elec</t>
  </si>
  <si>
    <t>Hard-Wired CFL, 2-PL 32W, 1-Elec</t>
  </si>
  <si>
    <t>T8 Fluorescent, 2-F32T8 32W, 1-Elec HLO</t>
  </si>
  <si>
    <t>T5HO Fluorescent, 2-F54T5HO 54W, 1-Elec</t>
  </si>
  <si>
    <t>Hard-Wired CFL, 1-PL 32W, 1-Elec</t>
  </si>
  <si>
    <t>Hard-Wired CFL, 2-PL 26W, 1-Elec</t>
  </si>
  <si>
    <t>Hard-Wired CFL, 2-PL 42W, 1-Elec</t>
  </si>
  <si>
    <t>T8 High Performance, 4-F32T8HP 32W, 1-Elec HP</t>
  </si>
  <si>
    <t>T5HO Fluorescent, 3-F54T5HO 54W, 1-Elec</t>
  </si>
  <si>
    <t>Hard-Wired CFL, 2-2D 28W, 1-Elec</t>
  </si>
  <si>
    <t>Hard-Wired CFL, 2-2D 38W, 1-Elec</t>
  </si>
  <si>
    <t>T8 High Performance, 1-F32T8HP 32W, 1-Elec HP RLO</t>
  </si>
  <si>
    <t>T8 High Performance, 1-F32T8HP 32W, 1-Elec HP</t>
  </si>
  <si>
    <t>T8HP 4', 1-F32T8, 3100+lumen, 1-RLO Universal Triad Ultim8 B132IUNVEL-A</t>
  </si>
  <si>
    <t>Universal-Voltage, Instant-Start, Reduced Output</t>
  </si>
  <si>
    <r>
      <t xml:space="preserve">Foot-candle </t>
    </r>
    <r>
      <rPr>
        <sz val="12"/>
        <rFont val="Times New Roman"/>
        <family val="1"/>
      </rPr>
      <t xml:space="preserve">- One foot-candle is equal to one lumen spread over one square foot.  </t>
    </r>
  </si>
  <si>
    <t>Bonneville Power Administration - ESO Lighting Rebates</t>
  </si>
  <si>
    <t>----------------------------</t>
  </si>
  <si>
    <t>=================================</t>
  </si>
  <si>
    <t>Screw-In CFL, 1-75W LuxMagic, 1-Elec</t>
  </si>
  <si>
    <r>
      <t>IES</t>
    </r>
    <r>
      <rPr>
        <sz val="12"/>
        <rFont val="Times New Roman"/>
        <family val="0"/>
      </rPr>
      <t xml:space="preserve"> - The Illuminating Engineering Society is responsible for setting standards and providing engineering support for the lighting industry.  IES produces a handbook that is considered the bible of the industry. </t>
    </r>
  </si>
  <si>
    <t>High Performance 4' Fluorescent Lamp Qualification Worksheet</t>
  </si>
  <si>
    <t>High Performance 8' Fluorescent Lamp Qualification Worksheet</t>
  </si>
  <si>
    <r>
      <t>Kilowatt</t>
    </r>
    <r>
      <rPr>
        <sz val="12"/>
        <rFont val="Times New Roman"/>
        <family val="0"/>
      </rPr>
      <t xml:space="preserve"> - One kilowatt is = one volt * one amp * 1000 * power factor.</t>
    </r>
  </si>
  <si>
    <t>85 to 129 Watts (Ballast Input Watts)</t>
  </si>
  <si>
    <t>T12 Fluorescent,</t>
  </si>
  <si>
    <t>Incandescent,</t>
  </si>
  <si>
    <t>T8 De-Lamp,</t>
  </si>
  <si>
    <t>Occupancy Sensors and/or Timers</t>
  </si>
  <si>
    <t>Includes infrared, ultrasonic &amp; dual-technology sensors and/or Timers</t>
  </si>
  <si>
    <t>K</t>
  </si>
  <si>
    <t>Retrofit High Output Fixtures with T8 Lamps &amp; Ballasts</t>
  </si>
  <si>
    <t>''8' T12</t>
  </si>
  <si>
    <t xml:space="preserve">1 T8 8' lamp and standard electronic high output ballast </t>
  </si>
  <si>
    <t>L</t>
  </si>
  <si>
    <t>Retrofit Very High Output Fixtures with T5 Lamps &amp; Ballasts</t>
  </si>
  <si>
    <t>VHO</t>
  </si>
  <si>
    <t>Rated Average Lamp Life (hours/lamp for ballast type and start frequency)</t>
  </si>
  <si>
    <t>Lamp Cost ($/lamp)</t>
  </si>
  <si>
    <t>Lamp Change Labor (hours/lamp)</t>
  </si>
  <si>
    <t>PV Lamp Periodic Replacement</t>
  </si>
  <si>
    <t>Net PV Lamp Periodic Replacement (Costs(+) or Savings(-))</t>
  </si>
  <si>
    <t>Rated Average Lamp Life (hours/lamp for RS ballast @ 12 hours/start)</t>
  </si>
  <si>
    <t>Dedicated-Voltage,  Instant-Start, 12 hours per start</t>
  </si>
  <si>
    <t>Best Energy Efficient Choice, 277 Volt, High-Eff Instant-Start</t>
  </si>
  <si>
    <t>Best Energy Efficient Choice, 120 Volt, High-Eff Instant-Start</t>
  </si>
  <si>
    <t>T8HP 4', 4-F32T8, 3100+lumen, 1-NLO GE-432-Ultramax-N</t>
  </si>
  <si>
    <t>Date:</t>
  </si>
  <si>
    <t xml:space="preserve">"Advance Centium Intellivolt" is Advance Transformer's trade name for their low THD, universal-voltage ballast product line.  THD stands for Total Harmonic Distortion.  A measure of how close the ballast's waveform is to a perfect sine-wave.  </t>
  </si>
  <si>
    <t>Mag indicates a standard magnetic ballast.  A simple transformer with some electronic components.</t>
  </si>
  <si>
    <t>EE indicates an energy efficient ballast.  A hybrid ballast (between "magnetic" and "electronic").</t>
  </si>
  <si>
    <t>Ceramic Metal Halide, 1-Bulb 100W, 1-Elec</t>
  </si>
  <si>
    <t>Ceramic Metal Halide, 1-Bulb 150W, 1-Elec</t>
  </si>
  <si>
    <r>
      <t xml:space="preserve">Color Temperature </t>
    </r>
    <r>
      <rPr>
        <sz val="12"/>
        <rFont val="Times New Roman"/>
        <family val="1"/>
      </rPr>
      <t xml:space="preserve">- or Correlated Color Temperature (CCT) is a measure of the light source's appearance to the eye.  Color temperatures below 3000 degrees Kelvin indicate a yellowish, (or warm)  tint.  Medium color temperatures of 3500K indicate a neutral, whitish tint.  Color temperatures above 4000K indicate a bluish, (or cool) tint.  Kelvin is the absolute celsius temperature scale.  </t>
    </r>
  </si>
  <si>
    <r>
      <t>Lamp</t>
    </r>
    <r>
      <rPr>
        <sz val="12"/>
        <rFont val="Times New Roman"/>
        <family val="0"/>
      </rPr>
      <t xml:space="preserve"> - is a generic term for an artificial light source.</t>
    </r>
  </si>
  <si>
    <t>T8HP 4', 3-F32T8, 3100+lumen, 1-RLO GE-332-Ultramax-L</t>
  </si>
  <si>
    <t>T8HP 4', 3-F32T8, 3100+lumen, 1-HLO GE-332-Ultramax-H</t>
  </si>
  <si>
    <t>T8HP 4', 4-F32T8, 3100+lumen, 1-RLO GE-432-Ultramax-L</t>
  </si>
  <si>
    <t>T12 2'x2' Fluorescent, 1-F40T12 40W U-Tube, 1-Mag</t>
  </si>
  <si>
    <t>T12 2'x2' Fluorescent, 2-F40T12 40W U-Tube, 1-Mag</t>
  </si>
  <si>
    <t>T12 6' Fluorescent, 1-F72T12/CW 56W, 1-Mag</t>
  </si>
  <si>
    <t>T5, 1-F14T5</t>
  </si>
  <si>
    <t>T5, 1-F21T5</t>
  </si>
  <si>
    <t>T5, 2-F14T5</t>
  </si>
  <si>
    <t>T5, 3-F14T5</t>
  </si>
  <si>
    <t>T12 8' Fluorescent, 2-F96T12ES 60W, 1-Mag</t>
  </si>
  <si>
    <t>Percent (%) Wattage Reduction:</t>
  </si>
  <si>
    <t>T12 8' Fluorescent, 2-F96T12 75W, 1-Mag EE</t>
  </si>
  <si>
    <t>T12 8' Fluorescent, 2-F96T12 75W, 1-Mag</t>
  </si>
  <si>
    <t>T12 8' Fluorescent, 2-F96T12HOES 95W, 1-Mag</t>
  </si>
  <si>
    <t>T12 8' Fluorescent, 2-F96T12HO 110W, 1-Mag EE</t>
  </si>
  <si>
    <t>T12 8' Fluorescent, 2-F96T12HO 110W, 1-Mag</t>
  </si>
  <si>
    <t>T12 8' Fluorescent, 2-F96T12VHOES 185W, 1-Mag</t>
  </si>
  <si>
    <t>T12 8' Fluorescent, 2-F96T12VHO 215W, 1-Mag</t>
  </si>
  <si>
    <t>T12 8' Fluorescent, 3-F96T12ES 60W, 2-Mag</t>
  </si>
  <si>
    <t>T12 8' Fluorescent, 3-F96T12 75W, 2-Mag</t>
  </si>
  <si>
    <t>T12 8' Fluorescent, 3-F96T12HOES 95W, 2-Mag</t>
  </si>
  <si>
    <t>INPUTS FROM SITE AUDIT TAB</t>
  </si>
  <si>
    <t>RESULTS FOR ADDING PROJECT TO CART</t>
  </si>
  <si>
    <r>
      <t xml:space="preserve">This worksheet calculates the annual energy savings and Conservation Rate Credit or Conservation Acquisition Agreement reimbursement resulting from the installation of energy efficient lighting.  The project-level economics including savings after HVAC interaction, busbar savings, O&amp;M costs or savings, and periodic lamp replacement costs or savings, PV Life Cycle Cost and TRC B/C ratio are also calculated.  
</t>
    </r>
    <r>
      <rPr>
        <b/>
        <sz val="10"/>
        <rFont val="Arial"/>
        <family val="2"/>
      </rPr>
      <t xml:space="preserve">No data on this sheet may be edited. </t>
    </r>
    <r>
      <rPr>
        <sz val="10"/>
        <rFont val="Arial"/>
        <family val="2"/>
      </rPr>
      <t xml:space="preserve">
Enter all data on the Site Audit tab. Inputs here reflect data entered on that tab. </t>
    </r>
  </si>
  <si>
    <t>Project-Level Commercial &amp; Industrial Lighting Calculator</t>
  </si>
  <si>
    <t>Project/Measure Change in Cleaning/Other O&amp;M Cost (Savings -$ or Increases +$)</t>
  </si>
  <si>
    <t>Annual Busbar Energy Savings Adjusted for HVAC Interaction (kWh)</t>
  </si>
  <si>
    <t>Simple Payback</t>
  </si>
  <si>
    <t>Present Value Life Cycle Lamp Replacement Cost (Savings -$ or Increases +$)</t>
  </si>
  <si>
    <t>T8HP 8', 2-F96T8, 5950+lumens GE XL Starcoat, 1-Universal B259I277HE</t>
  </si>
  <si>
    <t>T8HP 4', 3-F32T8, 3100+lumen, 1-NLO Advance Optanium IOP/ROP/VOP-3P32-SC</t>
  </si>
  <si>
    <t>T8HP 4', 3-F32T8, 3100+lumen, 1-NLO Advance Optanium IOP-3S32-SC</t>
  </si>
  <si>
    <r>
      <t>New T8HP Fixture</t>
    </r>
    <r>
      <rPr>
        <sz val="9"/>
        <rFont val="Arial"/>
        <family val="2"/>
      </rPr>
      <t xml:space="preserve"> 4', 4-F32T8, 3100+lumen, 1-HLO GE-432-Ultramax-H</t>
    </r>
  </si>
  <si>
    <t>T8HP 4', 4-F32T8, 3100+lumen, 1-RLO Universal Ultim8 B432I277EL</t>
  </si>
  <si>
    <t>T8HP 4', 4-F32T8, 3100+lumen, 1-RLO Universal Ultim8 B432I120EL</t>
  </si>
  <si>
    <t>T8HP 4', 4-F32T8, 3100+lumen, 1-NLO Universal Ultim8 B432I277HE</t>
  </si>
  <si>
    <t>T8HP 4', 4-F32T8, 3100+lumen, 1-NLO Universal Ultim8 B432I120HE</t>
  </si>
  <si>
    <t>T8HP 4', 2-F32T8, 3100+lumen, 1-RLO Universal Ultim8 B232I120EL or 277EL</t>
  </si>
  <si>
    <t>T8HP 4', 2-F32T8, 3100+lumen, 1-NLO Universal Ultim8 B232I120HE or 277HE</t>
  </si>
  <si>
    <t xml:space="preserve">T8HP 4', 2-F32T8, 3150+lumen, 1-NLO Universal Ultim8 B232IUNV </t>
  </si>
  <si>
    <t>T8HP 4', 3-F32T8, 3100+lumen, 1-RLO Universal Ultim8 B332I277EL</t>
  </si>
  <si>
    <t>T8HP 4', 3-F32T8, 3100+lumen, 1-RLO Universal Ultim8 B332I120EL</t>
  </si>
  <si>
    <t>T8HP 4', 3-F32T8, 3100+lumen, 1-NLO Universal Ultim8 B332I277HE</t>
  </si>
  <si>
    <t>T8HP 4', 3-F32T8, 3100+lumen, 1-NLO Universal Ultim8 B332I120HE</t>
  </si>
  <si>
    <t>T8HP 4', 3-F32T8, 3100+lumen, 1-NLO Universal Ultim8 B332IUNVHP-A</t>
  </si>
  <si>
    <t>Useful Information</t>
  </si>
  <si>
    <t>3 to 24 Watts (Nominal Lamp Watts)</t>
  </si>
  <si>
    <t>25 to 45 Watts</t>
  </si>
  <si>
    <t>CommercialLightingCalculator FY07 V1_1.xls</t>
  </si>
  <si>
    <t>Bug Version</t>
  </si>
  <si>
    <t>Revised Version</t>
  </si>
  <si>
    <t>CommercialLightingCalculator FY07 V1_2.xls</t>
  </si>
  <si>
    <t>Revision Date</t>
  </si>
  <si>
    <t>Measure Info</t>
  </si>
  <si>
    <t>Code</t>
  </si>
  <si>
    <t>Light Level Change</t>
  </si>
  <si>
    <t>Lighting Wattage Reduction Only</t>
  </si>
  <si>
    <t>Watt Reduc tion</t>
  </si>
  <si>
    <t>$  per unit</t>
  </si>
  <si>
    <t>Total     $</t>
  </si>
  <si>
    <t>Manie Hats</t>
  </si>
  <si>
    <t>530-456-9876</t>
  </si>
  <si>
    <t>Annual Energy Cost Savings</t>
  </si>
  <si>
    <t>Project-Level Net PV of Periodic Lamp Replacement Cost (Savings -$ or Increases +$)</t>
  </si>
  <si>
    <t>Present Value of Change in Gas Heating Cost (Savings -$ or Increases +$)</t>
  </si>
  <si>
    <t>Total kWh Site Savings (adjusted for HVAC)</t>
  </si>
  <si>
    <t>Use Bi-Level Program-Rapid-Start where possible</t>
  </si>
  <si>
    <t>T8HP 4', 4-F32T8, 3100+lumen, 2-HLO Advance Elec REL/VEL-3P32-HL-SC</t>
  </si>
  <si>
    <t xml:space="preserve">Use 2-3 lamp HLO ballasts only if absolutely necessary </t>
  </si>
  <si>
    <t>Use 2-2 lamp HLO ballasts only if absolutely necessary</t>
  </si>
  <si>
    <t xml:space="preserve">Use 2-4 lamp HLO ballasts only if absolutely necessary </t>
  </si>
  <si>
    <t>T8HP 4', 6-F32T8, 3100+lumen, 3-HLO Advance Elec REL/VEL-3P32-HL-SC</t>
  </si>
  <si>
    <t xml:space="preserve">Use 3-3 lamp HLO ballasts only if absolutely necessary </t>
  </si>
  <si>
    <t>Dedicated-Voltage, Optanium,  Centium,  Micro Can</t>
  </si>
  <si>
    <t>T8HP 4', 4-F32T8, 3100+lumen, 1-HLO GE-432-Ultramax-H</t>
  </si>
  <si>
    <t xml:space="preserve">T8HP 4', 2-F32T8, 3100+lumen, 1-RLO Sylvania Extreme/UNV PSX-TC </t>
  </si>
  <si>
    <t>T8HP 4', 4-F32T8, 3100+lumen, 1-RLO Sylvania Extreme/UNV PSX-SC</t>
  </si>
  <si>
    <r>
      <t xml:space="preserve">When you click the </t>
    </r>
    <r>
      <rPr>
        <b/>
        <sz val="12"/>
        <rFont val="Times New Roman"/>
        <family val="1"/>
      </rPr>
      <t>add a row button</t>
    </r>
    <r>
      <rPr>
        <sz val="12"/>
        <rFont val="Times New Roman"/>
        <family val="0"/>
      </rPr>
      <t xml:space="preserve"> at the bottom of the spreadsheet, Excel will automatically protect the worksheet.  To unprotect it; click on tools, protection, and unprotect sheet.  There is no password. </t>
    </r>
  </si>
  <si>
    <t>Technology</t>
  </si>
  <si>
    <t>Important Characteristics</t>
  </si>
  <si>
    <t>Typical Applications</t>
  </si>
  <si>
    <t>Typical Locations</t>
  </si>
  <si>
    <t>Best Replacement for</t>
  </si>
  <si>
    <t>High Performance T8s</t>
  </si>
  <si>
    <t xml:space="preserve">Commercial spaces; office, retail, stairwells.  </t>
  </si>
  <si>
    <t>T12 fluorescent</t>
  </si>
  <si>
    <t xml:space="preserve">8' to 20' mounting height. </t>
  </si>
  <si>
    <t xml:space="preserve">Industrial spaces; manufacturing areas, warehouse.  </t>
  </si>
  <si>
    <t xml:space="preserve">Great lumen maintenance. </t>
  </si>
  <si>
    <t xml:space="preserve">Indoor &amp; outdoor signage, parking garages.  </t>
  </si>
  <si>
    <t>Ceramic Metal Halide, 1-PAR 70W, 1-Elec</t>
  </si>
  <si>
    <t>Induction, 1-QL 85W, 1-RF Generator</t>
  </si>
  <si>
    <t>Induction, 1-QL 55W, 1-RF Generator</t>
  </si>
  <si>
    <t>Induction, 1-QL 165W, 1-RF Generator</t>
  </si>
  <si>
    <t>Great option for Street &amp; Area lighting - 100,000 hr life</t>
  </si>
  <si>
    <t>Ceramic Metal Halide, 1-PAR 100W, 1-Elec</t>
  </si>
  <si>
    <t>Ceramic Metal Halide, 1-Single End or Double End 39W, 1-Elec</t>
  </si>
  <si>
    <t>Ceramic Metal Halide, 1-Single End or Double End 70W, 1-Elec</t>
  </si>
  <si>
    <t>Ceramic Metal Halide, 1-Single End or Double End 150W, 1-Elec</t>
  </si>
  <si>
    <t>T8HP 4', 1-F32T8, 3100+lumen, 1-NLO Advance Optanium IOP-2S32-SC</t>
  </si>
  <si>
    <t>T8HP 4', 2-F32T8, 3100+lumen, 1-NLO Advance Optanium IOP-2S32-SC</t>
  </si>
  <si>
    <t>ROP indicates a 120 volt Optanium ballast manufactured by Advance</t>
  </si>
  <si>
    <t>VOP indicates a 277 volt Optanium ballast manufactured by Advance</t>
  </si>
  <si>
    <t>Measure Category</t>
  </si>
  <si>
    <t>Rebate Amount</t>
  </si>
  <si>
    <t>A1</t>
  </si>
  <si>
    <t>A2</t>
  </si>
  <si>
    <t>H2</t>
  </si>
  <si>
    <t>H3</t>
  </si>
  <si>
    <t>H4</t>
  </si>
  <si>
    <t>B1</t>
  </si>
  <si>
    <t>B2</t>
  </si>
  <si>
    <t>K2</t>
  </si>
  <si>
    <r>
      <t>New T8HP Fixture</t>
    </r>
    <r>
      <rPr>
        <sz val="9"/>
        <rFont val="Arial"/>
        <family val="2"/>
      </rPr>
      <t xml:space="preserve"> 4', 8-F32T8, 3100+lumen, 2-4 lamp RLO Sylvania Extreme</t>
    </r>
  </si>
  <si>
    <r>
      <t xml:space="preserve">Efficacy </t>
    </r>
    <r>
      <rPr>
        <sz val="12"/>
        <rFont val="Times New Roman"/>
        <family val="1"/>
      </rPr>
      <t>- is a measure of a light source's relative efficiency.  Measured in lumens per watt.  High performance fluorescent lights have an efficacy greater than or equal to 95.</t>
    </r>
  </si>
  <si>
    <t>Occupancy Sensor or Timer controlling over 200 watts (see above)</t>
  </si>
  <si>
    <t xml:space="preserve"> Lodging</t>
  </si>
  <si>
    <t>Hospital</t>
  </si>
  <si>
    <t xml:space="preserve"> Hospital</t>
  </si>
  <si>
    <t>OtherHealth</t>
  </si>
  <si>
    <t xml:space="preserve"> Other Health, Nursing, Medical Clinic</t>
  </si>
  <si>
    <t xml:space="preserve"> Other Commercial</t>
  </si>
  <si>
    <r>
      <t xml:space="preserve">In order to get the </t>
    </r>
    <r>
      <rPr>
        <b/>
        <sz val="12"/>
        <rFont val="Times New Roman"/>
        <family val="1"/>
      </rPr>
      <t>desired light levels</t>
    </r>
    <r>
      <rPr>
        <sz val="12"/>
        <rFont val="Times New Roman"/>
        <family val="0"/>
      </rPr>
      <t xml:space="preserve">, you can change the proposed lamp/ballast combination, or the quantity of proposed fixtures.  Try to pick the lowest wattage lamp/ballast combination that gets the desired light levels.  Lamp/ballast combinations are arranged from low to high wattage within lamp types.  Typically, a reduction of up to 15% will not degrade lighting due to the better quality of light, less lumen depreciation, and electronic operation of the latest lighting systems.  </t>
    </r>
  </si>
  <si>
    <r>
      <t xml:space="preserve">If you have trouble reading inside the drop-down boxes, you can look under the data Existing or Proposed tabs for easier reading, then go back to the drop-down to find what you are looking for.  Or, you can make the spreadsheet larger by </t>
    </r>
    <r>
      <rPr>
        <b/>
        <sz val="12"/>
        <rFont val="Times New Roman"/>
        <family val="1"/>
      </rPr>
      <t>clicking on view and zoom</t>
    </r>
    <r>
      <rPr>
        <sz val="12"/>
        <rFont val="Times New Roman"/>
        <family val="1"/>
      </rPr>
      <t xml:space="preserve">.  Zooming to 100% should make it easier to read.  Zoom back down to 77% if you want to see the whole page.  Your particular computer screen may require a different zoom percentage.  </t>
    </r>
  </si>
  <si>
    <r>
      <t xml:space="preserve">Input the </t>
    </r>
    <r>
      <rPr>
        <b/>
        <sz val="12"/>
        <rFont val="Times New Roman"/>
        <family val="1"/>
      </rPr>
      <t>quantity of Existing fixtures</t>
    </r>
    <r>
      <rPr>
        <sz val="12"/>
        <rFont val="Times New Roman"/>
        <family val="1"/>
      </rPr>
      <t xml:space="preserve">.  The quantity of Proposed fixtures automatically calculates unless you over-ride with an input value. </t>
    </r>
  </si>
  <si>
    <t>Hardwired CFL</t>
  </si>
  <si>
    <t xml:space="preserve">Some of the information that is filled in on the drop-down sheet will populate the Verification Report and the End-Use Customer Letter.  Fill in/select only the blue font cells on the Drop-Down spreadsheet and only the yellow shaded cells on the Verification Report.  The white cells on the Verification Report automatically fill in.  Print and sign the Verification Report.  The date is automatically filled in.  </t>
  </si>
  <si>
    <t xml:space="preserve">You can add Existing and Proposed lamp/ballast combinations to the Data Existing and Proposed spreadsheets if they qualify for a rebate under the program.  </t>
  </si>
  <si>
    <t>Updated April 7, 2005</t>
  </si>
  <si>
    <r>
      <t xml:space="preserve">Incandescent </t>
    </r>
    <r>
      <rPr>
        <sz val="12"/>
        <rFont val="Times New Roman"/>
        <family val="1"/>
      </rPr>
      <t xml:space="preserve">- was the first man-made, commercially usable, electrically driven light source invented by Thomas Edison over one hundred years ago.  Basically, light is produced by burning a tungsten filament.  When the filament burns, it gives off light.  When the filament is burned out, the light goes out.  Incandescent technology is limited to around 3100 degrees Kelvin because the tungsten filament cannot get any hotter without disintegrating.   </t>
    </r>
  </si>
  <si>
    <r>
      <t>Kelvin</t>
    </r>
    <r>
      <rPr>
        <sz val="12"/>
        <rFont val="Times New Roman"/>
        <family val="0"/>
      </rPr>
      <t xml:space="preserve"> - is the absolute Celsius temperature scale.  Zero degrees Kelvin represents absolute zero.  Zero degrees Celsius corresponds to 273 degrees Kelvin.  </t>
    </r>
  </si>
  <si>
    <t>T8HP 4', 4-F32T8, 3100+lumen, 1-NLO Advance Elec REL/VEL-4P32-SC</t>
  </si>
  <si>
    <t>Total kWh</t>
  </si>
  <si>
    <t>T8HP 4', 4-F32T8, 3100+lumen, 2-HLO Advance Elec REL/VEL-3P32-SC</t>
  </si>
  <si>
    <t>ICN indicates an Intellivolt Centium ballast (120 to 277 volt) manufactured by Advance</t>
  </si>
  <si>
    <t>Dedicated-Voltage, Centium Low-THD, Normal-Output</t>
  </si>
  <si>
    <t>Intellivolt, Centium Low-THD</t>
  </si>
  <si>
    <t>Universal-Voltage, standard Instant-Start</t>
  </si>
  <si>
    <t>Use 2-3 lamp HLO system only if absolutely necessary</t>
  </si>
  <si>
    <t>T8HP 4', 2-F32T8, 3100+lumen, 1-HLO Advance Elec REL/VEL-2P32-HL-SC</t>
  </si>
  <si>
    <t>Use HLO system only if absolutely necessary</t>
  </si>
  <si>
    <t>T8HP 4', 2-F32T8, 3100+lumen, 1-HLO Advance Centium Intellivolt ICN-3P32</t>
  </si>
  <si>
    <t>T8HP 4', 4-F32T8, 3100+lumen, 1-Advance Bi-Level REL/VEL-4P32-2LS</t>
  </si>
  <si>
    <t>T8HP 4', 3-F32T8, 3100+lumen, 1-Advance Bi-Level REL/VEL-4P32-2LS</t>
  </si>
  <si>
    <r>
      <t xml:space="preserve">Elec - </t>
    </r>
    <r>
      <rPr>
        <sz val="12"/>
        <rFont val="Times New Roman"/>
        <family val="1"/>
      </rPr>
      <t xml:space="preserve">indicates a standard electronic ballast.  The electronic ballast drives the lamp(s). </t>
    </r>
  </si>
  <si>
    <r>
      <t>2-F32T8</t>
    </r>
    <r>
      <rPr>
        <sz val="12"/>
        <rFont val="Times New Roman"/>
        <family val="1"/>
      </rPr>
      <t xml:space="preserve"> - indicates two fluorescent lamps in a fixture designed for 4', 32 watt T8 lamps.  The T indicates tube.  The 8 indicates 8/8's of an inch (or a one inch) diameter tube.</t>
    </r>
  </si>
  <si>
    <t>Ceramic Metal Halide, 1-Bulb 70W, 1-Elec</t>
  </si>
  <si>
    <t>Ceramic Metal Halide, 1-Bulb 50W, 1-Elec</t>
  </si>
  <si>
    <t xml:space="preserve">Quicktronic is Sylvania's trade name for their electronic ballast lines.   </t>
  </si>
  <si>
    <t>3100+ lumen indicates a 4' lamp that has a nominal (stamped on the tube) lumen output of 3100 or greater.  Examples; Philips Advantage, Sylvania Extended Performance, GE Starcoat, etc..</t>
  </si>
  <si>
    <t>QL stands for Quality Light (Philips trade name for their induction lamps)</t>
  </si>
  <si>
    <t xml:space="preserve"> Description of Existing Lamp/Ballast Combination  </t>
  </si>
  <si>
    <t>Existing Lamp/Ballast Combination</t>
  </si>
  <si>
    <t>Proposed Lamp/Ballast Combination</t>
  </si>
  <si>
    <t>Incandescent, 1-A 15W, no ballast</t>
  </si>
  <si>
    <t>Incandescent, 1-A 25W, no ballast</t>
  </si>
  <si>
    <t>Incandescent, 1-A 40W, no ballast</t>
  </si>
  <si>
    <t>Incandescent, 1-A 50W, no ballast</t>
  </si>
  <si>
    <t>Incandescent, 1-A 60W, no ballast</t>
  </si>
  <si>
    <t>Incandescent, 1-A 75W, no ballast</t>
  </si>
  <si>
    <t>Incandescent, 1-A 100W, no ballast</t>
  </si>
  <si>
    <t>Incandescent, 1-A 150W, no ballast</t>
  </si>
  <si>
    <t>Incandescent, 2-A 15W, no ballast</t>
  </si>
  <si>
    <t>Incandescent, 2-A 25W, no ballast</t>
  </si>
  <si>
    <t>Incandescent, 2-A 40W, no ballast</t>
  </si>
  <si>
    <t>Incandescent, 2-A 50W, no ballast</t>
  </si>
  <si>
    <t>Incandescent, 2-A 60W, no ballast</t>
  </si>
  <si>
    <t>Incandescent, 2-A 75W, no ballast</t>
  </si>
  <si>
    <t>Incandescent, 2-A 100W, no ballast</t>
  </si>
  <si>
    <t>Incandescent, 2-A 150W, no ballast</t>
  </si>
  <si>
    <t>Incandescent, 3-A 15W, no ballast</t>
  </si>
  <si>
    <t>Incandescent, 3-A 25W, no ballast</t>
  </si>
  <si>
    <t>Incandescent, 3-A 40W, no ballast</t>
  </si>
  <si>
    <t>Todays Date&gt;&gt;&gt;</t>
  </si>
  <si>
    <t>Total Floor Area Affected by Project (# of fixtures x 64 sqft/fixture)</t>
  </si>
  <si>
    <t xml:space="preserve">Lighting Savings Yield (HVAC Interaction Adjustment for Building &amp; Space Heat Type) </t>
  </si>
  <si>
    <t>T8HP 4', 6-F32T8, 3100+lumen, 2-HLO GE-332-Ultramax-H</t>
  </si>
  <si>
    <t>Universal-Voltage, Instant-Start, Normal-Output</t>
  </si>
  <si>
    <t>Universal-Voltage, Instant-Start, High-Output</t>
  </si>
  <si>
    <t>Universal-Voltage,  Instant-Start, Low-Output</t>
  </si>
  <si>
    <t>Dedicated-Voltage, Centium Low-THD, Low-Output</t>
  </si>
  <si>
    <t>Intellivolt,  Optanium 2-lamp Program-Start operating 1 lamp</t>
  </si>
  <si>
    <t>120 Volt, High-Efficiency, Instant-Start</t>
  </si>
  <si>
    <t>Universal-Voltage,  Instant-Start, Normal Light Output</t>
  </si>
  <si>
    <t xml:space="preserve">&lt;&lt;Input a wattage and mean system lumens </t>
  </si>
  <si>
    <t xml:space="preserve">HLO or HL or H indicates a high light output ballast.  Ballast factor greater than 0.95.  </t>
  </si>
  <si>
    <t xml:space="preserve">RLO or LW or L indicates a reduced light output ballast.  Ballast factor less than 0.8. </t>
  </si>
  <si>
    <t xml:space="preserve">NLO or N indicates a normal light output ballast.  Ballast factor between 0.8 and 0.95.  </t>
  </si>
  <si>
    <t xml:space="preserve">Single end indicates a single end lamp that is designed to be plugged into place. </t>
  </si>
  <si>
    <t xml:space="preserve">Double end indicates a double end lamp that is designed to be snapped into place. </t>
  </si>
  <si>
    <t xml:space="preserve">RF stands for radio frequency.  Induction technology uses a high frequency of 2.65 megahertz.  </t>
  </si>
  <si>
    <t>LED stands for light emitting diode.  A semiconductor "chip" that glows when current is passed through it.</t>
  </si>
  <si>
    <r>
      <t xml:space="preserve">Lighting Technology Application Guide  -  </t>
    </r>
    <r>
      <rPr>
        <b/>
        <sz val="22"/>
        <color indexed="10"/>
        <rFont val="Times New Roman"/>
        <family val="1"/>
      </rPr>
      <t>March 16, 2005</t>
    </r>
  </si>
  <si>
    <r>
      <t xml:space="preserve">Potential Qualifying 4' Lamps as of </t>
    </r>
    <r>
      <rPr>
        <b/>
        <sz val="12"/>
        <color indexed="10"/>
        <rFont val="Times New Roman"/>
        <family val="1"/>
      </rPr>
      <t>September 3, 2004</t>
    </r>
  </si>
  <si>
    <r>
      <t xml:space="preserve"> Definitions - Updated </t>
    </r>
    <r>
      <rPr>
        <b/>
        <sz val="14"/>
        <color indexed="10"/>
        <rFont val="Times New Roman"/>
        <family val="1"/>
      </rPr>
      <t>November 15, 2004</t>
    </r>
  </si>
  <si>
    <t>Induction indicates a light source that is powered by high frequency radio waves.</t>
  </si>
  <si>
    <t>PAR indicates a parabolic reflector lamp (flood or spot)</t>
  </si>
  <si>
    <t>MH indicates a metal halide HID lamp</t>
  </si>
  <si>
    <t>CFL indicates a compact fluorescent lamp</t>
  </si>
  <si>
    <t>Screw-In CFL, 1-7W, 1-Elec</t>
  </si>
  <si>
    <t>Screw-In CFL, 1-30W, 1-Elec</t>
  </si>
  <si>
    <t>Screw-In CFL, 1-35W, 1-Elec</t>
  </si>
  <si>
    <t>Screw-In CFL, 1-9W capsule, 1-Elec</t>
  </si>
  <si>
    <t>Screw-In CFL, 1-11W capsule, 1-Elec</t>
  </si>
  <si>
    <t>Screw-In CFL, 1-14W capsule, 1-Elec</t>
  </si>
  <si>
    <t>Version 1.5</t>
  </si>
  <si>
    <r>
      <t xml:space="preserve">Standard Offer Lighting Spreadsheet Tool - </t>
    </r>
    <r>
      <rPr>
        <b/>
        <sz val="16"/>
        <color indexed="10"/>
        <rFont val="Arial"/>
        <family val="2"/>
      </rPr>
      <t>Updated October 01, 2006</t>
    </r>
  </si>
  <si>
    <t>Lesser of Credit/Reimbursement -or- 70% Project Cost&gt;&gt;</t>
  </si>
  <si>
    <t>123 West C&amp;I Avenue</t>
  </si>
  <si>
    <t>Washington</t>
  </si>
  <si>
    <t>Longview</t>
  </si>
  <si>
    <r>
      <t xml:space="preserve">  </t>
    </r>
    <r>
      <rPr>
        <b/>
        <sz val="14"/>
        <color indexed="10"/>
        <rFont val="Times New Roman"/>
        <family val="1"/>
      </rPr>
      <t xml:space="preserve">Updated October 1, 2006. </t>
    </r>
    <r>
      <rPr>
        <b/>
        <sz val="14"/>
        <rFont val="Times New Roman"/>
        <family val="1"/>
      </rPr>
      <t xml:space="preserve">  This list is not meant to be complete, you can add qualifying equipment to this list.</t>
    </r>
  </si>
  <si>
    <t>John Q. Public</t>
  </si>
  <si>
    <t>C&amp;ILO - Commercial and Industrial Lighting Schedule (ESO) - FY07</t>
  </si>
  <si>
    <t>Incentive Per Unit</t>
  </si>
  <si>
    <r>
      <t xml:space="preserve">Includes T8, 2' to 8' lamps:  </t>
    </r>
    <r>
      <rPr>
        <i/>
        <u val="single"/>
        <sz val="10"/>
        <rFont val="Arial"/>
        <family val="2"/>
      </rPr>
      <t>Ballast:</t>
    </r>
    <r>
      <rPr>
        <i/>
        <sz val="10"/>
        <rFont val="Arial"/>
        <family val="2"/>
      </rPr>
      <t xml:space="preserve"> PF</t>
    </r>
    <r>
      <rPr>
        <i/>
        <u val="single"/>
        <sz val="10"/>
        <rFont val="Arial"/>
        <family val="2"/>
      </rPr>
      <t>&gt;</t>
    </r>
    <r>
      <rPr>
        <i/>
        <sz val="10"/>
        <rFont val="Arial"/>
        <family val="2"/>
      </rPr>
      <t>95%, THD</t>
    </r>
    <r>
      <rPr>
        <i/>
        <u val="single"/>
        <sz val="10"/>
        <rFont val="Arial"/>
        <family val="2"/>
      </rPr>
      <t>&lt;</t>
    </r>
    <r>
      <rPr>
        <i/>
        <sz val="10"/>
        <rFont val="Arial"/>
        <family val="2"/>
      </rPr>
      <t xml:space="preserve">20%.  </t>
    </r>
    <r>
      <rPr>
        <i/>
        <u val="single"/>
        <sz val="10"/>
        <rFont val="Arial"/>
        <family val="2"/>
      </rPr>
      <t>Lamp:</t>
    </r>
    <r>
      <rPr>
        <i/>
        <sz val="10"/>
        <rFont val="Arial"/>
        <family val="2"/>
      </rPr>
      <t xml:space="preserve"> Lumen Maint.</t>
    </r>
    <r>
      <rPr>
        <i/>
        <u val="single"/>
        <sz val="10"/>
        <rFont val="Arial"/>
        <family val="2"/>
      </rPr>
      <t>&gt;</t>
    </r>
    <r>
      <rPr>
        <i/>
        <sz val="10"/>
        <rFont val="Arial"/>
        <family val="2"/>
      </rPr>
      <t>94%, CRI</t>
    </r>
    <r>
      <rPr>
        <i/>
        <u val="single"/>
        <sz val="10"/>
        <rFont val="Arial"/>
        <family val="2"/>
      </rPr>
      <t>&gt;</t>
    </r>
    <r>
      <rPr>
        <i/>
        <sz val="10"/>
        <rFont val="Arial"/>
        <family val="2"/>
      </rPr>
      <t>80,
lamp life</t>
    </r>
    <r>
      <rPr>
        <i/>
        <u val="single"/>
        <sz val="10"/>
        <rFont val="Arial"/>
        <family val="2"/>
      </rPr>
      <t>&gt;</t>
    </r>
    <r>
      <rPr>
        <i/>
        <sz val="10"/>
        <rFont val="Arial"/>
        <family val="2"/>
      </rPr>
      <t>24,000 hrs, (4' lamp&lt;5000K, lumens</t>
    </r>
    <r>
      <rPr>
        <i/>
        <u val="single"/>
        <sz val="10"/>
        <rFont val="Arial"/>
        <family val="2"/>
      </rPr>
      <t>&gt;</t>
    </r>
    <r>
      <rPr>
        <i/>
        <sz val="10"/>
        <rFont val="Arial"/>
        <family val="2"/>
      </rPr>
      <t>3,100) or (4' lamp</t>
    </r>
    <r>
      <rPr>
        <i/>
        <u val="single"/>
        <sz val="10"/>
        <rFont val="Arial"/>
        <family val="2"/>
      </rPr>
      <t>&gt;</t>
    </r>
    <r>
      <rPr>
        <i/>
        <sz val="10"/>
        <rFont val="Arial"/>
        <family val="2"/>
      </rPr>
      <t>5000K, lumens</t>
    </r>
    <r>
      <rPr>
        <i/>
        <u val="single"/>
        <sz val="10"/>
        <rFont val="Arial"/>
        <family val="2"/>
      </rPr>
      <t>&gt;</t>
    </r>
    <r>
      <rPr>
        <i/>
        <sz val="10"/>
        <rFont val="Arial"/>
        <family val="2"/>
      </rPr>
      <t xml:space="preserve">3,000),   </t>
    </r>
    <r>
      <rPr>
        <b/>
        <i/>
        <sz val="10"/>
        <rFont val="Arial"/>
        <family val="2"/>
      </rPr>
      <t>Initial System Lumens/Watt</t>
    </r>
    <r>
      <rPr>
        <b/>
        <i/>
        <u val="single"/>
        <sz val="10"/>
        <rFont val="Arial"/>
        <family val="2"/>
      </rPr>
      <t>&gt;</t>
    </r>
    <r>
      <rPr>
        <b/>
        <i/>
        <sz val="10"/>
        <rFont val="Arial"/>
        <family val="2"/>
      </rPr>
      <t xml:space="preserve">95.  See the CEE List of qualifying products for additional guidance.   Refer to the following link:  http://www.cee1.org/com/com-lt/com-lt-prod.pdf  </t>
    </r>
  </si>
  <si>
    <r>
      <t xml:space="preserve">Includes T8 and T5, 2' to 8' lamps. </t>
    </r>
    <r>
      <rPr>
        <i/>
        <u val="single"/>
        <sz val="10"/>
        <rFont val="Arial"/>
        <family val="2"/>
      </rPr>
      <t>Ballast:</t>
    </r>
    <r>
      <rPr>
        <i/>
        <sz val="10"/>
        <rFont val="Arial"/>
        <family val="2"/>
      </rPr>
      <t xml:space="preserve"> PF</t>
    </r>
    <r>
      <rPr>
        <i/>
        <u val="single"/>
        <sz val="10"/>
        <rFont val="Arial"/>
        <family val="2"/>
      </rPr>
      <t>&gt;</t>
    </r>
    <r>
      <rPr>
        <i/>
        <sz val="10"/>
        <rFont val="Arial"/>
        <family val="2"/>
      </rPr>
      <t>90%, THD</t>
    </r>
    <r>
      <rPr>
        <i/>
        <u val="single"/>
        <sz val="10"/>
        <rFont val="Arial"/>
        <family val="2"/>
      </rPr>
      <t>&lt;</t>
    </r>
    <r>
      <rPr>
        <i/>
        <sz val="10"/>
        <rFont val="Arial"/>
        <family val="2"/>
      </rPr>
      <t xml:space="preserve">20%.  </t>
    </r>
    <r>
      <rPr>
        <i/>
        <u val="single"/>
        <sz val="10"/>
        <rFont val="Arial"/>
        <family val="2"/>
      </rPr>
      <t>Lamp:</t>
    </r>
    <r>
      <rPr>
        <i/>
        <sz val="10"/>
        <rFont val="Arial"/>
        <family val="2"/>
      </rPr>
      <t xml:space="preserve"> Lumen Maint.</t>
    </r>
    <r>
      <rPr>
        <i/>
        <u val="single"/>
        <sz val="10"/>
        <rFont val="Arial"/>
        <family val="2"/>
      </rPr>
      <t>&gt;</t>
    </r>
    <r>
      <rPr>
        <i/>
        <sz val="10"/>
        <rFont val="Arial"/>
        <family val="2"/>
      </rPr>
      <t>90%,
 CRI</t>
    </r>
    <r>
      <rPr>
        <i/>
        <u val="single"/>
        <sz val="10"/>
        <rFont val="Arial"/>
        <family val="2"/>
      </rPr>
      <t>&gt;</t>
    </r>
    <r>
      <rPr>
        <i/>
        <sz val="10"/>
        <rFont val="Arial"/>
        <family val="2"/>
      </rPr>
      <t>80, 4' lamp lumens</t>
    </r>
    <r>
      <rPr>
        <i/>
        <u val="single"/>
        <sz val="10"/>
        <rFont val="Arial"/>
        <family val="2"/>
      </rPr>
      <t>&gt;</t>
    </r>
    <r>
      <rPr>
        <i/>
        <sz val="10"/>
        <rFont val="Arial"/>
        <family val="2"/>
      </rPr>
      <t>2,800, 4' lamp life</t>
    </r>
    <r>
      <rPr>
        <i/>
        <u val="single"/>
        <sz val="10"/>
        <rFont val="Arial"/>
        <family val="2"/>
      </rPr>
      <t>&gt;</t>
    </r>
    <r>
      <rPr>
        <i/>
        <sz val="10"/>
        <rFont val="Arial"/>
        <family val="2"/>
      </rPr>
      <t xml:space="preserve">20,000 hrs, </t>
    </r>
    <r>
      <rPr>
        <b/>
        <i/>
        <sz val="10"/>
        <rFont val="Arial"/>
        <family val="2"/>
      </rPr>
      <t xml:space="preserve">Initial System Lumens/Watt </t>
    </r>
    <r>
      <rPr>
        <b/>
        <i/>
        <u val="single"/>
        <sz val="10"/>
        <rFont val="Arial"/>
        <family val="2"/>
      </rPr>
      <t>&gt;</t>
    </r>
    <r>
      <rPr>
        <b/>
        <i/>
        <sz val="10"/>
        <rFont val="Arial"/>
        <family val="2"/>
      </rPr>
      <t xml:space="preserve"> 80</t>
    </r>
  </si>
  <si>
    <r>
      <t xml:space="preserve">Hardwired ballast and replaceable lamp, CRI </t>
    </r>
    <r>
      <rPr>
        <i/>
        <u val="single"/>
        <sz val="10"/>
        <rFont val="Arial"/>
        <family val="2"/>
      </rPr>
      <t>&gt;</t>
    </r>
    <r>
      <rPr>
        <i/>
        <sz val="10"/>
        <rFont val="Arial"/>
        <family val="2"/>
      </rPr>
      <t xml:space="preserve"> 80, see Specifications for lumens/Watt requirement</t>
    </r>
  </si>
  <si>
    <r>
      <t>Includes</t>
    </r>
    <r>
      <rPr>
        <i/>
        <sz val="10"/>
        <color indexed="8"/>
        <rFont val="Arial"/>
        <family val="2"/>
      </rPr>
      <t xml:space="preserve"> T8, T5, long twin tube T5</t>
    </r>
    <r>
      <rPr>
        <i/>
        <sz val="10"/>
        <rFont val="Arial"/>
        <family val="2"/>
      </rPr>
      <t xml:space="preserve">; 4' and 8'.  </t>
    </r>
    <r>
      <rPr>
        <i/>
        <u val="single"/>
        <sz val="10"/>
        <color indexed="8"/>
        <rFont val="Arial"/>
        <family val="2"/>
      </rPr>
      <t>Ballast:</t>
    </r>
    <r>
      <rPr>
        <i/>
        <sz val="10"/>
        <color indexed="8"/>
        <rFont val="Arial"/>
        <family val="2"/>
      </rPr>
      <t xml:space="preserve"> PF</t>
    </r>
    <r>
      <rPr>
        <i/>
        <u val="single"/>
        <sz val="10"/>
        <color indexed="8"/>
        <rFont val="Arial"/>
        <family val="2"/>
      </rPr>
      <t>&gt;</t>
    </r>
    <r>
      <rPr>
        <i/>
        <sz val="10"/>
        <color indexed="8"/>
        <rFont val="Arial"/>
        <family val="2"/>
      </rPr>
      <t>90%, THD</t>
    </r>
    <r>
      <rPr>
        <i/>
        <u val="single"/>
        <sz val="10"/>
        <color indexed="8"/>
        <rFont val="Arial"/>
        <family val="2"/>
      </rPr>
      <t>&lt;</t>
    </r>
    <r>
      <rPr>
        <i/>
        <sz val="10"/>
        <color indexed="8"/>
        <rFont val="Arial"/>
        <family val="2"/>
      </rPr>
      <t xml:space="preserve">20%.  
</t>
    </r>
    <r>
      <rPr>
        <i/>
        <u val="single"/>
        <sz val="10"/>
        <color indexed="8"/>
        <rFont val="Arial"/>
        <family val="2"/>
      </rPr>
      <t>Lamp:</t>
    </r>
    <r>
      <rPr>
        <i/>
        <sz val="10"/>
        <color indexed="8"/>
        <rFont val="Arial"/>
        <family val="2"/>
      </rPr>
      <t xml:space="preserve"> Lumen Maint.</t>
    </r>
    <r>
      <rPr>
        <i/>
        <u val="single"/>
        <sz val="10"/>
        <color indexed="8"/>
        <rFont val="Arial"/>
        <family val="2"/>
      </rPr>
      <t>&gt;</t>
    </r>
    <r>
      <rPr>
        <i/>
        <sz val="10"/>
        <color indexed="8"/>
        <rFont val="Arial"/>
        <family val="2"/>
      </rPr>
      <t>90%, C</t>
    </r>
    <r>
      <rPr>
        <i/>
        <sz val="10"/>
        <rFont val="Arial"/>
        <family val="2"/>
      </rPr>
      <t>RI</t>
    </r>
    <r>
      <rPr>
        <i/>
        <u val="single"/>
        <sz val="10"/>
        <rFont val="Arial"/>
        <family val="2"/>
      </rPr>
      <t>&gt;</t>
    </r>
    <r>
      <rPr>
        <i/>
        <sz val="10"/>
        <rFont val="Arial"/>
        <family val="2"/>
      </rPr>
      <t>80, lamp life</t>
    </r>
    <r>
      <rPr>
        <i/>
        <u val="single"/>
        <sz val="10"/>
        <rFont val="Arial"/>
        <family val="2"/>
      </rPr>
      <t>&gt;</t>
    </r>
    <r>
      <rPr>
        <i/>
        <sz val="10"/>
        <rFont val="Arial"/>
        <family val="2"/>
      </rPr>
      <t xml:space="preserve">18,000 hrs,  </t>
    </r>
    <r>
      <rPr>
        <b/>
        <i/>
        <sz val="10"/>
        <rFont val="Arial"/>
        <family val="2"/>
      </rPr>
      <t xml:space="preserve">Initial System Lumens/Watt </t>
    </r>
    <r>
      <rPr>
        <b/>
        <i/>
        <u val="single"/>
        <sz val="10"/>
        <rFont val="Arial"/>
        <family val="2"/>
      </rPr>
      <t>&gt;</t>
    </r>
    <r>
      <rPr>
        <b/>
        <i/>
        <sz val="10"/>
        <rFont val="Arial"/>
        <family val="2"/>
      </rPr>
      <t xml:space="preserve"> 80</t>
    </r>
  </si>
  <si>
    <r>
      <t xml:space="preserve">Lamp Life </t>
    </r>
    <r>
      <rPr>
        <i/>
        <u val="single"/>
        <sz val="10"/>
        <rFont val="Arial"/>
        <family val="2"/>
      </rPr>
      <t>&gt;</t>
    </r>
    <r>
      <rPr>
        <i/>
        <sz val="10"/>
        <rFont val="Arial"/>
        <family val="2"/>
      </rPr>
      <t xml:space="preserve"> 20,000 hrs., Lumen Maint. </t>
    </r>
    <r>
      <rPr>
        <i/>
        <u val="single"/>
        <sz val="10"/>
        <rFont val="Arial"/>
        <family val="2"/>
      </rPr>
      <t>&gt;</t>
    </r>
    <r>
      <rPr>
        <i/>
        <sz val="10"/>
        <rFont val="Arial"/>
        <family val="2"/>
      </rPr>
      <t xml:space="preserve"> 75%, CRI </t>
    </r>
    <r>
      <rPr>
        <i/>
        <u val="single"/>
        <sz val="10"/>
        <rFont val="Arial"/>
        <family val="2"/>
      </rPr>
      <t>&gt;</t>
    </r>
    <r>
      <rPr>
        <i/>
        <sz val="10"/>
        <rFont val="Arial"/>
        <family val="2"/>
      </rPr>
      <t xml:space="preserve"> 65,  </t>
    </r>
    <r>
      <rPr>
        <b/>
        <i/>
        <sz val="10"/>
        <rFont val="Arial"/>
        <family val="2"/>
      </rPr>
      <t xml:space="preserve">Initial System Lumens/Watt </t>
    </r>
    <r>
      <rPr>
        <b/>
        <i/>
        <u val="single"/>
        <sz val="10"/>
        <rFont val="Arial"/>
        <family val="2"/>
      </rPr>
      <t>&gt;</t>
    </r>
    <r>
      <rPr>
        <b/>
        <i/>
        <sz val="10"/>
        <rFont val="Arial"/>
        <family val="2"/>
      </rPr>
      <t xml:space="preserve"> 89</t>
    </r>
  </si>
  <si>
    <t>'8' T12 HO/VHO</t>
  </si>
  <si>
    <r>
      <t xml:space="preserve">Includes lamp/ballast retrofits &amp; kits;  </t>
    </r>
    <r>
      <rPr>
        <i/>
        <u val="single"/>
        <sz val="10"/>
        <rFont val="Arial"/>
        <family val="2"/>
      </rPr>
      <t>Ballast:</t>
    </r>
    <r>
      <rPr>
        <i/>
        <sz val="10"/>
        <rFont val="Arial"/>
        <family val="2"/>
      </rPr>
      <t xml:space="preserve"> PF</t>
    </r>
    <r>
      <rPr>
        <i/>
        <u val="single"/>
        <sz val="10"/>
        <rFont val="Arial"/>
        <family val="2"/>
      </rPr>
      <t>&gt;</t>
    </r>
    <r>
      <rPr>
        <i/>
        <sz val="10"/>
        <rFont val="Arial"/>
        <family val="2"/>
      </rPr>
      <t>90%, THD</t>
    </r>
    <r>
      <rPr>
        <i/>
        <u val="single"/>
        <sz val="10"/>
        <rFont val="Arial"/>
        <family val="2"/>
      </rPr>
      <t>&lt;</t>
    </r>
    <r>
      <rPr>
        <i/>
        <sz val="10"/>
        <rFont val="Arial"/>
        <family val="2"/>
      </rPr>
      <t xml:space="preserve">20%.  </t>
    </r>
    <r>
      <rPr>
        <i/>
        <u val="single"/>
        <sz val="10"/>
        <rFont val="Arial"/>
        <family val="2"/>
      </rPr>
      <t>Lamp:</t>
    </r>
    <r>
      <rPr>
        <i/>
        <sz val="10"/>
        <rFont val="Arial"/>
        <family val="2"/>
      </rPr>
      <t xml:space="preserve"> 8'  or 4' T8  Slimline or HO.  Lumen Maint.</t>
    </r>
    <r>
      <rPr>
        <i/>
        <u val="single"/>
        <sz val="10"/>
        <rFont val="Arial"/>
        <family val="2"/>
      </rPr>
      <t>&gt;</t>
    </r>
    <r>
      <rPr>
        <i/>
        <sz val="10"/>
        <rFont val="Arial"/>
        <family val="2"/>
      </rPr>
      <t>90%, CRI</t>
    </r>
    <r>
      <rPr>
        <i/>
        <u val="single"/>
        <sz val="10"/>
        <rFont val="Arial"/>
        <family val="2"/>
      </rPr>
      <t>&gt;</t>
    </r>
    <r>
      <rPr>
        <i/>
        <sz val="10"/>
        <rFont val="Arial"/>
        <family val="2"/>
      </rPr>
      <t>80, lamp life</t>
    </r>
    <r>
      <rPr>
        <i/>
        <u val="single"/>
        <sz val="10"/>
        <rFont val="Arial"/>
        <family val="2"/>
      </rPr>
      <t>&gt;</t>
    </r>
    <r>
      <rPr>
        <i/>
        <sz val="10"/>
        <rFont val="Arial"/>
        <family val="2"/>
      </rPr>
      <t xml:space="preserve">18,000 hrs,  </t>
    </r>
    <r>
      <rPr>
        <b/>
        <i/>
        <sz val="10"/>
        <rFont val="Arial"/>
        <family val="2"/>
      </rPr>
      <t xml:space="preserve">Initial System Lumens/Watt </t>
    </r>
    <r>
      <rPr>
        <b/>
        <i/>
        <u val="single"/>
        <sz val="10"/>
        <rFont val="Arial"/>
        <family val="2"/>
      </rPr>
      <t>&gt;</t>
    </r>
    <r>
      <rPr>
        <b/>
        <i/>
        <sz val="10"/>
        <rFont val="Arial"/>
        <family val="2"/>
      </rPr>
      <t xml:space="preserve"> 80</t>
    </r>
  </si>
  <si>
    <t>4' HO de-lamp</t>
  </si>
  <si>
    <t>(2 to 6) 4' T8 lamps and standard electronic high output ballast</t>
  </si>
  <si>
    <t xml:space="preserve">Wrong value for interaction on industrial one-shift, two-shift and three shift.  RTF recommended default values be same as for warehouse.  </t>
  </si>
  <si>
    <t>Corrected so that conditioned space interaction same as for warehouse.  Still use no interaction for unconditioned industrial.</t>
  </si>
  <si>
    <t>Added test to screen for input negative capital cost and set reimbursement to zero in cell R16 of tab 'Site Audit'.</t>
  </si>
  <si>
    <r>
      <t>2800K</t>
    </r>
    <r>
      <rPr>
        <sz val="12"/>
        <rFont val="Times New Roman"/>
        <family val="1"/>
      </rPr>
      <t xml:space="preserve"> - or 2800 degrees Kelvin (see Kelvin) is a typical color temperature for incandescent bulbs.  Tungsten melts at around 3800 degrees Kelvin.  Tungsten filaments become very fragile around 2800 degrees Kelvin.  Therefore, standard incandescent technology is limited to around 2800 Kelvin CCT.  At this temperature, the tungsten filament gives off a yellowish glow.  Quartz Halogen is able to increase the color temperature to around 3100K.  Because fluorescent technology does not depend on burning a filament to produce light, a wide range of color temperatures is possible.  </t>
    </r>
  </si>
  <si>
    <r>
      <t>kWh</t>
    </r>
    <r>
      <rPr>
        <sz val="12"/>
        <rFont val="Times New Roman"/>
        <family val="0"/>
      </rPr>
      <t xml:space="preserve"> - is a unit of energy typically used in the electrical industry.  It is equivalent to one average kilowatt acting over a one hour period. </t>
    </r>
  </si>
  <si>
    <r>
      <t xml:space="preserve">Mercury </t>
    </r>
    <r>
      <rPr>
        <sz val="12"/>
        <rFont val="Times New Roman"/>
        <family val="1"/>
      </rPr>
      <t>- is a heavy metal used in fluorescent and HID lamps to conduct electricity and excite the fluorescent material (phosphors).</t>
    </r>
  </si>
  <si>
    <r>
      <t xml:space="preserve">Tungsten </t>
    </r>
    <r>
      <rPr>
        <sz val="12"/>
        <rFont val="Times New Roman"/>
        <family val="1"/>
      </rPr>
      <t>- is the metal with the highest melting temperature.  Thus, it is well suited for lighting technologies.  Tungsten melts at around 3800 degrees Kelvin.  However, tungsten becomes fragile around 2800 degrees Kelvin (typical incandescent temperature).</t>
    </r>
  </si>
  <si>
    <t>Lamp</t>
  </si>
  <si>
    <t>Rated Average Life</t>
  </si>
  <si>
    <t>Color</t>
  </si>
  <si>
    <t>Manufacturers</t>
  </si>
  <si>
    <t>Length</t>
  </si>
  <si>
    <t>IS</t>
  </si>
  <si>
    <t>RS</t>
  </si>
  <si>
    <t>Approximate Lumens</t>
  </si>
  <si>
    <t>Rendering</t>
  </si>
  <si>
    <t>Lumen</t>
  </si>
  <si>
    <t>Ordering Code</t>
  </si>
  <si>
    <t>Description</t>
  </si>
  <si>
    <t>(in.)</t>
  </si>
  <si>
    <t>3hrs/start</t>
  </si>
  <si>
    <t>12hrs/start</t>
  </si>
  <si>
    <t>Initial</t>
  </si>
  <si>
    <t>Mean</t>
  </si>
  <si>
    <t>Index</t>
  </si>
  <si>
    <t>Maintenance</t>
  </si>
  <si>
    <t>800 series, 3000K</t>
  </si>
  <si>
    <t>48"</t>
  </si>
  <si>
    <t>800 series, 3500K</t>
  </si>
  <si>
    <t>800 series, 4100K</t>
  </si>
  <si>
    <t>800 series, 5000K</t>
  </si>
  <si>
    <t>96"</t>
  </si>
  <si>
    <t>RS or PRS</t>
  </si>
  <si>
    <t>PSX</t>
  </si>
  <si>
    <t>any</t>
  </si>
  <si>
    <t>continuous</t>
  </si>
  <si>
    <r>
      <t xml:space="preserve">PHILIPS - </t>
    </r>
    <r>
      <rPr>
        <b/>
        <sz val="12"/>
        <rFont val="Times New Roman"/>
        <family val="1"/>
      </rPr>
      <t>Alto Plus Slimline T8 Series</t>
    </r>
  </si>
  <si>
    <r>
      <t xml:space="preserve">SYLVANIA - </t>
    </r>
    <r>
      <rPr>
        <b/>
        <sz val="12"/>
        <rFont val="Times New Roman"/>
        <family val="1"/>
      </rPr>
      <t>Extended Performance SUPER (XPS) T8 Octron Series</t>
    </r>
  </si>
  <si>
    <r>
      <t xml:space="preserve">PHILIPS - </t>
    </r>
    <r>
      <rPr>
        <b/>
        <sz val="12"/>
        <rFont val="Times New Roman"/>
        <family val="1"/>
      </rPr>
      <t>Alto Advantage (ADV) T8 Series</t>
    </r>
  </si>
  <si>
    <t>Incandescent, 1-PS35 300W, no ballast</t>
  </si>
  <si>
    <t>Incandescent, 1-PS40 620W, no ballast</t>
  </si>
  <si>
    <t>Ceramic Metal Halide, 1-Single End 20W, 1-Elec</t>
  </si>
  <si>
    <t>Ceramic Metal Halide, 1-39W, 1-Elec</t>
  </si>
  <si>
    <t>Ceramic Metal Halide, 1-70W, 1-Elec</t>
  </si>
  <si>
    <t>Ceramic Metal Halide, 1-150W, 1-Elec</t>
  </si>
  <si>
    <t>Ceramic Metal Halide, 1-100W, 1-Elec</t>
  </si>
  <si>
    <t>Ceramic Metal Halide, 1-250W, 1-Elec</t>
  </si>
  <si>
    <t>Ceramic Metal Halide, 1-320W, 1-Elec</t>
  </si>
  <si>
    <t>Ceramic Metal Halide, 1-400W, 1-Elec</t>
  </si>
  <si>
    <r>
      <t xml:space="preserve">GE LIGHTING - </t>
    </r>
    <r>
      <rPr>
        <b/>
        <sz val="12"/>
        <rFont val="Times New Roman"/>
        <family val="1"/>
      </rPr>
      <t>ULTRA High Lumen w/Starcoat HL T8 Series</t>
    </r>
  </si>
  <si>
    <t>GE High Performance Lamp Spec Sheet</t>
  </si>
  <si>
    <r>
      <t xml:space="preserve">HID </t>
    </r>
    <r>
      <rPr>
        <sz val="12"/>
        <rFont val="Times New Roman"/>
        <family val="1"/>
      </rPr>
      <t>- or high intensity discharge is a light source that produces light by creating an arc of electricity across two electrodes (think arc welding).</t>
    </r>
  </si>
  <si>
    <t>ballast type</t>
  </si>
  <si>
    <t>PRS</t>
  </si>
  <si>
    <t>T8HP 4', 3-F32T8, 3100+lumen, 1-RLO Maxlite 50014</t>
  </si>
  <si>
    <t>This Section for Calculating PV of Periodic Lamp Replacement Cost</t>
  </si>
  <si>
    <t>Uses a user-defined function called dfuncPV</t>
  </si>
  <si>
    <t>Program Parameters</t>
  </si>
  <si>
    <t>Discount Rate</t>
  </si>
  <si>
    <t>=dfuncPV(Number,OperatingHours,AverageLife,Cost,Labor,Labor_Rate,Discount_Rate,Measure_Life)</t>
  </si>
  <si>
    <t>Measure Life</t>
  </si>
  <si>
    <t>Labor Rate</t>
  </si>
  <si>
    <t>Existing</t>
  </si>
  <si>
    <t>Proposed</t>
  </si>
  <si>
    <t>USER TIPS  for this Drop-Down Workbook</t>
  </si>
  <si>
    <t>When you see a "RS" in the model number of a ballast, it indicates a rapid-start ballast.</t>
  </si>
  <si>
    <r>
      <t>Annual Operating Hours</t>
    </r>
    <r>
      <rPr>
        <sz val="12"/>
        <rFont val="Times New Roman"/>
        <family val="0"/>
      </rPr>
      <t xml:space="preserve"> - is usually a calculated value equal to the total weekday, weekend, and holiday hours that the lighting system is operating during a one year period.  </t>
    </r>
  </si>
  <si>
    <r>
      <t>Metal Halide</t>
    </r>
    <r>
      <rPr>
        <sz val="12"/>
        <rFont val="Times New Roman"/>
        <family val="1"/>
      </rPr>
      <t xml:space="preserve"> - is a neutral white appearing HID light source.  </t>
    </r>
  </si>
  <si>
    <t>T5HO Fluorescent, 12-F54T5HO 54W, 3-Program Start</t>
  </si>
  <si>
    <r>
      <t xml:space="preserve">High Pressure Sodium </t>
    </r>
    <r>
      <rPr>
        <sz val="12"/>
        <rFont val="Times New Roman"/>
        <family val="1"/>
      </rPr>
      <t>- is an outdated, very yellowish looking HID light source.</t>
    </r>
  </si>
  <si>
    <t>Lighting in Large Retail, Electric Resistance Heating</t>
  </si>
  <si>
    <t>ExLgRetElecHt</t>
  </si>
  <si>
    <t>Lighting in Large Retail, Gas Heating</t>
  </si>
  <si>
    <t>ExLgRetGasHt</t>
  </si>
  <si>
    <t>Lighting in Large Retail, Unspecified Heating Fuel</t>
  </si>
  <si>
    <t>ExLgRet</t>
  </si>
  <si>
    <t>Generic Plant with One Shift</t>
  </si>
  <si>
    <t>Generic Plant with Three Shifts</t>
  </si>
  <si>
    <t>Generic Plant with Two Shifts</t>
  </si>
  <si>
    <t>goes to ProjectSave</t>
  </si>
  <si>
    <t>Total Existing Watts of Area Affected by Retrofit</t>
  </si>
  <si>
    <t>Total Proposed Watts of Area Affected by Retrofit</t>
  </si>
  <si>
    <t>Project Cost</t>
  </si>
  <si>
    <t>Best Energy Efficient Choice, 277 Volt, standard electronic</t>
  </si>
  <si>
    <t>Best Energy Efficient Choice, 120 Volt, standard electronic</t>
  </si>
  <si>
    <t xml:space="preserve">Dedicated-Voltage, Instant-Start </t>
  </si>
  <si>
    <t>Dedicated-Voltage, Centium Low-THD</t>
  </si>
  <si>
    <t>Dedicated-Voltage, standard Instant-Start, Normal Light Output</t>
  </si>
  <si>
    <t xml:space="preserve">Hardwired Compact Fluorescent </t>
  </si>
  <si>
    <t xml:space="preserve">Induction Lamp Luminaire  </t>
  </si>
  <si>
    <r>
      <t xml:space="preserve">Lamp Life </t>
    </r>
    <r>
      <rPr>
        <i/>
        <u val="single"/>
        <sz val="10"/>
        <rFont val="Arial"/>
        <family val="2"/>
      </rPr>
      <t>&gt;</t>
    </r>
    <r>
      <rPr>
        <i/>
        <sz val="10"/>
        <rFont val="Arial"/>
        <family val="2"/>
      </rPr>
      <t xml:space="preserve"> 80,000 hours, CRI </t>
    </r>
    <r>
      <rPr>
        <i/>
        <u val="single"/>
        <sz val="10"/>
        <rFont val="Arial"/>
        <family val="2"/>
      </rPr>
      <t>&gt;</t>
    </r>
    <r>
      <rPr>
        <i/>
        <sz val="10"/>
        <rFont val="Arial"/>
        <family val="2"/>
      </rPr>
      <t xml:space="preserve"> 80</t>
    </r>
  </si>
  <si>
    <t xml:space="preserve">T8 Standard Electronic, 2-F32T8, 2950+lumen, 1-Elec VRLO  </t>
  </si>
  <si>
    <t xml:space="preserve">T8 Standard Electronic, 2-F32T8, 2950+lumen, 1-Elec RLO  </t>
  </si>
  <si>
    <t>T8 Standard Electronic, 2-F32T8, 2950+lumen, 1-ISElec</t>
  </si>
  <si>
    <t>T8 Standard Electronic, 2-F32T8, 2950+lumen, 1-RSElec</t>
  </si>
  <si>
    <t>T8 Standard Electronic, 2-F32T8, 2950+lumen, 1-Elec HLO</t>
  </si>
  <si>
    <t>Best Energy Efficient Choice,  277 Volt, standard Instant-Start</t>
  </si>
  <si>
    <t>120 Volt, High-Efficiency Instant-Start</t>
  </si>
  <si>
    <t>Dedicated-Voltage, standard Instant-Start</t>
  </si>
  <si>
    <t xml:space="preserve">Good lumen maintenance. </t>
  </si>
  <si>
    <t xml:space="preserve">LED or </t>
  </si>
  <si>
    <t>Cold Cathode</t>
  </si>
  <si>
    <t>Order Here, etc..</t>
  </si>
  <si>
    <t xml:space="preserve">Signage - Exit, Open/Closed, </t>
  </si>
  <si>
    <t xml:space="preserve">Great efficacy, excellent color rendering.  </t>
  </si>
  <si>
    <t>Most color temperature choices.</t>
  </si>
  <si>
    <t>Incandescent task lighting.</t>
  </si>
  <si>
    <t xml:space="preserve">15' to 60' mounting height. </t>
  </si>
  <si>
    <t>Places where it is expensive or</t>
  </si>
  <si>
    <t xml:space="preserve">dangerous to change bulbs. </t>
  </si>
  <si>
    <t>T12 4' Fluorescent, 4-F40T12 40W, 2-Mag</t>
  </si>
  <si>
    <t>Serving Utility:</t>
  </si>
  <si>
    <t>Lighting Measure Examples</t>
  </si>
  <si>
    <t>Summary/Design Info</t>
  </si>
  <si>
    <t>For instance; building and room name</t>
  </si>
  <si>
    <t>N/A</t>
  </si>
  <si>
    <t xml:space="preserve">Add qualifying measure(s) here.  See the technical specifications for guidance.  </t>
  </si>
  <si>
    <t>Occupancy Sensor or Timer controlling 100 to 200 watts (see above)</t>
  </si>
  <si>
    <t>Incandescent, 4-A 75W, no ballast</t>
  </si>
  <si>
    <t>Incandescent, 4-A 100W, no ballast</t>
  </si>
  <si>
    <t xml:space="preserve">Dedicated-Voltage, standard electronic VHLO ballast </t>
  </si>
  <si>
    <t xml:space="preserve">Great option for general retail lighting </t>
  </si>
  <si>
    <t>Great option for retail display lighting - ie. track or recessed can</t>
  </si>
  <si>
    <t xml:space="preserve">   Description of Proposed Lamp/Ballast Combination</t>
  </si>
  <si>
    <t>Annual kWh Savings</t>
  </si>
  <si>
    <t>None</t>
  </si>
  <si>
    <t>Location</t>
  </si>
  <si>
    <t>Proposed Lamp/Ballast</t>
  </si>
  <si>
    <t xml:space="preserve">        Suggested Retrofits / Notes</t>
  </si>
  <si>
    <t>T12 4' Fluorescent, 1-F40T12 40W, 1-Mag</t>
  </si>
  <si>
    <t>T12 4' Fluorescent, 2-F40T12ES 34W, 1-Mag EE</t>
  </si>
  <si>
    <t>T12 4' Fluorescent, 2-F40T12ES 34W, 1-Mag</t>
  </si>
  <si>
    <t>T12 4' Fluorescent, 2-F40T12 40W, 1-Mag EE</t>
  </si>
  <si>
    <t>T12 4' Fluorescent, 2-F40T12 40W, 1-Mag</t>
  </si>
  <si>
    <t>T12 4' Fluorescent, 3-F40T12ES 34W, 2-Mag EE</t>
  </si>
  <si>
    <t>T12 4' Fluorescent, 3-F40T12 40W, 2-Mag EE</t>
  </si>
  <si>
    <t>T12 4' Fluorescent, 3-F40T12ES 34W, 2-Mag</t>
  </si>
  <si>
    <t>T12 4' Fluorescent, 3-F40T12 40W, 2-Mag</t>
  </si>
  <si>
    <t>T12 4' Fluorescent, 4-F40T12ES 34W, 2-Mag EE</t>
  </si>
  <si>
    <t>T12 4' Fluorescent, 4-F40T12ES 34W, 2-Mag</t>
  </si>
  <si>
    <t>T12 4' Fluorescent, 4-F40T12 40W, 2-Mag EE</t>
  </si>
  <si>
    <t>Intellivolt or Dedicated-Voltage, Instant-Start, Low-Output ballast</t>
  </si>
  <si>
    <t>Universal-Voltage, 2-lamp Program-Start operating 1 lamp</t>
  </si>
  <si>
    <t>Universal-Voltage, Instant-Start, Low-Output</t>
  </si>
  <si>
    <t>Lighting Only</t>
  </si>
  <si>
    <t>Health</t>
  </si>
  <si>
    <t>Other</t>
  </si>
  <si>
    <t>Restaurant</t>
  </si>
  <si>
    <t>School</t>
  </si>
  <si>
    <t>Warehouse</t>
  </si>
  <si>
    <t>Dedicated-Voltage, standard electronic HLO can be efficient</t>
  </si>
  <si>
    <t>Best Energy Efficient Choice, Dedicated-Voltage, Instant-Start</t>
  </si>
  <si>
    <t>Incandescent, 4-A 40W, no ballast</t>
  </si>
  <si>
    <r>
      <t>Lighting System</t>
    </r>
    <r>
      <rPr>
        <sz val="12"/>
        <rFont val="Times New Roman"/>
        <family val="0"/>
      </rPr>
      <t xml:space="preserve"> - typically refers to all of the luminaires inside and/or outside of a building.  The term is also used interchangeably with luminaire.  It is desirable to look at a luminaire as a system.   </t>
    </r>
  </si>
  <si>
    <r>
      <t xml:space="preserve">Check </t>
    </r>
    <r>
      <rPr>
        <b/>
        <sz val="12"/>
        <rFont val="Times New Roman"/>
        <family val="1"/>
      </rPr>
      <t>Row 2</t>
    </r>
    <r>
      <rPr>
        <sz val="12"/>
        <rFont val="Times New Roman"/>
        <family val="0"/>
      </rPr>
      <t xml:space="preserve"> for the latest Drop-Down version.  Row 2 shows when the spreadsheet was updated. </t>
    </r>
  </si>
  <si>
    <r>
      <t>Row 4-10</t>
    </r>
    <r>
      <rPr>
        <sz val="12"/>
        <rFont val="Times New Roman"/>
        <family val="0"/>
      </rPr>
      <t xml:space="preserve"> - Fill in pertinent information in cells with blue font.  Cells with black font are calculated cells.  Input into black font cells will erase the equation in that cell.  </t>
    </r>
  </si>
  <si>
    <t>T8HP 4', 4-F32T8, 3100+lumen, 2-HLO Sylvania Quicktronic  QT2x32/120/277 Plus</t>
  </si>
  <si>
    <t>Hardwired CFLs</t>
  </si>
  <si>
    <t xml:space="preserve">Hallways, foyers, bathrooms, closets, task lighting, </t>
  </si>
  <si>
    <t xml:space="preserve">Incandescent or </t>
  </si>
  <si>
    <t>Shorter life than T8s. Good lumen maint.</t>
  </si>
  <si>
    <t xml:space="preserve">table &amp; floor lamps, wall packs &amp; sconces.   </t>
  </si>
  <si>
    <t>Spot, flood, and general illumination.</t>
  </si>
  <si>
    <t xml:space="preserve">Retail display, lobbies, atriums, foyers, museums, </t>
  </si>
  <si>
    <t>Directional Display lighting.</t>
  </si>
  <si>
    <t xml:space="preserve">art galleries, anywhere light quality is important.  </t>
  </si>
  <si>
    <t>Screw-in CFLs</t>
  </si>
  <si>
    <t>Universal-Voltage, 2 lamp Instant-Start, Normal-Output</t>
  </si>
  <si>
    <t>T8HP 4', 1-F32T8, 3100+lumen, 1-NLO Universal Triad Ultim8 B132IUNVHE-A</t>
  </si>
  <si>
    <t>T8 High Performance, 2-F32T8HP 32W, 1-Elec HP RLO</t>
  </si>
  <si>
    <t>T8 High Performance, 2-F32T8HP 32W, 1-Elec HP</t>
  </si>
  <si>
    <t>T8 High Performance, 3-F32T8HP 32W, 1-Elec HP RLO</t>
  </si>
  <si>
    <t>T8 High Performance, 3-F32T8HP 32W, 1-Elec HP</t>
  </si>
  <si>
    <t>T8 High Performance, 4-F32T8HP 32W, 1-Elec HP RLO</t>
  </si>
  <si>
    <t>T8 High Performance, 2-F32T8HP 32W, 1-Elec HP HLO</t>
  </si>
  <si>
    <t>T8 Fluorescent, 1-F96T8 59W, 1-Elec</t>
  </si>
  <si>
    <t>T8 Fluorescent, 4-F32T8 32W, 1-Elec</t>
  </si>
  <si>
    <t>T8 Fluorescent, 4-F32T8 32W, 2-Elec HLO</t>
  </si>
  <si>
    <t>T8 Fluorescent, 2-F96T8HO 86W, 1-Elec</t>
  </si>
  <si>
    <t>T8 Fluorescent, 6-F32T8 32W, 1-Elec</t>
  </si>
  <si>
    <t>T8 Fluorescent, 6-F32T8 32W, 2-Elec HLO</t>
  </si>
  <si>
    <t>Screw-In CFL, 1-CF 9W, 1-Mag</t>
  </si>
  <si>
    <t>Screw-In CFL, 1-CF 11W, 1-Mag</t>
  </si>
  <si>
    <t>Screw-In CFL, 1-CF 15W, 1-Mag</t>
  </si>
  <si>
    <t>Hard-Wired CFL, 1-PL 20W, 1-Mag</t>
  </si>
  <si>
    <t>Hard-Wired CFL, 1-PL 23W, 1-Mag</t>
  </si>
  <si>
    <t>Hard-Wired CFL, 1-PL 26W, 1-Mag</t>
  </si>
  <si>
    <t>Hard-Wired CFL, 1-PL 32W, 1-Mag</t>
  </si>
  <si>
    <t>Hard-Wired CFL, 2-PL 23W, 2-Mag</t>
  </si>
  <si>
    <t>T8 High Performance, 4-F32T8HP 32W, 2-Elec HP HLO</t>
  </si>
  <si>
    <t>100 to 200 Watts controlled</t>
  </si>
  <si>
    <t>over 200 Watts controlled</t>
  </si>
  <si>
    <t>LED or Cold Cathode Signs</t>
  </si>
  <si>
    <t>Screw-in Compact Fluorescent Lamps  (Lamp Only)</t>
  </si>
  <si>
    <t>Includes one Piece or Modular, Energy Star compliant where applicable. Includes Cold Cathode Lamps.</t>
  </si>
  <si>
    <t>1.6/1.58/1.55/1.48/1.47</t>
  </si>
  <si>
    <t>1.04/1.05/1.04/0.97/1.0</t>
  </si>
  <si>
    <t>0.79/0.8/0.77/0.76/0.75</t>
  </si>
  <si>
    <t>ISL</t>
  </si>
  <si>
    <t>ISH</t>
  </si>
  <si>
    <t>ISN</t>
  </si>
  <si>
    <t>2.84/1.47/1.00/0.75</t>
  </si>
  <si>
    <t>High Output T5 fluorescent lamp/ballast combinations</t>
  </si>
  <si>
    <t>Standard Electronic T8 lamp/ballast combinations</t>
  </si>
  <si>
    <t>The "Sylvania Extreme Lighting System" is a reduced-light-output, program-rapid-start, universal-voltage system.  This system will work well with occupancy sensors or other frequently switched conditions.  Universal voltage ballasts were designed for industrial applications where different voltages exist.  Universal/GE has similar products.  Look for "PUNV" in the Universal/GE ballast model #.  Advance Transformer has similar products as well.  Look for "IOP" in the model number.</t>
  </si>
  <si>
    <t xml:space="preserve">"Optanium" is Advance Transformer's trade name for their high performance ballast line. Instant and Program start ballasts are available.  </t>
  </si>
  <si>
    <t>Elec or EL indicates a standard electronic ballast.  Solid-state electronics.</t>
  </si>
  <si>
    <t>T8HP 4', 2-F32T8, 3100+lumen, 1-HLO Advance Elec REL/VEL-3P32-HL-SC</t>
  </si>
  <si>
    <t>T8HP 4', 3-F32T8, 3100+lumen, 1-HLO Advance Elec REL/VEL-3P32-HL-SC</t>
  </si>
  <si>
    <t>T8HP 4', 1-F32T8, 3100+lumen, 1-NLO Advance Optanium RCN/VCN-132-MC</t>
  </si>
  <si>
    <t xml:space="preserve">"Centium" is Advance Transformer's trade name for their low THD ballast product line.  THD stands for Total Harmonic Distortion.  A measure of how close the ballast's waveform is to a perfect sine-wave.  </t>
  </si>
  <si>
    <t>In the following example  -  2-F96T8; the 2 indicates a two lamp fixture, the F indicates fluorescent, the 96 indicates an 8' long tube, and T8 indicates an 8/8s inch diameter tube.</t>
  </si>
  <si>
    <t>Customer Name</t>
  </si>
  <si>
    <t>Building/Account</t>
  </si>
  <si>
    <t>Main Warehouse</t>
  </si>
  <si>
    <t>Building&gt;</t>
  </si>
  <si>
    <t xml:space="preserve">Utility Invoice # &amp; Name </t>
  </si>
  <si>
    <t>Account #</t>
  </si>
  <si>
    <t>Rearranged facilities data on Site Audit tab and reflected all relevant data to Summary tab. Protected Summary tab</t>
  </si>
  <si>
    <t>CommercialLightingCalculator FY07 V1_3.xls</t>
  </si>
  <si>
    <t>New version uploaded to live site</t>
  </si>
  <si>
    <t>CommercialLightingCalculator FY07 V1_4.xls</t>
  </si>
  <si>
    <t>Industrial Plant with Three Shifts</t>
  </si>
  <si>
    <t>IndShift3</t>
  </si>
  <si>
    <t>Industrial Plant with Two Shifts</t>
  </si>
  <si>
    <t>IndShift2</t>
  </si>
  <si>
    <t>Flat</t>
  </si>
  <si>
    <t>Exterior 24 Hour Operation</t>
  </si>
  <si>
    <t>StreetLight</t>
  </si>
  <si>
    <t>Street &amp; Area Lighting (Photo Sensor Controlled)</t>
  </si>
  <si>
    <t>Values are from</t>
  </si>
  <si>
    <t>End Use/Measure</t>
  </si>
  <si>
    <t>Shape Pointer</t>
  </si>
  <si>
    <t>NPV/kWh for Selected Measure &amp; Lifetime</t>
  </si>
  <si>
    <t>Lighting in Existing Restaurant, Air Source Heat Pump Heating and Cooling</t>
  </si>
  <si>
    <t>ExRestHtPmpHt</t>
  </si>
  <si>
    <t>Lighting in Existing Restaurant, Electric Resistance Heating</t>
  </si>
  <si>
    <t>ExRestElecHt</t>
  </si>
  <si>
    <t>Lighting in Existing Restaurant, Gas Heating</t>
  </si>
  <si>
    <t>ExRestGasHt</t>
  </si>
  <si>
    <t>Lighting in Existing Restaurant, Unspecified Heating Fuel</t>
  </si>
  <si>
    <t>ExRest</t>
  </si>
  <si>
    <t>Lighting in Existing School, Air Source Heat Pump Heating and Cooling</t>
  </si>
  <si>
    <t>ExSchoolHtPmpHt</t>
  </si>
  <si>
    <t>Lighting in Existing School, Electric Resistance Heating</t>
  </si>
  <si>
    <t>ExSchoolElecHt</t>
  </si>
  <si>
    <t>Lighting in Existing School, Gas Heating</t>
  </si>
  <si>
    <t>ExSchoolGasHt</t>
  </si>
  <si>
    <t>Lighting in Existing School, Unspecified Heating Fuel</t>
  </si>
  <si>
    <t>ExSchool</t>
  </si>
  <si>
    <t>Lighting in Existing Small  Retail, Air Source Heat Pump Heating and Cooling</t>
  </si>
  <si>
    <t>ExSmRetHtPmpHt</t>
  </si>
  <si>
    <t>Lighting in Existing Small  Retail, Gas Heating</t>
  </si>
  <si>
    <t>ExSmRetGasHt</t>
  </si>
  <si>
    <t>Lighting in Existing Small  Retail, Unspecified Heating Fuel</t>
  </si>
  <si>
    <t>ExSmRet</t>
  </si>
  <si>
    <t>Lighting in Existing Small Office, Air Source Heat Pump Heating and Cooling</t>
  </si>
  <si>
    <t>ExSmOffHtPmpHt</t>
  </si>
  <si>
    <t>Lighting in Existing Small Office, Electric Resistance Heating</t>
  </si>
  <si>
    <t>ExSmOffElecHt</t>
  </si>
  <si>
    <t>Lighting in Existing Small Office, Gas Heating</t>
  </si>
  <si>
    <t>ExSmOffGasHt</t>
  </si>
  <si>
    <t>Lighting in Existing Small Office, Unspecified Heating Fuel</t>
  </si>
  <si>
    <t>ExSmOff</t>
  </si>
  <si>
    <t>Lighting in Existing Small Retail, Electric Resistance Heating</t>
  </si>
  <si>
    <t>ExSmRetElecHt</t>
  </si>
  <si>
    <t>Lighting in Existing Warehouse, Air Source Heat Pump Heating and Cooling</t>
  </si>
  <si>
    <t>ExWarehHtPmpHt</t>
  </si>
  <si>
    <t>Lighting in Existing Warehouse, Electric Resistance Heating</t>
  </si>
  <si>
    <t>ExWarehElecHt</t>
  </si>
  <si>
    <t>Lighting in Existing Warehouse, Gas Heating</t>
  </si>
  <si>
    <t>ExWarehGasHt</t>
  </si>
  <si>
    <t>Lighting in Existing Warehouse, Unspecified Heating Fuel</t>
  </si>
  <si>
    <t>ExWareh</t>
  </si>
  <si>
    <t>Lighting in Grocery, Air Source Heat Pump Heating and Cooling</t>
  </si>
  <si>
    <t>ExGrocHtPmpHt</t>
  </si>
  <si>
    <t>Lighting in Grocery, Electric Resistance Heating</t>
  </si>
  <si>
    <t>ExGrocElecHt</t>
  </si>
  <si>
    <t>Lighting in Grocery, Gas Heating</t>
  </si>
  <si>
    <t>ExGrocGasHt</t>
  </si>
  <si>
    <t>Lighting in Grocery, Unspecified Heating Fuel</t>
  </si>
  <si>
    <t>ExGroc</t>
  </si>
  <si>
    <t>Lighting in Health Care Facility, Air Source Heat Pump Heating and Cooling</t>
  </si>
  <si>
    <t>ExHealthHtPmpHt</t>
  </si>
  <si>
    <t>277 Volt, High-Efficiency Instant-Start</t>
  </si>
  <si>
    <t>High-Efficiency, Universal-Voltage, Instant-Start, Low-THD</t>
  </si>
  <si>
    <t>120 Volt, High-Efficency 2-lamp Instant-Start operating 1 lamp</t>
  </si>
  <si>
    <t xml:space="preserve">Best Energy Efficient Choice, High-Eff, Univ-Volt, IS, Low-THD </t>
  </si>
  <si>
    <t>Dedicated-Voltage, High-Efficiency Instant-Start, Normal-Output</t>
  </si>
  <si>
    <t xml:space="preserve">Intellivolt (120, 230, or 277 Volt), Optanium Program-Start </t>
  </si>
  <si>
    <t>Mercury Vapor</t>
  </si>
  <si>
    <t>C</t>
  </si>
  <si>
    <t>50 to 99 Watts</t>
  </si>
  <si>
    <t>D</t>
  </si>
  <si>
    <r>
      <t xml:space="preserve">CRI </t>
    </r>
    <r>
      <rPr>
        <i/>
        <u val="single"/>
        <sz val="10"/>
        <rFont val="Arial"/>
        <family val="2"/>
      </rPr>
      <t>&gt;</t>
    </r>
    <r>
      <rPr>
        <i/>
        <sz val="10"/>
        <rFont val="Arial"/>
        <family val="2"/>
      </rPr>
      <t xml:space="preserve"> 80, lumen maintenance ≥ 80%, and maximum color shift over life of lamp ≤ 200K</t>
    </r>
  </si>
  <si>
    <t>101 to 250 Watts</t>
  </si>
  <si>
    <t>E</t>
  </si>
  <si>
    <t>Metal Halide, 1000W, 1-Std Mag</t>
  </si>
  <si>
    <t>MH Pulse Start, 750W, 1-PS Mag</t>
  </si>
  <si>
    <t>MH Pulse Start, 1000W, 1-PS Mag</t>
  </si>
  <si>
    <t>T12 8' Fluorescent, 4-F96T12HOES 95W, 2-Mag EE</t>
  </si>
  <si>
    <t>T12 8' Fluorescent, 4-F96T12HOES 95W, 2-Mag</t>
  </si>
  <si>
    <t>T12 8' Fluorescent, 4-F96T12HO 110W, 2-Mag EE</t>
  </si>
  <si>
    <t>T12 8' Fluorescent, 4-F96T12HO 110W, 2-Mag</t>
  </si>
  <si>
    <t>T12 8' Fluorescent, 4-F96T12VHOES 185W, 2-Mag</t>
  </si>
  <si>
    <t>T12 8' Fluorescent, 4-F96T12VHO 215W, 2-Mag</t>
  </si>
  <si>
    <t>T12 Other Fluorescent, 1-FC6T9 20W, 1-Mag</t>
  </si>
  <si>
    <t>T12 Other Fluorescent, 1-FC8T9 22W, 1-Mag</t>
  </si>
  <si>
    <t>T8HP 4', 4-F32T8, 3100+lumen, 2-RLO Sylvania Extreme/UNV PSX-TC</t>
  </si>
  <si>
    <t>T8HP 4', 1-F32T8, 3100+lumen, 1-RLO Sylvania Quicktronic QHE/UNV ISL-SC</t>
  </si>
  <si>
    <t>T8HP 4', 2-F32T8, 3100+lumen, 1-RLO Sylvania Quicktronic QHE/UNV ISL-SC</t>
  </si>
  <si>
    <t>T8HP 4', 2-F32T8, 3100+lumen, 1-NLO Sylvania Quicktronic QHE/UNV ISN-SC</t>
  </si>
  <si>
    <t>T8HP 4', 3-F32T8, 3100+lumen, 1-RLO Sylvania Quicktronic  QHE/UNV ISL-SC</t>
  </si>
  <si>
    <t>T8HP 4', 3-F32T8, 3100+lumen, 1-NLO Sylvania Quicktronic  QHE/UNV ISN-SC</t>
  </si>
  <si>
    <t>T8HP 4', 4-F32T8, 3100+lumen, 1-RLO Sylvania Quicktronic  QHE/UNV ISL-SC</t>
  </si>
  <si>
    <t>T8HP 4', 4-F32T8, 3100+lumen, 1-NLO Sylvania Quicktronic  QHE/UNV ISN-SC</t>
  </si>
  <si>
    <t>T8HP 4', 4-F32T8, 3100+lumen, 1-NLO Sylvania Quicktronic  QT/120/277ISN-SC</t>
  </si>
  <si>
    <t>T8HP 4', 6-F32T8, 3100+lumen, 2-HLO Sylvania Quicktronic  QT/3x32/120/277 Plus</t>
  </si>
  <si>
    <t>T8HP 4', 4-F32T8, 3100+lumen, 1-NLO Sylvania Quicktronic  QTP4x32/UNV-ISN-SC</t>
  </si>
  <si>
    <t>T8HP 4', 3-F32T8, 3100+lumen, 1-HLO Sylvania Quicktronic  QT3X32/120/277/IS Plus</t>
  </si>
  <si>
    <t>T8HP 4', 4-F32T8, 3100+lumen, 1-RLO Sylvania Quicktronic  QT4x32/120/277 LP</t>
  </si>
  <si>
    <t>T8HP 4', 3-F32T8, 3100+lumen, 1-NLO Sylvania Quicktronic  QT3x32/120/277/ISN-SC</t>
  </si>
  <si>
    <t>T8HP 4', 2-F32T8, 3100+lumen, 1-HLO Sylvania Quicktronic  QT2x32/120/277 Plus</t>
  </si>
  <si>
    <t>T8HP 8', 2-F96T8, 6100+lumens, 1-Sylvania Quicktronic 2x59/120 or 277v IS</t>
  </si>
  <si>
    <t>T8HP 8', 2-F96T8, 6100+lumens, 1-Advance Centium RCN/VCN-2P59</t>
  </si>
  <si>
    <t>MH Pulse Start, 1-PS 200W, 1-SCWA typical ballast</t>
  </si>
  <si>
    <t>MH Pulse Start, 1-PS 250W, 1-SCWA typical ballast</t>
  </si>
  <si>
    <t>T8HP 4', 2-F32T8, 3100+lumen, 1-NLO Advance Optanium IOP/ROP/VOP-2P32-SC</t>
  </si>
  <si>
    <t>Intellivolt or Dedicated-Voltage, Instant-Start, Normal-Output</t>
  </si>
  <si>
    <t>T8HP 4', 4-F32T8, 3100+lumen, 1-NLO Advance Optanium IOP-2S32-SC</t>
  </si>
  <si>
    <t>T8HP 4', 1-F32T8, 3100+lumen, 1-RLO Advance Optanium IOP-2P32-LW-SC</t>
  </si>
  <si>
    <t>High Efficiency, Intellivolt, Instant-Start</t>
  </si>
  <si>
    <t>T8HP 4', 1-F32T8, 3100+lumen, 1-NLO Advance Optanium IOP/ROP/VOP-2P32-SC</t>
  </si>
  <si>
    <t>T8HP 4', 4-F32T8, 3100+lumen, 1-NLO Advance Optanium IOP/ROP/VOP-4P32-SC</t>
  </si>
  <si>
    <t>Intellivolt or Dedicated-Voltage, Instant-Start, Norm-Output,</t>
  </si>
  <si>
    <t>T8HP 4', 2-F32T8, 3100+lumen, 1-RLO Advance Optanium IOP/ROP/VOP-2P32-LW-SC</t>
  </si>
  <si>
    <t>T8HP 4', 3-F32T8, 3100+lumen, 1-RLO Advance Optanium IOP/ROP/VOP-3P32-LW-SC</t>
  </si>
  <si>
    <t>Intellivolt or Dedicated-Voltage, Instant-Start, Low-Output</t>
  </si>
  <si>
    <t>T8HP 4', 4-F32T8, 3100+lumen, 1-RLO Advance Optanium IOP/ROP/VOP-4P32-LW-SC</t>
  </si>
  <si>
    <r>
      <t>New T8HP Fixture</t>
    </r>
    <r>
      <rPr>
        <sz val="9"/>
        <rFont val="Arial"/>
        <family val="2"/>
      </rPr>
      <t xml:space="preserve"> 4', 8-F32T8, 3100+lumen, 2-NLO Sylvania Quicktronic  QT/120/277ISN-SC</t>
    </r>
  </si>
  <si>
    <r>
      <t>New T8HP Fixture</t>
    </r>
    <r>
      <rPr>
        <sz val="9"/>
        <rFont val="Arial"/>
        <family val="2"/>
      </rPr>
      <t xml:space="preserve"> 4', 8-F32T8, 3100+lumen, 2-HLO GE-432-Ultramax-H</t>
    </r>
  </si>
  <si>
    <r>
      <t>New T8HP Fixture</t>
    </r>
    <r>
      <rPr>
        <sz val="9"/>
        <rFont val="Arial"/>
        <family val="2"/>
      </rPr>
      <t xml:space="preserve"> 4', 6-F32T8, 3100+lumen, 1-2 lamp &amp; 1-4 lamp RLO Sylvania Extreme</t>
    </r>
  </si>
  <si>
    <r>
      <t>New T8HP Fixture</t>
    </r>
    <r>
      <rPr>
        <sz val="9"/>
        <rFont val="Arial"/>
        <family val="2"/>
      </rPr>
      <t xml:space="preserve"> 4', 6-F32T8, 3100+lumen, 2-HLO GE-332-Ultramax-H</t>
    </r>
  </si>
  <si>
    <r>
      <t>New T8HP Fixture</t>
    </r>
    <r>
      <rPr>
        <sz val="9"/>
        <rFont val="Arial"/>
        <family val="2"/>
      </rPr>
      <t xml:space="preserve"> 4', 6-F32T8, 3100+lumen, 2-HLO Advance Elec REL/VEL-4P32-HL-SC</t>
    </r>
  </si>
  <si>
    <r>
      <t>New T8HP Fixture</t>
    </r>
    <r>
      <rPr>
        <sz val="9"/>
        <rFont val="Arial"/>
        <family val="2"/>
      </rPr>
      <t xml:space="preserve"> 4', 6-F32T8, 3100+lumen, 2-HLO Sylvania Quicktronic  QT/3x32/120/277 Plus</t>
    </r>
  </si>
  <si>
    <r>
      <t>New T8HP Fixture</t>
    </r>
    <r>
      <rPr>
        <sz val="9"/>
        <rFont val="Arial"/>
        <family val="2"/>
      </rPr>
      <t xml:space="preserve"> 4', 6-F32T8, 3100+lumen, 3-HLO Advance Elec REL/VEL-3P32-HL-SC</t>
    </r>
  </si>
  <si>
    <r>
      <t>Retrofit to</t>
    </r>
    <r>
      <rPr>
        <sz val="9"/>
        <rFont val="Arial"/>
        <family val="2"/>
      </rPr>
      <t xml:space="preserve"> T5HO Fluorescent, 2-F54T5HO 54W, 1-Program Start</t>
    </r>
  </si>
  <si>
    <r>
      <t xml:space="preserve">Retrofit to </t>
    </r>
    <r>
      <rPr>
        <sz val="9"/>
        <rFont val="Arial"/>
        <family val="2"/>
      </rPr>
      <t>T5HO Fluorescent, 4-F54T5HO 54W, 2-Program Start</t>
    </r>
  </si>
  <si>
    <t>H1</t>
  </si>
  <si>
    <t>L1</t>
  </si>
  <si>
    <t>L2</t>
  </si>
  <si>
    <t>C1</t>
  </si>
  <si>
    <t>C2</t>
  </si>
  <si>
    <t>T8 Standard Electronic, 3-F32T8, 2950+lumen, 1-Elec</t>
  </si>
  <si>
    <t>T8 Standard Electronic, 4-F32T8, 2950+lumen, 1-Elec RLO</t>
  </si>
  <si>
    <t>T8 Standard Electronic, 4-F32T8, 2950+lumen, 1-Elec</t>
  </si>
  <si>
    <t>T8 Standard Electronic, 4-F32T8, 2950+lumen, 2-Elec HLO</t>
  </si>
  <si>
    <t>T8 Standard Electronic, 6-F32T8, 2950+lumen, 2-Elec</t>
  </si>
  <si>
    <r>
      <t xml:space="preserve">GE LIGHTING - </t>
    </r>
    <r>
      <rPr>
        <b/>
        <sz val="12"/>
        <rFont val="Times New Roman"/>
        <family val="1"/>
      </rPr>
      <t>Extra Life Starcoat</t>
    </r>
  </si>
  <si>
    <r>
      <t>F96T8/XL/</t>
    </r>
    <r>
      <rPr>
        <b/>
        <sz val="12"/>
        <rFont val="Times New Roman"/>
        <family val="1"/>
      </rPr>
      <t>SPX</t>
    </r>
    <r>
      <rPr>
        <sz val="12"/>
        <rFont val="Times New Roman"/>
        <family val="0"/>
      </rPr>
      <t>41</t>
    </r>
  </si>
  <si>
    <r>
      <t>F96T8/XL/</t>
    </r>
    <r>
      <rPr>
        <b/>
        <sz val="12"/>
        <rFont val="Times New Roman"/>
        <family val="1"/>
      </rPr>
      <t>SPX</t>
    </r>
    <r>
      <rPr>
        <sz val="12"/>
        <rFont val="Times New Roman"/>
        <family val="0"/>
      </rPr>
      <t>35</t>
    </r>
  </si>
  <si>
    <r>
      <t>F96T8/XL/</t>
    </r>
    <r>
      <rPr>
        <b/>
        <sz val="12"/>
        <rFont val="Times New Roman"/>
        <family val="1"/>
      </rPr>
      <t>SPX</t>
    </r>
    <r>
      <rPr>
        <sz val="12"/>
        <rFont val="Times New Roman"/>
        <family val="0"/>
      </rPr>
      <t>30</t>
    </r>
  </si>
  <si>
    <t>B</t>
  </si>
  <si>
    <t>T8HP 4', 3-F32T8, 3100+lumen, 1-RLO TCP 4/3/2IS32-120U</t>
  </si>
  <si>
    <t>Use Bi-Level Switching where possible</t>
  </si>
  <si>
    <t>T8 Standard Electronic, 1-F25T8 25W, 1-Elec</t>
  </si>
  <si>
    <t>T8 Standard Electronic, 1-F96T8 59W, 1-Elec</t>
  </si>
  <si>
    <t>T8 Standard Electronic, 1-F96T8HO 86W, 1-Elec</t>
  </si>
  <si>
    <t>T8 Standard Electronic, 2-F17T8 17W, 1-Elec</t>
  </si>
  <si>
    <t>T8 Standard Electronic, 2-F25T8 25W, 1-Elec</t>
  </si>
  <si>
    <t>T8 Standard Electronic, 2-F96T8 59W, 1-Elec</t>
  </si>
  <si>
    <t>T8 Standard Electronic, 2-F96T8HO 86W, 1-Elec</t>
  </si>
  <si>
    <t>T8 Standard Electronic, 3-F17T8 17W, 1-Elec</t>
  </si>
  <si>
    <t>T8 Standard Electronic, 3-F25T8 25W, 1-Elec</t>
  </si>
  <si>
    <t>T8 Standard Electronic, 4-F17T8 17W, 1-Elec</t>
  </si>
  <si>
    <t>T8 Standard Electronic, 4-F25T8 25W, 1-Elec</t>
  </si>
  <si>
    <t xml:space="preserve">Dear:  </t>
  </si>
  <si>
    <t>Sincerely,</t>
  </si>
  <si>
    <r>
      <t>Fixture</t>
    </r>
    <r>
      <rPr>
        <sz val="12"/>
        <rFont val="Times New Roman"/>
        <family val="0"/>
      </rPr>
      <t xml:space="preserve"> - is the housing for the lamp, ballast, lens, and reflector.  Fixtures screwed together (butted up against each other) can be considered separate fixtures.</t>
    </r>
  </si>
  <si>
    <t>In order to receive a utility rebate, you need to follow these program requirements.</t>
  </si>
  <si>
    <t xml:space="preserve">Attached is a completed lighting energy audit of: </t>
  </si>
  <si>
    <t xml:space="preserve">We look forward to working with you on this important project.  </t>
  </si>
  <si>
    <t xml:space="preserve">Most of the information automatically fills in on the end-use customer letter.  Just type in your company name, address, phone numbers, etc..  </t>
  </si>
  <si>
    <t>T8 Standard Electronic, 1-F17T8 17W, 1-Elec</t>
  </si>
  <si>
    <t>T5HO Fluorescent, 2-F54T5HO 54W, 1-Program Start</t>
  </si>
  <si>
    <t>T5HO Fluorescent, 1-F54T5HO 54W, 1-Program Start</t>
  </si>
  <si>
    <t>T5HO Fluorescent, 4-F54T5HO 54W, 2-Program Start</t>
  </si>
  <si>
    <t>T5HO Fluorescent, 3-F54T5HO 54W, 2-Program Start</t>
  </si>
  <si>
    <t>T5HO Fluorescent, 6-F54T5HO 54W, 3-Program Start</t>
  </si>
  <si>
    <t>T5HO Fluorescent, 8-F54T5HO 54W, 4-Program Start</t>
  </si>
  <si>
    <t>Best Energy Efficient Choice with significant light reduction</t>
  </si>
  <si>
    <t>T8HP 4', 4-F32T8, 3100+lumen, 1-RLO TCP 4/3/2IS32-120U</t>
  </si>
  <si>
    <t>Use Bi-Level ProgStart System on frequently switched circuits</t>
  </si>
  <si>
    <t>T8HP 4', 6-F32T8, 3100+lumen, 1-2 lamp &amp; 1-4 lamp RLO Sylvania Extreme</t>
  </si>
  <si>
    <t>NW Public Power</t>
  </si>
  <si>
    <r>
      <t>Lumen</t>
    </r>
    <r>
      <rPr>
        <sz val="12"/>
        <rFont val="Times New Roman"/>
        <family val="0"/>
      </rPr>
      <t xml:space="preserve"> - is a measure of total light output of a lamp or luminaire.</t>
    </r>
  </si>
  <si>
    <t>===========================</t>
  </si>
  <si>
    <r>
      <t xml:space="preserve">T8HP </t>
    </r>
    <r>
      <rPr>
        <sz val="12"/>
        <rFont val="Times New Roman"/>
        <family val="1"/>
      </rPr>
      <t>- a fluorescent tube 1 inch in diameter that has High Performance characteristics</t>
    </r>
  </si>
  <si>
    <t>T8HP 4', 6-F32T8, 3100+lumen, 2-HLO Advance Elec REL/VEL-4P32-HL-SC</t>
  </si>
  <si>
    <t>T8HP 4', 4-F32T8, 3100+lumen, 1-NLO Advance Centium RCN/VCN-4P32-SC</t>
  </si>
  <si>
    <t>T8HP 4', 3-F32T8, 3100+lumen, 1-NLO Advance Centium RCN/VCN-3P32-SC</t>
  </si>
  <si>
    <t>T8HP 4', 3-F32T8, 3100+lumen, 1-NLO Advance Centium Intellivolt ICN-3P32</t>
  </si>
  <si>
    <t>T8HP 4', 3-F32T8, 3100+lumen, 1-NLO Advance Elec REL/VEL-3P32-SC</t>
  </si>
  <si>
    <r>
      <t>F96T8/XL/</t>
    </r>
    <r>
      <rPr>
        <b/>
        <sz val="12"/>
        <rFont val="Times New Roman"/>
        <family val="1"/>
      </rPr>
      <t>SPX</t>
    </r>
    <r>
      <rPr>
        <sz val="12"/>
        <rFont val="Times New Roman"/>
        <family val="0"/>
      </rPr>
      <t>50</t>
    </r>
  </si>
  <si>
    <t>T8HP 4', 3-F32T8, 3100+lumen, 1-NLO Advance Optanium ROP/VOP-3P32-SC</t>
  </si>
  <si>
    <t>T8HP 4', 4-F32T8, 3100+lumen, 2-HLO Advance Elec REL/VEL-2P32-HL-SC</t>
  </si>
  <si>
    <t>When you see a "P" in the model number of an Advance ballast, it indicates "parallel-wired".</t>
  </si>
  <si>
    <t>T8HP 4', 2-F32T8, 3100+lumen, 1-RLO GE-232-Ultramax-L</t>
  </si>
  <si>
    <t>Use Intellivolt Low-THD Centium ballasts only if needed</t>
  </si>
  <si>
    <t>Best Energy Efficient Choice, Universal-Voltage, Low-Output</t>
  </si>
  <si>
    <t>Dedicated-Voltage, Low-THD, Low-Output</t>
  </si>
  <si>
    <t>T8HP 4', 1-F32T8, 3100+lumen, 1-NLO GE-132/232-Ultramax-N</t>
  </si>
  <si>
    <t>T8HP 4', 1-F32T8, 3100+lumen, 1-RLO GE-132-Ultramax-L</t>
  </si>
  <si>
    <t>T8HP 4', 2-F32T8, 3100+lumen, 1-NLO GE-232/332-Ultramax-N</t>
  </si>
  <si>
    <t>T8HP 4', 2-F32T8, 3100+lumen, 1-HLO GE-232-Ultramax-H</t>
  </si>
  <si>
    <t>T8HP 4', 4-F32T8, 3100+lumen, 2-HLO GE-232-Ultramax-H</t>
  </si>
  <si>
    <t>Project Name:</t>
  </si>
  <si>
    <t>TOTALS&gt;&gt;&gt;</t>
  </si>
  <si>
    <t>503-230-5865 Office</t>
  </si>
  <si>
    <t>Utility Contact Name:</t>
  </si>
  <si>
    <t>Decommission Fixture Example</t>
  </si>
  <si>
    <t>Utility Phone Number:</t>
  </si>
  <si>
    <t>Facility Street Address:</t>
  </si>
  <si>
    <t>Facility City:</t>
  </si>
  <si>
    <t>INSTALLERS' COMPANY NAME</t>
  </si>
  <si>
    <t>Contact Name:</t>
  </si>
  <si>
    <t>Project &amp; Facility Name&gt;</t>
  </si>
  <si>
    <t>Facility City, State, Zip&gt;</t>
  </si>
  <si>
    <t>Calculator Last Revised&gt;</t>
  </si>
  <si>
    <t>Facility Street Address&gt;</t>
  </si>
  <si>
    <t>Street Address:</t>
  </si>
  <si>
    <t>Invoice # :</t>
  </si>
  <si>
    <t>Facility State &amp; Zip:</t>
  </si>
  <si>
    <t>T8 Standard Electronic, 3-F32T8, 2950+lumen, 1-Elec RLO</t>
  </si>
  <si>
    <r>
      <t xml:space="preserve">Note:  To unprotect this worksheet; click on </t>
    </r>
    <r>
      <rPr>
        <b/>
        <sz val="12"/>
        <rFont val="Arial"/>
        <family val="2"/>
      </rPr>
      <t>tools</t>
    </r>
    <r>
      <rPr>
        <sz val="12"/>
        <rFont val="Arial"/>
        <family val="2"/>
      </rPr>
      <t xml:space="preserve">, </t>
    </r>
    <r>
      <rPr>
        <b/>
        <sz val="12"/>
        <rFont val="Arial"/>
        <family val="2"/>
      </rPr>
      <t>protection</t>
    </r>
    <r>
      <rPr>
        <sz val="12"/>
        <rFont val="Arial"/>
        <family val="2"/>
      </rPr>
      <t xml:space="preserve">, and </t>
    </r>
    <r>
      <rPr>
        <b/>
        <sz val="12"/>
        <rFont val="Arial"/>
        <family val="2"/>
      </rPr>
      <t>unprotect sheet</t>
    </r>
    <r>
      <rPr>
        <sz val="12"/>
        <rFont val="Arial"/>
        <family val="2"/>
      </rPr>
      <t xml:space="preserve">.  There is no password.    </t>
    </r>
    <r>
      <rPr>
        <sz val="12"/>
        <color indexed="8"/>
        <rFont val="Arial"/>
        <family val="2"/>
      </rPr>
      <t>T</t>
    </r>
    <r>
      <rPr>
        <sz val="12"/>
        <rFont val="Arial"/>
        <family val="2"/>
      </rPr>
      <t xml:space="preserve">he best way to add rows is;  </t>
    </r>
    <r>
      <rPr>
        <b/>
        <sz val="12"/>
        <color indexed="12"/>
        <rFont val="Arial"/>
        <family val="2"/>
      </rPr>
      <t xml:space="preserve">1) </t>
    </r>
    <r>
      <rPr>
        <sz val="12"/>
        <rFont val="Arial"/>
        <family val="2"/>
      </rPr>
      <t xml:space="preserve">move the curser to the number box on the left hand side of the row(s) you want to add and "left-click-and-drag" down the total number of rows you want to add,  </t>
    </r>
    <r>
      <rPr>
        <b/>
        <sz val="12"/>
        <color indexed="12"/>
        <rFont val="Arial"/>
        <family val="2"/>
      </rPr>
      <t xml:space="preserve">2) </t>
    </r>
    <r>
      <rPr>
        <sz val="12"/>
        <color indexed="8"/>
        <rFont val="Arial"/>
        <family val="2"/>
      </rPr>
      <t xml:space="preserve">"right-click" in the highlighted area and a dialog box will appear, pick insert from the dialog box,  </t>
    </r>
    <r>
      <rPr>
        <b/>
        <sz val="12"/>
        <color indexed="12"/>
        <rFont val="Arial"/>
        <family val="2"/>
      </rPr>
      <t>3)</t>
    </r>
    <r>
      <rPr>
        <sz val="12"/>
        <color indexed="12"/>
        <rFont val="Arial"/>
        <family val="2"/>
      </rPr>
      <t xml:space="preserve"> </t>
    </r>
    <r>
      <rPr>
        <sz val="12"/>
        <rFont val="Arial"/>
        <family val="2"/>
      </rPr>
      <t xml:space="preserve">pick a filled in row and move the curser to that row's number box on the left side of the spreadsheet and "left-click"; the row will be highlighted, </t>
    </r>
    <r>
      <rPr>
        <b/>
        <sz val="12"/>
        <color indexed="12"/>
        <rFont val="Arial"/>
        <family val="2"/>
      </rPr>
      <t xml:space="preserve">4) </t>
    </r>
    <r>
      <rPr>
        <sz val="12"/>
        <rFont val="Arial"/>
        <family val="2"/>
      </rPr>
      <t xml:space="preserve">"right-click" in the highlighted area and a dialog box will appear,  </t>
    </r>
    <r>
      <rPr>
        <b/>
        <sz val="12"/>
        <color indexed="12"/>
        <rFont val="Arial"/>
        <family val="2"/>
      </rPr>
      <t>5)</t>
    </r>
    <r>
      <rPr>
        <sz val="12"/>
        <rFont val="Arial"/>
        <family val="2"/>
      </rPr>
      <t xml:space="preserve"> choose copy from the dialog box and the whole row will "sparkle",  </t>
    </r>
    <r>
      <rPr>
        <b/>
        <sz val="12"/>
        <color indexed="12"/>
        <rFont val="Arial"/>
        <family val="2"/>
      </rPr>
      <t>6)</t>
    </r>
    <r>
      <rPr>
        <sz val="12"/>
        <rFont val="Arial"/>
        <family val="2"/>
      </rPr>
      <t xml:space="preserve"> "left-click" on the number box (left side of spreadsheet) of the first row you want to copy to and drag across all rows you want to copy to,  </t>
    </r>
    <r>
      <rPr>
        <b/>
        <sz val="12"/>
        <color indexed="12"/>
        <rFont val="Arial"/>
        <family val="2"/>
      </rPr>
      <t>7)</t>
    </r>
    <r>
      <rPr>
        <sz val="12"/>
        <rFont val="Arial"/>
        <family val="2"/>
      </rPr>
      <t xml:space="preserve"> "right-click" and pick paste from the dialog box.  Make sure you pick a row that has all the equations, etc., and copy the whole row into the new row(s).  This will retain all the formatting and equations.  </t>
    </r>
  </si>
  <si>
    <t>Retrofit to T5HO Fluorescent, 2-F54T5HO 54W, 1-Program Start</t>
  </si>
  <si>
    <t>Retrofit to T5HO Fluorescent, 4-F54T5HO 54W, 2-Program Start</t>
  </si>
  <si>
    <t>T12 8' Fluorescent, 1-F96T12ES 60W, 1-Mag</t>
  </si>
  <si>
    <t>T12 8' Fluorescent, 1-F96T12 75W, 1-Mag</t>
  </si>
  <si>
    <t>T12 8' Fluorescent, 1-F96T12HOES 95W, 1-Mag</t>
  </si>
  <si>
    <t>T12 8' Fluorescent, 1-F96T12HO 110W, 1-Mag</t>
  </si>
  <si>
    <t>Effective 10/1/2006</t>
  </si>
  <si>
    <t>In the following example  -  2-F32T8; the 2 indicates a two lamp fixture, the F indicates fluorescent, the 32 indicates a 4' long, 32 watt tube, and T8 indicates an 8/8s inch diameter tube.</t>
  </si>
  <si>
    <t>T8HP 4', 4-F32T8, 3100+lumen, 1-NLO Advance Centium Intellivolt ICN-4P32-SC</t>
  </si>
  <si>
    <t>T8HP 4', 2-F32T8, 3100+lumen, 1-RLO Advance Centium RCN/VCN-2P32-LW</t>
  </si>
  <si>
    <t>T8HP 4', 3-F32T8, 3100+lumen, 1-RLO Advance Centium RCN/VCN-3P32-LW-SC</t>
  </si>
  <si>
    <t>Utility Invoice Number:</t>
  </si>
  <si>
    <t>T8HP 4', 4-F32T8, 3100+lumen, 1-RLO Advance Centium RCN/VCN-4P32-LW-SC</t>
  </si>
  <si>
    <t>Use Program-Rapid-Start on frequently switched circuits</t>
  </si>
  <si>
    <t>Use Program-Rapid-Start Ballasts on frequently switched circuits</t>
  </si>
  <si>
    <t>Lighting in Health Care Facility, Electric Resistance Heating</t>
  </si>
  <si>
    <t>ExHealthElecHt</t>
  </si>
  <si>
    <t>Lighting in Health Care Facility, Gas Heating</t>
  </si>
  <si>
    <t>ExHealthGasHt</t>
  </si>
  <si>
    <t>Lighting in Health Care Facility, Unspecified Heating Fuel</t>
  </si>
  <si>
    <t>ExHealth</t>
  </si>
  <si>
    <t>Lighting in Hotel, Air Source Heat Pump Heating and Cooling</t>
  </si>
  <si>
    <t>ExHotelHtPmpHt</t>
  </si>
  <si>
    <t>Lighting in Hotel, Electric Resistance Heating</t>
  </si>
  <si>
    <t>ExHotelElecHt</t>
  </si>
  <si>
    <t>Lighting in Hotel, Gas Heating</t>
  </si>
  <si>
    <t>ExHotelGasHt</t>
  </si>
  <si>
    <t>Lighting in Hotel, Unspecified Heating Fuel</t>
  </si>
  <si>
    <t>ExHotel</t>
  </si>
  <si>
    <t>Lighting in Large Office, Air Source Heat Pump Heating and Cooling</t>
  </si>
  <si>
    <t>ExLgOffHtPmpHt</t>
  </si>
  <si>
    <t>Lighting in Large Office, Electric Resistance Heating</t>
  </si>
  <si>
    <t>ExLgOffElecHt</t>
  </si>
  <si>
    <t>Lighting in Large Office, Gas Heating</t>
  </si>
  <si>
    <t>ExLgOffGasHt</t>
  </si>
  <si>
    <t>Lighting in Large Office, Unspecified Heating Fuel</t>
  </si>
  <si>
    <t>ExLgOff</t>
  </si>
  <si>
    <t>Lighting in Large Retail, Air Source Heat Pump Heating and Cooling</t>
  </si>
  <si>
    <t>ExLgRetHtPmpHt</t>
  </si>
  <si>
    <t>ExCommLight</t>
  </si>
  <si>
    <t>..\..\..\..\TE\RTF\Software\Deemed Calcs Final\PostFY06 Calcs\CreditCalc_kWh_FY07v1_7.xls</t>
  </si>
  <si>
    <t>Lighting in Lighting, Unspecified Heating Fuel and Building Type</t>
  </si>
  <si>
    <t>Flat Load Profile</t>
  </si>
  <si>
    <t>FLAT</t>
  </si>
  <si>
    <t>PNW System Load Shape</t>
  </si>
  <si>
    <t>SysLoad</t>
  </si>
  <si>
    <t>For 12-year measure life all retrofit measures, including industrial lighting</t>
  </si>
  <si>
    <t>Retrofit of Existing Lighting System, Unspecified Heating Fuel</t>
  </si>
  <si>
    <t>Item</t>
  </si>
  <si>
    <t>Bug</t>
  </si>
  <si>
    <t>Discovery Date</t>
  </si>
  <si>
    <t>Disposition</t>
  </si>
  <si>
    <t>Who</t>
  </si>
  <si>
    <t>Nora</t>
  </si>
  <si>
    <t>"NA" shows on Project summary under "Unit Value of Electric Savings (NPV/kWh)" cell H31 when Btype is "Other Commercial"</t>
  </si>
  <si>
    <t xml:space="preserve">Due to misnamed load shape in tab ShapePV.  Fixed by Grist on 12/16/2005.  </t>
  </si>
  <si>
    <t>Grist</t>
  </si>
  <si>
    <t xml:space="preserve">Outdated values for PV of energy saved by shape and btype in Shape PV.  </t>
  </si>
  <si>
    <t>User could input negative capital cost and Site Audit would report negative reimbursement.</t>
  </si>
  <si>
    <t xml:space="preserve">Bug due to earlier version 2 of CreditCalc with embedded error that put values off by one row.  Corrected to PV Values of Credit Calc Version 7.  </t>
  </si>
  <si>
    <t>A-12345</t>
  </si>
  <si>
    <t>2. Are the measures listed properly installed and operating?</t>
  </si>
  <si>
    <t>1. Has the installed equipment met the project requirements and specifications?</t>
  </si>
  <si>
    <t>4. Have invoices been labeled with the unique identifying number from the RTF reporting system?</t>
  </si>
  <si>
    <t>(yes/no)</t>
  </si>
  <si>
    <t>Completed By:________________________________________________</t>
  </si>
  <si>
    <r>
      <t xml:space="preserve">IMPORTANT NOTE: Input/select information into cells that have a </t>
    </r>
    <r>
      <rPr>
        <b/>
        <sz val="14"/>
        <color indexed="12"/>
        <rFont val="Arial"/>
        <family val="2"/>
      </rPr>
      <t>blue color</t>
    </r>
    <r>
      <rPr>
        <b/>
        <sz val="14"/>
        <rFont val="Arial"/>
        <family val="2"/>
      </rPr>
      <t xml:space="preserve"> font.  Leave cells with black or </t>
    </r>
    <r>
      <rPr>
        <b/>
        <sz val="14"/>
        <color indexed="10"/>
        <rFont val="Arial"/>
        <family val="2"/>
      </rPr>
      <t>red color</t>
    </r>
    <r>
      <rPr>
        <b/>
        <sz val="14"/>
        <rFont val="Arial"/>
        <family val="2"/>
      </rPr>
      <t xml:space="preserve"> fonts alone.  </t>
    </r>
  </si>
  <si>
    <t xml:space="preserve"> Summary Table &gt;&gt;</t>
  </si>
  <si>
    <t>Craig Ciranny</t>
  </si>
  <si>
    <t>Mean System Lumens</t>
  </si>
  <si>
    <r>
      <t>FO32/830</t>
    </r>
    <r>
      <rPr>
        <b/>
        <sz val="12"/>
        <rFont val="Times New Roman"/>
        <family val="1"/>
      </rPr>
      <t>XPS</t>
    </r>
    <r>
      <rPr>
        <sz val="12"/>
        <rFont val="Times New Roman"/>
        <family val="0"/>
      </rPr>
      <t>/ECO</t>
    </r>
  </si>
  <si>
    <r>
      <t>FO32/835</t>
    </r>
    <r>
      <rPr>
        <b/>
        <sz val="12"/>
        <rFont val="Times New Roman"/>
        <family val="1"/>
      </rPr>
      <t>XPS</t>
    </r>
    <r>
      <rPr>
        <sz val="12"/>
        <rFont val="Times New Roman"/>
        <family val="0"/>
      </rPr>
      <t>/ECO</t>
    </r>
  </si>
  <si>
    <r>
      <t>FO32/841</t>
    </r>
    <r>
      <rPr>
        <b/>
        <sz val="12"/>
        <rFont val="Times New Roman"/>
        <family val="1"/>
      </rPr>
      <t>XPS</t>
    </r>
    <r>
      <rPr>
        <sz val="12"/>
        <rFont val="Times New Roman"/>
        <family val="0"/>
      </rPr>
      <t>/ECO</t>
    </r>
  </si>
  <si>
    <r>
      <t>F32T8/</t>
    </r>
    <r>
      <rPr>
        <b/>
        <sz val="12"/>
        <rFont val="Times New Roman"/>
        <family val="1"/>
      </rPr>
      <t>ADV</t>
    </r>
    <r>
      <rPr>
        <sz val="12"/>
        <rFont val="Times New Roman"/>
        <family val="0"/>
      </rPr>
      <t>830/Alto</t>
    </r>
  </si>
  <si>
    <r>
      <t>F32T8/</t>
    </r>
    <r>
      <rPr>
        <b/>
        <sz val="12"/>
        <rFont val="Times New Roman"/>
        <family val="1"/>
      </rPr>
      <t>ADV</t>
    </r>
    <r>
      <rPr>
        <sz val="12"/>
        <rFont val="Times New Roman"/>
        <family val="0"/>
      </rPr>
      <t>835/Alto</t>
    </r>
  </si>
  <si>
    <r>
      <t>F32T8/</t>
    </r>
    <r>
      <rPr>
        <b/>
        <sz val="12"/>
        <rFont val="Times New Roman"/>
        <family val="1"/>
      </rPr>
      <t>ADV</t>
    </r>
    <r>
      <rPr>
        <sz val="12"/>
        <rFont val="Times New Roman"/>
        <family val="0"/>
      </rPr>
      <t>841/Alto</t>
    </r>
  </si>
  <si>
    <r>
      <t>F32T8/</t>
    </r>
    <r>
      <rPr>
        <b/>
        <sz val="12"/>
        <rFont val="Times New Roman"/>
        <family val="1"/>
      </rPr>
      <t>ADV</t>
    </r>
    <r>
      <rPr>
        <sz val="12"/>
        <rFont val="Times New Roman"/>
        <family val="0"/>
      </rPr>
      <t>850/Alto</t>
    </r>
  </si>
  <si>
    <r>
      <t>F32T8/XL/</t>
    </r>
    <r>
      <rPr>
        <b/>
        <sz val="12"/>
        <rFont val="Times New Roman"/>
        <family val="1"/>
      </rPr>
      <t>SPX</t>
    </r>
    <r>
      <rPr>
        <sz val="12"/>
        <rFont val="Times New Roman"/>
        <family val="0"/>
      </rPr>
      <t>30/</t>
    </r>
    <r>
      <rPr>
        <b/>
        <sz val="12"/>
        <rFont val="Times New Roman"/>
        <family val="1"/>
      </rPr>
      <t>HLEC</t>
    </r>
  </si>
  <si>
    <r>
      <t>F32T8/XL/</t>
    </r>
    <r>
      <rPr>
        <b/>
        <sz val="12"/>
        <rFont val="Times New Roman"/>
        <family val="1"/>
      </rPr>
      <t>SPX</t>
    </r>
    <r>
      <rPr>
        <sz val="12"/>
        <rFont val="Times New Roman"/>
        <family val="0"/>
      </rPr>
      <t>35/</t>
    </r>
    <r>
      <rPr>
        <b/>
        <sz val="12"/>
        <rFont val="Times New Roman"/>
        <family val="1"/>
      </rPr>
      <t>HLEC</t>
    </r>
  </si>
  <si>
    <r>
      <t>F32T8/XL/</t>
    </r>
    <r>
      <rPr>
        <b/>
        <sz val="12"/>
        <rFont val="Times New Roman"/>
        <family val="1"/>
      </rPr>
      <t>SPX</t>
    </r>
    <r>
      <rPr>
        <sz val="12"/>
        <rFont val="Times New Roman"/>
        <family val="0"/>
      </rPr>
      <t>41/</t>
    </r>
    <r>
      <rPr>
        <b/>
        <sz val="12"/>
        <rFont val="Times New Roman"/>
        <family val="1"/>
      </rPr>
      <t>HLEC</t>
    </r>
  </si>
  <si>
    <r>
      <t>F</t>
    </r>
    <r>
      <rPr>
        <b/>
        <sz val="12"/>
        <rFont val="Times New Roman"/>
        <family val="1"/>
      </rPr>
      <t>96</t>
    </r>
    <r>
      <rPr>
        <sz val="12"/>
        <rFont val="Times New Roman"/>
        <family val="0"/>
      </rPr>
      <t>T8/TL835/</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</si>
  <si>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T8/TL830/</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</si>
  <si>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T8/TL841/</t>
    </r>
    <r>
      <rPr>
        <b/>
        <sz val="12"/>
        <rFont val="Times New Roman"/>
        <family val="1"/>
      </rPr>
      <t>Plus</t>
    </r>
    <r>
      <rPr>
        <sz val="12"/>
        <rFont val="Times New Roman"/>
        <family val="0"/>
      </rPr>
      <t xml:space="preserve"> Alto</t>
    </r>
  </si>
  <si>
    <r>
      <t>F</t>
    </r>
    <r>
      <rPr>
        <b/>
        <sz val="12"/>
        <rFont val="Times New Roman"/>
        <family val="1"/>
      </rPr>
      <t>96</t>
    </r>
    <r>
      <rPr>
        <sz val="12"/>
        <rFont val="Times New Roman"/>
        <family val="0"/>
      </rPr>
      <t>T8/TL850/</t>
    </r>
    <r>
      <rPr>
        <b/>
        <sz val="12"/>
        <rFont val="Times New Roman"/>
        <family val="1"/>
      </rPr>
      <t>Plus</t>
    </r>
    <r>
      <rPr>
        <sz val="12"/>
        <rFont val="Times New Roman"/>
        <family val="0"/>
      </rPr>
      <t xml:space="preserve"> Alto</t>
    </r>
  </si>
  <si>
    <r>
      <t>FO</t>
    </r>
    <r>
      <rPr>
        <b/>
        <sz val="12"/>
        <rFont val="Times New Roman"/>
        <family val="1"/>
      </rPr>
      <t>96</t>
    </r>
    <r>
      <rPr>
        <sz val="12"/>
        <rFont val="Times New Roman"/>
        <family val="0"/>
      </rPr>
      <t>/830</t>
    </r>
    <r>
      <rPr>
        <b/>
        <sz val="12"/>
        <rFont val="Times New Roman"/>
        <family val="1"/>
      </rPr>
      <t>XP</t>
    </r>
    <r>
      <rPr>
        <sz val="12"/>
        <rFont val="Times New Roman"/>
        <family val="0"/>
      </rPr>
      <t>/ECO</t>
    </r>
  </si>
  <si>
    <r>
      <t>FO</t>
    </r>
    <r>
      <rPr>
        <b/>
        <sz val="12"/>
        <rFont val="Times New Roman"/>
        <family val="1"/>
      </rPr>
      <t>96</t>
    </r>
    <r>
      <rPr>
        <sz val="12"/>
        <rFont val="Times New Roman"/>
        <family val="0"/>
      </rPr>
      <t>/835</t>
    </r>
    <r>
      <rPr>
        <b/>
        <sz val="12"/>
        <rFont val="Times New Roman"/>
        <family val="1"/>
      </rPr>
      <t>XP</t>
    </r>
    <r>
      <rPr>
        <sz val="12"/>
        <rFont val="Times New Roman"/>
        <family val="0"/>
      </rPr>
      <t>/ECO</t>
    </r>
  </si>
  <si>
    <r>
      <t>FO</t>
    </r>
    <r>
      <rPr>
        <b/>
        <sz val="12"/>
        <rFont val="Times New Roman"/>
        <family val="1"/>
      </rPr>
      <t>96</t>
    </r>
    <r>
      <rPr>
        <sz val="12"/>
        <rFont val="Times New Roman"/>
        <family val="0"/>
      </rPr>
      <t>/841</t>
    </r>
    <r>
      <rPr>
        <b/>
        <sz val="12"/>
        <rFont val="Times New Roman"/>
        <family val="1"/>
      </rPr>
      <t>XP</t>
    </r>
    <r>
      <rPr>
        <sz val="12"/>
        <rFont val="Times New Roman"/>
        <family val="0"/>
      </rPr>
      <t>/ECO</t>
    </r>
  </si>
  <si>
    <r>
      <t>FO</t>
    </r>
    <r>
      <rPr>
        <b/>
        <sz val="12"/>
        <rFont val="Times New Roman"/>
        <family val="1"/>
      </rPr>
      <t>96</t>
    </r>
    <r>
      <rPr>
        <sz val="12"/>
        <rFont val="Times New Roman"/>
        <family val="0"/>
      </rPr>
      <t>/850</t>
    </r>
    <r>
      <rPr>
        <b/>
        <sz val="12"/>
        <rFont val="Times New Roman"/>
        <family val="1"/>
      </rPr>
      <t>XP</t>
    </r>
    <r>
      <rPr>
        <sz val="12"/>
        <rFont val="Times New Roman"/>
        <family val="0"/>
      </rPr>
      <t>/ECO</t>
    </r>
  </si>
  <si>
    <r>
      <t>Drop-Down</t>
    </r>
    <r>
      <rPr>
        <sz val="12"/>
        <rFont val="Times New Roman"/>
        <family val="0"/>
      </rPr>
      <t xml:space="preserve"> - is a slang term for a spreadsheet or webpage that has drop-down boxes that allow a user to easily pick an item of interest.   </t>
    </r>
  </si>
  <si>
    <r>
      <t>ESO</t>
    </r>
    <r>
      <rPr>
        <sz val="12"/>
        <rFont val="Times New Roman"/>
        <family val="0"/>
      </rPr>
      <t xml:space="preserve"> - stands for Expanded Standard Offer.  It is an expanded version of Bonneville Power Administration's Limited Standard Offer program.  The ESO is designed to rebate end use power customers for significant improvements in lighting technologies and systems.  </t>
    </r>
  </si>
  <si>
    <t>Timers</t>
  </si>
  <si>
    <t>Can withstand high temperatures.</t>
  </si>
  <si>
    <t>Induction Lamps &amp; Luminaires</t>
  </si>
  <si>
    <t>Ceramic Metal Halide Luminaires</t>
  </si>
  <si>
    <t>High Output Fluorescent  T8, T5, &amp; long bi-ax</t>
  </si>
  <si>
    <t>Low light output.</t>
  </si>
  <si>
    <t>General illumination.</t>
  </si>
  <si>
    <t xml:space="preserve">Up to 15' mounting height. </t>
  </si>
  <si>
    <t>High-bay applications.</t>
  </si>
  <si>
    <t>Directional incandescent,</t>
  </si>
  <si>
    <t>i.e., incandescent track lighting.</t>
  </si>
  <si>
    <t>Gymnasiums, ice rinks, malls, etc..</t>
  </si>
  <si>
    <t xml:space="preserve">Over 40' mounting height. </t>
  </si>
  <si>
    <t>Rated Average Lamp Life (hrs/lamp for RS ballast @ 12 hrs/start)</t>
  </si>
  <si>
    <r>
      <t xml:space="preserve">  </t>
    </r>
    <r>
      <rPr>
        <b/>
        <sz val="12"/>
        <color indexed="10"/>
        <rFont val="Times New Roman"/>
        <family val="1"/>
      </rPr>
      <t xml:space="preserve">Updated November 21, 2005.  </t>
    </r>
    <r>
      <rPr>
        <b/>
        <sz val="12"/>
        <rFont val="Times New Roman"/>
        <family val="1"/>
      </rPr>
      <t xml:space="preserve">    This list is not meant to be complete, you can add equipment to this list.</t>
    </r>
  </si>
  <si>
    <t>over 45 Watts</t>
  </si>
  <si>
    <t>F</t>
  </si>
  <si>
    <t>Energy Star compliant where applicable, Input Watts &lt; 5</t>
  </si>
  <si>
    <t>Retrofit kit or Replace existing incandescent sign</t>
  </si>
  <si>
    <t>G</t>
  </si>
  <si>
    <t>100 Watts or less (Nominal Lamp Watts)</t>
  </si>
  <si>
    <t>over 100 Watts</t>
  </si>
  <si>
    <t>H</t>
  </si>
  <si>
    <t>130 to 189 Watts</t>
  </si>
  <si>
    <t>190 to 249 Watts</t>
  </si>
  <si>
    <t>Probe-Start</t>
  </si>
  <si>
    <t>250 to 600 Watts</t>
  </si>
  <si>
    <t>Metal Halide</t>
  </si>
  <si>
    <t>I</t>
  </si>
  <si>
    <t>300 to 399 Watts (Nominal Lamp Watts)</t>
  </si>
  <si>
    <t>400 to 750 Watts</t>
  </si>
  <si>
    <t>Manual Control</t>
  </si>
  <si>
    <t>J</t>
  </si>
  <si>
    <t>B. Total Project Cost:</t>
  </si>
  <si>
    <t>C. 70% of Project Cost:</t>
  </si>
  <si>
    <t>Annual kWh Savings:</t>
  </si>
  <si>
    <t xml:space="preserve">Good color temps.  Dimmable to 50%. </t>
  </si>
  <si>
    <t>Tends to cycle lamps on and off.</t>
  </si>
  <si>
    <t>Warehouse space, storage areas, closets,  etc..</t>
  </si>
  <si>
    <t>Conference rooms, copy rooms, individual offices.</t>
  </si>
  <si>
    <t>Mercury Vapor or</t>
  </si>
  <si>
    <t>Probe-Start Metal Halide.</t>
  </si>
  <si>
    <t>Mercury Vapor.</t>
  </si>
  <si>
    <t xml:space="preserve">Use program-start ballasts.  </t>
  </si>
  <si>
    <t xml:space="preserve">Hallways, foyers, closets, task lighting,   </t>
  </si>
  <si>
    <t xml:space="preserve">HE indicates a high efficiency ballast manufactured by Universal </t>
  </si>
  <si>
    <t>MC indicates a "micro can" ballast (very small)</t>
  </si>
  <si>
    <t xml:space="preserve">"Ultramax" is GE's trade name for their high performance ballast product line.  They are universal-voltage instant-start ballasts.  These ballasts are manufactured by Universal.  </t>
  </si>
  <si>
    <t>Hard-Wired CFL indicates a fixture that will only accept snap-in bi-ax, D shaped, circline, or other non screw-in CFLs.  Making it impossible for an incandescent to be screwed in.</t>
  </si>
  <si>
    <t>SC indicates a small can ballast (one that can fit in a small space)</t>
  </si>
  <si>
    <t>Existing Equipment</t>
  </si>
  <si>
    <t>Measure Description</t>
  </si>
  <si>
    <t>Number of Units</t>
  </si>
  <si>
    <t>Total by Measure</t>
  </si>
  <si>
    <t>A</t>
  </si>
  <si>
    <t>High Performance T8 Fluorescent Lamps and Electronic Ballast</t>
  </si>
  <si>
    <t>or</t>
  </si>
  <si>
    <t>1 lamp and electronic ballast (15 to 44 input watts)</t>
  </si>
  <si>
    <t>2 to 4 lamps and electronic ballast (45 to 114 input watts)</t>
  </si>
  <si>
    <t>Incandescent</t>
  </si>
  <si>
    <t>When you see an "I or IS" in the model number of a ballast, it indicates an instant-start ballast.</t>
  </si>
  <si>
    <t>When you see a "UNV" in the model number of a ballast, it indicates a universal-voltage ballast.</t>
  </si>
  <si>
    <t>T8HP 4', 3-F32T8, 3100+lumen, 1-NLO GE-332-Ultramax-N</t>
  </si>
  <si>
    <r>
      <t xml:space="preserve">Fluorescent </t>
    </r>
    <r>
      <rPr>
        <sz val="12"/>
        <rFont val="Times New Roman"/>
        <family val="1"/>
      </rPr>
      <t xml:space="preserve">- is a lighting technology that produces light by exciting organic phosphor material on the inner wall of a glass tube or bulb.  </t>
    </r>
  </si>
  <si>
    <t xml:space="preserve">Higher wattages have high initial efficacy. </t>
  </si>
  <si>
    <t>Super long life.  Low wattage.</t>
  </si>
  <si>
    <t xml:space="preserve">Good efficacy.  Great color rendering. </t>
  </si>
  <si>
    <t xml:space="preserve">Best efficacy over life.  Great color rendering.  </t>
  </si>
  <si>
    <t>Good efficacy.  Great color rendering.</t>
  </si>
  <si>
    <t>Shorter life than T8s.  Good lumen maint.</t>
  </si>
  <si>
    <t>Super long life.  Great color rendering.</t>
  </si>
  <si>
    <t>Pulse-Start Metal Halide</t>
  </si>
  <si>
    <t xml:space="preserve">Probe-Start Metal Halide, </t>
  </si>
  <si>
    <t xml:space="preserve">Incandescent, Mercury Vapor, </t>
  </si>
  <si>
    <t xml:space="preserve">Great efficacy over life.  </t>
  </si>
  <si>
    <t xml:space="preserve">Great color rendering. </t>
  </si>
  <si>
    <t>T12HO &amp; T12VHO,</t>
  </si>
  <si>
    <t>Some commercial high-bay.</t>
  </si>
  <si>
    <t xml:space="preserve">General &amp; task illumination. </t>
  </si>
  <si>
    <t>Low &amp; high-bay applications.</t>
  </si>
  <si>
    <t>Low-bay applications.</t>
  </si>
  <si>
    <t>High Pressure Sodium.</t>
  </si>
  <si>
    <t>Halogen, 1-T3  100W, no ballast</t>
  </si>
  <si>
    <t>Halogen, 1-T3  150W, no ballast</t>
  </si>
  <si>
    <t>Halogen, 1-T3  250W, no ballast</t>
  </si>
  <si>
    <t>Halogen, 1-T3  300W, no ballast</t>
  </si>
  <si>
    <t>Halogen, 1-T3  500W, no ballast</t>
  </si>
  <si>
    <t>Halogen, 1-T5  750W, no ballast</t>
  </si>
  <si>
    <t>Halogen, 1-T3  1000W, no ballast</t>
  </si>
  <si>
    <t>Halogen, 1-T3  1500W, no ballast</t>
  </si>
  <si>
    <t xml:space="preserve">Most industrial &amp; some commercial applications.  </t>
  </si>
  <si>
    <t xml:space="preserve">Street, roadway, parking lot, and area lighting. </t>
  </si>
  <si>
    <t>Incandescent signage.</t>
  </si>
  <si>
    <t>Over counters.   In storefront windows.</t>
  </si>
  <si>
    <t xml:space="preserve">120 Volt, standard Instant-Start </t>
  </si>
  <si>
    <t>Dedicated-Voltage, standard Instant-Start, Low-Output</t>
  </si>
  <si>
    <t>277 Volt, High Efficiency Instant-Start</t>
  </si>
  <si>
    <t>Universal-Voltage,  Instant-Start, Normal-Output</t>
  </si>
  <si>
    <t>Dedicated-Voltage, standard Instant-Start, Small-Can</t>
  </si>
  <si>
    <t xml:space="preserve">Dedicated-Voltage, Centium Low-THD, Low-Output, Small-Can </t>
  </si>
  <si>
    <t>When you see a "P" in the model number of a ballast, it usually indicates a program-start ballast.</t>
  </si>
  <si>
    <t>When you see a "U" in the model number of a TCP ballast, it indicates a universal lamp ballast (i.e. the same ballast can drive 2, 3, or 4 lamps).</t>
  </si>
  <si>
    <t>IOP indicates an Intellivolt Optanium ballast (120 to 277 volt) manufactured by Advance</t>
  </si>
  <si>
    <t>LINE,
LINE,
LINE</t>
  </si>
  <si>
    <t>Select Proposed Lamp/Ballast</t>
  </si>
  <si>
    <t>Existing Lamp/Ballast</t>
  </si>
  <si>
    <t>Date &amp; Time (fills in automatically):</t>
  </si>
  <si>
    <t>Auditor Phone Number(s):</t>
  </si>
  <si>
    <t>HO/VHO T12</t>
  </si>
  <si>
    <t xml:space="preserve">If you have any questions regarding this proposal, please call; </t>
  </si>
  <si>
    <r>
      <t xml:space="preserve">The </t>
    </r>
    <r>
      <rPr>
        <b/>
        <sz val="12"/>
        <rFont val="Times New Roman"/>
        <family val="1"/>
      </rPr>
      <t>Estimated</t>
    </r>
    <r>
      <rPr>
        <sz val="12"/>
        <rFont val="Times New Roman"/>
        <family val="0"/>
      </rPr>
      <t xml:space="preserve"> Utility Rebate is: </t>
    </r>
  </si>
  <si>
    <t xml:space="preserve">Our bid for this project is: </t>
  </si>
  <si>
    <r>
      <t xml:space="preserve">Your </t>
    </r>
    <r>
      <rPr>
        <b/>
        <sz val="12"/>
        <rFont val="Times New Roman"/>
        <family val="1"/>
      </rPr>
      <t>Estimated</t>
    </r>
    <r>
      <rPr>
        <sz val="12"/>
        <rFont val="Times New Roman"/>
        <family val="0"/>
      </rPr>
      <t xml:space="preserve"> project cost after the Utility Rebate is: </t>
    </r>
  </si>
  <si>
    <r>
      <t xml:space="preserve">The </t>
    </r>
    <r>
      <rPr>
        <b/>
        <sz val="12"/>
        <rFont val="Times New Roman"/>
        <family val="1"/>
      </rPr>
      <t>Estimated</t>
    </r>
    <r>
      <rPr>
        <sz val="12"/>
        <rFont val="Times New Roman"/>
        <family val="0"/>
      </rPr>
      <t xml:space="preserve"> kilowatt-hour savings per year is: </t>
    </r>
  </si>
  <si>
    <r>
      <t xml:space="preserve">The </t>
    </r>
    <r>
      <rPr>
        <b/>
        <sz val="12"/>
        <rFont val="Times New Roman"/>
        <family val="1"/>
      </rPr>
      <t>Estimated</t>
    </r>
    <r>
      <rPr>
        <sz val="12"/>
        <rFont val="Times New Roman"/>
        <family val="0"/>
      </rPr>
      <t xml:space="preserve"> dollar savings per year is: </t>
    </r>
  </si>
  <si>
    <r>
      <t xml:space="preserve">The </t>
    </r>
    <r>
      <rPr>
        <b/>
        <sz val="12"/>
        <rFont val="Times New Roman"/>
        <family val="1"/>
      </rPr>
      <t>Estimated</t>
    </r>
    <r>
      <rPr>
        <sz val="12"/>
        <rFont val="Times New Roman"/>
        <family val="0"/>
      </rPr>
      <t xml:space="preserve"> percent lighting wattage reduction is: </t>
    </r>
  </si>
  <si>
    <t xml:space="preserve">For a simple payback for the project of: </t>
  </si>
  <si>
    <t xml:space="preserve"> kwh</t>
  </si>
  <si>
    <t xml:space="preserve"> years</t>
  </si>
  <si>
    <t>COMPANY ADDRESS</t>
  </si>
  <si>
    <t>COMPANY CITY, STATE, Zip</t>
  </si>
  <si>
    <t>COMPANY PHONE NUMBERS</t>
  </si>
  <si>
    <t xml:space="preserve">Total Proposed Watts </t>
  </si>
  <si>
    <t xml:space="preserve">Total Existing Watts </t>
  </si>
  <si>
    <t>Proposed kWh</t>
  </si>
  <si>
    <t>Watts Each</t>
  </si>
  <si>
    <t>Mean Lumens Each</t>
  </si>
  <si>
    <t>Total Watts</t>
  </si>
  <si>
    <t>Q'ty</t>
  </si>
  <si>
    <t>MH Pulse Start, 1-PS 400W, 1-Elec</t>
  </si>
  <si>
    <t>Ceramic Metal Halide, 1-SE 150W, 1-Elec</t>
  </si>
  <si>
    <t>Ceramic Metal Halide, 1-PAR 39W, 1-Elec</t>
  </si>
  <si>
    <t>MH Pulse Start, 1-PS 450W, 1-RPB handles voltage swings</t>
  </si>
  <si>
    <t>MH Pulse Start, 1-PS 400W, 1-RPB handles voltage swings</t>
  </si>
  <si>
    <t>MH Pulse Start, 1-PS 450W, 1-LLRPSL, 277V only, low voltage swing tolerance</t>
  </si>
  <si>
    <t>MH Pulse Start, 1-PS 400W, 1-LLRPSL, 277V only, low voltage swing tolerance</t>
  </si>
  <si>
    <t>MH Pulse Start, 1-PS 350W, 1-LLRPSL, 277V only, low voltage swing tolerance</t>
  </si>
  <si>
    <t>MH Pulse Start, 1-PS 300W, 1-LLRPSL, 277V only, low voltage swing tolerance</t>
  </si>
  <si>
    <t>MH Pulse Start, 1-PS 320W, 1-LLRPSL, 277V only, low voltage swing tolerance</t>
  </si>
  <si>
    <t>BEF</t>
  </si>
  <si>
    <t>LPW</t>
  </si>
  <si>
    <t>MH Pulse Start, 1-PS 1000W, 1-SCWA is the only option</t>
  </si>
  <si>
    <t>MH Pulse Start, 1-PS 750W, 1-SCWA is the only option</t>
  </si>
  <si>
    <t>MH Pulse Start, 1-PS 875W, 1-SCWA is the only option</t>
  </si>
  <si>
    <t>Screw-In CFL, 1-2D 22W, 1-Elec</t>
  </si>
  <si>
    <t>Screw-In CFL, 1-2D 39W, 1-Elec</t>
  </si>
  <si>
    <r>
      <t xml:space="preserve">SYLVANIA - </t>
    </r>
    <r>
      <rPr>
        <b/>
        <sz val="12"/>
        <rFont val="Times New Roman"/>
        <family val="1"/>
      </rPr>
      <t>Extended Performance (XP) T8 Octron Series</t>
    </r>
  </si>
  <si>
    <t>Screw-In CFL, 1-2D 15W, 1-Elec</t>
  </si>
  <si>
    <t>Potential Qualifying 8' Lamps as of October 20, 2004</t>
  </si>
  <si>
    <t>T8 or T5 Fluorescent Lamps and Standard Electronic Ballast</t>
  </si>
  <si>
    <t>1 lamp and standard electronic ballast (15 to 44 input watts)</t>
  </si>
  <si>
    <t>2 to 4 lamps and standard electronic ballast (45 to 114 input watts)</t>
  </si>
  <si>
    <t>7 to 49 Watts  (Nominal Lamp Watts)</t>
  </si>
  <si>
    <t>MV / HPS</t>
  </si>
  <si>
    <t>High Output Fluorescent Luminaire  (New Fixture)</t>
  </si>
  <si>
    <t xml:space="preserve"> Pulse Start Metal Halide Luminaire  (New Fixture)</t>
  </si>
  <si>
    <t>Ceramic Metal Halide Luminaire  (New Fixture)</t>
  </si>
  <si>
    <t>20 to 100 Watts (Nominal Lamp Watts)</t>
  </si>
  <si>
    <t>Audit Prepared By:</t>
  </si>
  <si>
    <t>Decommission (Permanently Remove)  Lighting Fixture</t>
  </si>
  <si>
    <t>Permanently remove unneeded light fixtures</t>
  </si>
  <si>
    <t>MH Pulse Start, 1-PS 350W, 1-SCWA typical ballast</t>
  </si>
  <si>
    <t>MH Pulse Start, 1-PS 320W, 1-SCWA typical ballast</t>
  </si>
  <si>
    <t>MH Pulse Start, 1-PS 300W, 1-SCWA typical ballast</t>
  </si>
  <si>
    <t>MH Pulse Start, 1-PS 400W, 1-SCWA typical ballast</t>
  </si>
  <si>
    <t>MH Pulse Start, 1-PS 450W, 1-SCWA typical ballast</t>
  </si>
  <si>
    <t>Incandescent, 3-A 50W, no ballast</t>
  </si>
  <si>
    <t xml:space="preserve"> College or University</t>
  </si>
  <si>
    <t xml:space="preserve"> Warehouse</t>
  </si>
  <si>
    <t>Supermarket</t>
  </si>
  <si>
    <t xml:space="preserve"> Retail Supermarket</t>
  </si>
  <si>
    <t>MIniMart</t>
  </si>
  <si>
    <t xml:space="preserve"> Retail Mini Mart</t>
  </si>
  <si>
    <t xml:space="preserve"> Restaurant</t>
  </si>
  <si>
    <t>Lodging</t>
  </si>
  <si>
    <r>
      <t>Row 12-13</t>
    </r>
    <r>
      <rPr>
        <sz val="12"/>
        <rFont val="Times New Roman"/>
        <family val="0"/>
      </rPr>
      <t xml:space="preserve"> - The summary table automatically calculates if any row between 18 and the bottom of the spreadsheet is filled in.  Do not type over these cells.  Cells with black font are calculated cells.  </t>
    </r>
  </si>
  <si>
    <r>
      <t>Cell D13, E13, and J13</t>
    </r>
    <r>
      <rPr>
        <sz val="12"/>
        <rFont val="Times New Roman"/>
        <family val="0"/>
      </rPr>
      <t xml:space="preserve"> - If the calculated numbers are not acurate, make sure these cells sum the correct range.  </t>
    </r>
  </si>
  <si>
    <r>
      <t>Cell J13</t>
    </r>
    <r>
      <rPr>
        <sz val="12"/>
        <rFont val="Times New Roman"/>
        <family val="0"/>
      </rPr>
      <t xml:space="preserve"> - This calculated annual kWh savings value will automatically copy into the verification report.  </t>
    </r>
  </si>
  <si>
    <r>
      <t>Cell O13</t>
    </r>
    <r>
      <rPr>
        <sz val="12"/>
        <rFont val="Times New Roman"/>
        <family val="0"/>
      </rPr>
      <t xml:space="preserve"> - This calculated value needs to be 30% or greater in order to get a rebate.  This value is automatically put into the verification report. </t>
    </r>
  </si>
  <si>
    <t>Look-Up Ids</t>
  </si>
  <si>
    <t>Lighting Savings Yield by Predominant Space Heat Fuel Source</t>
  </si>
  <si>
    <t>Synergy</t>
  </si>
  <si>
    <t>Synergy Building Type Name</t>
  </si>
  <si>
    <t>Default Hours of Lighitng</t>
  </si>
  <si>
    <t>Large Off</t>
  </si>
  <si>
    <t xml:space="preserve"> Office 20,000 to 100,000 sf</t>
  </si>
  <si>
    <t>Medium Off</t>
  </si>
  <si>
    <t xml:space="preserve"> Office &gt;100,000 sf</t>
  </si>
  <si>
    <t>Small Off</t>
  </si>
  <si>
    <t xml:space="preserve"> Office &lt;20,000 sf</t>
  </si>
  <si>
    <t>Big Box</t>
  </si>
  <si>
    <t xml:space="preserve"> Retail Big Box &gt;50,000 sf One-Story</t>
  </si>
  <si>
    <t>Small Box</t>
  </si>
  <si>
    <t xml:space="preserve"> Retail 5,000 to 50,000 sf</t>
  </si>
  <si>
    <t>High End</t>
  </si>
  <si>
    <t xml:space="preserve"> Retail Boutique &lt;5,000 sf</t>
  </si>
  <si>
    <t>Anchor</t>
  </si>
  <si>
    <t xml:space="preserve"> Retail Anchor Store &gt;50,000 sf Multistory</t>
  </si>
  <si>
    <t>K-12</t>
  </si>
  <si>
    <t xml:space="preserve"> School K-12</t>
  </si>
  <si>
    <t>University</t>
  </si>
  <si>
    <t>No Default</t>
  </si>
  <si>
    <t>Line No.</t>
  </si>
  <si>
    <t>Default Hours of Lighting Operation for Building Type</t>
  </si>
  <si>
    <t>Inferred Weighted Average Hours of Operation (kWh saved/ kW saved)</t>
  </si>
  <si>
    <t>Annual Site Energy Savings Adjusted for HVAC Interaction (kWh)</t>
  </si>
  <si>
    <t>Site Unit Energy Savings (kWh/sf)</t>
  </si>
  <si>
    <t>Site Lighting Power Density (lpd) Reduction (W/sf)</t>
  </si>
  <si>
    <t>Unit Value of Electric Savings (NPV/kWh)</t>
  </si>
  <si>
    <t>Unit Value of Gas Heat Interaction (NPV/kWh saved)</t>
  </si>
  <si>
    <t>Project Benefit/Cost Ratio</t>
  </si>
  <si>
    <t>Benefit/Cost Ratio Calculation</t>
  </si>
  <si>
    <t>Cost</t>
  </si>
  <si>
    <t>Benefit</t>
  </si>
  <si>
    <t>Calculation of Present Value of O&amp;M (savings(-) or costs (+)</t>
  </si>
  <si>
    <t>PMT*[1-((1/(1+i))^N)]/I</t>
  </si>
  <si>
    <t>Capital Cost</t>
  </si>
  <si>
    <t>Real Discount Rate</t>
  </si>
  <si>
    <t>Where:</t>
  </si>
  <si>
    <t>Periods</t>
  </si>
  <si>
    <t>PV = Present Value Stream of Equal Payments</t>
  </si>
  <si>
    <t>PV Lamp Periodic Replacement Cost</t>
  </si>
  <si>
    <t>PMT = Amount of each payment</t>
  </si>
  <si>
    <t>PV Energy Savings</t>
  </si>
  <si>
    <t>i = Discount Rate Per Period</t>
  </si>
  <si>
    <t>Total</t>
  </si>
  <si>
    <t>N = Number of Periods</t>
  </si>
  <si>
    <t>B/C Ratio</t>
  </si>
  <si>
    <t>Btype</t>
  </si>
  <si>
    <t>SpaceHeat</t>
  </si>
  <si>
    <t>Discounted Levelized $ per therm</t>
  </si>
  <si>
    <t>Load Shape Look Up</t>
  </si>
  <si>
    <t>5th Plan Name</t>
  </si>
  <si>
    <t>ShapeType</t>
  </si>
  <si>
    <t>Space Heat Fuel Source</t>
  </si>
  <si>
    <t>Electric Resistance</t>
  </si>
  <si>
    <t>Heat Pump</t>
  </si>
  <si>
    <t>Gas</t>
  </si>
  <si>
    <t>Unconditioned</t>
  </si>
  <si>
    <t>Gas Heat Interaction (therms saved per kWh lighting saved)</t>
  </si>
  <si>
    <t>Screw-In CFL, 1-20W capsule, 1-Elec</t>
  </si>
  <si>
    <t>Screw-In CFL, 1-15W bullet capsule, 1-Elec</t>
  </si>
  <si>
    <t>Screw-In CFL, 1-20W bullet capsule, 1-Elec</t>
  </si>
  <si>
    <t>Screw-In CFL, 1-25W bullet capsule, 1-Elec</t>
  </si>
  <si>
    <t>Screw-In CFL, 1-28W bullet capsule, 1-Elec</t>
  </si>
  <si>
    <t>Describe existing lamp/ballast combination here</t>
  </si>
  <si>
    <t>T8HP 4', 1-F32T8, 3100+lumen, 1-NLO Sylvania Quicktronic QHE/UNV ISN-SC</t>
  </si>
  <si>
    <r>
      <t xml:space="preserve">You need to pick an </t>
    </r>
    <r>
      <rPr>
        <b/>
        <sz val="12"/>
        <rFont val="Times New Roman"/>
        <family val="1"/>
      </rPr>
      <t>Existing and Proposed Lamp/Ballast Combination</t>
    </r>
    <r>
      <rPr>
        <sz val="12"/>
        <rFont val="Times New Roman"/>
        <family val="1"/>
      </rPr>
      <t xml:space="preserve"> in order for the spreadsheet to work properly.  The lamp/ballast combination could be a retrofit or a new luminaire.  </t>
    </r>
    <r>
      <rPr>
        <sz val="12"/>
        <rFont val="Times New Roman"/>
        <family val="1"/>
      </rPr>
      <t xml:space="preserve">  </t>
    </r>
  </si>
  <si>
    <t>Customer Retail Rate</t>
  </si>
  <si>
    <r>
      <t xml:space="preserve">Mercury Vapor </t>
    </r>
    <r>
      <rPr>
        <sz val="12"/>
        <rFont val="Times New Roman"/>
        <family val="1"/>
      </rPr>
      <t xml:space="preserve">- is a very outdated HID light source.  These are targeted for upgrade.  </t>
    </r>
  </si>
  <si>
    <r>
      <t xml:space="preserve">Phosphor </t>
    </r>
    <r>
      <rPr>
        <sz val="12"/>
        <rFont val="Times New Roman"/>
        <family val="1"/>
      </rPr>
      <t>- is a rare earth material that fluoresces under an electrical energy (ion) stimulus.</t>
    </r>
  </si>
  <si>
    <r>
      <t xml:space="preserve">Includes lamp/ballast retrofits only;  </t>
    </r>
    <r>
      <rPr>
        <i/>
        <u val="single"/>
        <sz val="10"/>
        <rFont val="Arial"/>
        <family val="2"/>
      </rPr>
      <t>Ballast:</t>
    </r>
    <r>
      <rPr>
        <i/>
        <sz val="10"/>
        <rFont val="Arial"/>
        <family val="2"/>
      </rPr>
      <t xml:space="preserve"> PF </t>
    </r>
    <r>
      <rPr>
        <i/>
        <u val="single"/>
        <sz val="10"/>
        <rFont val="Arial"/>
        <family val="2"/>
      </rPr>
      <t>&gt;</t>
    </r>
    <r>
      <rPr>
        <i/>
        <sz val="10"/>
        <rFont val="Arial"/>
        <family val="2"/>
      </rPr>
      <t xml:space="preserve"> 90%,THD </t>
    </r>
    <r>
      <rPr>
        <i/>
        <u val="single"/>
        <sz val="10"/>
        <rFont val="Arial"/>
        <family val="2"/>
      </rPr>
      <t>&lt;</t>
    </r>
    <r>
      <rPr>
        <i/>
        <sz val="10"/>
        <rFont val="Arial"/>
        <family val="2"/>
      </rPr>
      <t xml:space="preserve"> 20%.  </t>
    </r>
    <r>
      <rPr>
        <i/>
        <u val="single"/>
        <sz val="10"/>
        <rFont val="Arial"/>
        <family val="2"/>
      </rPr>
      <t>Lamp:</t>
    </r>
    <r>
      <rPr>
        <i/>
        <sz val="10"/>
        <rFont val="Arial"/>
        <family val="2"/>
      </rPr>
      <t xml:space="preserve"> 4' T5 HO.  Lumen Maint.</t>
    </r>
    <r>
      <rPr>
        <i/>
        <u val="single"/>
        <sz val="10"/>
        <rFont val="Arial"/>
        <family val="2"/>
      </rPr>
      <t>&gt;</t>
    </r>
    <r>
      <rPr>
        <i/>
        <sz val="10"/>
        <rFont val="Arial"/>
        <family val="2"/>
      </rPr>
      <t xml:space="preserve">90%, CRI </t>
    </r>
    <r>
      <rPr>
        <i/>
        <u val="single"/>
        <sz val="10"/>
        <rFont val="Arial"/>
        <family val="2"/>
      </rPr>
      <t>&gt;</t>
    </r>
    <r>
      <rPr>
        <i/>
        <sz val="10"/>
        <rFont val="Arial"/>
        <family val="2"/>
      </rPr>
      <t xml:space="preserve"> 80, lamp life </t>
    </r>
    <r>
      <rPr>
        <i/>
        <u val="single"/>
        <sz val="10"/>
        <rFont val="Arial"/>
        <family val="2"/>
      </rPr>
      <t>&gt;</t>
    </r>
    <r>
      <rPr>
        <i/>
        <sz val="10"/>
        <rFont val="Arial"/>
        <family val="2"/>
      </rPr>
      <t xml:space="preserve"> 20,000 hrs,  </t>
    </r>
    <r>
      <rPr>
        <b/>
        <i/>
        <sz val="10"/>
        <rFont val="Arial"/>
        <family val="2"/>
      </rPr>
      <t xml:space="preserve">Initial System Lumens/Watt </t>
    </r>
    <r>
      <rPr>
        <b/>
        <i/>
        <u val="single"/>
        <sz val="10"/>
        <rFont val="Arial"/>
        <family val="2"/>
      </rPr>
      <t>&gt;</t>
    </r>
    <r>
      <rPr>
        <b/>
        <i/>
        <sz val="10"/>
        <rFont val="Arial"/>
        <family val="2"/>
      </rPr>
      <t xml:space="preserve"> 80</t>
    </r>
  </si>
  <si>
    <t xml:space="preserve">2 T5 lamps and high output ballast </t>
  </si>
  <si>
    <t>3 to 4 T5 lamps and high output ballast</t>
  </si>
  <si>
    <t>M</t>
  </si>
  <si>
    <t xml:space="preserve">Other "one time" measure with pre-approval from BPA </t>
  </si>
  <si>
    <t xml:space="preserve">Any existing </t>
  </si>
  <si>
    <t>Includes lighting measures that are not on the above list (A-L).  One-time deemed credit/reimbursement can be given to measures that receive pre-approval from BPA.</t>
  </si>
  <si>
    <t>condition</t>
  </si>
  <si>
    <t>Put measure description here and deemed value in next cell&gt;&gt;</t>
  </si>
  <si>
    <t>A. Incentive Item Total ($):</t>
  </si>
  <si>
    <t>D. Reimbursement/Credit = Lower of "A" or "C" above:</t>
  </si>
  <si>
    <t>3. Has the Sub-Project achieved a 30% or greater Wattage Reduction or kWh reduction?</t>
  </si>
  <si>
    <t>Pick a unique # that you will remember</t>
  </si>
  <si>
    <t>C&amp;I Machinery</t>
  </si>
  <si>
    <t>T12 8' Fluorescent, 1-F96T12VHOES 185W, 1-Mag</t>
  </si>
  <si>
    <t>T12 8' Fluorescent, 1-F96T12VHO 215W, 1-Mag</t>
  </si>
  <si>
    <t>T12 8' Fluorescent, 2-F96T12ES 60W, 1-Mag EE</t>
  </si>
  <si>
    <t>Exit Sign, 2-inc 5W, no ballast</t>
  </si>
  <si>
    <t>Exit Sign, 2-inc 8W, no ballast</t>
  </si>
  <si>
    <t>Exit Sign, 2-Inc 10W, no ballast</t>
  </si>
  <si>
    <t>Exit Sign, 2-Inc 25W, no ballast</t>
  </si>
  <si>
    <t>Exit Sign, 2-Inc 40W, no ballast</t>
  </si>
  <si>
    <t>New Exit Sign, 1-LED &lt;5W, 1-None</t>
  </si>
  <si>
    <t>T12 2' Fluorescent, 1-F24T12/CW 20W, 1-Mag</t>
  </si>
  <si>
    <t>T12 3' Fluorescent, 1-F36T12/CW 30W, 1-Mag</t>
  </si>
  <si>
    <t>Incandescent, 3-A 60W, no ballast</t>
  </si>
  <si>
    <t>Incandescent, 3-A 75W, no ballast</t>
  </si>
  <si>
    <t>Incandescent, 3-A 100W, no ballast</t>
  </si>
  <si>
    <t>Incandescent, 4-A 60W, no ballast</t>
  </si>
  <si>
    <t>Incandescent, 1-R 75W, no ballast</t>
  </si>
  <si>
    <t>Incandescent, 1-R 90W, no ballast</t>
  </si>
  <si>
    <t>Incandescent, 1-R 100W, no ballast</t>
  </si>
  <si>
    <t>Incandescent, 1-R 120W, no ballast</t>
  </si>
  <si>
    <t>Incandescent, 1-R 150W, no ballast</t>
  </si>
  <si>
    <t>Incandescent, 1-PAR 65W, no ballast</t>
  </si>
  <si>
    <t>Incandescent, 1-PAR 75W, no ballast</t>
  </si>
  <si>
    <t>Incandescent, 1-PAR 85W, no ballast</t>
  </si>
  <si>
    <t>Incandescent, 1-PAR 100W, no ballast</t>
  </si>
  <si>
    <t>Incandescent, 1-PAR 150W, no ballast</t>
  </si>
  <si>
    <t>Incandescent, 2-PAR 150W, no ballast</t>
  </si>
  <si>
    <t>Incandescent, 1-PS30 200W, no ballast</t>
  </si>
  <si>
    <t>Incandescent, 1-PS40 500W, no ballast</t>
  </si>
  <si>
    <t>Exit Sign, 2-Inc 11W, no ballast</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</si>
</sst>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h:mm"/>
    <numFmt numFmtId="166" formatCode="@&quot;sss&quot;"/>
    <numFmt numFmtId="167" formatCode="m/d"/>
    <numFmt numFmtId="168" formatCode="_(* #,##0.0_);_(* \(#,##0.0\);_(* &quot;-&quot;??_);_(@_)"/>
    <numFmt numFmtId="169" formatCode="_(* #,##0_);_(* \(#,##0\);_(* &quot;-&quot;??_);_(@_)"/>
    <numFmt numFmtId="170" formatCode="mm/dd/yy"/>
    <numFmt numFmtId="171" formatCode="0.000000"/>
    <numFmt numFmtId="172" formatCode="0.00000"/>
    <numFmt numFmtId="173" formatCode="0.0000"/>
    <numFmt numFmtId="174" formatCode="0.000"/>
    <numFmt numFmtId="175" formatCode="m/d/yy\ h:mm\ AM/PM"/>
    <numFmt numFmtId="176" formatCode="_(&quot;$&quot;* #,##0_);_(&quot;$&quot;* \(#,##0\);_(&quot;$&quot;* &quot;-&quot;??_);_(@_)"/>
    <numFmt numFmtId="177" formatCode="&quot;$&quot;#,##0"/>
    <numFmt numFmtId="178" formatCode="&quot;$&quot;#,##0.00"/>
    <numFmt numFmtId="179" formatCode="mmmm\ d\,\ yyyy"/>
    <numFmt numFmtId="180" formatCode="&quot;$&quot;#,##0.0"/>
    <numFmt numFmtId="181" formatCode="##0.00\ \k\w"/>
    <numFmt numFmtId="182" formatCode="#\ ?/4"/>
    <numFmt numFmtId="183" formatCode="#\ ?/8"/>
    <numFmt numFmtId="184" formatCode="_(* #,##0.0_);_(* \(#,##0.0\);_(* &quot;-&quot;?_);_(@_)"/>
    <numFmt numFmtId="185" formatCode="_(* #,##0.000_);_(* \(#,##0.000\);_(* &quot;-&quot;???_);_(@_)"/>
    <numFmt numFmtId="186" formatCode="_(&quot;$&quot;* #,##0.0_);_(&quot;$&quot;* \(#,##0.0\);_(&quot;$&quot;* &quot;-&quot;??_);_(@_)"/>
    <numFmt numFmtId="187" formatCode="#,##0\ &quot;hrs&quot;"/>
    <numFmt numFmtId="188" formatCode="#,##0\ &quot;HP&quot;"/>
    <numFmt numFmtId="189" formatCode="#,##0\ &quot;KW&quot;"/>
    <numFmt numFmtId="190" formatCode="#,##0\ &quot;kWh&quot;"/>
    <numFmt numFmtId="191" formatCode="&quot;$&quot;#,000"/>
    <numFmt numFmtId="192" formatCode="0.0\ &quot;years&quot;"/>
    <numFmt numFmtId="193" formatCode="0\ &quot;years&quot;"/>
    <numFmt numFmtId="194" formatCode="0.0%"/>
    <numFmt numFmtId="195" formatCode="_(* #,##0.000_);_(* \(#,##0.000\);_(* &quot;-&quot;??_);_(@_)"/>
    <numFmt numFmtId="196" formatCode="0.00000000"/>
    <numFmt numFmtId="197" formatCode="0.000000000"/>
    <numFmt numFmtId="198" formatCode="0.0000000000"/>
    <numFmt numFmtId="199" formatCode="0.0000000"/>
    <numFmt numFmtId="200" formatCode="#,##0\ &quot;Watts&quot;"/>
    <numFmt numFmtId="201" formatCode="0\ &quot;hours&quot;"/>
    <numFmt numFmtId="202" formatCode="#,##0\ &quot;hours&quot;"/>
    <numFmt numFmtId="203" formatCode="00000"/>
    <numFmt numFmtId="204" formatCode="#,##0.0_);\(#,##0.0\)"/>
    <numFmt numFmtId="205" formatCode="&quot;$&quot;#,##0.000"/>
    <numFmt numFmtId="206" formatCode="&quot;$&quot;#,##0.0000"/>
    <numFmt numFmtId="207" formatCode="&quot;$&quot;#,##0.00000"/>
    <numFmt numFmtId="208" formatCode="#,##0\ &quot;sf&quot;"/>
    <numFmt numFmtId="209" formatCode="0.00\ &quot;Watts/sf&quot;"/>
    <numFmt numFmtId="210" formatCode="&quot;$&quot;#,##0.00\ &quot;/kWh&quot;"/>
    <numFmt numFmtId="211" formatCode="&quot;$&quot;#,##0.000\ &quot;/kWh&quot;"/>
    <numFmt numFmtId="212" formatCode="#,##0.000"/>
    <numFmt numFmtId="213" formatCode="#,##0.000000000"/>
  </numFmts>
  <fonts count="68">
    <font>
      <sz val="12"/>
      <name val="Times New Roman"/>
      <family val="0"/>
    </font>
    <font>
      <b/>
      <sz val="12"/>
      <name val="Times New Roman"/>
      <family val="1"/>
    </font>
    <font>
      <sz val="8"/>
      <name val="Arial"/>
      <family val="2"/>
    </font>
    <font>
      <b/>
      <sz val="10"/>
      <name val="Arial"/>
      <family val="2"/>
    </font>
    <font>
      <b/>
      <sz val="14"/>
      <name val="Arial"/>
      <family val="2"/>
    </font>
    <font>
      <b/>
      <sz val="11"/>
      <name val="Arial"/>
      <family val="2"/>
    </font>
    <font>
      <sz val="11"/>
      <name val="Arial"/>
      <family val="2"/>
    </font>
    <font>
      <sz val="11"/>
      <color indexed="12"/>
      <name val="Arial"/>
      <family val="2"/>
    </font>
    <font>
      <b/>
      <sz val="12"/>
      <name val="Arial"/>
      <family val="2"/>
    </font>
    <font>
      <sz val="12"/>
      <name val="Arial"/>
      <family val="2"/>
    </font>
    <font>
      <sz val="12"/>
      <color indexed="48"/>
      <name val="Arial"/>
      <family val="2"/>
    </font>
    <font>
      <b/>
      <sz val="14"/>
      <name val="Times New Roman"/>
      <family val="1"/>
    </font>
    <font>
      <sz val="12"/>
      <color indexed="12"/>
      <name val="Arial"/>
      <family val="2"/>
    </font>
    <font>
      <u val="single"/>
      <sz val="12"/>
      <name val="Times New Roman"/>
      <family val="1"/>
    </font>
    <font>
      <sz val="9"/>
      <name val="Arial"/>
      <family val="2"/>
    </font>
    <font>
      <sz val="9"/>
      <name val="Times New Roman"/>
      <family val="0"/>
    </font>
    <font>
      <sz val="8"/>
      <name val="Times New Roman"/>
      <family val="0"/>
    </font>
    <font>
      <sz val="11"/>
      <name val="Times New Roman"/>
      <family val="0"/>
    </font>
    <font>
      <b/>
      <sz val="8"/>
      <name val="Tahoma"/>
      <family val="0"/>
    </font>
    <font>
      <b/>
      <sz val="16"/>
      <name val="Times New Roman"/>
      <family val="1"/>
    </font>
    <font>
      <sz val="8"/>
      <name val="Tahoma"/>
      <family val="0"/>
    </font>
    <font>
      <b/>
      <sz val="16"/>
      <name val="Arial"/>
      <family val="2"/>
    </font>
    <font>
      <sz val="16"/>
      <name val="Times New Roman"/>
      <family val="1"/>
    </font>
    <font>
      <b/>
      <u val="single"/>
      <sz val="16"/>
      <name val="Times New Roman"/>
      <family val="1"/>
    </font>
    <font>
      <b/>
      <sz val="12"/>
      <color indexed="17"/>
      <name val="Times New Roman"/>
      <family val="1"/>
    </font>
    <font>
      <b/>
      <u val="single"/>
      <sz val="12"/>
      <name val="Times New Roman"/>
      <family val="1"/>
    </font>
    <font>
      <u val="single"/>
      <sz val="12"/>
      <color indexed="12"/>
      <name val="Times New Roman"/>
      <family val="0"/>
    </font>
    <font>
      <u val="single"/>
      <sz val="12"/>
      <color indexed="36"/>
      <name val="Times New Roman"/>
      <family val="0"/>
    </font>
    <font>
      <b/>
      <sz val="12"/>
      <color indexed="8"/>
      <name val="Times New Roman"/>
      <family val="1"/>
    </font>
    <font>
      <sz val="10"/>
      <name val="Arial"/>
      <family val="2"/>
    </font>
    <font>
      <i/>
      <sz val="10"/>
      <name val="Arial"/>
      <family val="2"/>
    </font>
    <font>
      <b/>
      <sz val="10"/>
      <color indexed="9"/>
      <name val="Arial"/>
      <family val="2"/>
    </font>
    <font>
      <i/>
      <u val="single"/>
      <sz val="10"/>
      <name val="Arial"/>
      <family val="2"/>
    </font>
    <font>
      <b/>
      <i/>
      <sz val="10"/>
      <name val="Arial"/>
      <family val="2"/>
    </font>
    <font>
      <b/>
      <i/>
      <u val="single"/>
      <sz val="10"/>
      <name val="Arial"/>
      <family val="2"/>
    </font>
    <font>
      <b/>
      <u val="single"/>
      <sz val="11"/>
      <name val="Arial"/>
      <family val="2"/>
    </font>
    <font>
      <sz val="12"/>
      <color indexed="8"/>
      <name val="Arial"/>
      <family val="2"/>
    </font>
    <font>
      <b/>
      <sz val="14"/>
      <color indexed="12"/>
      <name val="Arial"/>
      <family val="2"/>
    </font>
    <font>
      <i/>
      <sz val="10"/>
      <color indexed="8"/>
      <name val="Arial"/>
      <family val="2"/>
    </font>
    <font>
      <i/>
      <u val="single"/>
      <sz val="10"/>
      <color indexed="8"/>
      <name val="Arial"/>
      <family val="2"/>
    </font>
    <font>
      <b/>
      <u val="single"/>
      <sz val="12"/>
      <name val="Arial"/>
      <family val="2"/>
    </font>
    <font>
      <b/>
      <sz val="18"/>
      <name val="Times New Roman"/>
      <family val="1"/>
    </font>
    <font>
      <b/>
      <sz val="22"/>
      <name val="Times New Roman"/>
      <family val="1"/>
    </font>
    <font>
      <b/>
      <sz val="12"/>
      <color indexed="10"/>
      <name val="Arial"/>
      <family val="2"/>
    </font>
    <font>
      <b/>
      <sz val="16"/>
      <color indexed="10"/>
      <name val="Arial"/>
      <family val="2"/>
    </font>
    <font>
      <b/>
      <sz val="12"/>
      <color indexed="10"/>
      <name val="Times New Roman"/>
      <family val="1"/>
    </font>
    <font>
      <b/>
      <sz val="10"/>
      <color indexed="10"/>
      <name val="Arial"/>
      <family val="2"/>
    </font>
    <font>
      <b/>
      <sz val="22"/>
      <color indexed="10"/>
      <name val="Times New Roman"/>
      <family val="1"/>
    </font>
    <font>
      <b/>
      <sz val="14"/>
      <color indexed="10"/>
      <name val="Times New Roman"/>
      <family val="1"/>
    </font>
    <font>
      <b/>
      <sz val="12"/>
      <color indexed="48"/>
      <name val="Arial"/>
      <family val="2"/>
    </font>
    <font>
      <b/>
      <sz val="12"/>
      <color indexed="12"/>
      <name val="Arial"/>
      <family val="2"/>
    </font>
    <font>
      <b/>
      <sz val="12"/>
      <color indexed="8"/>
      <name val="Arial"/>
      <family val="2"/>
    </font>
    <font>
      <b/>
      <sz val="14"/>
      <color indexed="8"/>
      <name val="Arial"/>
      <family val="2"/>
    </font>
    <font>
      <b/>
      <sz val="9"/>
      <name val="Arial"/>
      <family val="2"/>
    </font>
    <font>
      <b/>
      <sz val="10"/>
      <name val="Tahoma"/>
      <family val="2"/>
    </font>
    <font>
      <b/>
      <sz val="11"/>
      <color indexed="8"/>
      <name val="Arial"/>
      <family val="2"/>
    </font>
    <font>
      <b/>
      <sz val="11"/>
      <color indexed="12"/>
      <name val="Arial"/>
      <family val="2"/>
    </font>
    <font>
      <sz val="16"/>
      <name val="Arial"/>
      <family val="2"/>
    </font>
    <font>
      <sz val="14"/>
      <name val="Arial"/>
      <family val="2"/>
    </font>
    <font>
      <sz val="10"/>
      <color indexed="8"/>
      <name val="Arial"/>
      <family val="2"/>
    </font>
    <font>
      <b/>
      <sz val="10"/>
      <color indexed="8"/>
      <name val="Arial"/>
      <family val="0"/>
    </font>
    <font>
      <b/>
      <sz val="14"/>
      <color indexed="10"/>
      <name val="Arial"/>
      <family val="2"/>
    </font>
    <font>
      <sz val="10"/>
      <name val="Tahoma"/>
      <family val="2"/>
    </font>
    <font>
      <b/>
      <sz val="11"/>
      <name val="Tahoma"/>
      <family val="2"/>
    </font>
    <font>
      <b/>
      <sz val="11"/>
      <color indexed="10"/>
      <name val="Tahoma"/>
      <family val="2"/>
    </font>
    <font>
      <sz val="12"/>
      <color indexed="12"/>
      <name val="Times New Roman"/>
      <family val="0"/>
    </font>
    <font>
      <sz val="14"/>
      <name val="Times New Roman"/>
      <family val="1"/>
    </font>
    <font>
      <b/>
      <sz val="8"/>
      <name val="Times New Roman"/>
      <family val="2"/>
    </font>
  </fonts>
  <fills count="32">
    <fill>
      <patternFill/>
    </fill>
    <fill>
      <patternFill patternType="gray125"/>
    </fill>
    <fill>
      <patternFill patternType="solid">
        <fgColor indexed="8"/>
        <bgColor indexed="64"/>
      </patternFill>
    </fill>
    <fill>
      <patternFill patternType="gray125">
        <fgColor indexed="41"/>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lightGray">
        <fgColor indexed="26"/>
        <bgColor indexed="43"/>
      </patternFill>
    </fill>
    <fill>
      <patternFill patternType="solid">
        <fgColor indexed="26"/>
        <bgColor indexed="64"/>
      </patternFill>
    </fill>
    <fill>
      <patternFill patternType="solid">
        <fgColor indexed="43"/>
        <bgColor indexed="64"/>
      </patternFill>
    </fill>
    <fill>
      <patternFill patternType="gray125">
        <fgColor indexed="41"/>
        <bgColor indexed="9"/>
      </patternFill>
    </fill>
    <fill>
      <patternFill patternType="lightGray">
        <fgColor indexed="41"/>
      </patternFill>
    </fill>
    <fill>
      <patternFill patternType="solid">
        <fgColor indexed="9"/>
        <bgColor indexed="64"/>
      </patternFill>
    </fill>
    <fill>
      <patternFill patternType="lightGray">
        <fgColor indexed="44"/>
        <bgColor indexed="9"/>
      </patternFill>
    </fill>
    <fill>
      <patternFill patternType="lightGray">
        <fgColor indexed="26"/>
        <bgColor indexed="26"/>
      </patternFill>
    </fill>
    <fill>
      <patternFill patternType="solid">
        <fgColor indexed="9"/>
        <bgColor indexed="64"/>
      </patternFill>
    </fill>
    <fill>
      <patternFill patternType="gray0625">
        <fgColor indexed="41"/>
      </patternFill>
    </fill>
    <fill>
      <patternFill patternType="gray0625">
        <fgColor indexed="47"/>
      </patternFill>
    </fill>
    <fill>
      <patternFill patternType="gray0625">
        <fgColor indexed="45"/>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gray0625">
        <fgColor indexed="41"/>
        <bgColor indexed="9"/>
      </patternFill>
    </fill>
    <fill>
      <patternFill patternType="gray0625">
        <fgColor indexed="41"/>
        <bgColor indexed="22"/>
      </patternFill>
    </fill>
    <fill>
      <patternFill patternType="solid">
        <fgColor indexed="13"/>
        <bgColor indexed="64"/>
      </patternFill>
    </fill>
    <fill>
      <patternFill patternType="solid">
        <fgColor indexed="49"/>
        <bgColor indexed="64"/>
      </patternFill>
    </fill>
    <fill>
      <patternFill patternType="solid">
        <fgColor indexed="45"/>
        <bgColor indexed="64"/>
      </patternFill>
    </fill>
    <fill>
      <patternFill patternType="lightGray">
        <fgColor indexed="45"/>
        <bgColor indexed="45"/>
      </patternFill>
    </fill>
    <fill>
      <patternFill patternType="solid">
        <fgColor indexed="42"/>
        <bgColor indexed="64"/>
      </patternFill>
    </fill>
  </fills>
  <borders count="115">
    <border>
      <left/>
      <right/>
      <top/>
      <bottom/>
      <diagonal/>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style="thin"/>
    </border>
    <border>
      <left>
        <color indexed="63"/>
      </left>
      <right>
        <color indexed="63"/>
      </right>
      <top style="medium"/>
      <bottom style="medium"/>
    </border>
    <border>
      <left style="medium"/>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hair"/>
      <right style="hair"/>
      <top style="thin"/>
      <bottom style="hair"/>
    </border>
    <border>
      <left style="hair"/>
      <right style="medium"/>
      <top style="thin"/>
      <bottom style="hair"/>
    </border>
    <border>
      <left style="hair"/>
      <right style="hair"/>
      <top>
        <color indexed="63"/>
      </top>
      <bottom>
        <color indexed="63"/>
      </bottom>
    </border>
    <border>
      <left style="medium"/>
      <right style="thin"/>
      <top>
        <color indexed="63"/>
      </top>
      <bottom style="medium"/>
    </border>
    <border>
      <left style="hair"/>
      <right style="hair"/>
      <top style="hair"/>
      <bottom style="hair"/>
    </border>
    <border>
      <left style="hair"/>
      <right style="medium"/>
      <top style="thin"/>
      <bottom>
        <color indexed="63"/>
      </bottom>
    </border>
    <border>
      <left style="hair"/>
      <right style="medium"/>
      <top style="hair"/>
      <bottom style="hair"/>
    </border>
    <border>
      <left style="hair"/>
      <right style="hair"/>
      <top style="thin"/>
      <bottom>
        <color indexed="63"/>
      </bottom>
    </border>
    <border>
      <left style="hair"/>
      <right style="medium"/>
      <top>
        <color indexed="63"/>
      </top>
      <bottom>
        <color indexed="63"/>
      </bottom>
    </border>
    <border>
      <left style="hair"/>
      <right style="hair"/>
      <top>
        <color indexed="63"/>
      </top>
      <bottom style="hair"/>
    </border>
    <border>
      <left style="hair"/>
      <right style="hair"/>
      <top style="hair"/>
      <bottom style="medium"/>
    </border>
    <border>
      <left style="hair"/>
      <right style="medium"/>
      <top style="hair"/>
      <bottom style="medium"/>
    </border>
    <border>
      <left style="medium"/>
      <right style="thin"/>
      <top style="thin"/>
      <bottom>
        <color indexed="63"/>
      </bottom>
    </border>
    <border>
      <left>
        <color indexed="63"/>
      </left>
      <right style="medium"/>
      <top style="thin"/>
      <bottom>
        <color indexed="63"/>
      </bottom>
    </border>
    <border>
      <left style="thin"/>
      <right style="thin"/>
      <top>
        <color indexed="63"/>
      </top>
      <bottom style="medium"/>
    </border>
    <border>
      <left>
        <color indexed="63"/>
      </left>
      <right style="hair"/>
      <top>
        <color indexed="63"/>
      </top>
      <bottom style="hair"/>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style="medium"/>
      <top>
        <color indexed="63"/>
      </top>
      <bottom>
        <color indexed="63"/>
      </bottom>
    </border>
    <border>
      <left style="thin"/>
      <right style="thin">
        <color indexed="8"/>
      </right>
      <top>
        <color indexed="63"/>
      </top>
      <bottom>
        <color indexed="63"/>
      </bottom>
    </border>
    <border>
      <left style="thin">
        <color indexed="8"/>
      </left>
      <right style="thin"/>
      <top>
        <color indexed="63"/>
      </top>
      <bottom>
        <color indexed="63"/>
      </bottom>
    </border>
    <border>
      <left style="thin">
        <color indexed="8"/>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hair"/>
      <top style="hair"/>
      <bottom style="medium"/>
    </border>
    <border>
      <left>
        <color indexed="63"/>
      </left>
      <right>
        <color indexed="63"/>
      </right>
      <top style="medium"/>
      <bottom style="thin"/>
    </border>
    <border>
      <left>
        <color indexed="63"/>
      </left>
      <right style="medium"/>
      <top>
        <color indexed="63"/>
      </top>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medium"/>
    </border>
    <border>
      <left>
        <color indexed="63"/>
      </left>
      <right>
        <color indexed="63"/>
      </right>
      <top style="medium"/>
      <bottom>
        <color indexed="63"/>
      </bottom>
    </border>
    <border>
      <left>
        <color indexed="63"/>
      </left>
      <right style="thin"/>
      <top style="thin"/>
      <bottom style="thin"/>
    </border>
    <border>
      <left style="thin"/>
      <right style="medium"/>
      <top>
        <color indexed="63"/>
      </top>
      <bottom style="medium"/>
    </border>
    <border>
      <left style="thin"/>
      <right style="medium"/>
      <top>
        <color indexed="63"/>
      </top>
      <bottom>
        <color indexed="63"/>
      </bottom>
    </border>
    <border>
      <left style="thin">
        <color indexed="8"/>
      </left>
      <right>
        <color indexed="63"/>
      </right>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thin"/>
    </border>
    <border>
      <left style="medium"/>
      <right style="medium"/>
      <top>
        <color indexed="63"/>
      </top>
      <bottom style="thin"/>
    </border>
    <border>
      <left>
        <color indexed="63"/>
      </left>
      <right style="medium"/>
      <top style="thin"/>
      <bottom style="thin"/>
    </border>
    <border>
      <left style="thin">
        <color indexed="8"/>
      </left>
      <right style="medium"/>
      <top>
        <color indexed="63"/>
      </top>
      <bottom style="thin"/>
    </border>
    <border>
      <left style="thin"/>
      <right style="thin">
        <color indexed="8"/>
      </right>
      <top style="thin"/>
      <bottom style="thin"/>
    </border>
    <border>
      <left style="thin">
        <color indexed="8"/>
      </left>
      <right style="thin"/>
      <top>
        <color indexed="63"/>
      </top>
      <bottom style="thin"/>
    </border>
    <border>
      <left style="thin">
        <color indexed="8"/>
      </left>
      <right>
        <color indexed="63"/>
      </right>
      <top>
        <color indexed="63"/>
      </top>
      <bottom style="thin"/>
    </border>
    <border>
      <left>
        <color indexed="63"/>
      </left>
      <right style="thin"/>
      <top style="thin">
        <color indexed="8"/>
      </top>
      <bottom style="thin"/>
    </border>
    <border>
      <left style="thin">
        <color indexed="8"/>
      </left>
      <right style="medium"/>
      <top style="thin">
        <color indexed="8"/>
      </top>
      <bottom style="thin"/>
    </border>
    <border>
      <left style="thin">
        <color indexed="8"/>
      </left>
      <right style="thin"/>
      <top style="thin"/>
      <bottom style="thin"/>
    </border>
    <border>
      <left style="medium"/>
      <right style="medium"/>
      <top>
        <color indexed="63"/>
      </top>
      <bottom style="medium"/>
    </border>
    <border>
      <left style="thin">
        <color indexed="8"/>
      </left>
      <right style="medium"/>
      <top style="thin"/>
      <bottom style="thin"/>
    </border>
    <border>
      <left style="medium"/>
      <right style="medium"/>
      <top style="medium"/>
      <bottom style="medium"/>
    </border>
    <border>
      <left style="medium"/>
      <right style="thin"/>
      <top style="medium"/>
      <bottom style="medium"/>
    </border>
    <border>
      <left style="thin"/>
      <right style="medium"/>
      <top style="thin"/>
      <bottom>
        <color indexed="63"/>
      </bottom>
    </border>
    <border>
      <left style="medium"/>
      <right style="medium"/>
      <top style="medium"/>
      <bottom>
        <color indexed="63"/>
      </bottom>
    </border>
    <border>
      <left style="thin"/>
      <right style="thin"/>
      <top style="medium"/>
      <bottom style="thin"/>
    </border>
    <border>
      <left>
        <color indexed="63"/>
      </left>
      <right style="thin">
        <color indexed="8"/>
      </right>
      <top style="thin"/>
      <bottom style="thin"/>
    </border>
    <border>
      <left style="thin">
        <color indexed="8"/>
      </left>
      <right style="medium">
        <color indexed="8"/>
      </right>
      <top style="thin"/>
      <bottom style="thin"/>
    </border>
    <border>
      <left style="medium"/>
      <right style="thin"/>
      <top style="medium"/>
      <bottom>
        <color indexed="63"/>
      </bottom>
    </border>
    <border>
      <left style="hair"/>
      <right style="hair"/>
      <top>
        <color indexed="63"/>
      </top>
      <bottom style="medium"/>
    </border>
    <border>
      <left style="hair"/>
      <right style="medium"/>
      <top>
        <color indexed="63"/>
      </top>
      <bottom style="medium"/>
    </border>
    <border>
      <left style="hair"/>
      <right style="hair"/>
      <top style="thin"/>
      <bottom style="medium"/>
    </border>
    <border>
      <left style="hair"/>
      <right style="medium"/>
      <top style="thin"/>
      <bottom style="medium"/>
    </border>
    <border>
      <left style="thin"/>
      <right>
        <color indexed="63"/>
      </right>
      <top style="medium"/>
      <bottom style="thin"/>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color indexed="63"/>
      </left>
      <right style="thin"/>
      <top style="medium"/>
      <bottom style="mediu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color indexed="63"/>
      </right>
      <top style="thin"/>
      <bottom>
        <color indexed="63"/>
      </bottom>
    </border>
    <border>
      <left style="double"/>
      <right>
        <color indexed="63"/>
      </right>
      <top style="thin"/>
      <bottom style="thin"/>
    </border>
    <border>
      <left style="thin"/>
      <right>
        <color indexed="63"/>
      </right>
      <top style="thin"/>
      <bottom>
        <color indexed="63"/>
      </bottom>
    </border>
    <border>
      <left>
        <color indexed="63"/>
      </left>
      <right style="hair"/>
      <top style="thin"/>
      <bottom style="medium"/>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medium"/>
    </border>
    <border>
      <left>
        <color indexed="63"/>
      </left>
      <right>
        <color indexed="63"/>
      </right>
      <top style="hair"/>
      <bottom style="hair"/>
    </border>
    <border>
      <left>
        <color indexed="63"/>
      </left>
      <right style="hair"/>
      <top style="hair"/>
      <bottom style="hair"/>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ont="0" applyFill="0" applyBorder="0" applyProtection="0">
      <alignment horizontal="center"/>
    </xf>
    <xf numFmtId="5" fontId="0" fillId="0" borderId="0" applyFont="0" applyFill="0" applyBorder="0" applyProtection="0">
      <alignment horizontal="center"/>
    </xf>
    <xf numFmtId="44" fontId="29" fillId="0" borderId="0" applyFont="0" applyFill="0" applyBorder="0" applyAlignment="0" applyProtection="0"/>
    <xf numFmtId="165" fontId="0" fillId="0" borderId="0">
      <alignment/>
      <protection/>
    </xf>
    <xf numFmtId="2" fontId="0" fillId="0" borderId="0">
      <alignment horizontal="center"/>
      <protection/>
    </xf>
    <xf numFmtId="0" fontId="27" fillId="0" borderId="0" applyNumberFormat="0" applyFill="0" applyBorder="0" applyAlignment="0" applyProtection="0"/>
    <xf numFmtId="0" fontId="1" fillId="0" borderId="0">
      <alignment horizontal="center" wrapText="1"/>
      <protection/>
    </xf>
    <xf numFmtId="0" fontId="31" fillId="2" borderId="1">
      <alignment horizontal="left"/>
      <protection/>
    </xf>
    <xf numFmtId="0" fontId="26" fillId="0" borderId="0" applyNumberFormat="0" applyFill="0" applyBorder="0" applyAlignment="0" applyProtection="0"/>
    <xf numFmtId="1" fontId="0" fillId="0" borderId="0">
      <alignment horizontal="center"/>
      <protection/>
    </xf>
    <xf numFmtId="0" fontId="29" fillId="0" borderId="0">
      <alignment/>
      <protection/>
    </xf>
    <xf numFmtId="0" fontId="29" fillId="0" borderId="0">
      <alignment/>
      <protection/>
    </xf>
    <xf numFmtId="9" fontId="0" fillId="0" borderId="0" applyFont="0" applyFill="0" applyBorder="0" applyAlignment="0" applyProtection="0"/>
  </cellStyleXfs>
  <cellXfs count="820">
    <xf numFmtId="0" fontId="0" fillId="0" borderId="0" xfId="0" applyAlignment="1">
      <alignment/>
    </xf>
    <xf numFmtId="0" fontId="0" fillId="0" borderId="0" xfId="0" applyFont="1" applyFill="1" applyAlignment="1">
      <alignment/>
    </xf>
    <xf numFmtId="0" fontId="6" fillId="0" borderId="0" xfId="0" applyFont="1" applyAlignment="1" applyProtection="1">
      <alignment/>
      <protection/>
    </xf>
    <xf numFmtId="0" fontId="8" fillId="3" borderId="0" xfId="0" applyFont="1" applyFill="1" applyBorder="1" applyAlignment="1" applyProtection="1">
      <alignment horizontal="right"/>
      <protection/>
    </xf>
    <xf numFmtId="0" fontId="6" fillId="0" borderId="0" xfId="0" applyFont="1" applyBorder="1" applyAlignment="1" applyProtection="1">
      <alignment/>
      <protection/>
    </xf>
    <xf numFmtId="0" fontId="6" fillId="3" borderId="2" xfId="0" applyFont="1" applyFill="1" applyBorder="1" applyAlignment="1" applyProtection="1">
      <alignment horizontal="left"/>
      <protection/>
    </xf>
    <xf numFmtId="0" fontId="6" fillId="3" borderId="0" xfId="0" applyFont="1" applyFill="1" applyBorder="1" applyAlignment="1" applyProtection="1">
      <alignment horizontal="center"/>
      <protection/>
    </xf>
    <xf numFmtId="0" fontId="6" fillId="3" borderId="0" xfId="0" applyFont="1" applyFill="1" applyBorder="1" applyAlignment="1" applyProtection="1">
      <alignment/>
      <protection/>
    </xf>
    <xf numFmtId="167" fontId="9" fillId="0" borderId="0" xfId="0" applyNumberFormat="1" applyFont="1" applyBorder="1" applyAlignment="1" applyProtection="1">
      <alignment/>
      <protection/>
    </xf>
    <xf numFmtId="3" fontId="6" fillId="4" borderId="2" xfId="0" applyNumberFormat="1" applyFont="1" applyFill="1" applyBorder="1" applyAlignment="1" applyProtection="1">
      <alignment horizontal="center"/>
      <protection/>
    </xf>
    <xf numFmtId="3" fontId="6" fillId="5" borderId="3" xfId="0" applyNumberFormat="1" applyFont="1" applyFill="1" applyBorder="1" applyAlignment="1" applyProtection="1">
      <alignment horizontal="center"/>
      <protection/>
    </xf>
    <xf numFmtId="0" fontId="6" fillId="0" borderId="0" xfId="0" applyFont="1" applyAlignment="1" applyProtection="1">
      <alignment wrapText="1"/>
      <protection/>
    </xf>
    <xf numFmtId="3" fontId="7" fillId="0" borderId="0" xfId="0" applyNumberFormat="1" applyFont="1" applyBorder="1" applyAlignment="1" applyProtection="1">
      <alignment horizontal="left"/>
      <protection/>
    </xf>
    <xf numFmtId="3" fontId="7" fillId="0" borderId="0" xfId="0" applyNumberFormat="1" applyFont="1" applyBorder="1" applyAlignment="1" applyProtection="1">
      <alignment horizontal="center"/>
      <protection/>
    </xf>
    <xf numFmtId="0" fontId="7" fillId="0" borderId="0" xfId="0" applyFont="1" applyBorder="1" applyAlignment="1" applyProtection="1">
      <alignment wrapText="1"/>
      <protection/>
    </xf>
    <xf numFmtId="3" fontId="6" fillId="0" borderId="0" xfId="0" applyNumberFormat="1" applyFont="1" applyFill="1" applyBorder="1" applyAlignment="1" applyProtection="1">
      <alignment horizontal="center"/>
      <protection/>
    </xf>
    <xf numFmtId="3" fontId="7" fillId="0" borderId="0" xfId="0" applyNumberFormat="1" applyFont="1" applyFill="1" applyBorder="1" applyAlignment="1" applyProtection="1">
      <alignment horizontal="left" wrapText="1"/>
      <protection/>
    </xf>
    <xf numFmtId="3" fontId="7" fillId="0" borderId="0" xfId="0" applyNumberFormat="1" applyFont="1" applyFill="1" applyBorder="1" applyAlignment="1" applyProtection="1">
      <alignment horizontal="center"/>
      <protection/>
    </xf>
    <xf numFmtId="9" fontId="6" fillId="0" borderId="0" xfId="29" applyFont="1" applyFill="1" applyBorder="1" applyAlignment="1" applyProtection="1">
      <alignment horizontal="center"/>
      <protection/>
    </xf>
    <xf numFmtId="3" fontId="6" fillId="0" borderId="0" xfId="0" applyNumberFormat="1" applyFont="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horizontal="left"/>
      <protection/>
    </xf>
    <xf numFmtId="0" fontId="0" fillId="0" borderId="0" xfId="0" applyFont="1" applyFill="1" applyAlignment="1">
      <alignment/>
    </xf>
    <xf numFmtId="0" fontId="0" fillId="0" borderId="0" xfId="0" applyFont="1" applyFill="1" applyAlignment="1">
      <alignment horizontal="left"/>
    </xf>
    <xf numFmtId="0" fontId="6" fillId="0" borderId="2" xfId="0" applyFont="1" applyBorder="1" applyAlignment="1" applyProtection="1">
      <alignment horizontal="left"/>
      <protection/>
    </xf>
    <xf numFmtId="0" fontId="0" fillId="0" borderId="0" xfId="0" applyFont="1" applyAlignment="1">
      <alignment/>
    </xf>
    <xf numFmtId="0" fontId="3" fillId="6" borderId="4" xfId="0" applyFont="1" applyFill="1" applyBorder="1" applyAlignment="1">
      <alignment horizontal="center" wrapText="1"/>
    </xf>
    <xf numFmtId="0" fontId="0" fillId="0" borderId="0" xfId="0" applyFont="1" applyFill="1" applyAlignment="1">
      <alignment horizontal="right"/>
    </xf>
    <xf numFmtId="0" fontId="0" fillId="0" borderId="0" xfId="0" applyFont="1" applyFill="1" applyBorder="1" applyAlignment="1">
      <alignment/>
    </xf>
    <xf numFmtId="0" fontId="13" fillId="0" borderId="0" xfId="0" applyFont="1" applyFill="1" applyAlignment="1">
      <alignment horizontal="right" wrapText="1"/>
    </xf>
    <xf numFmtId="0" fontId="0" fillId="0" borderId="0" xfId="0" applyFont="1" applyFill="1" applyAlignment="1">
      <alignment horizontal="right" wrapText="1"/>
    </xf>
    <xf numFmtId="0" fontId="0" fillId="0" borderId="0" xfId="0" applyFont="1" applyAlignment="1">
      <alignment wrapText="1"/>
    </xf>
    <xf numFmtId="2" fontId="0" fillId="0" borderId="0" xfId="0" applyNumberFormat="1" applyFont="1" applyFill="1" applyAlignment="1">
      <alignment/>
    </xf>
    <xf numFmtId="2" fontId="0" fillId="0" borderId="0" xfId="0" applyNumberFormat="1" applyFont="1" applyFill="1" applyAlignment="1">
      <alignment horizontal="right"/>
    </xf>
    <xf numFmtId="3" fontId="7" fillId="0" borderId="5" xfId="0" applyNumberFormat="1" applyFont="1" applyBorder="1" applyAlignment="1" applyProtection="1">
      <alignment horizontal="left" vertical="center" wrapText="1"/>
      <protection locked="0"/>
    </xf>
    <xf numFmtId="0" fontId="15" fillId="0" borderId="0" xfId="0" applyFont="1" applyFill="1" applyAlignment="1">
      <alignment horizontal="left"/>
    </xf>
    <xf numFmtId="0" fontId="16" fillId="0" borderId="0" xfId="0" applyFont="1" applyFill="1" applyAlignment="1">
      <alignment/>
    </xf>
    <xf numFmtId="0" fontId="17" fillId="0" borderId="0" xfId="0" applyFont="1" applyFill="1" applyAlignment="1">
      <alignment/>
    </xf>
    <xf numFmtId="0" fontId="8" fillId="6" borderId="6" xfId="0" applyFont="1" applyFill="1" applyBorder="1" applyAlignment="1">
      <alignment horizontal="left" wrapText="1"/>
    </xf>
    <xf numFmtId="0" fontId="8" fillId="6" borderId="7" xfId="0" applyFont="1" applyFill="1" applyBorder="1" applyAlignment="1">
      <alignment horizontal="left" wrapText="1"/>
    </xf>
    <xf numFmtId="0" fontId="5" fillId="6" borderId="6" xfId="0" applyFont="1" applyFill="1" applyBorder="1" applyAlignment="1">
      <alignment horizontal="left" wrapText="1"/>
    </xf>
    <xf numFmtId="0" fontId="15" fillId="0" borderId="0" xfId="0" applyFont="1" applyFill="1" applyAlignment="1">
      <alignment/>
    </xf>
    <xf numFmtId="0" fontId="8" fillId="7" borderId="8" xfId="0" applyFont="1" applyFill="1" applyBorder="1" applyAlignment="1" applyProtection="1">
      <alignment horizontal="center" vertical="center"/>
      <protection/>
    </xf>
    <xf numFmtId="0" fontId="9" fillId="7" borderId="1" xfId="0" applyFont="1" applyFill="1" applyBorder="1" applyAlignment="1" applyProtection="1">
      <alignment horizontal="center" vertical="center"/>
      <protection/>
    </xf>
    <xf numFmtId="0" fontId="19" fillId="0" borderId="0" xfId="0" applyFont="1" applyAlignment="1">
      <alignment horizontal="center"/>
    </xf>
    <xf numFmtId="0" fontId="11" fillId="0" borderId="0" xfId="0" applyFont="1" applyAlignment="1" quotePrefix="1">
      <alignment horizontal="center"/>
    </xf>
    <xf numFmtId="0" fontId="1"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1" fillId="0" borderId="0" xfId="0" applyFont="1" applyFill="1" applyBorder="1" applyAlignment="1">
      <alignment vertical="center" wrapText="1"/>
    </xf>
    <xf numFmtId="0" fontId="14" fillId="8" borderId="9" xfId="0" applyFont="1" applyFill="1" applyBorder="1" applyAlignment="1">
      <alignment/>
    </xf>
    <xf numFmtId="1" fontId="6" fillId="8" borderId="10" xfId="0" applyNumberFormat="1" applyFont="1" applyFill="1" applyBorder="1" applyAlignment="1">
      <alignment horizontal="center"/>
    </xf>
    <xf numFmtId="0" fontId="14" fillId="8" borderId="11" xfId="0" applyFont="1" applyFill="1" applyBorder="1" applyAlignment="1">
      <alignment horizontal="left"/>
    </xf>
    <xf numFmtId="0" fontId="14" fillId="8" borderId="12" xfId="0" applyFont="1" applyFill="1" applyBorder="1" applyAlignment="1">
      <alignment/>
    </xf>
    <xf numFmtId="1" fontId="6" fillId="8" borderId="8" xfId="0" applyNumberFormat="1" applyFont="1" applyFill="1" applyBorder="1" applyAlignment="1">
      <alignment horizontal="center"/>
    </xf>
    <xf numFmtId="0" fontId="14" fillId="8" borderId="13" xfId="0" applyFont="1" applyFill="1" applyBorder="1" applyAlignment="1">
      <alignment horizontal="left"/>
    </xf>
    <xf numFmtId="0" fontId="14" fillId="8" borderId="13" xfId="0" applyFont="1" applyFill="1" applyBorder="1" applyAlignment="1" quotePrefix="1">
      <alignment horizontal="left"/>
    </xf>
    <xf numFmtId="0" fontId="14" fillId="8" borderId="12" xfId="0" applyFont="1" applyFill="1" applyBorder="1" applyAlignment="1" quotePrefix="1">
      <alignment/>
    </xf>
    <xf numFmtId="0" fontId="2" fillId="8" borderId="11" xfId="0" applyFont="1" applyFill="1" applyBorder="1" applyAlignment="1">
      <alignment horizontal="left"/>
    </xf>
    <xf numFmtId="0" fontId="2" fillId="8" borderId="13" xfId="0" applyFont="1" applyFill="1" applyBorder="1" applyAlignment="1">
      <alignment horizontal="left"/>
    </xf>
    <xf numFmtId="0" fontId="2" fillId="8" borderId="13" xfId="0" applyFont="1" applyFill="1" applyBorder="1" applyAlignment="1" quotePrefix="1">
      <alignment horizontal="left"/>
    </xf>
    <xf numFmtId="0" fontId="14" fillId="8" borderId="12" xfId="0" applyFont="1" applyFill="1" applyBorder="1" applyAlignment="1" quotePrefix="1">
      <alignment horizontal="left"/>
    </xf>
    <xf numFmtId="0" fontId="0" fillId="0" borderId="0" xfId="0" applyAlignment="1">
      <alignment vertical="top" wrapText="1"/>
    </xf>
    <xf numFmtId="0" fontId="1" fillId="0" borderId="0" xfId="0" applyFont="1" applyAlignment="1">
      <alignment vertical="top" wrapText="1"/>
    </xf>
    <xf numFmtId="0" fontId="0" fillId="0" borderId="0" xfId="0" applyFont="1" applyAlignment="1">
      <alignment vertical="top" wrapText="1"/>
    </xf>
    <xf numFmtId="2" fontId="0" fillId="0" borderId="0" xfId="0" applyNumberFormat="1" applyFont="1" applyFill="1" applyAlignment="1">
      <alignment/>
    </xf>
    <xf numFmtId="0" fontId="0" fillId="0" borderId="0" xfId="0" applyFont="1" applyFill="1" applyBorder="1" applyAlignment="1">
      <alignment/>
    </xf>
    <xf numFmtId="0" fontId="22" fillId="0" borderId="0" xfId="0" applyFont="1" applyAlignment="1">
      <alignment vertical="top" wrapText="1"/>
    </xf>
    <xf numFmtId="0" fontId="23" fillId="0" borderId="0" xfId="0" applyFont="1" applyAlignment="1">
      <alignment vertical="top" wrapText="1"/>
    </xf>
    <xf numFmtId="0" fontId="22" fillId="0" borderId="0" xfId="0" applyFont="1" applyAlignment="1">
      <alignment/>
    </xf>
    <xf numFmtId="0" fontId="19" fillId="0" borderId="0" xfId="0" applyFont="1" applyAlignment="1">
      <alignment vertical="top" wrapText="1"/>
    </xf>
    <xf numFmtId="2" fontId="24" fillId="0" borderId="0" xfId="0" applyNumberFormat="1" applyFont="1" applyFill="1" applyAlignment="1">
      <alignment horizontal="center"/>
    </xf>
    <xf numFmtId="2" fontId="1" fillId="0" borderId="0" xfId="0" applyNumberFormat="1" applyFont="1" applyFill="1" applyAlignment="1">
      <alignment horizontal="center"/>
    </xf>
    <xf numFmtId="2" fontId="1" fillId="0" borderId="0" xfId="0" applyNumberFormat="1" applyFont="1" applyFill="1" applyBorder="1" applyAlignment="1">
      <alignment horizontal="center"/>
    </xf>
    <xf numFmtId="2" fontId="25" fillId="0" borderId="0" xfId="0" applyNumberFormat="1" applyFont="1" applyFill="1" applyAlignment="1">
      <alignment horizontal="center"/>
    </xf>
    <xf numFmtId="0" fontId="19" fillId="0" borderId="0" xfId="0" applyFont="1" applyAlignment="1">
      <alignment horizontal="centerContinuous"/>
    </xf>
    <xf numFmtId="0" fontId="0" fillId="0" borderId="0" xfId="0" applyAlignment="1">
      <alignment horizontal="centerContinuous"/>
    </xf>
    <xf numFmtId="0" fontId="11" fillId="0" borderId="0" xfId="0" applyFont="1" applyAlignment="1">
      <alignment horizontal="centerContinuous"/>
    </xf>
    <xf numFmtId="0" fontId="1" fillId="0" borderId="0" xfId="0" applyFont="1" applyAlignment="1">
      <alignment horizontal="centerContinuous"/>
    </xf>
    <xf numFmtId="0" fontId="0" fillId="0" borderId="0" xfId="0" applyAlignment="1">
      <alignment horizontal="center"/>
    </xf>
    <xf numFmtId="0" fontId="0" fillId="0" borderId="0" xfId="0" applyBorder="1" applyAlignment="1">
      <alignment horizontal="center"/>
    </xf>
    <xf numFmtId="0" fontId="0" fillId="0" borderId="0" xfId="0" applyFont="1" applyAlignment="1">
      <alignment horizontal="left"/>
    </xf>
    <xf numFmtId="0" fontId="0" fillId="0" borderId="0" xfId="0"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6" xfId="0" applyFont="1" applyBorder="1" applyAlignment="1">
      <alignment horizontal="center"/>
    </xf>
    <xf numFmtId="0" fontId="1" fillId="0" borderId="16" xfId="0" applyFont="1" applyBorder="1" applyAlignment="1">
      <alignment horizontal="centerContinuous"/>
    </xf>
    <xf numFmtId="0" fontId="1" fillId="0" borderId="14" xfId="0" applyFont="1" applyBorder="1" applyAlignment="1">
      <alignment horizontal="center"/>
    </xf>
    <xf numFmtId="0" fontId="1" fillId="0" borderId="17" xfId="0" applyFont="1" applyBorder="1" applyAlignment="1">
      <alignment/>
    </xf>
    <xf numFmtId="0" fontId="1" fillId="0" borderId="18" xfId="0" applyFont="1" applyBorder="1" applyAlignment="1">
      <alignment horizontal="center"/>
    </xf>
    <xf numFmtId="0" fontId="1" fillId="0" borderId="17" xfId="0" applyFont="1" applyBorder="1" applyAlignment="1">
      <alignment horizontal="center"/>
    </xf>
    <xf numFmtId="0" fontId="1" fillId="0" borderId="19" xfId="0" applyFont="1" applyBorder="1" applyAlignment="1">
      <alignment horizontal="centerContinuous"/>
    </xf>
    <xf numFmtId="0" fontId="1" fillId="0" borderId="3" xfId="0" applyFont="1" applyBorder="1" applyAlignment="1">
      <alignment horizontal="centerContinuous"/>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10" xfId="0" applyFont="1" applyBorder="1" applyAlignment="1">
      <alignment/>
    </xf>
    <xf numFmtId="0" fontId="1" fillId="0" borderId="3" xfId="0" applyFont="1" applyBorder="1" applyAlignment="1">
      <alignment horizontal="center"/>
    </xf>
    <xf numFmtId="0" fontId="1" fillId="0" borderId="10" xfId="0" applyFont="1" applyBorder="1" applyAlignment="1">
      <alignment horizontal="center"/>
    </xf>
    <xf numFmtId="0" fontId="1" fillId="0" borderId="3" xfId="0" applyFont="1" applyFill="1" applyBorder="1" applyAlignment="1">
      <alignment horizontal="center"/>
    </xf>
    <xf numFmtId="0" fontId="1" fillId="0" borderId="10" xfId="0" applyFont="1" applyFill="1" applyBorder="1" applyAlignment="1">
      <alignment horizontal="center"/>
    </xf>
    <xf numFmtId="0" fontId="0" fillId="0" borderId="17" xfId="0" applyBorder="1" applyAlignment="1">
      <alignment/>
    </xf>
    <xf numFmtId="0" fontId="0" fillId="0" borderId="0" xfId="0" applyBorder="1" applyAlignment="1">
      <alignment/>
    </xf>
    <xf numFmtId="0" fontId="0" fillId="0" borderId="18" xfId="0" applyBorder="1" applyAlignment="1">
      <alignment horizontal="center"/>
    </xf>
    <xf numFmtId="3" fontId="0" fillId="0" borderId="17" xfId="0" applyNumberFormat="1" applyBorder="1" applyAlignment="1">
      <alignment horizontal="center"/>
    </xf>
    <xf numFmtId="3" fontId="0" fillId="0" borderId="18" xfId="0" applyNumberFormat="1" applyBorder="1" applyAlignment="1">
      <alignment horizontal="center"/>
    </xf>
    <xf numFmtId="0" fontId="0" fillId="0" borderId="17" xfId="0" applyBorder="1" applyAlignment="1">
      <alignment horizontal="center"/>
    </xf>
    <xf numFmtId="9" fontId="0" fillId="0" borderId="18" xfId="29" applyBorder="1" applyAlignment="1">
      <alignment horizontal="center"/>
    </xf>
    <xf numFmtId="0" fontId="0" fillId="0" borderId="10" xfId="0" applyBorder="1" applyAlignment="1">
      <alignment/>
    </xf>
    <xf numFmtId="0" fontId="0" fillId="0" borderId="3" xfId="0" applyBorder="1" applyAlignment="1">
      <alignment horizontal="center"/>
    </xf>
    <xf numFmtId="3" fontId="0" fillId="0" borderId="10" xfId="0" applyNumberFormat="1" applyBorder="1" applyAlignment="1">
      <alignment horizontal="center"/>
    </xf>
    <xf numFmtId="3" fontId="0" fillId="0" borderId="3" xfId="0" applyNumberFormat="1" applyBorder="1" applyAlignment="1">
      <alignment horizontal="center"/>
    </xf>
    <xf numFmtId="0" fontId="0" fillId="0" borderId="10" xfId="0" applyBorder="1" applyAlignment="1">
      <alignment horizontal="center"/>
    </xf>
    <xf numFmtId="9" fontId="0" fillId="0" borderId="3" xfId="29" applyBorder="1" applyAlignment="1">
      <alignment horizontal="center"/>
    </xf>
    <xf numFmtId="0" fontId="1" fillId="0" borderId="20" xfId="0" applyFont="1" applyBorder="1" applyAlignment="1">
      <alignment horizontal="centerContinuous"/>
    </xf>
    <xf numFmtId="0" fontId="0" fillId="0" borderId="16" xfId="0" applyBorder="1" applyAlignment="1">
      <alignment horizontal="center"/>
    </xf>
    <xf numFmtId="3" fontId="0" fillId="0" borderId="16" xfId="0" applyNumberFormat="1" applyBorder="1" applyAlignment="1">
      <alignment horizontal="center"/>
    </xf>
    <xf numFmtId="3" fontId="0" fillId="0" borderId="0" xfId="0" applyNumberFormat="1" applyBorder="1" applyAlignment="1">
      <alignment horizontal="center"/>
    </xf>
    <xf numFmtId="9" fontId="0" fillId="0" borderId="0" xfId="29" applyBorder="1" applyAlignment="1">
      <alignment horizontal="center"/>
    </xf>
    <xf numFmtId="0" fontId="26" fillId="0" borderId="0" xfId="25" applyAlignment="1">
      <alignment/>
    </xf>
    <xf numFmtId="2" fontId="28" fillId="0" borderId="0" xfId="0" applyNumberFormat="1" applyFont="1" applyFill="1" applyAlignment="1">
      <alignment horizontal="center"/>
    </xf>
    <xf numFmtId="0" fontId="17" fillId="0" borderId="0" xfId="0" applyFont="1" applyAlignment="1">
      <alignment/>
    </xf>
    <xf numFmtId="0" fontId="30" fillId="0" borderId="21" xfId="0" applyFont="1" applyBorder="1" applyAlignment="1" applyProtection="1" quotePrefix="1">
      <alignment horizontal="center" wrapText="1"/>
      <protection/>
    </xf>
    <xf numFmtId="165" fontId="3" fillId="0" borderId="0" xfId="20" applyFont="1" applyFill="1" applyBorder="1" applyAlignment="1" applyProtection="1">
      <alignment horizontal="center" vertical="center"/>
      <protection/>
    </xf>
    <xf numFmtId="165" fontId="3" fillId="0" borderId="22" xfId="20" applyFont="1" applyFill="1" applyBorder="1" applyAlignment="1" applyProtection="1">
      <alignment horizontal="center" vertical="center"/>
      <protection/>
    </xf>
    <xf numFmtId="0" fontId="30" fillId="0" borderId="21" xfId="0" applyFont="1" applyBorder="1" applyAlignment="1" applyProtection="1">
      <alignment horizontal="center" vertical="center"/>
      <protection/>
    </xf>
    <xf numFmtId="0" fontId="30" fillId="0" borderId="21" xfId="0" applyFont="1" applyBorder="1" applyAlignment="1" applyProtection="1">
      <alignment horizontal="center"/>
      <protection/>
    </xf>
    <xf numFmtId="0" fontId="14" fillId="9" borderId="23" xfId="0" applyFont="1" applyFill="1" applyBorder="1" applyAlignment="1" applyProtection="1">
      <alignment horizontal="center"/>
      <protection locked="0"/>
    </xf>
    <xf numFmtId="6" fontId="14" fillId="0" borderId="24" xfId="0" applyNumberFormat="1" applyFont="1" applyFill="1" applyBorder="1" applyAlignment="1" applyProtection="1">
      <alignment horizontal="center"/>
      <protection/>
    </xf>
    <xf numFmtId="0" fontId="30" fillId="0" borderId="21" xfId="0" applyFont="1" applyBorder="1" applyAlignment="1" applyProtection="1">
      <alignment/>
      <protection/>
    </xf>
    <xf numFmtId="0" fontId="29" fillId="0" borderId="0" xfId="0" applyFont="1" applyFill="1" applyBorder="1" applyAlignment="1" applyProtection="1">
      <alignment horizontal="center"/>
      <protection/>
    </xf>
    <xf numFmtId="0" fontId="30" fillId="0" borderId="21" xfId="0" applyFont="1" applyBorder="1" applyAlignment="1" applyProtection="1">
      <alignment horizontal="center" vertical="center" wrapText="1"/>
      <protection/>
    </xf>
    <xf numFmtId="0" fontId="14" fillId="9" borderId="25" xfId="0" applyFont="1" applyFill="1" applyBorder="1" applyAlignment="1" applyProtection="1">
      <alignment horizontal="center"/>
      <protection locked="0"/>
    </xf>
    <xf numFmtId="0" fontId="30" fillId="0" borderId="26" xfId="0" applyFont="1" applyBorder="1" applyAlignment="1" applyProtection="1">
      <alignment horizontal="center"/>
      <protection/>
    </xf>
    <xf numFmtId="5" fontId="14" fillId="0" borderId="25" xfId="0" applyNumberFormat="1" applyFont="1" applyFill="1" applyBorder="1" applyAlignment="1">
      <alignment horizontal="center"/>
    </xf>
    <xf numFmtId="5" fontId="14" fillId="0" borderId="27" xfId="0" applyNumberFormat="1" applyFont="1" applyBorder="1" applyAlignment="1">
      <alignment horizontal="center"/>
    </xf>
    <xf numFmtId="0" fontId="14" fillId="9" borderId="27" xfId="0" applyFont="1" applyFill="1" applyBorder="1" applyAlignment="1" applyProtection="1">
      <alignment horizontal="center"/>
      <protection locked="0"/>
    </xf>
    <xf numFmtId="5" fontId="14" fillId="0" borderId="23" xfId="0" applyNumberFormat="1" applyFont="1" applyBorder="1" applyAlignment="1">
      <alignment horizontal="center"/>
    </xf>
    <xf numFmtId="0" fontId="30" fillId="0" borderId="21" xfId="0" applyFont="1" applyBorder="1" applyAlignment="1" applyProtection="1" quotePrefix="1">
      <alignment horizontal="center"/>
      <protection/>
    </xf>
    <xf numFmtId="6" fontId="29" fillId="0" borderId="0" xfId="0" applyNumberFormat="1" applyFont="1" applyBorder="1" applyAlignment="1" applyProtection="1">
      <alignment horizontal="center"/>
      <protection/>
    </xf>
    <xf numFmtId="6" fontId="14" fillId="0" borderId="28" xfId="0" applyNumberFormat="1" applyFont="1" applyFill="1" applyBorder="1" applyAlignment="1" applyProtection="1">
      <alignment horizontal="center"/>
      <protection/>
    </xf>
    <xf numFmtId="6" fontId="14" fillId="0" borderId="29" xfId="0" applyNumberFormat="1" applyFont="1" applyFill="1" applyBorder="1" applyAlignment="1" applyProtection="1">
      <alignment horizontal="center"/>
      <protection/>
    </xf>
    <xf numFmtId="0" fontId="29" fillId="0" borderId="0" xfId="0" applyFont="1" applyBorder="1" applyAlignment="1" applyProtection="1">
      <alignment horizontal="center"/>
      <protection/>
    </xf>
    <xf numFmtId="0" fontId="29" fillId="0" borderId="0" xfId="0" applyFont="1" applyAlignment="1">
      <alignment/>
    </xf>
    <xf numFmtId="5" fontId="14" fillId="0" borderId="30" xfId="0" applyNumberFormat="1" applyFont="1" applyBorder="1" applyAlignment="1" applyProtection="1">
      <alignment horizontal="center"/>
      <protection/>
    </xf>
    <xf numFmtId="0" fontId="14" fillId="9" borderId="30" xfId="0" applyFont="1" applyFill="1" applyBorder="1" applyAlignment="1" applyProtection="1">
      <alignment horizontal="center"/>
      <protection locked="0"/>
    </xf>
    <xf numFmtId="0" fontId="29" fillId="0" borderId="0" xfId="0" applyFont="1" applyFill="1" applyBorder="1" applyAlignment="1">
      <alignment horizontal="center"/>
    </xf>
    <xf numFmtId="5" fontId="14" fillId="0" borderId="27" xfId="0" applyNumberFormat="1" applyFont="1" applyBorder="1" applyAlignment="1" applyProtection="1">
      <alignment horizontal="center"/>
      <protection/>
    </xf>
    <xf numFmtId="6" fontId="14" fillId="0" borderId="31" xfId="0" applyNumberFormat="1" applyFont="1" applyFill="1" applyBorder="1" applyAlignment="1" applyProtection="1">
      <alignment horizontal="center"/>
      <protection/>
    </xf>
    <xf numFmtId="0" fontId="30" fillId="0" borderId="21" xfId="0" applyFont="1" applyFill="1" applyBorder="1" applyAlignment="1" applyProtection="1" quotePrefix="1">
      <alignment horizontal="center"/>
      <protection/>
    </xf>
    <xf numFmtId="5" fontId="14" fillId="0" borderId="25" xfId="0" applyNumberFormat="1" applyFont="1" applyBorder="1" applyAlignment="1" applyProtection="1">
      <alignment horizontal="center"/>
      <protection/>
    </xf>
    <xf numFmtId="0" fontId="29" fillId="0" borderId="0" xfId="0" applyFont="1" applyBorder="1" applyAlignment="1">
      <alignment horizontal="center"/>
    </xf>
    <xf numFmtId="0" fontId="30" fillId="0" borderId="26" xfId="0" applyFont="1" applyBorder="1" applyAlignment="1" applyProtection="1">
      <alignment horizontal="center" vertical="center" wrapText="1"/>
      <protection/>
    </xf>
    <xf numFmtId="5" fontId="14" fillId="0" borderId="32" xfId="0" applyNumberFormat="1" applyFont="1" applyBorder="1" applyAlignment="1" applyProtection="1">
      <alignment horizontal="center"/>
      <protection/>
    </xf>
    <xf numFmtId="0" fontId="14" fillId="9" borderId="32" xfId="0" applyFont="1" applyFill="1" applyBorder="1" applyAlignment="1" applyProtection="1">
      <alignment horizontal="center"/>
      <protection locked="0"/>
    </xf>
    <xf numFmtId="0" fontId="14" fillId="9" borderId="33" xfId="0" applyFont="1" applyFill="1" applyBorder="1" applyAlignment="1" applyProtection="1">
      <alignment horizontal="center"/>
      <protection locked="0"/>
    </xf>
    <xf numFmtId="6" fontId="14" fillId="0" borderId="34" xfId="0" applyNumberFormat="1" applyFont="1" applyFill="1" applyBorder="1" applyAlignment="1" applyProtection="1">
      <alignment horizontal="center"/>
      <protection/>
    </xf>
    <xf numFmtId="0" fontId="6" fillId="0" borderId="0" xfId="0" applyFont="1" applyBorder="1" applyAlignment="1" applyProtection="1">
      <alignment/>
      <protection/>
    </xf>
    <xf numFmtId="0" fontId="0" fillId="0" borderId="18" xfId="0" applyFont="1" applyBorder="1" applyAlignment="1">
      <alignment vertical="center"/>
    </xf>
    <xf numFmtId="0" fontId="0" fillId="0" borderId="17" xfId="0" applyFont="1" applyBorder="1" applyAlignment="1">
      <alignment vertical="center"/>
    </xf>
    <xf numFmtId="0" fontId="0" fillId="0" borderId="35"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36" xfId="0" applyFont="1" applyFill="1" applyBorder="1" applyAlignment="1">
      <alignment vertical="center"/>
    </xf>
    <xf numFmtId="0" fontId="0" fillId="0" borderId="22" xfId="0" applyFont="1" applyBorder="1" applyAlignment="1">
      <alignment vertical="center"/>
    </xf>
    <xf numFmtId="0" fontId="0" fillId="0" borderId="22" xfId="0" applyFont="1" applyFill="1" applyBorder="1" applyAlignment="1">
      <alignment vertical="center"/>
    </xf>
    <xf numFmtId="0" fontId="0" fillId="0" borderId="36" xfId="0" applyFont="1" applyBorder="1" applyAlignment="1">
      <alignment vertical="center"/>
    </xf>
    <xf numFmtId="0" fontId="0" fillId="0" borderId="14" xfId="0" applyFont="1" applyBorder="1" applyAlignment="1" quotePrefix="1">
      <alignment horizontal="left" vertical="center"/>
    </xf>
    <xf numFmtId="0" fontId="0" fillId="0" borderId="14" xfId="0" applyFont="1" applyBorder="1" applyAlignment="1" quotePrefix="1">
      <alignment horizontal="left" vertical="center" wrapText="1"/>
    </xf>
    <xf numFmtId="0" fontId="0" fillId="0" borderId="37" xfId="0" applyFont="1" applyBorder="1" applyAlignment="1">
      <alignment horizontal="left" vertical="center"/>
    </xf>
    <xf numFmtId="5" fontId="14" fillId="0" borderId="38" xfId="0" applyNumberFormat="1" applyFont="1" applyBorder="1" applyAlignment="1">
      <alignment horizontal="center"/>
    </xf>
    <xf numFmtId="0" fontId="29" fillId="0" borderId="39" xfId="0" applyFont="1" applyBorder="1" applyAlignment="1" applyProtection="1">
      <alignment horizontal="right"/>
      <protection/>
    </xf>
    <xf numFmtId="0" fontId="29" fillId="0" borderId="40" xfId="0" applyFont="1" applyBorder="1" applyAlignment="1" applyProtection="1">
      <alignment horizontal="right"/>
      <protection/>
    </xf>
    <xf numFmtId="0" fontId="29" fillId="0" borderId="41" xfId="0" applyFont="1" applyBorder="1" applyAlignment="1" applyProtection="1">
      <alignment horizontal="right"/>
      <protection/>
    </xf>
    <xf numFmtId="0" fontId="0" fillId="0" borderId="0" xfId="0" applyAlignment="1">
      <alignment horizontal="left"/>
    </xf>
    <xf numFmtId="22" fontId="0" fillId="0" borderId="0" xfId="0" applyNumberFormat="1" applyAlignment="1">
      <alignment horizontal="centerContinuous"/>
    </xf>
    <xf numFmtId="0" fontId="0" fillId="0" borderId="0" xfId="0" applyAlignment="1">
      <alignment horizontal="right"/>
    </xf>
    <xf numFmtId="165" fontId="31" fillId="2" borderId="19" xfId="20" applyFont="1" applyFill="1" applyBorder="1" applyAlignment="1" applyProtection="1" quotePrefix="1">
      <alignment horizontal="center" vertical="center"/>
      <protection/>
    </xf>
    <xf numFmtId="0" fontId="35" fillId="0" borderId="0" xfId="0" applyFont="1" applyBorder="1" applyAlignment="1" applyProtection="1">
      <alignment horizontal="left"/>
      <protection/>
    </xf>
    <xf numFmtId="0" fontId="6" fillId="0" borderId="0" xfId="0" applyFont="1" applyBorder="1" applyAlignment="1" applyProtection="1">
      <alignment horizontal="center"/>
      <protection/>
    </xf>
    <xf numFmtId="0" fontId="5" fillId="0" borderId="0" xfId="0" applyFont="1" applyBorder="1" applyAlignment="1" applyProtection="1">
      <alignment horizontal="center"/>
      <protection/>
    </xf>
    <xf numFmtId="0" fontId="6" fillId="0" borderId="0" xfId="0" applyFont="1" applyAlignment="1" applyProtection="1">
      <alignment horizontal="right"/>
      <protection/>
    </xf>
    <xf numFmtId="0" fontId="6" fillId="0" borderId="0" xfId="0" applyFont="1" applyAlignment="1" applyProtection="1" quotePrefix="1">
      <alignment horizontal="left"/>
      <protection/>
    </xf>
    <xf numFmtId="3" fontId="7" fillId="0" borderId="42" xfId="0" applyNumberFormat="1" applyFont="1" applyBorder="1" applyAlignment="1" applyProtection="1">
      <alignment horizontal="left"/>
      <protection locked="0"/>
    </xf>
    <xf numFmtId="3" fontId="7" fillId="0" borderId="43" xfId="0" applyNumberFormat="1" applyFont="1" applyBorder="1" applyAlignment="1" applyProtection="1">
      <alignment horizontal="center"/>
      <protection locked="0"/>
    </xf>
    <xf numFmtId="3" fontId="6" fillId="10" borderId="44" xfId="0" applyNumberFormat="1" applyFont="1" applyFill="1" applyBorder="1" applyAlignment="1" applyProtection="1">
      <alignment horizontal="center"/>
      <protection/>
    </xf>
    <xf numFmtId="3" fontId="7" fillId="0" borderId="21" xfId="0" applyNumberFormat="1" applyFont="1" applyBorder="1" applyAlignment="1" applyProtection="1">
      <alignment horizontal="left" wrapText="1"/>
      <protection locked="0"/>
    </xf>
    <xf numFmtId="3" fontId="12" fillId="0" borderId="18" xfId="0" applyNumberFormat="1" applyFont="1" applyFill="1" applyBorder="1" applyAlignment="1" applyProtection="1">
      <alignment horizontal="center" vertical="center"/>
      <protection locked="0"/>
    </xf>
    <xf numFmtId="3" fontId="6" fillId="10" borderId="18" xfId="0" applyNumberFormat="1" applyFont="1" applyFill="1" applyBorder="1" applyAlignment="1" applyProtection="1">
      <alignment horizontal="center"/>
      <protection/>
    </xf>
    <xf numFmtId="3" fontId="6" fillId="10" borderId="45" xfId="0" applyNumberFormat="1" applyFont="1" applyFill="1" applyBorder="1" applyAlignment="1" applyProtection="1">
      <alignment horizontal="center"/>
      <protection/>
    </xf>
    <xf numFmtId="0" fontId="5" fillId="11" borderId="46" xfId="0" applyFont="1" applyFill="1" applyBorder="1" applyAlignment="1" applyProtection="1">
      <alignment horizontal="left" wrapText="1"/>
      <protection/>
    </xf>
    <xf numFmtId="0" fontId="6" fillId="12" borderId="47" xfId="0" applyFont="1" applyFill="1" applyBorder="1" applyAlignment="1" applyProtection="1">
      <alignment horizontal="left"/>
      <protection/>
    </xf>
    <xf numFmtId="0" fontId="6" fillId="12" borderId="46" xfId="0" applyFont="1" applyFill="1" applyBorder="1" applyAlignment="1" applyProtection="1">
      <alignment horizontal="center"/>
      <protection/>
    </xf>
    <xf numFmtId="0" fontId="6" fillId="12" borderId="46" xfId="0" applyFont="1" applyFill="1" applyBorder="1" applyAlignment="1" applyProtection="1">
      <alignment/>
      <protection/>
    </xf>
    <xf numFmtId="0" fontId="8" fillId="12" borderId="46" xfId="0" applyFont="1" applyFill="1" applyBorder="1" applyAlignment="1" applyProtection="1">
      <alignment horizontal="right"/>
      <protection/>
    </xf>
    <xf numFmtId="0" fontId="3" fillId="6" borderId="48" xfId="0" applyFont="1" applyFill="1" applyBorder="1" applyAlignment="1">
      <alignment horizontal="center" wrapText="1"/>
    </xf>
    <xf numFmtId="0" fontId="8" fillId="6" borderId="49" xfId="0" applyFont="1" applyFill="1" applyBorder="1" applyAlignment="1">
      <alignment horizontal="left" wrapText="1"/>
    </xf>
    <xf numFmtId="2" fontId="25" fillId="0" borderId="0" xfId="0" applyNumberFormat="1" applyFont="1" applyFill="1" applyAlignment="1">
      <alignment horizontal="right"/>
    </xf>
    <xf numFmtId="0" fontId="14" fillId="8" borderId="12" xfId="0" applyFont="1" applyFill="1" applyBorder="1" applyAlignment="1" quotePrefix="1">
      <alignment vertical="center"/>
    </xf>
    <xf numFmtId="0" fontId="3" fillId="8" borderId="12" xfId="0" applyFont="1" applyFill="1" applyBorder="1" applyAlignment="1">
      <alignment/>
    </xf>
    <xf numFmtId="0" fontId="3" fillId="8" borderId="12" xfId="0" applyFont="1" applyFill="1" applyBorder="1" applyAlignment="1">
      <alignment horizontal="left"/>
    </xf>
    <xf numFmtId="0" fontId="14" fillId="8" borderId="12" xfId="0" applyFont="1" applyFill="1" applyBorder="1" applyAlignment="1" quotePrefix="1">
      <alignment horizontal="left" vertical="center"/>
    </xf>
    <xf numFmtId="0" fontId="4" fillId="12" borderId="0" xfId="0" applyFont="1" applyFill="1" applyBorder="1" applyAlignment="1" applyProtection="1">
      <alignment horizontal="centerContinuous"/>
      <protection/>
    </xf>
    <xf numFmtId="165" fontId="31" fillId="2" borderId="19" xfId="20" applyFont="1" applyFill="1" applyBorder="1" applyAlignment="1" applyProtection="1">
      <alignment horizontal="center" vertical="center"/>
      <protection/>
    </xf>
    <xf numFmtId="0" fontId="29" fillId="0" borderId="50" xfId="0" applyFont="1" applyFill="1" applyBorder="1" applyAlignment="1" applyProtection="1">
      <alignment horizontal="center"/>
      <protection/>
    </xf>
    <xf numFmtId="5" fontId="14" fillId="0" borderId="51" xfId="0" applyNumberFormat="1" applyFont="1" applyBorder="1" applyAlignment="1">
      <alignment horizontal="center"/>
    </xf>
    <xf numFmtId="0" fontId="29" fillId="0" borderId="0" xfId="0" applyFont="1" applyBorder="1" applyAlignment="1" applyProtection="1" quotePrefix="1">
      <alignment horizontal="right"/>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Alignment="1" applyProtection="1">
      <alignment/>
      <protection/>
    </xf>
    <xf numFmtId="0" fontId="29" fillId="0" borderId="0" xfId="0" applyFont="1" applyBorder="1" applyAlignment="1" applyProtection="1">
      <alignment horizontal="right"/>
      <protection/>
    </xf>
    <xf numFmtId="0" fontId="29" fillId="0" borderId="52" xfId="0" applyFont="1" applyFill="1" applyBorder="1" applyAlignment="1" applyProtection="1">
      <alignment horizontal="left"/>
      <protection locked="0"/>
    </xf>
    <xf numFmtId="0" fontId="29" fillId="0" borderId="1" xfId="0" applyFont="1" applyFill="1" applyBorder="1" applyAlignment="1" applyProtection="1">
      <alignment horizontal="left"/>
      <protection locked="0"/>
    </xf>
    <xf numFmtId="0" fontId="8" fillId="0" borderId="0" xfId="0" applyFont="1" applyAlignment="1">
      <alignment/>
    </xf>
    <xf numFmtId="175" fontId="8" fillId="0" borderId="0" xfId="0" applyNumberFormat="1" applyFont="1" applyAlignment="1">
      <alignment horizontal="right"/>
    </xf>
    <xf numFmtId="0" fontId="29" fillId="0" borderId="0" xfId="0" applyFont="1" applyAlignment="1">
      <alignment horizontal="center"/>
    </xf>
    <xf numFmtId="0" fontId="29" fillId="0" borderId="0" xfId="0" applyFont="1" applyAlignment="1">
      <alignment vertical="center"/>
    </xf>
    <xf numFmtId="0" fontId="29" fillId="0" borderId="2" xfId="0" applyFont="1" applyBorder="1" applyAlignment="1">
      <alignment/>
    </xf>
    <xf numFmtId="0" fontId="4" fillId="0" borderId="0" xfId="0" applyFont="1" applyBorder="1" applyAlignment="1" quotePrefix="1">
      <alignment horizontal="left" vertical="center"/>
    </xf>
    <xf numFmtId="0" fontId="29" fillId="0" borderId="53" xfId="0" applyFont="1" applyBorder="1" applyAlignment="1">
      <alignment horizontal="center"/>
    </xf>
    <xf numFmtId="0" fontId="8" fillId="0" borderId="0" xfId="23" applyFont="1">
      <alignment horizontal="center" wrapText="1"/>
      <protection/>
    </xf>
    <xf numFmtId="176" fontId="29" fillId="0" borderId="0" xfId="17" applyNumberFormat="1" applyFont="1">
      <alignment horizontal="center"/>
    </xf>
    <xf numFmtId="0" fontId="29" fillId="0" borderId="0" xfId="0" applyFont="1" applyFill="1" applyBorder="1" applyAlignment="1">
      <alignment/>
    </xf>
    <xf numFmtId="0" fontId="6" fillId="0" borderId="0" xfId="0" applyFont="1" applyAlignment="1">
      <alignment wrapText="1"/>
    </xf>
    <xf numFmtId="0" fontId="30" fillId="0" borderId="26" xfId="0" applyFont="1" applyBorder="1" applyAlignment="1" applyProtection="1">
      <alignment/>
      <protection/>
    </xf>
    <xf numFmtId="5" fontId="14" fillId="0" borderId="33" xfId="0" applyNumberFormat="1" applyFont="1" applyBorder="1" applyAlignment="1">
      <alignment horizontal="center"/>
    </xf>
    <xf numFmtId="0" fontId="29" fillId="0" borderId="46" xfId="0" applyFont="1" applyFill="1" applyBorder="1" applyAlignment="1" applyProtection="1">
      <alignment horizontal="center"/>
      <protection/>
    </xf>
    <xf numFmtId="5" fontId="14" fillId="0" borderId="33" xfId="0" applyNumberFormat="1" applyFont="1" applyBorder="1" applyAlignment="1" applyProtection="1">
      <alignment horizontal="center"/>
      <protection/>
    </xf>
    <xf numFmtId="0" fontId="29" fillId="0" borderId="50" xfId="0" applyFont="1" applyBorder="1" applyAlignment="1">
      <alignment horizontal="center"/>
    </xf>
    <xf numFmtId="0" fontId="29" fillId="0" borderId="46" xfId="0" applyFont="1" applyBorder="1" applyAlignment="1" applyProtection="1">
      <alignment horizontal="center"/>
      <protection/>
    </xf>
    <xf numFmtId="0" fontId="5" fillId="0" borderId="54" xfId="23" applyFont="1" applyBorder="1" applyAlignment="1" applyProtection="1">
      <alignment horizontal="center" wrapText="1"/>
      <protection/>
    </xf>
    <xf numFmtId="0" fontId="6" fillId="0" borderId="55" xfId="0" applyFont="1" applyBorder="1" applyAlignment="1" applyProtection="1">
      <alignment horizontal="center"/>
      <protection/>
    </xf>
    <xf numFmtId="0" fontId="8" fillId="0" borderId="56" xfId="23" applyFont="1" applyBorder="1" applyAlignment="1" applyProtection="1" quotePrefix="1">
      <alignment horizontal="center" vertical="center" wrapText="1"/>
      <protection/>
    </xf>
    <xf numFmtId="0" fontId="5" fillId="0" borderId="57" xfId="23" applyFont="1" applyBorder="1" applyAlignment="1" applyProtection="1">
      <alignment horizontal="center" wrapText="1"/>
      <protection/>
    </xf>
    <xf numFmtId="0" fontId="5" fillId="0" borderId="58" xfId="23" applyFont="1" applyBorder="1" applyAlignment="1" applyProtection="1">
      <alignment horizontal="center" wrapText="1"/>
      <protection/>
    </xf>
    <xf numFmtId="6" fontId="29" fillId="0" borderId="0" xfId="0" applyNumberFormat="1" applyFont="1" applyFill="1" applyBorder="1" applyAlignment="1" applyProtection="1">
      <alignment horizontal="left" indent="1"/>
      <protection/>
    </xf>
    <xf numFmtId="177" fontId="9" fillId="0" borderId="59" xfId="0" applyNumberFormat="1" applyFont="1" applyFill="1" applyBorder="1" applyAlignment="1" applyProtection="1">
      <alignment horizontal="center"/>
      <protection/>
    </xf>
    <xf numFmtId="177" fontId="9" fillId="9" borderId="5" xfId="0" applyNumberFormat="1" applyFont="1" applyFill="1" applyBorder="1" applyAlignment="1" applyProtection="1">
      <alignment horizontal="center"/>
      <protection locked="0"/>
    </xf>
    <xf numFmtId="177" fontId="9" fillId="0" borderId="60" xfId="0" applyNumberFormat="1" applyFont="1" applyFill="1" applyBorder="1" applyAlignment="1" applyProtection="1">
      <alignment horizontal="center"/>
      <protection/>
    </xf>
    <xf numFmtId="3" fontId="9" fillId="0" borderId="61" xfId="0" applyNumberFormat="1" applyFont="1" applyFill="1" applyBorder="1" applyAlignment="1" applyProtection="1">
      <alignment horizontal="center"/>
      <protection locked="0"/>
    </xf>
    <xf numFmtId="9" fontId="8" fillId="0" borderId="5" xfId="0" applyNumberFormat="1" applyFont="1" applyFill="1" applyBorder="1" applyAlignment="1" applyProtection="1">
      <alignment horizontal="center"/>
      <protection locked="0"/>
    </xf>
    <xf numFmtId="0" fontId="4" fillId="12" borderId="0" xfId="0" applyFont="1" applyFill="1" applyBorder="1" applyAlignment="1" applyProtection="1">
      <alignment horizontal="centerContinuous" vertical="center"/>
      <protection/>
    </xf>
    <xf numFmtId="0" fontId="21" fillId="12" borderId="6" xfId="0" applyFont="1" applyFill="1" applyBorder="1" applyAlignment="1" applyProtection="1">
      <alignment horizontal="centerContinuous" vertical="center"/>
      <protection/>
    </xf>
    <xf numFmtId="0" fontId="29" fillId="0" borderId="2" xfId="0" applyFont="1" applyBorder="1" applyAlignment="1" applyProtection="1">
      <alignment horizontal="right"/>
      <protection/>
    </xf>
    <xf numFmtId="0" fontId="29" fillId="0" borderId="0" xfId="0" applyFont="1" applyFill="1" applyBorder="1" applyAlignment="1" applyProtection="1">
      <alignment horizontal="right"/>
      <protection locked="0"/>
    </xf>
    <xf numFmtId="0" fontId="29" fillId="0" borderId="62" xfId="0" applyFont="1" applyFill="1" applyBorder="1" applyAlignment="1" applyProtection="1">
      <alignment horizontal="right"/>
      <protection locked="0"/>
    </xf>
    <xf numFmtId="0" fontId="0" fillId="0" borderId="21" xfId="0" applyFont="1" applyBorder="1" applyAlignment="1">
      <alignment vertical="center"/>
    </xf>
    <xf numFmtId="0" fontId="0" fillId="0" borderId="26" xfId="0" applyFont="1" applyBorder="1" applyAlignment="1">
      <alignment vertical="center"/>
    </xf>
    <xf numFmtId="0" fontId="41" fillId="0" borderId="6" xfId="0" applyFont="1" applyBorder="1" applyAlignment="1">
      <alignment/>
    </xf>
    <xf numFmtId="0" fontId="41" fillId="0" borderId="4" xfId="0" applyFont="1" applyBorder="1" applyAlignment="1">
      <alignment/>
    </xf>
    <xf numFmtId="0" fontId="41" fillId="0" borderId="7" xfId="0" applyFont="1" applyBorder="1" applyAlignment="1">
      <alignment/>
    </xf>
    <xf numFmtId="0" fontId="41" fillId="0" borderId="48" xfId="0" applyFont="1" applyBorder="1" applyAlignment="1">
      <alignment/>
    </xf>
    <xf numFmtId="0" fontId="48" fillId="0" borderId="0" xfId="0" applyFont="1" applyFill="1" applyAlignment="1" quotePrefix="1">
      <alignment vertical="top" wrapText="1"/>
    </xf>
    <xf numFmtId="0" fontId="42" fillId="0" borderId="0" xfId="0" applyFont="1" applyAlignment="1">
      <alignment horizontal="centerContinuous" vertical="center"/>
    </xf>
    <xf numFmtId="0" fontId="0" fillId="0" borderId="0" xfId="0" applyAlignment="1">
      <alignment horizontal="centerContinuous" vertical="center"/>
    </xf>
    <xf numFmtId="0" fontId="4" fillId="12" borderId="4" xfId="0" applyFont="1" applyFill="1" applyBorder="1" applyAlignment="1" applyProtection="1">
      <alignment horizontal="centerContinuous"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5" fillId="8" borderId="12" xfId="0" applyFont="1" applyFill="1" applyBorder="1" applyAlignment="1">
      <alignment/>
    </xf>
    <xf numFmtId="3" fontId="7" fillId="0" borderId="63" xfId="0" applyNumberFormat="1" applyFont="1" applyBorder="1" applyAlignment="1" applyProtection="1">
      <alignment horizontal="left" vertical="center" wrapText="1"/>
      <protection locked="0"/>
    </xf>
    <xf numFmtId="0" fontId="5" fillId="11" borderId="64" xfId="0" applyFont="1" applyFill="1" applyBorder="1" applyAlignment="1" applyProtection="1" quotePrefix="1">
      <alignment horizontal="center" wrapText="1"/>
      <protection/>
    </xf>
    <xf numFmtId="0" fontId="3" fillId="0" borderId="0" xfId="0" applyFont="1" applyBorder="1" applyAlignment="1" applyProtection="1">
      <alignment horizontal="right"/>
      <protection/>
    </xf>
    <xf numFmtId="0" fontId="7" fillId="0" borderId="0" xfId="0" applyFont="1" applyBorder="1" applyAlignment="1" applyProtection="1">
      <alignment wrapText="1"/>
      <protection locked="0"/>
    </xf>
    <xf numFmtId="0" fontId="7" fillId="0" borderId="1" xfId="0" applyFont="1" applyBorder="1" applyAlignment="1" applyProtection="1">
      <alignment vertical="center" wrapText="1"/>
      <protection locked="0"/>
    </xf>
    <xf numFmtId="3" fontId="7" fillId="0" borderId="21" xfId="0" applyNumberFormat="1" applyFont="1" applyBorder="1" applyAlignment="1" applyProtection="1">
      <alignment horizontal="center"/>
      <protection locked="0"/>
    </xf>
    <xf numFmtId="0" fontId="43" fillId="0" borderId="0" xfId="0" applyFont="1" applyAlignment="1" applyProtection="1">
      <alignment/>
      <protection/>
    </xf>
    <xf numFmtId="3" fontId="6" fillId="13" borderId="0" xfId="0" applyNumberFormat="1" applyFont="1" applyFill="1" applyBorder="1" applyAlignment="1" applyProtection="1">
      <alignment horizontal="center"/>
      <protection/>
    </xf>
    <xf numFmtId="3" fontId="6" fillId="13" borderId="1" xfId="0" applyNumberFormat="1" applyFont="1" applyFill="1" applyBorder="1" applyAlignment="1" applyProtection="1">
      <alignment horizontal="center" vertical="center"/>
      <protection/>
    </xf>
    <xf numFmtId="0" fontId="5" fillId="11" borderId="56" xfId="0" applyFont="1" applyFill="1" applyBorder="1" applyAlignment="1" applyProtection="1" quotePrefix="1">
      <alignment horizontal="center" wrapText="1"/>
      <protection/>
    </xf>
    <xf numFmtId="3" fontId="6" fillId="4" borderId="0" xfId="0" applyNumberFormat="1" applyFont="1" applyFill="1" applyBorder="1" applyAlignment="1" applyProtection="1">
      <alignment horizontal="center"/>
      <protection/>
    </xf>
    <xf numFmtId="3" fontId="6" fillId="4" borderId="1" xfId="0" applyNumberFormat="1" applyFont="1" applyFill="1" applyBorder="1" applyAlignment="1" applyProtection="1">
      <alignment horizontal="center" vertical="center"/>
      <protection/>
    </xf>
    <xf numFmtId="0" fontId="5" fillId="11" borderId="64" xfId="0" applyFont="1" applyFill="1" applyBorder="1" applyAlignment="1" applyProtection="1">
      <alignment horizontal="center" wrapText="1"/>
      <protection/>
    </xf>
    <xf numFmtId="3" fontId="6" fillId="13" borderId="65" xfId="0" applyNumberFormat="1" applyFont="1" applyFill="1" applyBorder="1" applyAlignment="1" applyProtection="1">
      <alignment horizontal="center"/>
      <protection/>
    </xf>
    <xf numFmtId="3" fontId="6" fillId="13" borderId="13" xfId="0" applyNumberFormat="1" applyFont="1" applyFill="1" applyBorder="1" applyAlignment="1" applyProtection="1">
      <alignment horizontal="center" vertical="center"/>
      <protection/>
    </xf>
    <xf numFmtId="3" fontId="6" fillId="10" borderId="66" xfId="0" applyNumberFormat="1" applyFont="1" applyFill="1" applyBorder="1" applyAlignment="1" applyProtection="1">
      <alignment horizontal="center"/>
      <protection/>
    </xf>
    <xf numFmtId="0" fontId="5" fillId="11" borderId="50" xfId="0" applyFont="1" applyFill="1" applyBorder="1" applyAlignment="1" applyProtection="1">
      <alignment horizontal="center" wrapText="1"/>
      <protection/>
    </xf>
    <xf numFmtId="3" fontId="6" fillId="10" borderId="17" xfId="0" applyNumberFormat="1" applyFont="1" applyFill="1" applyBorder="1" applyAlignment="1" applyProtection="1">
      <alignment horizontal="center"/>
      <protection/>
    </xf>
    <xf numFmtId="0" fontId="53" fillId="8" borderId="12" xfId="0" applyFont="1" applyFill="1" applyBorder="1" applyAlignment="1">
      <alignment/>
    </xf>
    <xf numFmtId="0" fontId="0" fillId="0" borderId="47" xfId="0" applyBorder="1" applyAlignment="1">
      <alignment vertical="center"/>
    </xf>
    <xf numFmtId="0" fontId="0" fillId="0" borderId="46" xfId="0" applyBorder="1" applyAlignment="1">
      <alignment vertical="center"/>
    </xf>
    <xf numFmtId="0" fontId="0" fillId="0" borderId="67" xfId="0" applyBorder="1" applyAlignment="1">
      <alignment horizontal="right" vertical="center"/>
    </xf>
    <xf numFmtId="0" fontId="1" fillId="0" borderId="68" xfId="0" applyFont="1" applyBorder="1" applyAlignment="1">
      <alignment vertical="center"/>
    </xf>
    <xf numFmtId="0" fontId="0" fillId="0" borderId="69" xfId="0" applyBorder="1" applyAlignment="1">
      <alignment vertical="center"/>
    </xf>
    <xf numFmtId="0" fontId="0" fillId="0" borderId="20" xfId="0" applyBorder="1" applyAlignment="1">
      <alignment vertical="center"/>
    </xf>
    <xf numFmtId="0" fontId="0" fillId="0" borderId="3" xfId="0" applyBorder="1" applyAlignment="1">
      <alignment horizontal="right" vertical="center"/>
    </xf>
    <xf numFmtId="0" fontId="0" fillId="0" borderId="53" xfId="0" applyBorder="1" applyAlignment="1">
      <alignment vertical="center"/>
    </xf>
    <xf numFmtId="8" fontId="0" fillId="0" borderId="20" xfId="0" applyNumberFormat="1" applyBorder="1" applyAlignment="1">
      <alignment horizontal="right" vertical="center"/>
    </xf>
    <xf numFmtId="0" fontId="0" fillId="0" borderId="70" xfId="0" applyBorder="1" applyAlignment="1">
      <alignment vertical="center"/>
    </xf>
    <xf numFmtId="0" fontId="0" fillId="0" borderId="52" xfId="0" applyBorder="1" applyAlignment="1">
      <alignment vertical="center"/>
    </xf>
    <xf numFmtId="0" fontId="1" fillId="0" borderId="71" xfId="0" applyFont="1" applyBorder="1" applyAlignment="1">
      <alignment horizontal="right" vertical="center"/>
    </xf>
    <xf numFmtId="0" fontId="0" fillId="0" borderId="72" xfId="0" applyBorder="1" applyAlignment="1">
      <alignment vertical="center"/>
    </xf>
    <xf numFmtId="0" fontId="0" fillId="0" borderId="0" xfId="0" applyAlignment="1">
      <alignment vertical="top"/>
    </xf>
    <xf numFmtId="1" fontId="6" fillId="8" borderId="19" xfId="0" applyNumberFormat="1" applyFont="1" applyFill="1" applyBorder="1" applyAlignment="1">
      <alignment horizontal="center"/>
    </xf>
    <xf numFmtId="1" fontId="6" fillId="8" borderId="73" xfId="0" applyNumberFormat="1" applyFont="1" applyFill="1" applyBorder="1" applyAlignment="1">
      <alignment horizontal="center"/>
    </xf>
    <xf numFmtId="177" fontId="6" fillId="8" borderId="19" xfId="0" applyNumberFormat="1" applyFont="1" applyFill="1" applyBorder="1" applyAlignment="1">
      <alignment horizontal="center"/>
    </xf>
    <xf numFmtId="177" fontId="6" fillId="8" borderId="73" xfId="0" applyNumberFormat="1" applyFont="1" applyFill="1" applyBorder="1" applyAlignment="1">
      <alignment horizontal="center"/>
    </xf>
    <xf numFmtId="1" fontId="5" fillId="8" borderId="73" xfId="0" applyNumberFormat="1" applyFont="1" applyFill="1" applyBorder="1" applyAlignment="1">
      <alignment horizontal="center"/>
    </xf>
    <xf numFmtId="177" fontId="5" fillId="8" borderId="73" xfId="0" applyNumberFormat="1" applyFont="1" applyFill="1" applyBorder="1" applyAlignment="1">
      <alignment horizontal="center"/>
    </xf>
    <xf numFmtId="0" fontId="53" fillId="8" borderId="9" xfId="0" applyFont="1" applyFill="1" applyBorder="1" applyAlignment="1">
      <alignment/>
    </xf>
    <xf numFmtId="0" fontId="49" fillId="3" borderId="0" xfId="0" applyFont="1" applyFill="1" applyBorder="1" applyAlignment="1" applyProtection="1">
      <alignment horizontal="right"/>
      <protection/>
    </xf>
    <xf numFmtId="0" fontId="9" fillId="14" borderId="20" xfId="0" applyFont="1" applyFill="1" applyBorder="1" applyAlignment="1" applyProtection="1">
      <alignment horizontal="center" vertical="center"/>
      <protection/>
    </xf>
    <xf numFmtId="0" fontId="6" fillId="0" borderId="46" xfId="0" applyFont="1" applyBorder="1" applyAlignment="1" applyProtection="1">
      <alignment/>
      <protection/>
    </xf>
    <xf numFmtId="0" fontId="8" fillId="12" borderId="4" xfId="0" applyFont="1" applyFill="1" applyBorder="1" applyAlignment="1" applyProtection="1">
      <alignment horizontal="right"/>
      <protection/>
    </xf>
    <xf numFmtId="0" fontId="6" fillId="0" borderId="4" xfId="0" applyFont="1" applyBorder="1" applyAlignment="1" applyProtection="1">
      <alignment vertical="center"/>
      <protection/>
    </xf>
    <xf numFmtId="0" fontId="6" fillId="0" borderId="7" xfId="0" applyFont="1" applyBorder="1" applyAlignment="1" applyProtection="1">
      <alignment vertical="center"/>
      <protection/>
    </xf>
    <xf numFmtId="0" fontId="6" fillId="0" borderId="22" xfId="0" applyFont="1" applyBorder="1" applyAlignment="1" applyProtection="1">
      <alignment/>
      <protection/>
    </xf>
    <xf numFmtId="0" fontId="6" fillId="0" borderId="68" xfId="0" applyFont="1" applyBorder="1" applyAlignment="1" applyProtection="1">
      <alignment/>
      <protection/>
    </xf>
    <xf numFmtId="0" fontId="6" fillId="5" borderId="0" xfId="0" applyFont="1" applyFill="1" applyBorder="1" applyAlignment="1" applyProtection="1">
      <alignment vertical="center"/>
      <protection/>
    </xf>
    <xf numFmtId="0" fontId="5" fillId="5" borderId="46" xfId="23" applyFont="1" applyFill="1" applyBorder="1" applyProtection="1">
      <alignment horizontal="center" wrapText="1"/>
      <protection/>
    </xf>
    <xf numFmtId="0" fontId="8" fillId="7" borderId="1" xfId="0" applyFont="1" applyFill="1" applyBorder="1" applyAlignment="1" applyProtection="1" quotePrefix="1">
      <alignment horizontal="center" vertical="center" wrapText="1"/>
      <protection/>
    </xf>
    <xf numFmtId="178" fontId="1" fillId="0" borderId="52" xfId="0" applyNumberFormat="1" applyFont="1" applyBorder="1" applyAlignment="1">
      <alignment horizontal="right" vertical="center"/>
    </xf>
    <xf numFmtId="178" fontId="1" fillId="0" borderId="20" xfId="0" applyNumberFormat="1" applyFont="1" applyBorder="1" applyAlignment="1">
      <alignment horizontal="right" vertical="center"/>
    </xf>
    <xf numFmtId="3" fontId="0" fillId="0" borderId="20" xfId="0" applyNumberFormat="1" applyBorder="1" applyAlignment="1">
      <alignment horizontal="right" vertical="center"/>
    </xf>
    <xf numFmtId="177" fontId="0" fillId="0" borderId="20" xfId="0" applyNumberFormat="1" applyBorder="1" applyAlignment="1">
      <alignment horizontal="right" vertical="center"/>
    </xf>
    <xf numFmtId="9" fontId="0" fillId="0" borderId="20" xfId="0" applyNumberFormat="1" applyBorder="1" applyAlignment="1">
      <alignment horizontal="right" vertical="center"/>
    </xf>
    <xf numFmtId="164" fontId="1" fillId="0" borderId="46" xfId="0" applyNumberFormat="1" applyFont="1" applyBorder="1" applyAlignment="1">
      <alignment horizontal="right" vertical="center"/>
    </xf>
    <xf numFmtId="0" fontId="6" fillId="0" borderId="2" xfId="0" applyFont="1" applyBorder="1" applyAlignment="1" applyProtection="1">
      <alignment vertical="center"/>
      <protection/>
    </xf>
    <xf numFmtId="0" fontId="6" fillId="0" borderId="2" xfId="0" applyFont="1" applyBorder="1" applyAlignment="1" applyProtection="1">
      <alignment/>
      <protection/>
    </xf>
    <xf numFmtId="3" fontId="7" fillId="0" borderId="74" xfId="0" applyNumberFormat="1" applyFont="1" applyFill="1" applyBorder="1" applyAlignment="1" applyProtection="1">
      <alignment horizontal="left" vertical="center" wrapText="1"/>
      <protection locked="0"/>
    </xf>
    <xf numFmtId="0" fontId="7" fillId="0" borderId="20" xfId="0" applyFont="1" applyFill="1" applyBorder="1" applyAlignment="1" applyProtection="1">
      <alignment vertical="center" wrapText="1"/>
      <protection locked="0"/>
    </xf>
    <xf numFmtId="3" fontId="6" fillId="0" borderId="20" xfId="0" applyNumberFormat="1" applyFont="1" applyFill="1" applyBorder="1" applyAlignment="1" applyProtection="1">
      <alignment horizontal="center" vertical="center"/>
      <protection/>
    </xf>
    <xf numFmtId="3" fontId="6" fillId="0" borderId="13" xfId="0" applyNumberFormat="1" applyFont="1" applyFill="1" applyBorder="1" applyAlignment="1" applyProtection="1">
      <alignment horizontal="center" vertical="center"/>
      <protection/>
    </xf>
    <xf numFmtId="3" fontId="6" fillId="0" borderId="75" xfId="0" applyNumberFormat="1" applyFont="1" applyFill="1" applyBorder="1" applyAlignment="1" applyProtection="1">
      <alignment horizontal="center" vertical="center"/>
      <protection/>
    </xf>
    <xf numFmtId="3" fontId="7" fillId="0" borderId="3" xfId="0" applyNumberFormat="1" applyFont="1" applyFill="1" applyBorder="1" applyAlignment="1" applyProtection="1">
      <alignment horizontal="left" vertical="center" wrapText="1"/>
      <protection locked="0"/>
    </xf>
    <xf numFmtId="9" fontId="9" fillId="0" borderId="76" xfId="29" applyFont="1" applyFill="1" applyBorder="1" applyAlignment="1" applyProtection="1">
      <alignment horizontal="center" vertical="center"/>
      <protection/>
    </xf>
    <xf numFmtId="9" fontId="6" fillId="0" borderId="76" xfId="29" applyFont="1" applyFill="1" applyBorder="1" applyAlignment="1" applyProtection="1">
      <alignment horizontal="center" vertical="center"/>
      <protection/>
    </xf>
    <xf numFmtId="3" fontId="50" fillId="0" borderId="77" xfId="0" applyNumberFormat="1" applyFont="1" applyBorder="1" applyAlignment="1" applyProtection="1">
      <alignment horizontal="center" vertical="center"/>
      <protection locked="0"/>
    </xf>
    <xf numFmtId="3" fontId="50" fillId="0" borderId="77" xfId="0" applyNumberFormat="1" applyFont="1" applyFill="1" applyBorder="1" applyAlignment="1" applyProtection="1">
      <alignment horizontal="center" vertical="center"/>
      <protection locked="0"/>
    </xf>
    <xf numFmtId="3" fontId="8" fillId="0" borderId="78" xfId="0" applyNumberFormat="1" applyFont="1" applyFill="1" applyBorder="1" applyAlignment="1" applyProtection="1">
      <alignment horizontal="center" vertical="center"/>
      <protection/>
    </xf>
    <xf numFmtId="3" fontId="8" fillId="0" borderId="10" xfId="0" applyNumberFormat="1" applyFont="1" applyFill="1" applyBorder="1" applyAlignment="1" applyProtection="1">
      <alignment horizontal="center" vertical="center"/>
      <protection/>
    </xf>
    <xf numFmtId="3" fontId="5" fillId="0" borderId="78" xfId="0" applyNumberFormat="1" applyFont="1" applyFill="1" applyBorder="1" applyAlignment="1" applyProtection="1">
      <alignment horizontal="center" vertical="center"/>
      <protection/>
    </xf>
    <xf numFmtId="3" fontId="5" fillId="0" borderId="10" xfId="0" applyNumberFormat="1" applyFont="1" applyFill="1" applyBorder="1" applyAlignment="1" applyProtection="1">
      <alignment horizontal="center" vertical="center"/>
      <protection/>
    </xf>
    <xf numFmtId="3" fontId="50" fillId="0" borderId="12" xfId="0" applyNumberFormat="1" applyFont="1" applyBorder="1" applyAlignment="1" applyProtection="1">
      <alignment horizontal="center" vertical="center"/>
      <protection locked="0"/>
    </xf>
    <xf numFmtId="3" fontId="50" fillId="0" borderId="9" xfId="0" applyNumberFormat="1" applyFont="1" applyFill="1" applyBorder="1" applyAlignment="1" applyProtection="1">
      <alignment horizontal="center" vertical="center"/>
      <protection locked="0"/>
    </xf>
    <xf numFmtId="3" fontId="50" fillId="15" borderId="12" xfId="0" applyNumberFormat="1" applyFont="1" applyFill="1" applyBorder="1" applyAlignment="1" applyProtection="1">
      <alignment horizontal="center" vertical="center"/>
      <protection/>
    </xf>
    <xf numFmtId="3" fontId="50" fillId="0" borderId="12" xfId="0" applyNumberFormat="1" applyFont="1" applyFill="1" applyBorder="1" applyAlignment="1" applyProtection="1">
      <alignment horizontal="center" vertical="center"/>
      <protection/>
    </xf>
    <xf numFmtId="3" fontId="50" fillId="0" borderId="63" xfId="0" applyNumberFormat="1" applyFont="1" applyFill="1" applyBorder="1" applyAlignment="1" applyProtection="1">
      <alignment horizontal="center" vertical="center"/>
      <protection locked="0"/>
    </xf>
    <xf numFmtId="3" fontId="8" fillId="0" borderId="3" xfId="0" applyNumberFormat="1" applyFont="1" applyFill="1" applyBorder="1" applyAlignment="1" applyProtection="1">
      <alignment horizontal="center" vertical="center"/>
      <protection/>
    </xf>
    <xf numFmtId="3" fontId="8" fillId="0" borderId="79" xfId="0" applyNumberFormat="1" applyFont="1" applyFill="1" applyBorder="1" applyAlignment="1" applyProtection="1">
      <alignment horizontal="center" vertical="center"/>
      <protection/>
    </xf>
    <xf numFmtId="3" fontId="8" fillId="0" borderId="76" xfId="0" applyNumberFormat="1" applyFont="1" applyFill="1" applyBorder="1" applyAlignment="1" applyProtection="1">
      <alignment horizontal="center" vertical="center"/>
      <protection/>
    </xf>
    <xf numFmtId="3" fontId="8" fillId="0" borderId="12" xfId="0" applyNumberFormat="1" applyFont="1" applyFill="1" applyBorder="1" applyAlignment="1" applyProtection="1">
      <alignment horizontal="center" vertical="center"/>
      <protection/>
    </xf>
    <xf numFmtId="9" fontId="8" fillId="0" borderId="3" xfId="29" applyFont="1" applyFill="1" applyBorder="1" applyAlignment="1" applyProtection="1">
      <alignment horizontal="center" vertical="center"/>
      <protection/>
    </xf>
    <xf numFmtId="9" fontId="8" fillId="0" borderId="76" xfId="29" applyFont="1" applyFill="1" applyBorder="1" applyAlignment="1" applyProtection="1">
      <alignment horizontal="center" vertical="center"/>
      <protection/>
    </xf>
    <xf numFmtId="3" fontId="5" fillId="0" borderId="80" xfId="0" applyNumberFormat="1" applyFont="1" applyFill="1" applyBorder="1" applyAlignment="1" applyProtection="1">
      <alignment horizontal="center" vertical="center"/>
      <protection/>
    </xf>
    <xf numFmtId="3" fontId="5" fillId="0" borderId="79" xfId="0" applyNumberFormat="1" applyFont="1" applyFill="1" applyBorder="1" applyAlignment="1" applyProtection="1">
      <alignment horizontal="center" vertical="center"/>
      <protection/>
    </xf>
    <xf numFmtId="3" fontId="5" fillId="0" borderId="81" xfId="0" applyNumberFormat="1" applyFont="1" applyFill="1" applyBorder="1" applyAlignment="1" applyProtection="1">
      <alignment horizontal="center" vertical="center"/>
      <protection/>
    </xf>
    <xf numFmtId="9" fontId="5" fillId="0" borderId="3" xfId="29" applyFont="1" applyFill="1" applyBorder="1" applyAlignment="1" applyProtection="1">
      <alignment horizontal="center" vertical="center"/>
      <protection/>
    </xf>
    <xf numFmtId="9" fontId="5" fillId="0" borderId="76" xfId="29" applyFont="1" applyFill="1" applyBorder="1" applyAlignment="1" applyProtection="1">
      <alignment horizontal="center" vertical="center"/>
      <protection/>
    </xf>
    <xf numFmtId="177" fontId="8" fillId="0" borderId="79" xfId="29" applyNumberFormat="1" applyFont="1" applyFill="1" applyBorder="1" applyAlignment="1" applyProtection="1">
      <alignment horizontal="center" vertical="center"/>
      <protection/>
    </xf>
    <xf numFmtId="177" fontId="8" fillId="0" borderId="10" xfId="29" applyNumberFormat="1" applyFont="1" applyFill="1" applyBorder="1" applyAlignment="1" applyProtection="1">
      <alignment horizontal="center" vertical="center"/>
      <protection/>
    </xf>
    <xf numFmtId="177" fontId="8" fillId="0" borderId="11" xfId="29" applyNumberFormat="1" applyFont="1" applyFill="1" applyBorder="1" applyAlignment="1" applyProtection="1">
      <alignment horizontal="center" vertical="center"/>
      <protection/>
    </xf>
    <xf numFmtId="177" fontId="5" fillId="0" borderId="79" xfId="29" applyNumberFormat="1" applyFont="1" applyFill="1" applyBorder="1" applyAlignment="1" applyProtection="1">
      <alignment horizontal="center" vertical="center"/>
      <protection/>
    </xf>
    <xf numFmtId="177" fontId="5" fillId="0" borderId="10" xfId="29" applyNumberFormat="1" applyFont="1" applyFill="1" applyBorder="1" applyAlignment="1" applyProtection="1">
      <alignment horizontal="center" vertical="center"/>
      <protection/>
    </xf>
    <xf numFmtId="177" fontId="55" fillId="0" borderId="11" xfId="29" applyNumberFormat="1" applyFont="1" applyFill="1" applyBorder="1" applyAlignment="1" applyProtection="1">
      <alignment horizontal="center" vertical="center"/>
      <protection/>
    </xf>
    <xf numFmtId="3" fontId="8" fillId="16" borderId="82" xfId="0" applyNumberFormat="1" applyFont="1" applyFill="1" applyBorder="1" applyAlignment="1" applyProtection="1">
      <alignment horizontal="center" vertical="center"/>
      <protection/>
    </xf>
    <xf numFmtId="3" fontId="8" fillId="16" borderId="8" xfId="0" applyNumberFormat="1" applyFont="1" applyFill="1" applyBorder="1" applyAlignment="1" applyProtection="1">
      <alignment horizontal="center" vertical="center"/>
      <protection/>
    </xf>
    <xf numFmtId="3" fontId="6" fillId="17" borderId="21" xfId="0" applyNumberFormat="1" applyFont="1" applyFill="1" applyBorder="1" applyAlignment="1" applyProtection="1">
      <alignment horizontal="center"/>
      <protection/>
    </xf>
    <xf numFmtId="9" fontId="6" fillId="17" borderId="18" xfId="29" applyFont="1" applyFill="1" applyBorder="1" applyAlignment="1" applyProtection="1">
      <alignment horizontal="center"/>
      <protection/>
    </xf>
    <xf numFmtId="9" fontId="6" fillId="17" borderId="45" xfId="29" applyFont="1" applyFill="1" applyBorder="1" applyAlignment="1" applyProtection="1">
      <alignment horizontal="center"/>
      <protection/>
    </xf>
    <xf numFmtId="0" fontId="6" fillId="18" borderId="0" xfId="0" applyFont="1" applyFill="1" applyAlignment="1" applyProtection="1">
      <alignment/>
      <protection/>
    </xf>
    <xf numFmtId="0" fontId="6" fillId="18" borderId="65" xfId="0" applyFont="1" applyFill="1" applyBorder="1" applyAlignment="1" applyProtection="1">
      <alignment/>
      <protection/>
    </xf>
    <xf numFmtId="0" fontId="9" fillId="3" borderId="41" xfId="0" applyFont="1" applyFill="1" applyBorder="1" applyAlignment="1" applyProtection="1">
      <alignment/>
      <protection/>
    </xf>
    <xf numFmtId="0" fontId="9" fillId="3" borderId="62" xfId="0" applyFont="1" applyFill="1" applyBorder="1" applyAlignment="1" applyProtection="1">
      <alignment/>
      <protection/>
    </xf>
    <xf numFmtId="0" fontId="9" fillId="0" borderId="0" xfId="0" applyFont="1" applyAlignment="1" applyProtection="1">
      <alignment/>
      <protection/>
    </xf>
    <xf numFmtId="0" fontId="9" fillId="0" borderId="22" xfId="0" applyFont="1" applyBorder="1" applyAlignment="1" applyProtection="1">
      <alignment/>
      <protection/>
    </xf>
    <xf numFmtId="0" fontId="9" fillId="0" borderId="2"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lignment horizontal="left" indent="1"/>
    </xf>
    <xf numFmtId="0" fontId="9" fillId="0" borderId="0" xfId="0" applyFont="1" applyBorder="1" applyAlignment="1" applyProtection="1">
      <alignment/>
      <protection/>
    </xf>
    <xf numFmtId="177" fontId="8" fillId="12" borderId="20" xfId="0" applyNumberFormat="1" applyFont="1" applyFill="1" applyBorder="1" applyAlignment="1" applyProtection="1">
      <alignment horizontal="center"/>
      <protection locked="0"/>
    </xf>
    <xf numFmtId="177" fontId="8" fillId="12" borderId="1" xfId="0" applyNumberFormat="1" applyFont="1" applyFill="1" applyBorder="1" applyAlignment="1" applyProtection="1">
      <alignment horizontal="center"/>
      <protection locked="0"/>
    </xf>
    <xf numFmtId="0" fontId="9" fillId="7" borderId="1" xfId="0" applyFont="1" applyFill="1" applyBorder="1" applyAlignment="1" applyProtection="1">
      <alignment vertical="center"/>
      <protection/>
    </xf>
    <xf numFmtId="0" fontId="9" fillId="14" borderId="20" xfId="0" applyFont="1" applyFill="1" applyBorder="1" applyAlignment="1" applyProtection="1">
      <alignment vertical="center"/>
      <protection/>
    </xf>
    <xf numFmtId="0" fontId="58" fillId="19" borderId="52" xfId="0" applyFont="1" applyFill="1" applyBorder="1" applyAlignment="1">
      <alignment horizontal="centerContinuous"/>
    </xf>
    <xf numFmtId="0" fontId="58" fillId="19" borderId="72" xfId="0" applyFont="1" applyFill="1" applyBorder="1" applyAlignment="1">
      <alignment horizontal="centerContinuous"/>
    </xf>
    <xf numFmtId="0" fontId="58" fillId="19" borderId="59" xfId="0" applyFont="1" applyFill="1" applyBorder="1" applyAlignment="1">
      <alignment/>
    </xf>
    <xf numFmtId="0" fontId="9" fillId="19" borderId="52" xfId="0" applyFont="1" applyFill="1" applyBorder="1" applyAlignment="1">
      <alignment horizontal="centerContinuous"/>
    </xf>
    <xf numFmtId="0" fontId="36" fillId="4" borderId="72" xfId="0" applyFont="1" applyFill="1" applyBorder="1" applyAlignment="1">
      <alignment horizontal="centerContinuous"/>
    </xf>
    <xf numFmtId="3" fontId="8" fillId="20" borderId="10" xfId="0" applyNumberFormat="1" applyFont="1" applyFill="1" applyBorder="1" applyAlignment="1" applyProtection="1">
      <alignment horizontal="center" vertical="center"/>
      <protection/>
    </xf>
    <xf numFmtId="3" fontId="8" fillId="21" borderId="57" xfId="0" applyNumberFormat="1" applyFont="1" applyFill="1" applyBorder="1" applyAlignment="1" applyProtection="1">
      <alignment horizontal="center" vertical="center"/>
      <protection/>
    </xf>
    <xf numFmtId="0" fontId="52" fillId="19" borderId="59" xfId="0" applyFont="1" applyFill="1" applyBorder="1" applyAlignment="1" applyProtection="1">
      <alignment horizontal="center" vertical="center"/>
      <protection/>
    </xf>
    <xf numFmtId="0" fontId="4" fillId="19" borderId="70" xfId="0" applyFont="1" applyFill="1" applyBorder="1" applyAlignment="1">
      <alignment horizontal="centerContinuous" vertical="center"/>
    </xf>
    <xf numFmtId="0" fontId="55" fillId="19" borderId="83" xfId="0" applyFont="1" applyFill="1" applyBorder="1" applyAlignment="1" applyProtection="1">
      <alignment horizontal="center" wrapText="1"/>
      <protection/>
    </xf>
    <xf numFmtId="0" fontId="5" fillId="19" borderId="54" xfId="0" applyFont="1" applyFill="1" applyBorder="1" applyAlignment="1" applyProtection="1">
      <alignment horizontal="center" wrapText="1"/>
      <protection/>
    </xf>
    <xf numFmtId="0" fontId="4" fillId="19" borderId="46" xfId="0" applyFont="1" applyFill="1" applyBorder="1" applyAlignment="1" applyProtection="1" quotePrefix="1">
      <alignment horizontal="left" wrapText="1"/>
      <protection/>
    </xf>
    <xf numFmtId="0" fontId="5" fillId="19" borderId="37" xfId="0" applyFont="1" applyFill="1" applyBorder="1" applyAlignment="1" applyProtection="1">
      <alignment horizontal="center" wrapText="1"/>
      <protection/>
    </xf>
    <xf numFmtId="0" fontId="5" fillId="19" borderId="37" xfId="0" applyFont="1" applyFill="1" applyBorder="1" applyAlignment="1" applyProtection="1" quotePrefix="1">
      <alignment horizontal="center" wrapText="1"/>
      <protection/>
    </xf>
    <xf numFmtId="0" fontId="5" fillId="19" borderId="57" xfId="0" applyFont="1" applyFill="1" applyBorder="1" applyAlignment="1" applyProtection="1" quotePrefix="1">
      <alignment horizontal="center" wrapText="1"/>
      <protection/>
    </xf>
    <xf numFmtId="0" fontId="5" fillId="22" borderId="47" xfId="0" applyFont="1" applyFill="1" applyBorder="1" applyAlignment="1" applyProtection="1">
      <alignment horizontal="center" wrapText="1"/>
      <protection/>
    </xf>
    <xf numFmtId="0" fontId="4" fillId="22" borderId="37" xfId="23" applyFont="1" applyFill="1" applyBorder="1" applyAlignment="1" applyProtection="1">
      <alignment horizontal="left" wrapText="1"/>
      <protection/>
    </xf>
    <xf numFmtId="0" fontId="5" fillId="22" borderId="37" xfId="0" applyFont="1" applyFill="1" applyBorder="1" applyAlignment="1" applyProtection="1">
      <alignment horizontal="center" wrapText="1"/>
      <protection/>
    </xf>
    <xf numFmtId="0" fontId="5" fillId="22" borderId="37" xfId="0" applyFont="1" applyFill="1" applyBorder="1" applyAlignment="1" applyProtection="1" quotePrefix="1">
      <alignment horizontal="center" wrapText="1"/>
      <protection/>
    </xf>
    <xf numFmtId="0" fontId="5" fillId="23" borderId="26" xfId="23" applyFont="1" applyFill="1" applyBorder="1" applyProtection="1">
      <alignment horizontal="center" wrapText="1"/>
      <protection/>
    </xf>
    <xf numFmtId="0" fontId="5" fillId="23" borderId="37" xfId="23" applyFont="1" applyFill="1" applyBorder="1" applyAlignment="1" applyProtection="1">
      <alignment horizontal="center" wrapText="1"/>
      <protection/>
    </xf>
    <xf numFmtId="0" fontId="5" fillId="23" borderId="64" xfId="23" applyFont="1" applyFill="1" applyBorder="1" applyAlignment="1" applyProtection="1">
      <alignment horizontal="center" wrapText="1"/>
      <protection/>
    </xf>
    <xf numFmtId="0" fontId="5" fillId="24" borderId="50" xfId="23" applyFont="1" applyFill="1" applyBorder="1" applyAlignment="1" applyProtection="1">
      <alignment horizontal="center" wrapText="1"/>
      <protection/>
    </xf>
    <xf numFmtId="0" fontId="5" fillId="24" borderId="64" xfId="23" applyFont="1" applyFill="1" applyBorder="1" applyAlignment="1" applyProtection="1">
      <alignment horizontal="center" wrapText="1"/>
      <protection/>
    </xf>
    <xf numFmtId="3" fontId="8" fillId="21" borderId="56" xfId="0" applyNumberFormat="1" applyFont="1" applyFill="1" applyBorder="1" applyAlignment="1" applyProtection="1">
      <alignment horizontal="center" vertical="center"/>
      <protection/>
    </xf>
    <xf numFmtId="0" fontId="9" fillId="21" borderId="56" xfId="0" applyFont="1" applyFill="1" applyBorder="1" applyAlignment="1" applyProtection="1">
      <alignment vertical="center"/>
      <protection/>
    </xf>
    <xf numFmtId="0" fontId="9" fillId="21" borderId="56" xfId="0" applyFont="1" applyFill="1" applyBorder="1" applyAlignment="1" applyProtection="1">
      <alignment horizontal="center" vertical="center"/>
      <protection/>
    </xf>
    <xf numFmtId="3" fontId="8" fillId="16" borderId="63" xfId="0" applyNumberFormat="1" applyFont="1" applyFill="1" applyBorder="1" applyAlignment="1" applyProtection="1">
      <alignment horizontal="center" vertical="center"/>
      <protection/>
    </xf>
    <xf numFmtId="3" fontId="8" fillId="25" borderId="8" xfId="0" applyNumberFormat="1" applyFont="1" applyFill="1" applyBorder="1" applyAlignment="1" applyProtection="1">
      <alignment horizontal="center" vertical="center"/>
      <protection/>
    </xf>
    <xf numFmtId="3" fontId="8" fillId="25" borderId="75" xfId="0" applyNumberFormat="1" applyFont="1" applyFill="1" applyBorder="1" applyAlignment="1" applyProtection="1">
      <alignment horizontal="center" vertical="center"/>
      <protection/>
    </xf>
    <xf numFmtId="3" fontId="8" fillId="16" borderId="12" xfId="0" applyNumberFormat="1" applyFont="1" applyFill="1" applyBorder="1" applyAlignment="1" applyProtection="1">
      <alignment horizontal="center" vertical="center"/>
      <protection/>
    </xf>
    <xf numFmtId="9" fontId="8" fillId="16" borderId="63" xfId="29" applyFont="1" applyFill="1" applyBorder="1" applyAlignment="1" applyProtection="1">
      <alignment horizontal="center" vertical="center"/>
      <protection/>
    </xf>
    <xf numFmtId="9" fontId="8" fillId="16" borderId="84" xfId="29" applyFont="1" applyFill="1" applyBorder="1" applyAlignment="1" applyProtection="1">
      <alignment horizontal="center" vertical="center"/>
      <protection/>
    </xf>
    <xf numFmtId="3" fontId="6" fillId="26" borderId="0" xfId="0" applyNumberFormat="1" applyFont="1" applyFill="1" applyBorder="1" applyAlignment="1" applyProtection="1">
      <alignment horizontal="center"/>
      <protection/>
    </xf>
    <xf numFmtId="0" fontId="6" fillId="16" borderId="0" xfId="0" applyFont="1" applyFill="1" applyAlignment="1" applyProtection="1">
      <alignment wrapText="1"/>
      <protection/>
    </xf>
    <xf numFmtId="177" fontId="8" fillId="25" borderId="1" xfId="0" applyNumberFormat="1" applyFont="1" applyFill="1" applyBorder="1" applyAlignment="1" applyProtection="1">
      <alignment horizontal="center" vertical="center"/>
      <protection/>
    </xf>
    <xf numFmtId="177" fontId="8" fillId="25" borderId="8" xfId="0" applyNumberFormat="1" applyFont="1" applyFill="1" applyBorder="1" applyAlignment="1" applyProtection="1">
      <alignment horizontal="center" vertical="center"/>
      <protection/>
    </xf>
    <xf numFmtId="177" fontId="8" fillId="25" borderId="13" xfId="0" applyNumberFormat="1" applyFont="1" applyFill="1" applyBorder="1" applyAlignment="1" applyProtection="1">
      <alignment horizontal="center" vertical="center"/>
      <protection/>
    </xf>
    <xf numFmtId="3" fontId="6" fillId="26" borderId="3" xfId="0" applyNumberFormat="1" applyFont="1" applyFill="1" applyBorder="1" applyAlignment="1" applyProtection="1">
      <alignment horizontal="center"/>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quotePrefix="1">
      <alignment/>
      <protection/>
    </xf>
    <xf numFmtId="0" fontId="2" fillId="4" borderId="8" xfId="0" applyFont="1" applyFill="1" applyBorder="1" applyAlignment="1" applyProtection="1">
      <alignment wrapText="1"/>
      <protection/>
    </xf>
    <xf numFmtId="0" fontId="2" fillId="20" borderId="8" xfId="0" applyFont="1" applyFill="1" applyBorder="1" applyAlignment="1" applyProtection="1">
      <alignment wrapText="1"/>
      <protection/>
    </xf>
    <xf numFmtId="0" fontId="2" fillId="9" borderId="8" xfId="0" applyFont="1" applyFill="1" applyBorder="1" applyAlignment="1" applyProtection="1">
      <alignment wrapText="1"/>
      <protection/>
    </xf>
    <xf numFmtId="169" fontId="0" fillId="4" borderId="8" xfId="15" applyNumberFormat="1" applyFont="1" applyFill="1" applyBorder="1" applyAlignment="1">
      <alignment horizontal="center" vertical="center"/>
    </xf>
    <xf numFmtId="178" fontId="0" fillId="4" borderId="8" xfId="0" applyNumberFormat="1" applyFont="1" applyFill="1" applyBorder="1" applyAlignment="1">
      <alignment horizontal="center" vertical="center"/>
    </xf>
    <xf numFmtId="0" fontId="0" fillId="4" borderId="8" xfId="0" applyFont="1" applyFill="1" applyBorder="1" applyAlignment="1">
      <alignment horizontal="center" vertical="center"/>
    </xf>
    <xf numFmtId="2" fontId="0" fillId="4" borderId="8" xfId="0" applyNumberFormat="1" applyFont="1" applyFill="1" applyBorder="1" applyAlignment="1" quotePrefix="1">
      <alignment horizontal="center" vertical="center"/>
    </xf>
    <xf numFmtId="169" fontId="0" fillId="20" borderId="8" xfId="15" applyNumberFormat="1" applyFont="1" applyFill="1" applyBorder="1" applyAlignment="1">
      <alignment horizontal="center" vertical="center"/>
    </xf>
    <xf numFmtId="178" fontId="0" fillId="20" borderId="8" xfId="0" applyNumberFormat="1" applyFont="1" applyFill="1" applyBorder="1" applyAlignment="1">
      <alignment horizontal="center" vertical="center"/>
    </xf>
    <xf numFmtId="0" fontId="0" fillId="20" borderId="8" xfId="0" applyFont="1" applyFill="1" applyBorder="1" applyAlignment="1">
      <alignment horizontal="center" vertical="center"/>
    </xf>
    <xf numFmtId="2" fontId="0" fillId="20" borderId="8" xfId="0" applyNumberFormat="1" applyFont="1" applyFill="1" applyBorder="1" applyAlignment="1" quotePrefix="1">
      <alignment horizontal="center" vertical="center"/>
    </xf>
    <xf numFmtId="2" fontId="0" fillId="9" borderId="8" xfId="0" applyNumberFormat="1" applyFont="1" applyFill="1" applyBorder="1" applyAlignment="1">
      <alignment horizontal="center" vertical="center"/>
    </xf>
    <xf numFmtId="0" fontId="0" fillId="0" borderId="8" xfId="0" applyFont="1" applyFill="1" applyBorder="1" applyAlignment="1">
      <alignment/>
    </xf>
    <xf numFmtId="0" fontId="29" fillId="0" borderId="8" xfId="0" applyFont="1" applyFill="1" applyBorder="1" applyAlignment="1">
      <alignment horizontal="right" wrapText="1"/>
    </xf>
    <xf numFmtId="169" fontId="0" fillId="0" borderId="8" xfId="15" applyNumberFormat="1" applyFont="1" applyFill="1" applyBorder="1" applyAlignment="1">
      <alignment/>
    </xf>
    <xf numFmtId="178" fontId="0" fillId="0" borderId="8" xfId="0" applyNumberFormat="1" applyFont="1" applyFill="1" applyBorder="1" applyAlignment="1">
      <alignment/>
    </xf>
    <xf numFmtId="178" fontId="0" fillId="0" borderId="17" xfId="0" applyNumberFormat="1" applyFont="1" applyFill="1" applyBorder="1" applyAlignment="1">
      <alignment/>
    </xf>
    <xf numFmtId="0" fontId="29" fillId="0" borderId="0" xfId="27">
      <alignment/>
      <protection/>
    </xf>
    <xf numFmtId="0" fontId="29" fillId="0" borderId="0" xfId="27" applyBorder="1">
      <alignment/>
      <protection/>
    </xf>
    <xf numFmtId="178" fontId="3" fillId="9" borderId="85" xfId="19" applyNumberFormat="1" applyFont="1" applyFill="1" applyBorder="1" applyAlignment="1" applyProtection="1">
      <alignment horizontal="center"/>
      <protection hidden="1"/>
    </xf>
    <xf numFmtId="0" fontId="29" fillId="0" borderId="0" xfId="27" applyFill="1" applyBorder="1">
      <alignment/>
      <protection/>
    </xf>
    <xf numFmtId="202" fontId="3" fillId="20" borderId="85" xfId="15" applyNumberFormat="1" applyFont="1" applyFill="1" applyBorder="1" applyAlignment="1" applyProtection="1">
      <alignment horizontal="center"/>
      <protection hidden="1"/>
    </xf>
    <xf numFmtId="178" fontId="3" fillId="0" borderId="0" xfId="15" applyNumberFormat="1" applyFont="1" applyFill="1" applyBorder="1" applyAlignment="1" applyProtection="1">
      <alignment horizontal="center"/>
      <protection hidden="1"/>
    </xf>
    <xf numFmtId="0" fontId="29" fillId="4" borderId="86" xfId="27" applyFill="1" applyBorder="1" applyAlignment="1">
      <alignment horizontal="left" wrapText="1"/>
      <protection/>
    </xf>
    <xf numFmtId="0" fontId="29" fillId="4" borderId="48" xfId="27" applyFill="1" applyBorder="1" applyAlignment="1">
      <alignment horizontal="left" wrapText="1"/>
      <protection/>
    </xf>
    <xf numFmtId="0" fontId="29" fillId="9" borderId="7" xfId="27" applyFill="1" applyBorder="1">
      <alignment/>
      <protection/>
    </xf>
    <xf numFmtId="0" fontId="59" fillId="0" borderId="0" xfId="27" applyFont="1" applyAlignment="1">
      <alignment horizontal="left" wrapText="1" indent="1"/>
      <protection/>
    </xf>
    <xf numFmtId="0" fontId="29" fillId="0" borderId="9" xfId="27" applyBorder="1">
      <alignment/>
      <protection/>
    </xf>
    <xf numFmtId="176" fontId="29" fillId="0" borderId="10" xfId="19" applyNumberFormat="1" applyBorder="1" applyAlignment="1">
      <alignment/>
    </xf>
    <xf numFmtId="176" fontId="29" fillId="0" borderId="11" xfId="19" applyNumberFormat="1" applyBorder="1" applyAlignment="1">
      <alignment/>
    </xf>
    <xf numFmtId="0" fontId="29" fillId="0" borderId="12" xfId="27" applyBorder="1">
      <alignment/>
      <protection/>
    </xf>
    <xf numFmtId="9" fontId="29" fillId="0" borderId="11" xfId="27" applyNumberFormat="1" applyBorder="1">
      <alignment/>
      <protection/>
    </xf>
    <xf numFmtId="0" fontId="60" fillId="0" borderId="0" xfId="27" applyFont="1" applyAlignment="1">
      <alignment vertical="top" wrapText="1"/>
      <protection/>
    </xf>
    <xf numFmtId="176" fontId="29" fillId="0" borderId="8" xfId="19" applyNumberFormat="1" applyBorder="1" applyAlignment="1">
      <alignment/>
    </xf>
    <xf numFmtId="176" fontId="29" fillId="0" borderId="13" xfId="19" applyNumberFormat="1" applyBorder="1" applyAlignment="1">
      <alignment/>
    </xf>
    <xf numFmtId="0" fontId="29" fillId="0" borderId="13" xfId="27" applyBorder="1">
      <alignment/>
      <protection/>
    </xf>
    <xf numFmtId="0" fontId="59" fillId="0" borderId="0" xfId="27" applyFont="1" applyAlignment="1">
      <alignment horizontal="left" vertical="top" wrapText="1" indent="1"/>
      <protection/>
    </xf>
    <xf numFmtId="176" fontId="29" fillId="0" borderId="87" xfId="19" applyNumberFormat="1" applyBorder="1" applyAlignment="1">
      <alignment/>
    </xf>
    <xf numFmtId="176" fontId="29" fillId="27" borderId="85" xfId="19" applyNumberFormat="1" applyFill="1" applyBorder="1" applyAlignment="1">
      <alignment/>
    </xf>
    <xf numFmtId="0" fontId="29" fillId="0" borderId="54" xfId="27" applyBorder="1">
      <alignment/>
      <protection/>
    </xf>
    <xf numFmtId="169" fontId="29" fillId="0" borderId="57" xfId="27" applyNumberFormat="1" applyBorder="1">
      <alignment/>
      <protection/>
    </xf>
    <xf numFmtId="169" fontId="29" fillId="0" borderId="58" xfId="27" applyNumberFormat="1" applyBorder="1">
      <alignment/>
      <protection/>
    </xf>
    <xf numFmtId="169" fontId="29" fillId="0" borderId="0" xfId="27" applyNumberFormat="1">
      <alignment/>
      <protection/>
    </xf>
    <xf numFmtId="0" fontId="29" fillId="0" borderId="85" xfId="27" applyBorder="1">
      <alignment/>
      <protection/>
    </xf>
    <xf numFmtId="0" fontId="29" fillId="0" borderId="6" xfId="27" applyBorder="1">
      <alignment/>
      <protection/>
    </xf>
    <xf numFmtId="43" fontId="3" fillId="9" borderId="85" xfId="15" applyNumberFormat="1" applyFont="1" applyFill="1" applyBorder="1" applyAlignment="1">
      <alignment/>
    </xf>
    <xf numFmtId="2" fontId="29" fillId="0" borderId="0" xfId="27" applyNumberFormat="1">
      <alignment/>
      <protection/>
    </xf>
    <xf numFmtId="0" fontId="29" fillId="9" borderId="88" xfId="27" applyFill="1" applyBorder="1" applyAlignment="1">
      <alignment horizontal="center"/>
      <protection/>
    </xf>
    <xf numFmtId="0" fontId="29" fillId="0" borderId="0" xfId="27" applyAlignment="1">
      <alignment horizontal="center"/>
      <protection/>
    </xf>
    <xf numFmtId="0" fontId="29" fillId="28" borderId="8" xfId="27" applyFill="1" applyBorder="1" applyAlignment="1">
      <alignment horizontal="center" wrapText="1"/>
      <protection/>
    </xf>
    <xf numFmtId="0" fontId="29" fillId="0" borderId="8" xfId="27" applyBorder="1" applyAlignment="1">
      <alignment horizontal="center"/>
      <protection/>
    </xf>
    <xf numFmtId="0" fontId="29" fillId="0" borderId="0" xfId="27" applyBorder="1" applyAlignment="1">
      <alignment horizontal="center"/>
      <protection/>
    </xf>
    <xf numFmtId="0" fontId="3" fillId="28" borderId="8" xfId="27" applyFont="1" applyFill="1" applyBorder="1" applyAlignment="1">
      <alignment horizontal="center"/>
      <protection/>
    </xf>
    <xf numFmtId="0" fontId="3" fillId="5" borderId="8" xfId="27" applyFont="1" applyFill="1" applyBorder="1" applyAlignment="1">
      <alignment horizontal="center" wrapText="1"/>
      <protection/>
    </xf>
    <xf numFmtId="0" fontId="29" fillId="0" borderId="63" xfId="27" applyBorder="1" applyAlignment="1">
      <alignment horizontal="center"/>
      <protection/>
    </xf>
    <xf numFmtId="0" fontId="3" fillId="5" borderId="63" xfId="27" applyFont="1" applyFill="1" applyBorder="1" applyAlignment="1">
      <alignment wrapText="1"/>
      <protection/>
    </xf>
    <xf numFmtId="0" fontId="3" fillId="5" borderId="8" xfId="27" applyFont="1" applyFill="1" applyBorder="1" applyAlignment="1">
      <alignment wrapText="1"/>
      <protection/>
    </xf>
    <xf numFmtId="0" fontId="3" fillId="5" borderId="17" xfId="27" applyFont="1" applyFill="1" applyBorder="1" applyAlignment="1">
      <alignment horizontal="center" wrapText="1"/>
      <protection/>
    </xf>
    <xf numFmtId="0" fontId="29" fillId="0" borderId="8" xfId="27" applyBorder="1">
      <alignment/>
      <protection/>
    </xf>
    <xf numFmtId="9" fontId="29" fillId="0" borderId="8" xfId="29" applyBorder="1" applyAlignment="1">
      <alignment horizontal="center"/>
    </xf>
    <xf numFmtId="173" fontId="29" fillId="0" borderId="8" xfId="27" applyNumberFormat="1" applyBorder="1" applyAlignment="1">
      <alignment horizontal="center"/>
      <protection/>
    </xf>
    <xf numFmtId="172" fontId="29" fillId="0" borderId="8" xfId="27" applyNumberFormat="1" applyBorder="1" applyAlignment="1">
      <alignment horizontal="center"/>
      <protection/>
    </xf>
    <xf numFmtId="0" fontId="29" fillId="0" borderId="8" xfId="27" applyBorder="1" applyAlignment="1">
      <alignment horizontal="left"/>
      <protection/>
    </xf>
    <xf numFmtId="0" fontId="29" fillId="0" borderId="8" xfId="27" applyFill="1" applyBorder="1" applyAlignment="1">
      <alignment horizontal="center"/>
      <protection/>
    </xf>
    <xf numFmtId="173" fontId="29" fillId="0" borderId="8" xfId="27" applyNumberFormat="1" applyFill="1" applyBorder="1" applyAlignment="1">
      <alignment horizontal="center"/>
      <protection/>
    </xf>
    <xf numFmtId="172" fontId="29" fillId="0" borderId="8" xfId="27" applyNumberFormat="1" applyFill="1" applyBorder="1" applyAlignment="1">
      <alignment horizontal="center"/>
      <protection/>
    </xf>
    <xf numFmtId="0" fontId="3" fillId="27" borderId="89" xfId="27" applyFont="1" applyFill="1" applyBorder="1" applyAlignment="1">
      <alignment wrapText="1"/>
      <protection/>
    </xf>
    <xf numFmtId="14" fontId="3" fillId="0" borderId="0" xfId="27" applyNumberFormat="1" applyFont="1" applyBorder="1" applyAlignment="1" applyProtection="1">
      <alignment horizontal="center"/>
      <protection hidden="1"/>
    </xf>
    <xf numFmtId="0" fontId="29" fillId="0" borderId="0" xfId="27" applyFont="1" applyBorder="1">
      <alignment/>
      <protection/>
    </xf>
    <xf numFmtId="0" fontId="29" fillId="0" borderId="0" xfId="27" applyProtection="1">
      <alignment/>
      <protection hidden="1"/>
    </xf>
    <xf numFmtId="0" fontId="29" fillId="0" borderId="0" xfId="27" applyBorder="1" applyProtection="1">
      <alignment/>
      <protection hidden="1"/>
    </xf>
    <xf numFmtId="0" fontId="29" fillId="0" borderId="0" xfId="27" applyFill="1" applyBorder="1" applyProtection="1">
      <alignment/>
      <protection hidden="1"/>
    </xf>
    <xf numFmtId="200" fontId="3" fillId="9" borderId="83" xfId="15" applyNumberFormat="1" applyFont="1" applyFill="1" applyBorder="1" applyAlignment="1" applyProtection="1">
      <alignment horizontal="center"/>
      <protection hidden="1"/>
    </xf>
    <xf numFmtId="200" fontId="3" fillId="9" borderId="85" xfId="15" applyNumberFormat="1" applyFont="1" applyFill="1" applyBorder="1" applyAlignment="1" applyProtection="1">
      <alignment horizontal="center"/>
      <protection hidden="1"/>
    </xf>
    <xf numFmtId="190" fontId="3" fillId="9" borderId="85" xfId="15" applyNumberFormat="1" applyFont="1" applyFill="1" applyBorder="1" applyAlignment="1" applyProtection="1">
      <alignment horizontal="center"/>
      <protection hidden="1"/>
    </xf>
    <xf numFmtId="0" fontId="3" fillId="0" borderId="0" xfId="27" applyFont="1">
      <alignment/>
      <protection/>
    </xf>
    <xf numFmtId="0" fontId="29" fillId="0" borderId="0" xfId="27" applyFont="1" applyBorder="1">
      <alignment/>
      <protection/>
    </xf>
    <xf numFmtId="0" fontId="29" fillId="0" borderId="0" xfId="27" applyFont="1">
      <alignment/>
      <protection/>
    </xf>
    <xf numFmtId="0" fontId="6" fillId="0" borderId="8" xfId="0" applyFont="1" applyBorder="1" applyAlignment="1" applyProtection="1">
      <alignment/>
      <protection hidden="1"/>
    </xf>
    <xf numFmtId="9" fontId="6" fillId="0" borderId="8" xfId="0" applyNumberFormat="1" applyFont="1" applyBorder="1" applyAlignment="1" applyProtection="1">
      <alignment/>
      <protection hidden="1"/>
    </xf>
    <xf numFmtId="7" fontId="6" fillId="0" borderId="8" xfId="17" applyFont="1" applyBorder="1" applyProtection="1">
      <alignment horizontal="center"/>
      <protection hidden="1"/>
    </xf>
    <xf numFmtId="202" fontId="3" fillId="4" borderId="88" xfId="19" applyNumberFormat="1" applyFont="1" applyFill="1" applyBorder="1" applyAlignment="1" applyProtection="1">
      <alignment horizontal="right"/>
      <protection hidden="1"/>
    </xf>
    <xf numFmtId="9" fontId="3" fillId="4" borderId="85" xfId="29" applyFont="1" applyFill="1" applyBorder="1" applyAlignment="1" applyProtection="1">
      <alignment horizontal="right"/>
      <protection hidden="1"/>
    </xf>
    <xf numFmtId="190" fontId="3" fillId="4" borderId="85" xfId="15" applyNumberFormat="1" applyFont="1" applyFill="1" applyBorder="1" applyAlignment="1" applyProtection="1">
      <alignment horizontal="right"/>
      <protection hidden="1"/>
    </xf>
    <xf numFmtId="191" fontId="3" fillId="4" borderId="85" xfId="15" applyNumberFormat="1" applyFont="1" applyFill="1" applyBorder="1" applyAlignment="1" applyProtection="1">
      <alignment horizontal="right"/>
      <protection hidden="1"/>
    </xf>
    <xf numFmtId="192" fontId="3" fillId="4" borderId="85" xfId="15" applyNumberFormat="1" applyFont="1" applyFill="1" applyBorder="1" applyAlignment="1" applyProtection="1">
      <alignment horizontal="right"/>
      <protection hidden="1"/>
    </xf>
    <xf numFmtId="209" fontId="3" fillId="4" borderId="85" xfId="15" applyNumberFormat="1" applyFont="1" applyFill="1" applyBorder="1" applyAlignment="1" applyProtection="1">
      <alignment horizontal="right"/>
      <protection hidden="1"/>
    </xf>
    <xf numFmtId="205" fontId="3" fillId="4" borderId="85" xfId="15" applyNumberFormat="1" applyFont="1" applyFill="1" applyBorder="1" applyAlignment="1" applyProtection="1">
      <alignment horizontal="right"/>
      <protection hidden="1"/>
    </xf>
    <xf numFmtId="177" fontId="3" fillId="4" borderId="85" xfId="19" applyNumberFormat="1" applyFont="1" applyFill="1" applyBorder="1" applyAlignment="1" applyProtection="1">
      <alignment horizontal="right"/>
      <protection hidden="1"/>
    </xf>
    <xf numFmtId="206" fontId="3" fillId="4" borderId="85" xfId="15" applyNumberFormat="1" applyFont="1" applyFill="1" applyBorder="1" applyAlignment="1" applyProtection="1">
      <alignment horizontal="right"/>
      <protection hidden="1"/>
    </xf>
    <xf numFmtId="169" fontId="0" fillId="4" borderId="8" xfId="15" applyNumberFormat="1" applyFont="1" applyFill="1" applyBorder="1" applyAlignment="1" applyProtection="1">
      <alignment horizontal="center" vertical="center"/>
      <protection hidden="1"/>
    </xf>
    <xf numFmtId="178" fontId="0" fillId="4" borderId="8" xfId="0" applyNumberFormat="1" applyFont="1" applyFill="1" applyBorder="1" applyAlignment="1" applyProtection="1">
      <alignment horizontal="center" vertical="center"/>
      <protection hidden="1"/>
    </xf>
    <xf numFmtId="0" fontId="0" fillId="4" borderId="8" xfId="0" applyFont="1" applyFill="1" applyBorder="1" applyAlignment="1" applyProtection="1">
      <alignment horizontal="center" vertical="center"/>
      <protection hidden="1"/>
    </xf>
    <xf numFmtId="2" fontId="0" fillId="4" borderId="8" xfId="0" applyNumberFormat="1" applyFont="1" applyFill="1" applyBorder="1" applyAlignment="1" applyProtection="1" quotePrefix="1">
      <alignment horizontal="center" vertical="center"/>
      <protection hidden="1"/>
    </xf>
    <xf numFmtId="169" fontId="0" fillId="20" borderId="8" xfId="15" applyNumberFormat="1" applyFont="1" applyFill="1" applyBorder="1" applyAlignment="1" applyProtection="1">
      <alignment horizontal="center" vertical="center"/>
      <protection hidden="1"/>
    </xf>
    <xf numFmtId="178" fontId="0" fillId="20" borderId="8" xfId="0" applyNumberFormat="1" applyFont="1" applyFill="1" applyBorder="1" applyAlignment="1" applyProtection="1">
      <alignment horizontal="center" vertical="center"/>
      <protection hidden="1"/>
    </xf>
    <xf numFmtId="0" fontId="0" fillId="20" borderId="8" xfId="0" applyFont="1" applyFill="1" applyBorder="1" applyAlignment="1" applyProtection="1">
      <alignment horizontal="center" vertical="center"/>
      <protection hidden="1"/>
    </xf>
    <xf numFmtId="2" fontId="0" fillId="20" borderId="8" xfId="0" applyNumberFormat="1" applyFont="1" applyFill="1" applyBorder="1" applyAlignment="1" applyProtection="1" quotePrefix="1">
      <alignment horizontal="center" vertical="center"/>
      <protection hidden="1"/>
    </xf>
    <xf numFmtId="2" fontId="0" fillId="9" borderId="8" xfId="0" applyNumberFormat="1" applyFont="1" applyFill="1" applyBorder="1" applyAlignment="1" applyProtection="1">
      <alignment horizontal="center" vertical="center"/>
      <protection hidden="1"/>
    </xf>
    <xf numFmtId="0" fontId="6" fillId="4" borderId="8" xfId="0" applyFont="1" applyFill="1" applyBorder="1" applyAlignment="1" applyProtection="1">
      <alignment/>
      <protection hidden="1"/>
    </xf>
    <xf numFmtId="0" fontId="6" fillId="20" borderId="8" xfId="0" applyFont="1" applyFill="1" applyBorder="1" applyAlignment="1" applyProtection="1">
      <alignment/>
      <protection hidden="1"/>
    </xf>
    <xf numFmtId="0" fontId="6" fillId="4" borderId="8" xfId="0" applyFont="1" applyFill="1" applyBorder="1" applyAlignment="1" applyProtection="1">
      <alignment vertical="center"/>
      <protection hidden="1"/>
    </xf>
    <xf numFmtId="0" fontId="6" fillId="20" borderId="8" xfId="0" applyFont="1" applyFill="1" applyBorder="1" applyAlignment="1" applyProtection="1">
      <alignment vertical="center"/>
      <protection hidden="1"/>
    </xf>
    <xf numFmtId="3" fontId="51" fillId="0" borderId="12" xfId="0" applyNumberFormat="1" applyFont="1" applyFill="1" applyBorder="1" applyAlignment="1" applyProtection="1">
      <alignment horizontal="center" vertical="center"/>
      <protection hidden="1"/>
    </xf>
    <xf numFmtId="211" fontId="3" fillId="4" borderId="85" xfId="15" applyNumberFormat="1" applyFont="1" applyFill="1" applyBorder="1" applyAlignment="1" applyProtection="1">
      <alignment horizontal="right"/>
      <protection hidden="1"/>
    </xf>
    <xf numFmtId="169" fontId="0" fillId="0" borderId="8" xfId="15" applyNumberFormat="1" applyFont="1" applyFill="1" applyBorder="1" applyAlignment="1" applyProtection="1">
      <alignment/>
      <protection locked="0"/>
    </xf>
    <xf numFmtId="178" fontId="0" fillId="0" borderId="8" xfId="0" applyNumberFormat="1" applyFont="1" applyFill="1" applyBorder="1" applyAlignment="1" applyProtection="1">
      <alignment/>
      <protection locked="0"/>
    </xf>
    <xf numFmtId="0" fontId="0" fillId="0" borderId="8" xfId="0" applyFont="1" applyFill="1" applyBorder="1" applyAlignment="1" applyProtection="1">
      <alignment/>
      <protection locked="0"/>
    </xf>
    <xf numFmtId="0" fontId="0" fillId="0" borderId="0" xfId="0" applyFont="1" applyFill="1" applyAlignment="1" applyProtection="1">
      <alignment/>
      <protection locked="0"/>
    </xf>
    <xf numFmtId="0" fontId="15" fillId="0" borderId="0" xfId="0" applyFont="1" applyFill="1" applyAlignment="1" applyProtection="1">
      <alignment/>
      <protection locked="0"/>
    </xf>
    <xf numFmtId="0" fontId="17" fillId="0" borderId="0" xfId="0" applyFont="1" applyFill="1" applyAlignment="1" applyProtection="1">
      <alignment/>
      <protection locked="0"/>
    </xf>
    <xf numFmtId="0" fontId="16" fillId="0" borderId="0" xfId="0" applyFont="1" applyFill="1" applyAlignment="1" applyProtection="1">
      <alignment horizontal="left"/>
      <protection locked="0"/>
    </xf>
    <xf numFmtId="0" fontId="16" fillId="0" borderId="0" xfId="0" applyFont="1" applyFill="1" applyAlignment="1" applyProtection="1">
      <alignment/>
      <protection locked="0"/>
    </xf>
    <xf numFmtId="0" fontId="15" fillId="0" borderId="0" xfId="0" applyFont="1" applyFill="1" applyAlignment="1" applyProtection="1">
      <alignment horizontal="left"/>
      <protection locked="0"/>
    </xf>
    <xf numFmtId="0" fontId="9" fillId="0" borderId="0" xfId="27" applyFont="1">
      <alignment/>
      <protection/>
    </xf>
    <xf numFmtId="0" fontId="3" fillId="9" borderId="85" xfId="27" applyFont="1" applyFill="1" applyBorder="1" applyAlignment="1" applyProtection="1">
      <alignment horizontal="center"/>
      <protection hidden="1"/>
    </xf>
    <xf numFmtId="0" fontId="29" fillId="0" borderId="0" xfId="27" applyFont="1" applyBorder="1" applyProtection="1">
      <alignment/>
      <protection hidden="1"/>
    </xf>
    <xf numFmtId="0" fontId="29" fillId="0" borderId="12" xfId="27" applyFont="1" applyBorder="1">
      <alignment/>
      <protection/>
    </xf>
    <xf numFmtId="177" fontId="3" fillId="4" borderId="85" xfId="15" applyNumberFormat="1" applyFont="1" applyFill="1" applyBorder="1" applyAlignment="1" applyProtection="1">
      <alignment horizontal="right"/>
      <protection hidden="1"/>
    </xf>
    <xf numFmtId="3" fontId="52" fillId="0" borderId="74" xfId="0" applyNumberFormat="1" applyFont="1" applyFill="1" applyBorder="1" applyAlignment="1" applyProtection="1">
      <alignment horizontal="left" vertical="center"/>
      <protection/>
    </xf>
    <xf numFmtId="3" fontId="56" fillId="0" borderId="9" xfId="0" applyNumberFormat="1" applyFont="1" applyFill="1" applyBorder="1" applyAlignment="1" applyProtection="1">
      <alignment horizontal="center" vertical="center"/>
      <protection/>
    </xf>
    <xf numFmtId="0" fontId="7" fillId="0" borderId="20" xfId="0" applyFont="1" applyFill="1" applyBorder="1" applyAlignment="1" applyProtection="1">
      <alignment vertical="center"/>
      <protection/>
    </xf>
    <xf numFmtId="3" fontId="51" fillId="0" borderId="77" xfId="0" applyNumberFormat="1" applyFont="1" applyFill="1" applyBorder="1" applyAlignment="1" applyProtection="1">
      <alignment horizontal="center" vertical="center"/>
      <protection/>
    </xf>
    <xf numFmtId="3" fontId="36" fillId="0" borderId="90" xfId="0" applyNumberFormat="1" applyFont="1" applyFill="1" applyBorder="1" applyAlignment="1" applyProtection="1">
      <alignment horizontal="center" vertical="center"/>
      <protection/>
    </xf>
    <xf numFmtId="3" fontId="36" fillId="0" borderId="91" xfId="0" applyNumberFormat="1" applyFont="1" applyFill="1" applyBorder="1" applyAlignment="1" applyProtection="1">
      <alignment horizontal="center" vertical="center"/>
      <protection/>
    </xf>
    <xf numFmtId="3" fontId="7" fillId="0" borderId="3" xfId="0" applyNumberFormat="1" applyFont="1" applyFill="1" applyBorder="1" applyAlignment="1" applyProtection="1">
      <alignment horizontal="left" vertical="center"/>
      <protection/>
    </xf>
    <xf numFmtId="3" fontId="51" fillId="0" borderId="63" xfId="0" applyNumberFormat="1" applyFont="1" applyFill="1" applyBorder="1" applyAlignment="1" applyProtection="1">
      <alignment horizontal="center" vertical="center"/>
      <protection/>
    </xf>
    <xf numFmtId="3" fontId="51" fillId="0" borderId="12" xfId="0" applyNumberFormat="1" applyFont="1" applyFill="1" applyBorder="1" applyAlignment="1" applyProtection="1">
      <alignment horizontal="center" vertical="center"/>
      <protection/>
    </xf>
    <xf numFmtId="169" fontId="29" fillId="0" borderId="0" xfId="15" applyNumberFormat="1" applyAlignment="1">
      <alignment/>
    </xf>
    <xf numFmtId="1" fontId="29" fillId="0" borderId="0" xfId="27" applyNumberFormat="1">
      <alignment/>
      <protection/>
    </xf>
    <xf numFmtId="0" fontId="29" fillId="0" borderId="0" xfId="27" applyFont="1">
      <alignment/>
      <protection/>
    </xf>
    <xf numFmtId="176" fontId="29" fillId="0" borderId="0" xfId="27" applyNumberFormat="1">
      <alignment/>
      <protection/>
    </xf>
    <xf numFmtId="0" fontId="29" fillId="9" borderId="83" xfId="27" applyFill="1" applyBorder="1" applyAlignment="1" applyProtection="1">
      <alignment horizontal="center"/>
      <protection locked="0"/>
    </xf>
    <xf numFmtId="0" fontId="3" fillId="29" borderId="92" xfId="27" applyFont="1" applyFill="1" applyBorder="1" applyProtection="1">
      <alignment/>
      <protection hidden="1"/>
    </xf>
    <xf numFmtId="0" fontId="3" fillId="0" borderId="5" xfId="27" applyFont="1" applyBorder="1" applyProtection="1">
      <alignment/>
      <protection hidden="1"/>
    </xf>
    <xf numFmtId="0" fontId="29" fillId="0" borderId="8" xfId="0" applyFont="1" applyBorder="1" applyAlignment="1">
      <alignment/>
    </xf>
    <xf numFmtId="2" fontId="29" fillId="0" borderId="10" xfId="0" applyNumberFormat="1" applyFont="1" applyBorder="1" applyAlignment="1">
      <alignment horizontal="left"/>
    </xf>
    <xf numFmtId="0" fontId="8" fillId="9" borderId="8" xfId="0" applyFont="1" applyFill="1" applyBorder="1" applyAlignment="1">
      <alignment wrapText="1"/>
    </xf>
    <xf numFmtId="0" fontId="0" fillId="0" borderId="0" xfId="0" applyAlignment="1">
      <alignment wrapText="1"/>
    </xf>
    <xf numFmtId="0" fontId="9" fillId="0" borderId="8" xfId="0" applyFont="1" applyBorder="1" applyAlignment="1">
      <alignment horizontal="center" vertical="center"/>
    </xf>
    <xf numFmtId="0" fontId="9" fillId="0" borderId="8" xfId="0" applyFont="1" applyBorder="1" applyAlignment="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wrapText="1"/>
    </xf>
    <xf numFmtId="0" fontId="9" fillId="0" borderId="8" xfId="0" applyFont="1" applyBorder="1" applyAlignment="1">
      <alignment horizontal="left" vertical="center" wrapText="1"/>
    </xf>
    <xf numFmtId="0" fontId="0" fillId="0" borderId="8" xfId="0" applyBorder="1" applyAlignment="1">
      <alignment/>
    </xf>
    <xf numFmtId="0" fontId="3" fillId="4" borderId="6" xfId="27" applyFont="1" applyFill="1" applyBorder="1" applyAlignment="1" applyProtection="1">
      <alignment horizontal="right"/>
      <protection hidden="1"/>
    </xf>
    <xf numFmtId="0" fontId="3" fillId="4" borderId="4" xfId="27" applyFont="1" applyFill="1" applyBorder="1" applyAlignment="1" applyProtection="1">
      <alignment horizontal="right"/>
      <protection hidden="1"/>
    </xf>
    <xf numFmtId="0" fontId="29" fillId="0" borderId="14" xfId="0" applyFont="1" applyBorder="1" applyAlignment="1">
      <alignment horizontal="center"/>
    </xf>
    <xf numFmtId="0" fontId="29" fillId="0" borderId="17" xfId="0" applyFont="1" applyBorder="1" applyAlignment="1">
      <alignment horizontal="center"/>
    </xf>
    <xf numFmtId="0" fontId="29" fillId="0" borderId="8" xfId="0" applyFont="1" applyBorder="1" applyAlignment="1">
      <alignment horizontal="center"/>
    </xf>
    <xf numFmtId="0" fontId="10" fillId="15" borderId="73" xfId="0" applyNumberFormat="1" applyFont="1" applyFill="1" applyBorder="1" applyAlignment="1" applyProtection="1">
      <alignment horizontal="left" indent="1"/>
      <protection locked="0"/>
    </xf>
    <xf numFmtId="0" fontId="0" fillId="0" borderId="1" xfId="0" applyBorder="1" applyAlignment="1">
      <alignment horizontal="left" indent="1"/>
    </xf>
    <xf numFmtId="0" fontId="0" fillId="0" borderId="63" xfId="0" applyBorder="1" applyAlignment="1">
      <alignment horizontal="left" indent="1"/>
    </xf>
    <xf numFmtId="0" fontId="29" fillId="0" borderId="0" xfId="27" applyBorder="1" applyAlignment="1" applyProtection="1">
      <alignment vertical="center"/>
      <protection hidden="1"/>
    </xf>
    <xf numFmtId="0" fontId="29" fillId="0" borderId="0" xfId="27" applyAlignment="1" applyProtection="1">
      <alignment vertical="center"/>
      <protection hidden="1"/>
    </xf>
    <xf numFmtId="0" fontId="3" fillId="0" borderId="61" xfId="27" applyFont="1" applyBorder="1" applyProtection="1">
      <alignment/>
      <protection hidden="1"/>
    </xf>
    <xf numFmtId="14" fontId="55" fillId="6" borderId="85" xfId="28" applyNumberFormat="1" applyFont="1" applyFill="1" applyBorder="1" applyAlignment="1" applyProtection="1">
      <alignment horizontal="center" vertical="center"/>
      <protection hidden="1"/>
    </xf>
    <xf numFmtId="0" fontId="5" fillId="20" borderId="7" xfId="0" applyFont="1" applyFill="1" applyBorder="1" applyAlignment="1" applyProtection="1">
      <alignment horizontal="center" vertical="center"/>
      <protection/>
    </xf>
    <xf numFmtId="0" fontId="5" fillId="20" borderId="85" xfId="28" applyFont="1" applyFill="1" applyBorder="1" applyAlignment="1" applyProtection="1">
      <alignment horizontal="center" vertical="center"/>
      <protection/>
    </xf>
    <xf numFmtId="208" fontId="3" fillId="9" borderId="85" xfId="15" applyNumberFormat="1" applyFont="1" applyFill="1" applyBorder="1" applyAlignment="1" applyProtection="1">
      <alignment horizontal="center"/>
      <protection/>
    </xf>
    <xf numFmtId="0" fontId="5" fillId="6" borderId="6" xfId="28" applyFont="1" applyFill="1" applyBorder="1" applyAlignment="1" applyProtection="1">
      <alignment horizontal="center" vertical="center"/>
      <protection hidden="1"/>
    </xf>
    <xf numFmtId="0" fontId="5" fillId="20" borderId="7" xfId="0" applyFont="1" applyFill="1" applyBorder="1" applyAlignment="1" applyProtection="1">
      <alignment horizontal="left" vertical="center" indent="1"/>
      <protection/>
    </xf>
    <xf numFmtId="0" fontId="10" fillId="15" borderId="73" xfId="0" applyFont="1" applyFill="1" applyBorder="1" applyAlignment="1" applyProtection="1">
      <alignment horizontal="left" vertical="center" indent="1"/>
      <protection locked="0"/>
    </xf>
    <xf numFmtId="5" fontId="14" fillId="0" borderId="93" xfId="0" applyNumberFormat="1" applyFont="1" applyBorder="1" applyAlignment="1">
      <alignment horizontal="center"/>
    </xf>
    <xf numFmtId="0" fontId="14" fillId="9" borderId="93" xfId="0" applyFont="1" applyFill="1" applyBorder="1" applyAlignment="1" applyProtection="1">
      <alignment horizontal="center"/>
      <protection locked="0"/>
    </xf>
    <xf numFmtId="6" fontId="14" fillId="0" borderId="94" xfId="0" applyNumberFormat="1" applyFont="1" applyFill="1" applyBorder="1" applyAlignment="1" applyProtection="1">
      <alignment horizontal="center"/>
      <protection/>
    </xf>
    <xf numFmtId="0" fontId="29" fillId="0" borderId="50" xfId="0" applyFont="1" applyBorder="1" applyAlignment="1" applyProtection="1">
      <alignment horizontal="center"/>
      <protection/>
    </xf>
    <xf numFmtId="0" fontId="29" fillId="0" borderId="55" xfId="0" applyFont="1" applyFill="1" applyBorder="1" applyAlignment="1" applyProtection="1">
      <alignment horizontal="center"/>
      <protection/>
    </xf>
    <xf numFmtId="5" fontId="14" fillId="0" borderId="95" xfId="0" applyNumberFormat="1" applyFont="1" applyBorder="1" applyAlignment="1" applyProtection="1">
      <alignment horizontal="center"/>
      <protection/>
    </xf>
    <xf numFmtId="0" fontId="14" fillId="9" borderId="95" xfId="0" applyFont="1" applyFill="1" applyBorder="1" applyAlignment="1" applyProtection="1">
      <alignment horizontal="center"/>
      <protection locked="0"/>
    </xf>
    <xf numFmtId="6" fontId="14" fillId="0" borderId="96" xfId="0" applyNumberFormat="1" applyFont="1" applyFill="1" applyBorder="1" applyAlignment="1" applyProtection="1">
      <alignment horizontal="center"/>
      <protection/>
    </xf>
    <xf numFmtId="5" fontId="14" fillId="0" borderId="93" xfId="0" applyNumberFormat="1" applyFont="1" applyBorder="1" applyAlignment="1" applyProtection="1">
      <alignment horizontal="center"/>
      <protection/>
    </xf>
    <xf numFmtId="165" fontId="31" fillId="2" borderId="97" xfId="20" applyFont="1" applyFill="1" applyBorder="1" applyAlignment="1" applyProtection="1" quotePrefix="1">
      <alignment horizontal="center" vertical="center"/>
      <protection/>
    </xf>
    <xf numFmtId="165" fontId="3" fillId="0" borderId="62" xfId="20" applyFont="1" applyFill="1" applyBorder="1" applyAlignment="1" applyProtection="1">
      <alignment horizontal="center" vertical="center"/>
      <protection/>
    </xf>
    <xf numFmtId="165" fontId="3" fillId="0" borderId="98" xfId="20" applyFont="1" applyFill="1" applyBorder="1" applyAlignment="1" applyProtection="1">
      <alignment horizontal="center" vertical="center"/>
      <protection/>
    </xf>
    <xf numFmtId="0" fontId="30" fillId="0" borderId="21" xfId="0" applyFont="1" applyBorder="1" applyAlignment="1" applyProtection="1" quotePrefix="1">
      <alignment horizontal="center" vertical="center"/>
      <protection/>
    </xf>
    <xf numFmtId="5" fontId="14" fillId="9" borderId="38" xfId="0" applyNumberFormat="1" applyFont="1" applyFill="1" applyBorder="1" applyAlignment="1">
      <alignment horizontal="center"/>
    </xf>
    <xf numFmtId="5" fontId="14" fillId="9" borderId="51" xfId="0" applyNumberFormat="1" applyFont="1" applyFill="1" applyBorder="1" applyAlignment="1">
      <alignment horizontal="center"/>
    </xf>
    <xf numFmtId="14" fontId="46" fillId="0" borderId="0" xfId="0" applyNumberFormat="1" applyFont="1" applyAlignment="1">
      <alignment horizontal="right"/>
    </xf>
    <xf numFmtId="178" fontId="3" fillId="9" borderId="85" xfId="19" applyNumberFormat="1" applyFont="1" applyFill="1" applyBorder="1" applyAlignment="1" applyProtection="1">
      <alignment horizontal="center"/>
      <protection/>
    </xf>
    <xf numFmtId="193" fontId="3" fillId="4" borderId="59" xfId="19" applyNumberFormat="1" applyFont="1" applyFill="1" applyBorder="1" applyAlignment="1" applyProtection="1">
      <alignment horizontal="right"/>
      <protection hidden="1"/>
    </xf>
    <xf numFmtId="9" fontId="3" fillId="4" borderId="85" xfId="15" applyNumberFormat="1" applyFont="1" applyFill="1" applyBorder="1" applyAlignment="1" applyProtection="1">
      <alignment horizontal="right"/>
      <protection hidden="1"/>
    </xf>
    <xf numFmtId="39" fontId="3" fillId="4" borderId="85" xfId="15" applyNumberFormat="1" applyFont="1" applyFill="1" applyBorder="1" applyAlignment="1" applyProtection="1">
      <alignment horizontal="right"/>
      <protection hidden="1"/>
    </xf>
    <xf numFmtId="178" fontId="3" fillId="4" borderId="85" xfId="15" applyNumberFormat="1" applyFont="1" applyFill="1" applyBorder="1" applyAlignment="1" applyProtection="1">
      <alignment horizontal="right"/>
      <protection hidden="1"/>
    </xf>
    <xf numFmtId="0" fontId="8" fillId="9" borderId="2" xfId="27" applyFont="1" applyFill="1" applyBorder="1" applyAlignment="1" applyProtection="1">
      <alignment horizontal="center" wrapText="1"/>
      <protection hidden="1"/>
    </xf>
    <xf numFmtId="0" fontId="8" fillId="9" borderId="0" xfId="27" applyFont="1" applyFill="1" applyBorder="1" applyAlignment="1" applyProtection="1">
      <alignment horizontal="center" wrapText="1"/>
      <protection hidden="1"/>
    </xf>
    <xf numFmtId="0" fontId="8" fillId="9" borderId="22" xfId="27" applyFont="1" applyFill="1" applyBorder="1" applyAlignment="1" applyProtection="1">
      <alignment horizontal="center" wrapText="1"/>
      <protection hidden="1"/>
    </xf>
    <xf numFmtId="0" fontId="0" fillId="0" borderId="7" xfId="0" applyBorder="1" applyAlignment="1" applyProtection="1">
      <alignment vertical="center"/>
      <protection/>
    </xf>
    <xf numFmtId="0" fontId="3" fillId="4" borderId="6" xfId="0" applyFont="1" applyFill="1" applyBorder="1" applyAlignment="1" applyProtection="1">
      <alignment horizontal="right"/>
      <protection hidden="1"/>
    </xf>
    <xf numFmtId="0" fontId="3" fillId="4" borderId="4" xfId="0" applyFont="1" applyFill="1" applyBorder="1" applyAlignment="1" applyProtection="1">
      <alignment horizontal="right"/>
      <protection hidden="1"/>
    </xf>
    <xf numFmtId="0" fontId="5" fillId="20" borderId="6" xfId="28" applyFont="1" applyFill="1" applyBorder="1" applyAlignment="1" applyProtection="1">
      <alignment horizontal="center" vertical="center"/>
      <protection/>
    </xf>
    <xf numFmtId="0" fontId="0" fillId="0" borderId="4" xfId="0" applyBorder="1" applyAlignment="1" applyProtection="1">
      <alignment horizontal="left" vertical="center" indent="1"/>
      <protection/>
    </xf>
    <xf numFmtId="0" fontId="3" fillId="9" borderId="6" xfId="27" applyFont="1" applyFill="1" applyBorder="1" applyAlignment="1" applyProtection="1">
      <alignment horizontal="right" wrapText="1"/>
      <protection hidden="1"/>
    </xf>
    <xf numFmtId="0" fontId="3" fillId="9" borderId="4" xfId="27" applyFont="1" applyFill="1" applyBorder="1" applyAlignment="1" applyProtection="1">
      <alignment horizontal="right" wrapText="1"/>
      <protection hidden="1"/>
    </xf>
    <xf numFmtId="0" fontId="3" fillId="9" borderId="7" xfId="27" applyFont="1" applyFill="1" applyBorder="1" applyAlignment="1" applyProtection="1">
      <alignment horizontal="right" wrapText="1"/>
      <protection hidden="1"/>
    </xf>
    <xf numFmtId="0" fontId="3" fillId="29" borderId="37" xfId="27" applyFont="1" applyFill="1" applyBorder="1" applyAlignment="1" applyProtection="1">
      <alignment horizontal="center"/>
      <protection hidden="1"/>
    </xf>
    <xf numFmtId="0" fontId="3" fillId="29" borderId="64" xfId="27" applyFont="1" applyFill="1" applyBorder="1" applyAlignment="1" applyProtection="1">
      <alignment horizontal="center"/>
      <protection hidden="1"/>
    </xf>
    <xf numFmtId="0" fontId="8" fillId="9" borderId="62" xfId="27" applyFont="1" applyFill="1" applyBorder="1" applyAlignment="1" applyProtection="1">
      <alignment horizontal="center" wrapText="1"/>
      <protection hidden="1"/>
    </xf>
    <xf numFmtId="0" fontId="8" fillId="9" borderId="98" xfId="27" applyFont="1" applyFill="1" applyBorder="1" applyAlignment="1" applyProtection="1">
      <alignment horizontal="center" wrapText="1"/>
      <protection hidden="1"/>
    </xf>
    <xf numFmtId="0" fontId="29" fillId="0" borderId="99" xfId="27" applyFont="1" applyBorder="1" applyAlignment="1" applyProtection="1">
      <alignment horizontal="left" vertical="center" wrapText="1"/>
      <protection hidden="1"/>
    </xf>
    <xf numFmtId="0" fontId="29" fillId="0" borderId="56" xfId="27" applyFont="1" applyBorder="1" applyAlignment="1" applyProtection="1">
      <alignment horizontal="left" vertical="center" wrapText="1"/>
      <protection hidden="1"/>
    </xf>
    <xf numFmtId="0" fontId="29" fillId="0" borderId="100" xfId="27" applyFont="1" applyBorder="1" applyAlignment="1" applyProtection="1">
      <alignment horizontal="left" vertical="center" wrapText="1"/>
      <protection hidden="1"/>
    </xf>
    <xf numFmtId="0" fontId="3" fillId="29" borderId="101" xfId="27" applyFont="1" applyFill="1" applyBorder="1" applyAlignment="1" applyProtection="1">
      <alignment horizontal="center"/>
      <protection hidden="1"/>
    </xf>
    <xf numFmtId="0" fontId="5" fillId="20" borderId="6" xfId="0" applyFont="1" applyFill="1" applyBorder="1" applyAlignment="1" applyProtection="1">
      <alignment horizontal="center" vertical="center"/>
      <protection/>
    </xf>
    <xf numFmtId="0" fontId="5" fillId="20" borderId="7" xfId="0" applyFont="1" applyFill="1" applyBorder="1" applyAlignment="1" applyProtection="1">
      <alignment horizontal="center" vertical="center"/>
      <protection/>
    </xf>
    <xf numFmtId="14" fontId="55" fillId="6" borderId="6" xfId="28" applyNumberFormat="1" applyFont="1" applyFill="1" applyBorder="1" applyAlignment="1" applyProtection="1">
      <alignment horizontal="center" vertical="center"/>
      <protection hidden="1"/>
    </xf>
    <xf numFmtId="0" fontId="6" fillId="0" borderId="7" xfId="0" applyFont="1" applyBorder="1" applyAlignment="1" applyProtection="1">
      <alignment horizontal="center" vertical="center"/>
      <protection/>
    </xf>
    <xf numFmtId="0" fontId="5" fillId="20" borderId="6" xfId="28" applyFont="1" applyFill="1" applyBorder="1" applyAlignment="1" applyProtection="1">
      <alignment horizontal="left" vertical="center" indent="1"/>
      <protection hidden="1"/>
    </xf>
    <xf numFmtId="0" fontId="0" fillId="0" borderId="4" xfId="0" applyBorder="1" applyAlignment="1">
      <alignment horizontal="left" vertical="center" indent="1"/>
    </xf>
    <xf numFmtId="0" fontId="0" fillId="0" borderId="7" xfId="0" applyBorder="1" applyAlignment="1">
      <alignment horizontal="left" vertical="center" indent="1"/>
    </xf>
    <xf numFmtId="0" fontId="5" fillId="6" borderId="6" xfId="28" applyFont="1" applyFill="1" applyBorder="1" applyAlignment="1" applyProtection="1">
      <alignment horizontal="left" vertical="center" indent="1"/>
      <protection hidden="1"/>
    </xf>
    <xf numFmtId="0" fontId="6" fillId="0" borderId="7" xfId="0" applyFont="1" applyBorder="1" applyAlignment="1" applyProtection="1">
      <alignment horizontal="left" vertical="center" indent="1"/>
      <protection/>
    </xf>
    <xf numFmtId="0" fontId="6" fillId="20" borderId="4" xfId="0" applyFont="1" applyFill="1" applyBorder="1" applyAlignment="1" applyProtection="1">
      <alignment horizontal="left" vertical="center" indent="1"/>
      <protection/>
    </xf>
    <xf numFmtId="0" fontId="6" fillId="20" borderId="7" xfId="0" applyFont="1" applyFill="1" applyBorder="1" applyAlignment="1" applyProtection="1">
      <alignment horizontal="left" vertical="center" indent="1"/>
      <protection/>
    </xf>
    <xf numFmtId="0" fontId="3" fillId="4" borderId="6" xfId="27" applyFont="1" applyFill="1" applyBorder="1" applyAlignment="1" applyProtection="1">
      <alignment horizontal="right"/>
      <protection hidden="1"/>
    </xf>
    <xf numFmtId="0" fontId="3" fillId="4" borderId="4" xfId="27" applyFont="1" applyFill="1" applyBorder="1" applyAlignment="1" applyProtection="1">
      <alignment horizontal="right"/>
      <protection hidden="1"/>
    </xf>
    <xf numFmtId="0" fontId="3" fillId="4" borderId="7" xfId="27" applyFont="1" applyFill="1" applyBorder="1" applyAlignment="1" applyProtection="1">
      <alignment horizontal="right"/>
      <protection hidden="1"/>
    </xf>
    <xf numFmtId="0" fontId="3" fillId="9" borderId="99" xfId="27" applyFont="1" applyFill="1" applyBorder="1" applyAlignment="1" applyProtection="1">
      <alignment horizontal="right" wrapText="1"/>
      <protection hidden="1"/>
    </xf>
    <xf numFmtId="0" fontId="3" fillId="9" borderId="56" xfId="27" applyFont="1" applyFill="1" applyBorder="1" applyAlignment="1" applyProtection="1">
      <alignment horizontal="right" wrapText="1"/>
      <protection hidden="1"/>
    </xf>
    <xf numFmtId="0" fontId="8" fillId="9" borderId="41" xfId="27" applyFont="1" applyFill="1" applyBorder="1" applyAlignment="1" applyProtection="1">
      <alignment horizontal="center" wrapText="1"/>
      <protection hidden="1"/>
    </xf>
    <xf numFmtId="0" fontId="3" fillId="4" borderId="7" xfId="0" applyFont="1" applyFill="1" applyBorder="1" applyAlignment="1" applyProtection="1">
      <alignment horizontal="right"/>
      <protection hidden="1"/>
    </xf>
    <xf numFmtId="0" fontId="3" fillId="20" borderId="6" xfId="27" applyFont="1" applyFill="1" applyBorder="1" applyAlignment="1" applyProtection="1">
      <alignment horizontal="right"/>
      <protection hidden="1"/>
    </xf>
    <xf numFmtId="0" fontId="3" fillId="20" borderId="4" xfId="27" applyFont="1" applyFill="1" applyBorder="1" applyAlignment="1" applyProtection="1">
      <alignment horizontal="right"/>
      <protection hidden="1"/>
    </xf>
    <xf numFmtId="0" fontId="3" fillId="20" borderId="7" xfId="27" applyFont="1" applyFill="1" applyBorder="1" applyAlignment="1" applyProtection="1">
      <alignment horizontal="right"/>
      <protection hidden="1"/>
    </xf>
    <xf numFmtId="0" fontId="29" fillId="0" borderId="7" xfId="27" applyFont="1" applyBorder="1" applyAlignment="1" applyProtection="1">
      <alignment horizontal="right"/>
      <protection hidden="1"/>
    </xf>
    <xf numFmtId="0" fontId="3" fillId="6" borderId="102" xfId="27" applyFont="1" applyFill="1" applyBorder="1" applyAlignment="1" applyProtection="1">
      <alignment horizontal="center"/>
      <protection hidden="1"/>
    </xf>
    <xf numFmtId="0" fontId="3" fillId="6" borderId="103" xfId="27" applyFont="1" applyFill="1" applyBorder="1" applyAlignment="1" applyProtection="1">
      <alignment horizontal="center"/>
      <protection hidden="1"/>
    </xf>
    <xf numFmtId="0" fontId="3" fillId="6" borderId="104" xfId="27" applyFont="1" applyFill="1" applyBorder="1" applyAlignment="1" applyProtection="1">
      <alignment horizontal="center"/>
      <protection hidden="1"/>
    </xf>
    <xf numFmtId="14" fontId="5" fillId="6" borderId="6" xfId="28" applyNumberFormat="1" applyFont="1" applyFill="1" applyBorder="1" applyAlignment="1" applyProtection="1">
      <alignment horizontal="center" vertical="center"/>
      <protection hidden="1"/>
    </xf>
    <xf numFmtId="0" fontId="6" fillId="0" borderId="7" xfId="0" applyFont="1" applyBorder="1" applyAlignment="1" applyProtection="1">
      <alignment vertical="center"/>
      <protection/>
    </xf>
    <xf numFmtId="0" fontId="3" fillId="9" borderId="6" xfId="27" applyFont="1" applyFill="1" applyBorder="1" applyAlignment="1" applyProtection="1">
      <alignment horizontal="right"/>
      <protection hidden="1"/>
    </xf>
    <xf numFmtId="0" fontId="3" fillId="9" borderId="4" xfId="27" applyFont="1" applyFill="1" applyBorder="1" applyAlignment="1" applyProtection="1">
      <alignment horizontal="right"/>
      <protection hidden="1"/>
    </xf>
    <xf numFmtId="0" fontId="5" fillId="20" borderId="6" xfId="0" applyFont="1" applyFill="1" applyBorder="1" applyAlignment="1" applyProtection="1">
      <alignment horizontal="left" vertical="center" indent="1"/>
      <protection/>
    </xf>
    <xf numFmtId="0" fontId="5" fillId="20" borderId="4" xfId="0" applyFont="1" applyFill="1" applyBorder="1" applyAlignment="1" applyProtection="1">
      <alignment horizontal="left" vertical="center" indent="1"/>
      <protection/>
    </xf>
    <xf numFmtId="0" fontId="5" fillId="20" borderId="7" xfId="0" applyFont="1" applyFill="1" applyBorder="1" applyAlignment="1" applyProtection="1">
      <alignment horizontal="left" vertical="center" indent="1"/>
      <protection/>
    </xf>
    <xf numFmtId="0" fontId="3" fillId="9" borderId="6" xfId="0" applyFont="1" applyFill="1" applyBorder="1" applyAlignment="1" applyProtection="1">
      <alignment horizontal="right"/>
      <protection hidden="1"/>
    </xf>
    <xf numFmtId="0" fontId="3" fillId="9" borderId="4" xfId="0" applyFont="1" applyFill="1" applyBorder="1" applyAlignment="1" applyProtection="1">
      <alignment horizontal="right"/>
      <protection hidden="1"/>
    </xf>
    <xf numFmtId="0" fontId="3" fillId="9" borderId="7" xfId="0" applyFont="1" applyFill="1" applyBorder="1" applyAlignment="1" applyProtection="1">
      <alignment horizontal="right"/>
      <protection hidden="1"/>
    </xf>
    <xf numFmtId="0" fontId="10" fillId="12" borderId="7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63" xfId="0" applyFont="1" applyBorder="1" applyAlignment="1">
      <alignment horizontal="center" vertical="center"/>
    </xf>
    <xf numFmtId="3" fontId="8" fillId="21" borderId="55" xfId="0" applyNumberFormat="1" applyFont="1" applyFill="1" applyBorder="1" applyAlignment="1" applyProtection="1">
      <alignment horizontal="center" vertical="center"/>
      <protection/>
    </xf>
    <xf numFmtId="3" fontId="8" fillId="21" borderId="56" xfId="0" applyNumberFormat="1" applyFont="1" applyFill="1" applyBorder="1" applyAlignment="1" applyProtection="1">
      <alignment horizontal="center" vertical="center"/>
      <protection/>
    </xf>
    <xf numFmtId="3" fontId="8" fillId="21" borderId="105" xfId="0" applyNumberFormat="1" applyFont="1" applyFill="1" applyBorder="1" applyAlignment="1" applyProtection="1">
      <alignment horizontal="center" vertical="center"/>
      <protection/>
    </xf>
    <xf numFmtId="0" fontId="8" fillId="24" borderId="97" xfId="23" applyFont="1" applyFill="1" applyBorder="1" applyAlignment="1" applyProtection="1">
      <alignment horizontal="center" vertical="center" wrapText="1"/>
      <protection/>
    </xf>
    <xf numFmtId="0" fontId="9" fillId="24" borderId="52" xfId="0" applyFont="1" applyFill="1" applyBorder="1" applyAlignment="1">
      <alignment horizontal="center" vertical="center" wrapText="1"/>
    </xf>
    <xf numFmtId="0" fontId="9" fillId="24" borderId="72" xfId="0" applyFont="1" applyFill="1" applyBorder="1" applyAlignment="1">
      <alignment horizontal="center" vertical="center" wrapText="1"/>
    </xf>
    <xf numFmtId="0" fontId="4" fillId="22" borderId="70" xfId="23" applyFont="1" applyFill="1" applyBorder="1" applyAlignment="1" applyProtection="1">
      <alignment horizontal="center" vertical="center"/>
      <protection/>
    </xf>
    <xf numFmtId="0" fontId="9" fillId="22" borderId="52" xfId="0" applyFont="1" applyFill="1" applyBorder="1" applyAlignment="1">
      <alignment horizontal="center" vertical="center"/>
    </xf>
    <xf numFmtId="0" fontId="8" fillId="7" borderId="1" xfId="0" applyFont="1" applyFill="1" applyBorder="1" applyAlignment="1" applyProtection="1" quotePrefix="1">
      <alignment horizontal="center" vertical="center" wrapText="1"/>
      <protection/>
    </xf>
    <xf numFmtId="0" fontId="8" fillId="7" borderId="75" xfId="0" applyFont="1" applyFill="1" applyBorder="1" applyAlignment="1" applyProtection="1" quotePrefix="1">
      <alignment horizontal="center" vertical="center" wrapText="1"/>
      <protection/>
    </xf>
    <xf numFmtId="3" fontId="8" fillId="21" borderId="100" xfId="0" applyNumberFormat="1" applyFont="1" applyFill="1" applyBorder="1" applyAlignment="1" applyProtection="1">
      <alignment horizontal="center" vertical="center"/>
      <protection/>
    </xf>
    <xf numFmtId="0" fontId="8" fillId="30" borderId="73" xfId="23" applyFont="1" applyFill="1" applyBorder="1" applyAlignment="1" applyProtection="1">
      <alignment horizontal="center" vertical="center" wrapText="1"/>
      <protection/>
    </xf>
    <xf numFmtId="0" fontId="9" fillId="30" borderId="1" xfId="0" applyFont="1" applyFill="1" applyBorder="1" applyAlignment="1">
      <alignment horizontal="center" vertical="center" wrapText="1"/>
    </xf>
    <xf numFmtId="0" fontId="9" fillId="30" borderId="75" xfId="0" applyFont="1" applyFill="1" applyBorder="1" applyAlignment="1">
      <alignment horizontal="center" vertical="center" wrapText="1"/>
    </xf>
    <xf numFmtId="3" fontId="8" fillId="21" borderId="57" xfId="0" applyNumberFormat="1" applyFont="1" applyFill="1" applyBorder="1" applyAlignment="1" applyProtection="1">
      <alignment horizontal="center" vertical="center"/>
      <protection/>
    </xf>
    <xf numFmtId="0" fontId="9" fillId="21" borderId="57" xfId="0" applyFont="1" applyFill="1" applyBorder="1" applyAlignment="1" applyProtection="1">
      <alignment vertical="center"/>
      <protection/>
    </xf>
    <xf numFmtId="178" fontId="21" fillId="20" borderId="6" xfId="29" applyNumberFormat="1" applyFont="1" applyFill="1" applyBorder="1" applyAlignment="1" applyProtection="1">
      <alignment horizontal="center" vertical="center"/>
      <protection/>
    </xf>
    <xf numFmtId="178" fontId="57" fillId="20" borderId="4" xfId="0" applyNumberFormat="1" applyFont="1" applyFill="1" applyBorder="1" applyAlignment="1">
      <alignment vertical="center"/>
    </xf>
    <xf numFmtId="178" fontId="57" fillId="20" borderId="7" xfId="0" applyNumberFormat="1" applyFont="1" applyFill="1" applyBorder="1" applyAlignment="1">
      <alignment vertical="center"/>
    </xf>
    <xf numFmtId="0" fontId="9" fillId="0" borderId="73" xfId="0" applyFont="1" applyFill="1" applyBorder="1" applyAlignment="1" applyProtection="1">
      <alignment horizontal="left" vertical="top" wrapText="1"/>
      <protection/>
    </xf>
    <xf numFmtId="0" fontId="9" fillId="0" borderId="1" xfId="0" applyFont="1" applyFill="1" applyBorder="1" applyAlignment="1" applyProtection="1">
      <alignment horizontal="left" vertical="top" wrapText="1"/>
      <protection/>
    </xf>
    <xf numFmtId="0" fontId="9" fillId="0" borderId="63" xfId="0" applyFont="1" applyFill="1" applyBorder="1" applyAlignment="1" applyProtection="1">
      <alignment horizontal="left" vertical="top" wrapText="1"/>
      <protection/>
    </xf>
    <xf numFmtId="0" fontId="8" fillId="7" borderId="73" xfId="0" applyFont="1" applyFill="1" applyBorder="1" applyAlignment="1" applyProtection="1" quotePrefix="1">
      <alignment horizontal="center" vertical="center" wrapText="1"/>
      <protection/>
    </xf>
    <xf numFmtId="0" fontId="9" fillId="9" borderId="1" xfId="0" applyFont="1" applyFill="1" applyBorder="1" applyAlignment="1">
      <alignment vertical="center" wrapText="1"/>
    </xf>
    <xf numFmtId="0" fontId="9" fillId="9" borderId="63" xfId="0" applyFont="1" applyFill="1" applyBorder="1" applyAlignment="1">
      <alignment vertical="center" wrapText="1"/>
    </xf>
    <xf numFmtId="0" fontId="4" fillId="9" borderId="106" xfId="0" applyFont="1" applyFill="1" applyBorder="1" applyAlignment="1" quotePrefix="1">
      <alignment horizontal="left" vertical="center"/>
    </xf>
    <xf numFmtId="0" fontId="4" fillId="9" borderId="16" xfId="0" applyFont="1" applyFill="1" applyBorder="1" applyAlignment="1" quotePrefix="1">
      <alignment horizontal="left" vertical="center"/>
    </xf>
    <xf numFmtId="0" fontId="4" fillId="9" borderId="2" xfId="0" applyFont="1" applyFill="1" applyBorder="1" applyAlignment="1" quotePrefix="1">
      <alignment horizontal="left" vertical="center"/>
    </xf>
    <xf numFmtId="0" fontId="4" fillId="9" borderId="18" xfId="0" applyFont="1" applyFill="1" applyBorder="1" applyAlignment="1" quotePrefix="1">
      <alignment horizontal="left" vertical="center"/>
    </xf>
    <xf numFmtId="0" fontId="9" fillId="9" borderId="69" xfId="0" applyFont="1" applyFill="1" applyBorder="1" applyAlignment="1">
      <alignment horizontal="left" vertical="center"/>
    </xf>
    <xf numFmtId="0" fontId="9" fillId="9" borderId="3" xfId="0" applyFont="1" applyFill="1" applyBorder="1" applyAlignment="1">
      <alignment horizontal="left" vertical="center"/>
    </xf>
    <xf numFmtId="0" fontId="10" fillId="15" borderId="73" xfId="0" applyFont="1" applyFill="1" applyBorder="1" applyAlignment="1" applyProtection="1">
      <alignment horizontal="left" vertical="center" indent="1"/>
      <protection locked="0"/>
    </xf>
    <xf numFmtId="0" fontId="9" fillId="0" borderId="1" xfId="0" applyFont="1" applyBorder="1" applyAlignment="1">
      <alignment horizontal="left" vertical="center" indent="1"/>
    </xf>
    <xf numFmtId="0" fontId="9" fillId="0" borderId="63" xfId="0" applyFont="1" applyBorder="1" applyAlignment="1">
      <alignment horizontal="left" vertical="center" indent="1"/>
    </xf>
    <xf numFmtId="177" fontId="37" fillId="0" borderId="19" xfId="0" applyNumberFormat="1" applyFont="1" applyFill="1" applyBorder="1" applyAlignment="1" applyProtection="1">
      <alignment horizontal="center" vertical="center"/>
      <protection/>
    </xf>
    <xf numFmtId="177" fontId="37" fillId="0" borderId="20" xfId="0" applyNumberFormat="1" applyFont="1" applyFill="1" applyBorder="1" applyAlignment="1" applyProtection="1">
      <alignment horizontal="center" vertical="center"/>
      <protection/>
    </xf>
    <xf numFmtId="177" fontId="37" fillId="0" borderId="3" xfId="0" applyNumberFormat="1" applyFont="1" applyFill="1" applyBorder="1" applyAlignment="1" applyProtection="1">
      <alignment horizontal="center" vertical="center"/>
      <protection/>
    </xf>
    <xf numFmtId="3" fontId="8" fillId="31" borderId="19" xfId="0" applyNumberFormat="1" applyFont="1" applyFill="1" applyBorder="1" applyAlignment="1" applyProtection="1">
      <alignment horizontal="center" vertical="center"/>
      <protection/>
    </xf>
    <xf numFmtId="0" fontId="9" fillId="20" borderId="20" xfId="0" applyFont="1" applyFill="1" applyBorder="1" applyAlignment="1">
      <alignment vertical="center"/>
    </xf>
    <xf numFmtId="9" fontId="21" fillId="21" borderId="55" xfId="29" applyFont="1" applyFill="1" applyBorder="1" applyAlignment="1" applyProtection="1">
      <alignment horizontal="center" vertical="center"/>
      <protection/>
    </xf>
    <xf numFmtId="0" fontId="57" fillId="21" borderId="56" xfId="0" applyFont="1" applyFill="1" applyBorder="1" applyAlignment="1">
      <alignment vertical="center"/>
    </xf>
    <xf numFmtId="0" fontId="57" fillId="21" borderId="105" xfId="0" applyFont="1" applyFill="1" applyBorder="1" applyAlignment="1">
      <alignment vertical="center"/>
    </xf>
    <xf numFmtId="0" fontId="12" fillId="0" borderId="107" xfId="0" applyFont="1" applyBorder="1" applyAlignment="1">
      <alignment horizontal="center" vertical="center"/>
    </xf>
    <xf numFmtId="0" fontId="65" fillId="0" borderId="63" xfId="0" applyFont="1" applyBorder="1" applyAlignment="1">
      <alignment horizontal="center" vertical="center"/>
    </xf>
    <xf numFmtId="0" fontId="8" fillId="7" borderId="73" xfId="0" applyFont="1" applyFill="1" applyBorder="1" applyAlignment="1" applyProtection="1" quotePrefix="1">
      <alignment horizontal="center" vertical="center"/>
      <protection/>
    </xf>
    <xf numFmtId="0" fontId="8" fillId="7" borderId="1" xfId="0" applyFont="1" applyFill="1" applyBorder="1" applyAlignment="1" applyProtection="1" quotePrefix="1">
      <alignment horizontal="center" vertical="center"/>
      <protection/>
    </xf>
    <xf numFmtId="0" fontId="8" fillId="7" borderId="63" xfId="0" applyFont="1" applyFill="1" applyBorder="1" applyAlignment="1" applyProtection="1" quotePrefix="1">
      <alignment horizontal="center" vertical="center"/>
      <protection/>
    </xf>
    <xf numFmtId="175" fontId="51" fillId="19" borderId="73" xfId="0" applyNumberFormat="1" applyFont="1" applyFill="1" applyBorder="1" applyAlignment="1" applyProtection="1">
      <alignment horizontal="left" vertical="center" indent="1"/>
      <protection locked="0"/>
    </xf>
    <xf numFmtId="0" fontId="9" fillId="19" borderId="1" xfId="0" applyFont="1" applyFill="1" applyBorder="1" applyAlignment="1">
      <alignment horizontal="left" vertical="center"/>
    </xf>
    <xf numFmtId="0" fontId="9" fillId="19" borderId="63" xfId="0" applyFont="1" applyFill="1" applyBorder="1" applyAlignment="1">
      <alignment horizontal="left" vertical="center"/>
    </xf>
    <xf numFmtId="0" fontId="0" fillId="0" borderId="1" xfId="0" applyBorder="1" applyAlignment="1">
      <alignment horizontal="left" vertical="center" indent="1"/>
    </xf>
    <xf numFmtId="0" fontId="0" fillId="0" borderId="63" xfId="0" applyBorder="1" applyAlignment="1">
      <alignment horizontal="left" vertical="center" indent="1"/>
    </xf>
    <xf numFmtId="0" fontId="49" fillId="15" borderId="73" xfId="0" applyFont="1" applyFill="1" applyBorder="1" applyAlignment="1" applyProtection="1">
      <alignment horizontal="left" vertical="center" indent="1"/>
      <protection locked="0"/>
    </xf>
    <xf numFmtId="0" fontId="1" fillId="0" borderId="1" xfId="0" applyFont="1" applyBorder="1" applyAlignment="1">
      <alignment horizontal="left" vertical="center" indent="1"/>
    </xf>
    <xf numFmtId="0" fontId="1" fillId="0" borderId="63" xfId="0" applyFont="1" applyBorder="1" applyAlignment="1">
      <alignment horizontal="left" vertical="center" indent="1"/>
    </xf>
    <xf numFmtId="0" fontId="10" fillId="0" borderId="73" xfId="0" applyFont="1" applyFill="1" applyBorder="1" applyAlignment="1" applyProtection="1">
      <alignment horizontal="left" vertical="center" indent="1"/>
      <protection locked="0"/>
    </xf>
    <xf numFmtId="0" fontId="9" fillId="0" borderId="1" xfId="0" applyFont="1" applyFill="1" applyBorder="1" applyAlignment="1">
      <alignment horizontal="left" vertical="center"/>
    </xf>
    <xf numFmtId="0" fontId="9" fillId="0" borderId="63" xfId="0" applyFont="1" applyFill="1" applyBorder="1" applyAlignment="1">
      <alignment horizontal="left" vertical="center"/>
    </xf>
    <xf numFmtId="0" fontId="10" fillId="12" borderId="73" xfId="0" applyFont="1" applyFill="1" applyBorder="1" applyAlignment="1" applyProtection="1">
      <alignment horizontal="left" vertical="center" indent="1"/>
      <protection locked="0"/>
    </xf>
    <xf numFmtId="0" fontId="9" fillId="0" borderId="1" xfId="0" applyFont="1" applyBorder="1" applyAlignment="1">
      <alignment horizontal="left" vertical="center"/>
    </xf>
    <xf numFmtId="0" fontId="9" fillId="0" borderId="63" xfId="0" applyFont="1" applyBorder="1" applyAlignment="1">
      <alignment horizontal="left" vertical="center"/>
    </xf>
    <xf numFmtId="170" fontId="10" fillId="12" borderId="73" xfId="0" applyNumberFormat="1" applyFont="1" applyFill="1" applyBorder="1" applyAlignment="1" applyProtection="1">
      <alignment horizontal="left" vertical="center" indent="1"/>
      <protection locked="0"/>
    </xf>
    <xf numFmtId="0" fontId="0" fillId="0" borderId="1" xfId="0" applyBorder="1" applyAlignment="1">
      <alignment horizontal="left" vertical="center"/>
    </xf>
    <xf numFmtId="0" fontId="0" fillId="0" borderId="63" xfId="0" applyBorder="1" applyAlignment="1">
      <alignment horizontal="left" vertical="center"/>
    </xf>
    <xf numFmtId="177" fontId="8" fillId="20" borderId="73" xfId="0" applyNumberFormat="1" applyFont="1" applyFill="1" applyBorder="1" applyAlignment="1" applyProtection="1">
      <alignment horizontal="center"/>
      <protection locked="0"/>
    </xf>
    <xf numFmtId="0" fontId="9" fillId="20" borderId="1" xfId="0" applyFont="1" applyFill="1" applyBorder="1" applyAlignment="1">
      <alignment/>
    </xf>
    <xf numFmtId="0" fontId="9" fillId="20" borderId="63" xfId="0" applyFont="1" applyFill="1" applyBorder="1" applyAlignment="1">
      <alignment/>
    </xf>
    <xf numFmtId="0" fontId="10" fillId="15" borderId="73" xfId="0" applyFont="1" applyFill="1" applyBorder="1" applyAlignment="1" applyProtection="1">
      <alignment horizontal="left" indent="1"/>
      <protection locked="0"/>
    </xf>
    <xf numFmtId="0" fontId="0" fillId="0" borderId="1" xfId="0" applyBorder="1" applyAlignment="1">
      <alignment/>
    </xf>
    <xf numFmtId="0" fontId="0" fillId="0" borderId="63" xfId="0" applyBorder="1" applyAlignment="1">
      <alignment/>
    </xf>
    <xf numFmtId="0" fontId="6" fillId="4" borderId="73" xfId="0" applyFont="1" applyFill="1" applyBorder="1" applyAlignment="1" applyProtection="1">
      <alignment horizontal="center"/>
      <protection/>
    </xf>
    <xf numFmtId="0" fontId="6" fillId="4" borderId="1" xfId="0" applyFont="1" applyFill="1" applyBorder="1" applyAlignment="1" applyProtection="1">
      <alignment horizontal="center"/>
      <protection/>
    </xf>
    <xf numFmtId="0" fontId="6" fillId="4" borderId="63" xfId="0" applyFont="1" applyFill="1" applyBorder="1" applyAlignment="1" applyProtection="1">
      <alignment horizontal="center"/>
      <protection/>
    </xf>
    <xf numFmtId="0" fontId="6" fillId="20" borderId="8" xfId="0" applyFont="1" applyFill="1" applyBorder="1" applyAlignment="1" applyProtection="1">
      <alignment horizontal="center"/>
      <protection/>
    </xf>
    <xf numFmtId="0" fontId="9" fillId="7" borderId="1" xfId="0" applyFont="1" applyFill="1" applyBorder="1" applyAlignment="1" applyProtection="1">
      <alignment vertical="center" wrapText="1"/>
      <protection/>
    </xf>
    <xf numFmtId="0" fontId="9" fillId="7" borderId="63" xfId="0" applyFont="1" applyFill="1" applyBorder="1" applyAlignment="1" applyProtection="1">
      <alignment vertical="center" wrapText="1"/>
      <protection/>
    </xf>
    <xf numFmtId="0" fontId="6" fillId="5" borderId="8" xfId="0" applyFont="1" applyFill="1" applyBorder="1" applyAlignment="1" applyProtection="1">
      <alignment horizontal="center"/>
      <protection/>
    </xf>
    <xf numFmtId="0" fontId="6" fillId="0" borderId="15" xfId="0" applyFont="1" applyBorder="1" applyAlignment="1" applyProtection="1">
      <alignment horizontal="center"/>
      <protection/>
    </xf>
    <xf numFmtId="0" fontId="6" fillId="0" borderId="108" xfId="0" applyFont="1" applyBorder="1" applyAlignment="1" applyProtection="1">
      <alignment horizontal="center"/>
      <protection hidden="1"/>
    </xf>
    <xf numFmtId="0" fontId="6" fillId="0" borderId="16" xfId="0" applyFont="1" applyBorder="1" applyAlignment="1" applyProtection="1">
      <alignment horizontal="center"/>
      <protection hidden="1"/>
    </xf>
    <xf numFmtId="0" fontId="6" fillId="0" borderId="19" xfId="0" applyFont="1" applyBorder="1" applyAlignment="1" applyProtection="1">
      <alignment horizontal="center"/>
      <protection hidden="1"/>
    </xf>
    <xf numFmtId="0" fontId="6" fillId="0" borderId="3" xfId="0" applyFont="1" applyBorder="1" applyAlignment="1" applyProtection="1">
      <alignment horizontal="center"/>
      <protection hidden="1"/>
    </xf>
    <xf numFmtId="0" fontId="8" fillId="23" borderId="70" xfId="23" applyFont="1" applyFill="1" applyBorder="1" applyAlignment="1" applyProtection="1">
      <alignment horizontal="center" vertical="center" wrapText="1"/>
      <protection/>
    </xf>
    <xf numFmtId="0" fontId="9" fillId="23" borderId="52" xfId="0" applyFont="1" applyFill="1" applyBorder="1" applyAlignment="1">
      <alignment vertical="center" wrapText="1"/>
    </xf>
    <xf numFmtId="0" fontId="9" fillId="23" borderId="72" xfId="0" applyFont="1" applyFill="1" applyBorder="1" applyAlignment="1">
      <alignment vertical="center" wrapText="1"/>
    </xf>
    <xf numFmtId="0" fontId="29" fillId="0" borderId="56" xfId="0" applyFont="1" applyFill="1" applyBorder="1" applyAlignment="1" applyProtection="1">
      <alignment horizontal="left" indent="1"/>
      <protection/>
    </xf>
    <xf numFmtId="0" fontId="29" fillId="0" borderId="109" xfId="0" applyFont="1" applyFill="1" applyBorder="1" applyAlignment="1" applyProtection="1">
      <alignment horizontal="left" indent="1"/>
      <protection/>
    </xf>
    <xf numFmtId="165" fontId="31" fillId="2" borderId="0" xfId="20" applyFont="1" applyFill="1" applyBorder="1" applyAlignment="1" applyProtection="1" quotePrefix="1">
      <alignment horizontal="left" vertical="center"/>
      <protection/>
    </xf>
    <xf numFmtId="0" fontId="0" fillId="0" borderId="0" xfId="0" applyAlignment="1">
      <alignment horizontal="left" vertical="center"/>
    </xf>
    <xf numFmtId="0" fontId="30" fillId="0" borderId="19" xfId="24" applyFont="1" applyFill="1" applyBorder="1" applyAlignment="1" applyProtection="1" quotePrefix="1">
      <alignment horizontal="left" vertical="center" wrapText="1" indent="1"/>
      <protection/>
    </xf>
    <xf numFmtId="0" fontId="29" fillId="0" borderId="20" xfId="0" applyFont="1" applyBorder="1" applyAlignment="1" applyProtection="1">
      <alignment horizontal="left" vertical="center" indent="1"/>
      <protection/>
    </xf>
    <xf numFmtId="0" fontId="29" fillId="0" borderId="53" xfId="0" applyFont="1" applyBorder="1" applyAlignment="1" applyProtection="1">
      <alignment horizontal="left" vertical="center" indent="1"/>
      <protection/>
    </xf>
    <xf numFmtId="0" fontId="29" fillId="0" borderId="110" xfId="0" applyFont="1" applyBorder="1" applyAlignment="1" applyProtection="1" quotePrefix="1">
      <alignment horizontal="left" indent="1"/>
      <protection/>
    </xf>
    <xf numFmtId="0" fontId="29" fillId="0" borderId="111" xfId="0" applyFont="1" applyBorder="1" applyAlignment="1" applyProtection="1" quotePrefix="1">
      <alignment horizontal="left" indent="1"/>
      <protection/>
    </xf>
    <xf numFmtId="0" fontId="30" fillId="0" borderId="20" xfId="24" applyFont="1" applyFill="1" applyBorder="1" applyAlignment="1" applyProtection="1" quotePrefix="1">
      <alignment horizontal="left" vertical="center" wrapText="1" indent="1"/>
      <protection/>
    </xf>
    <xf numFmtId="0" fontId="29" fillId="0" borderId="20" xfId="0" applyFont="1" applyFill="1" applyBorder="1" applyAlignment="1" applyProtection="1">
      <alignment horizontal="left" vertical="center" indent="1"/>
      <protection/>
    </xf>
    <xf numFmtId="0" fontId="29" fillId="0" borderId="53" xfId="0" applyFont="1" applyFill="1" applyBorder="1" applyAlignment="1" applyProtection="1">
      <alignment horizontal="left" vertical="center" indent="1"/>
      <protection/>
    </xf>
    <xf numFmtId="0" fontId="29" fillId="0" borderId="110" xfId="0" applyFont="1" applyFill="1" applyBorder="1" applyAlignment="1" applyProtection="1" quotePrefix="1">
      <alignment horizontal="left" indent="1"/>
      <protection/>
    </xf>
    <xf numFmtId="0" fontId="0" fillId="0" borderId="111" xfId="0" applyBorder="1" applyAlignment="1">
      <alignment horizontal="left" indent="1"/>
    </xf>
    <xf numFmtId="0" fontId="29" fillId="0" borderId="111" xfId="0" applyFont="1" applyFill="1" applyBorder="1" applyAlignment="1" applyProtection="1" quotePrefix="1">
      <alignment horizontal="left" indent="1"/>
      <protection/>
    </xf>
    <xf numFmtId="0" fontId="29" fillId="0" borderId="112" xfId="0" applyFont="1" applyFill="1" applyBorder="1" applyAlignment="1" applyProtection="1" quotePrefix="1">
      <alignment horizontal="left" indent="1"/>
      <protection/>
    </xf>
    <xf numFmtId="0" fontId="0" fillId="0" borderId="51" xfId="0" applyBorder="1" applyAlignment="1">
      <alignment horizontal="left" indent="1"/>
    </xf>
    <xf numFmtId="0" fontId="21" fillId="0" borderId="46" xfId="0" applyFont="1" applyBorder="1" applyAlignment="1">
      <alignment horizontal="center"/>
    </xf>
    <xf numFmtId="0" fontId="29" fillId="0" borderId="52" xfId="0" applyFont="1" applyFill="1" applyBorder="1" applyAlignment="1" applyProtection="1">
      <alignment horizontal="left"/>
      <protection locked="0"/>
    </xf>
    <xf numFmtId="0" fontId="9" fillId="0" borderId="52" xfId="0" applyFont="1" applyBorder="1" applyAlignment="1">
      <alignment/>
    </xf>
    <xf numFmtId="0" fontId="9" fillId="0" borderId="72" xfId="0" applyFont="1" applyBorder="1" applyAlignment="1">
      <alignment/>
    </xf>
    <xf numFmtId="165" fontId="31" fillId="2" borderId="62" xfId="20" applyFont="1" applyFill="1" applyBorder="1" applyAlignment="1" applyProtection="1" quotePrefix="1">
      <alignment horizontal="left" vertical="center"/>
      <protection/>
    </xf>
    <xf numFmtId="0" fontId="0" fillId="0" borderId="62" xfId="0" applyBorder="1" applyAlignment="1">
      <alignment horizontal="left" vertical="center"/>
    </xf>
    <xf numFmtId="0" fontId="29" fillId="0" borderId="1" xfId="0" applyFont="1" applyFill="1" applyBorder="1" applyAlignment="1" applyProtection="1">
      <alignment horizontal="left"/>
      <protection locked="0"/>
    </xf>
    <xf numFmtId="0" fontId="9" fillId="0" borderId="1" xfId="0" applyFont="1" applyBorder="1" applyAlignment="1">
      <alignment/>
    </xf>
    <xf numFmtId="0" fontId="9" fillId="0" borderId="75" xfId="0" applyFont="1" applyBorder="1" applyAlignment="1">
      <alignment/>
    </xf>
    <xf numFmtId="0" fontId="29" fillId="0" borderId="51" xfId="0" applyFont="1" applyFill="1" applyBorder="1" applyAlignment="1" applyProtection="1" quotePrefix="1">
      <alignment horizontal="left" indent="1"/>
      <protection/>
    </xf>
    <xf numFmtId="0" fontId="30" fillId="0" borderId="19" xfId="24" applyFont="1" applyFill="1" applyBorder="1" applyAlignment="1" applyProtection="1">
      <alignment horizontal="left" vertical="center" wrapText="1" indent="1"/>
      <protection/>
    </xf>
    <xf numFmtId="0" fontId="29" fillId="0" borderId="112" xfId="0" applyFont="1" applyBorder="1" applyAlignment="1" applyProtection="1" quotePrefix="1">
      <alignment horizontal="left" indent="1"/>
      <protection/>
    </xf>
    <xf numFmtId="0" fontId="29" fillId="0" borderId="51" xfId="0" applyFont="1" applyBorder="1" applyAlignment="1" applyProtection="1" quotePrefix="1">
      <alignment horizontal="left" indent="1"/>
      <protection/>
    </xf>
    <xf numFmtId="0" fontId="29" fillId="0" borderId="113" xfId="0" applyFont="1" applyBorder="1" applyAlignment="1" applyProtection="1">
      <alignment horizontal="left" indent="1"/>
      <protection/>
    </xf>
    <xf numFmtId="0" fontId="29" fillId="0" borderId="114" xfId="0" applyFont="1" applyBorder="1" applyAlignment="1" applyProtection="1">
      <alignment horizontal="left" indent="1"/>
      <protection/>
    </xf>
    <xf numFmtId="0" fontId="29" fillId="0" borderId="112" xfId="0" applyFont="1" applyBorder="1" applyAlignment="1" applyProtection="1">
      <alignment horizontal="left" indent="1"/>
      <protection/>
    </xf>
    <xf numFmtId="0" fontId="29" fillId="0" borderId="51" xfId="0" applyFont="1" applyBorder="1" applyAlignment="1" applyProtection="1">
      <alignment horizontal="left" indent="1"/>
      <protection/>
    </xf>
    <xf numFmtId="0" fontId="29" fillId="0" borderId="113" xfId="0" applyFont="1" applyBorder="1" applyAlignment="1" applyProtection="1" quotePrefix="1">
      <alignment horizontal="left" indent="1"/>
      <protection/>
    </xf>
    <xf numFmtId="0" fontId="29" fillId="0" borderId="114" xfId="0" applyFont="1" applyBorder="1" applyAlignment="1" applyProtection="1" quotePrefix="1">
      <alignment horizontal="left" indent="1"/>
      <protection/>
    </xf>
    <xf numFmtId="0" fontId="30" fillId="0" borderId="92" xfId="0" applyFont="1" applyBorder="1" applyAlignment="1" applyProtection="1">
      <alignment horizontal="center" vertical="center" wrapText="1"/>
      <protection/>
    </xf>
    <xf numFmtId="0" fontId="30" fillId="0" borderId="21" xfId="0" applyFont="1" applyBorder="1" applyAlignment="1" applyProtection="1">
      <alignment horizontal="center" vertical="center" wrapText="1"/>
      <protection/>
    </xf>
    <xf numFmtId="0" fontId="30" fillId="0" borderId="26" xfId="0" applyFont="1" applyBorder="1" applyAlignment="1" applyProtection="1">
      <alignment horizontal="center" vertical="center" wrapText="1"/>
      <protection/>
    </xf>
    <xf numFmtId="0" fontId="30" fillId="0" borderId="19" xfId="24" applyFont="1" applyFill="1" applyBorder="1" applyAlignment="1" applyProtection="1" quotePrefix="1">
      <alignment horizontal="left" vertical="center" wrapText="1"/>
      <protection/>
    </xf>
    <xf numFmtId="0" fontId="30" fillId="0" borderId="20" xfId="24" applyFont="1" applyFill="1" applyBorder="1" applyAlignment="1" applyProtection="1" quotePrefix="1">
      <alignment horizontal="left" vertical="center" wrapText="1"/>
      <protection/>
    </xf>
    <xf numFmtId="0" fontId="30" fillId="0" borderId="53" xfId="24" applyFont="1" applyFill="1" applyBorder="1" applyAlignment="1" applyProtection="1" quotePrefix="1">
      <alignment horizontal="left" vertical="center" wrapText="1"/>
      <protection/>
    </xf>
    <xf numFmtId="175" fontId="4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xf>
    <xf numFmtId="0" fontId="0" fillId="0" borderId="0" xfId="0" applyAlignment="1">
      <alignment vertical="top" wrapText="1"/>
    </xf>
    <xf numFmtId="0" fontId="9" fillId="0" borderId="7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 fillId="0" borderId="56" xfId="0" applyFont="1" applyFill="1" applyBorder="1" applyAlignment="1" quotePrefix="1">
      <alignment horizontal="left" vertical="center" wrapText="1"/>
    </xf>
    <xf numFmtId="0" fontId="0" fillId="0" borderId="56" xfId="0" applyFont="1" applyBorder="1" applyAlignment="1">
      <alignment/>
    </xf>
    <xf numFmtId="0" fontId="11" fillId="0" borderId="56" xfId="0" applyFont="1" applyFill="1" applyBorder="1" applyAlignment="1" quotePrefix="1">
      <alignment horizontal="left" vertical="center" wrapText="1"/>
    </xf>
    <xf numFmtId="0" fontId="66" fillId="0" borderId="56" xfId="0" applyFont="1" applyBorder="1" applyAlignment="1">
      <alignment horizontal="left"/>
    </xf>
    <xf numFmtId="0" fontId="29" fillId="4" borderId="86" xfId="27" applyFill="1" applyBorder="1" applyAlignment="1">
      <alignment horizontal="left" wrapText="1"/>
      <protection/>
    </xf>
    <xf numFmtId="0" fontId="29" fillId="4" borderId="49" xfId="27" applyFill="1" applyBorder="1" applyAlignment="1">
      <alignment horizontal="left" wrapText="1"/>
      <protection/>
    </xf>
    <xf numFmtId="0" fontId="29" fillId="0" borderId="8" xfId="27" applyBorder="1" applyAlignment="1">
      <alignment horizontal="center"/>
      <protection/>
    </xf>
    <xf numFmtId="0" fontId="29" fillId="0" borderId="10" xfId="27" applyBorder="1" applyAlignment="1">
      <alignment horizontal="center"/>
      <protection/>
    </xf>
    <xf numFmtId="0" fontId="3" fillId="5" borderId="19" xfId="27" applyFont="1" applyFill="1" applyBorder="1" applyAlignment="1">
      <alignment horizontal="center"/>
      <protection/>
    </xf>
    <xf numFmtId="0" fontId="3" fillId="5" borderId="20" xfId="27" applyFont="1" applyFill="1" applyBorder="1" applyAlignment="1">
      <alignment horizontal="center"/>
      <protection/>
    </xf>
    <xf numFmtId="0" fontId="3" fillId="5" borderId="8" xfId="27" applyFont="1" applyFill="1" applyBorder="1" applyAlignment="1">
      <alignment horizontal="center" wrapText="1"/>
      <protection/>
    </xf>
    <xf numFmtId="0" fontId="0" fillId="0" borderId="35" xfId="0" applyFont="1" applyBorder="1" applyAlignment="1">
      <alignment vertical="center" wrapText="1"/>
    </xf>
    <xf numFmtId="0" fontId="0" fillId="0" borderId="21" xfId="0" applyFont="1" applyBorder="1" applyAlignment="1">
      <alignment vertical="center" wrapText="1"/>
    </xf>
    <xf numFmtId="0" fontId="0" fillId="0" borderId="9" xfId="0" applyFont="1" applyBorder="1" applyAlignment="1">
      <alignment vertical="center" wrapText="1"/>
    </xf>
    <xf numFmtId="0" fontId="0" fillId="0" borderId="35" xfId="0" applyFont="1" applyBorder="1" applyAlignment="1">
      <alignment vertical="center"/>
    </xf>
    <xf numFmtId="0" fontId="0" fillId="0" borderId="21" xfId="0" applyFont="1" applyBorder="1" applyAlignment="1">
      <alignment vertical="center"/>
    </xf>
    <xf numFmtId="0" fontId="0" fillId="0" borderId="87" xfId="0" applyFont="1" applyFill="1" applyBorder="1" applyAlignment="1">
      <alignment vertical="center"/>
    </xf>
    <xf numFmtId="0" fontId="0" fillId="0" borderId="64" xfId="0" applyFont="1" applyBorder="1" applyAlignment="1">
      <alignment vertical="center"/>
    </xf>
    <xf numFmtId="0" fontId="0" fillId="0" borderId="104" xfId="0" applyFont="1" applyFill="1" applyBorder="1" applyAlignment="1">
      <alignment vertical="center"/>
    </xf>
    <xf numFmtId="0" fontId="0" fillId="0" borderId="65"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wrapText="1"/>
    </xf>
    <xf numFmtId="0" fontId="0" fillId="0" borderId="37" xfId="0" applyFont="1" applyBorder="1" applyAlignment="1">
      <alignment vertical="center" wrapText="1"/>
    </xf>
    <xf numFmtId="0" fontId="26" fillId="0" borderId="0" xfId="25" applyFont="1" applyAlignment="1">
      <alignment horizontal="left"/>
    </xf>
    <xf numFmtId="0" fontId="26" fillId="0" borderId="0" xfId="25" applyAlignment="1">
      <alignment horizontal="left"/>
    </xf>
    <xf numFmtId="0" fontId="1" fillId="0" borderId="73" xfId="0" applyFont="1" applyBorder="1" applyAlignment="1">
      <alignment horizontal="center"/>
    </xf>
    <xf numFmtId="0" fontId="1" fillId="0" borderId="1" xfId="0" applyFont="1" applyBorder="1" applyAlignment="1">
      <alignment horizontal="center"/>
    </xf>
    <xf numFmtId="0" fontId="1" fillId="0" borderId="63" xfId="0" applyFont="1" applyBorder="1" applyAlignment="1">
      <alignment horizontal="center"/>
    </xf>
    <xf numFmtId="0" fontId="26" fillId="0" borderId="0" xfId="25" applyAlignment="1">
      <alignment/>
    </xf>
  </cellXfs>
  <cellStyles count="16">
    <cellStyle name="Normal" xfId="0"/>
    <cellStyle name="Comma" xfId="15"/>
    <cellStyle name="Comma [0]" xfId="16"/>
    <cellStyle name="Currency" xfId="17"/>
    <cellStyle name="Currency [0]" xfId="18"/>
    <cellStyle name="Currency_ComLightRetroFY07v1_1" xfId="19"/>
    <cellStyle name="Date/Time" xfId="20"/>
    <cellStyle name="Decimal" xfId="21"/>
    <cellStyle name="Followed Hyperlink" xfId="22"/>
    <cellStyle name="Heading" xfId="23"/>
    <cellStyle name="Heading 2" xfId="24"/>
    <cellStyle name="Hyperlink" xfId="25"/>
    <cellStyle name="Integer" xfId="26"/>
    <cellStyle name="Normal_ComLightRetroFY07v1_1" xfId="27"/>
    <cellStyle name="Normal_EStarComFrigCalcv1_2" xfId="28"/>
    <cellStyle name="Percent" xfId="29"/>
  </cellStyles>
  <dxfs count="3">
    <dxf>
      <font>
        <color rgb="FFCCFFFF"/>
      </font>
      <border/>
    </dxf>
    <dxf>
      <font>
        <b/>
        <i val="0"/>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65</xdr:row>
      <xdr:rowOff>0</xdr:rowOff>
    </xdr:from>
    <xdr:to>
      <xdr:col>5</xdr:col>
      <xdr:colOff>390525</xdr:colOff>
      <xdr:row>65</xdr:row>
      <xdr:rowOff>0</xdr:rowOff>
    </xdr:to>
    <xdr:sp>
      <xdr:nvSpPr>
        <xdr:cNvPr id="1" name="TextBox 1"/>
        <xdr:cNvSpPr txBox="1">
          <a:spLocks noChangeArrowheads="1"/>
        </xdr:cNvSpPr>
      </xdr:nvSpPr>
      <xdr:spPr>
        <a:xfrm>
          <a:off x="238125" y="1451610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twoCellAnchor>
    <xdr:from>
      <xdr:col>1</xdr:col>
      <xdr:colOff>47625</xdr:colOff>
      <xdr:row>65</xdr:row>
      <xdr:rowOff>0</xdr:rowOff>
    </xdr:from>
    <xdr:to>
      <xdr:col>5</xdr:col>
      <xdr:colOff>390525</xdr:colOff>
      <xdr:row>65</xdr:row>
      <xdr:rowOff>0</xdr:rowOff>
    </xdr:to>
    <xdr:sp>
      <xdr:nvSpPr>
        <xdr:cNvPr id="2" name="TextBox 6"/>
        <xdr:cNvSpPr txBox="1">
          <a:spLocks noChangeArrowheads="1"/>
        </xdr:cNvSpPr>
      </xdr:nvSpPr>
      <xdr:spPr>
        <a:xfrm>
          <a:off x="238125" y="1451610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twoCellAnchor>
    <xdr:from>
      <xdr:col>1</xdr:col>
      <xdr:colOff>47625</xdr:colOff>
      <xdr:row>53</xdr:row>
      <xdr:rowOff>0</xdr:rowOff>
    </xdr:from>
    <xdr:to>
      <xdr:col>5</xdr:col>
      <xdr:colOff>390525</xdr:colOff>
      <xdr:row>53</xdr:row>
      <xdr:rowOff>0</xdr:rowOff>
    </xdr:to>
    <xdr:sp>
      <xdr:nvSpPr>
        <xdr:cNvPr id="3" name="TextBox 7"/>
        <xdr:cNvSpPr txBox="1">
          <a:spLocks noChangeArrowheads="1"/>
        </xdr:cNvSpPr>
      </xdr:nvSpPr>
      <xdr:spPr>
        <a:xfrm>
          <a:off x="238125" y="1163955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twoCellAnchor>
    <xdr:from>
      <xdr:col>1</xdr:col>
      <xdr:colOff>47625</xdr:colOff>
      <xdr:row>66</xdr:row>
      <xdr:rowOff>0</xdr:rowOff>
    </xdr:from>
    <xdr:to>
      <xdr:col>5</xdr:col>
      <xdr:colOff>390525</xdr:colOff>
      <xdr:row>66</xdr:row>
      <xdr:rowOff>0</xdr:rowOff>
    </xdr:to>
    <xdr:sp>
      <xdr:nvSpPr>
        <xdr:cNvPr id="4" name="TextBox 8"/>
        <xdr:cNvSpPr txBox="1">
          <a:spLocks noChangeArrowheads="1"/>
        </xdr:cNvSpPr>
      </xdr:nvSpPr>
      <xdr:spPr>
        <a:xfrm>
          <a:off x="238125" y="1474470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twoCellAnchor>
    <xdr:from>
      <xdr:col>1</xdr:col>
      <xdr:colOff>47625</xdr:colOff>
      <xdr:row>66</xdr:row>
      <xdr:rowOff>0</xdr:rowOff>
    </xdr:from>
    <xdr:to>
      <xdr:col>5</xdr:col>
      <xdr:colOff>390525</xdr:colOff>
      <xdr:row>66</xdr:row>
      <xdr:rowOff>0</xdr:rowOff>
    </xdr:to>
    <xdr:sp>
      <xdr:nvSpPr>
        <xdr:cNvPr id="5" name="TextBox 9"/>
        <xdr:cNvSpPr txBox="1">
          <a:spLocks noChangeArrowheads="1"/>
        </xdr:cNvSpPr>
      </xdr:nvSpPr>
      <xdr:spPr>
        <a:xfrm>
          <a:off x="238125" y="1474470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twoCellAnchor>
    <xdr:from>
      <xdr:col>1</xdr:col>
      <xdr:colOff>47625</xdr:colOff>
      <xdr:row>52</xdr:row>
      <xdr:rowOff>0</xdr:rowOff>
    </xdr:from>
    <xdr:to>
      <xdr:col>5</xdr:col>
      <xdr:colOff>390525</xdr:colOff>
      <xdr:row>52</xdr:row>
      <xdr:rowOff>0</xdr:rowOff>
    </xdr:to>
    <xdr:sp>
      <xdr:nvSpPr>
        <xdr:cNvPr id="6" name="TextBox 10"/>
        <xdr:cNvSpPr txBox="1">
          <a:spLocks noChangeArrowheads="1"/>
        </xdr:cNvSpPr>
      </xdr:nvSpPr>
      <xdr:spPr>
        <a:xfrm>
          <a:off x="238125" y="11449050"/>
          <a:ext cx="5534025" cy="0"/>
        </a:xfrm>
        <a:prstGeom prst="rect">
          <a:avLst/>
        </a:prstGeom>
        <a:solidFill>
          <a:srgbClr val="FFFFFF"/>
        </a:solidFill>
        <a:ln w="9525" cmpd="sng">
          <a:noFill/>
        </a:ln>
      </xdr:spPr>
      <xdr:txBody>
        <a:bodyPr vertOverflow="clip" wrap="square"/>
        <a:p>
          <a:pPr algn="l">
            <a:defRPr/>
          </a:pPr>
          <a:r>
            <a:rPr lang="en-US" cap="none" sz="1000" b="0" i="0" u="none" baseline="0"/>
            <a:t>Inspected By:____________________________________   Date: ___________</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rtf.nwppc.org/Documents%20and%20Settings\ccryan\Local%20Settings\Temporary%20Internet%20Files\OLK68\LightSaveYiel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rtf.nwppc.org/CG\Main\Plan%205\Commercial\Assessment\HVAC\ComLighting_v2004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SYield"/>
      <sheetName val="Plan5CHAR"/>
      <sheetName val="BType Names"/>
    </sheetNames>
    <sheetDataSet>
      <sheetData sheetId="2">
        <row r="2">
          <cell r="A2" t="str">
            <v>5th Plan Building Type Names</v>
          </cell>
          <cell r="B2" t="str">
            <v>Synergy Building Type Names</v>
          </cell>
        </row>
        <row r="3">
          <cell r="A3" t="str">
            <v>University</v>
          </cell>
          <cell r="B3" t="str">
            <v> College or University</v>
          </cell>
        </row>
        <row r="4">
          <cell r="A4" t="str">
            <v>Hospital</v>
          </cell>
          <cell r="B4" t="str">
            <v> Hospital</v>
          </cell>
        </row>
        <row r="5">
          <cell r="A5" t="str">
            <v>Lodging</v>
          </cell>
          <cell r="B5" t="str">
            <v> Lodging</v>
          </cell>
        </row>
        <row r="6">
          <cell r="A6" t="str">
            <v>Small Off</v>
          </cell>
          <cell r="B6" t="str">
            <v> Office &lt;20,000 sf</v>
          </cell>
        </row>
        <row r="7">
          <cell r="A7" t="str">
            <v>Medium Off</v>
          </cell>
          <cell r="B7" t="str">
            <v> Office &gt;100,000 sf</v>
          </cell>
        </row>
        <row r="8">
          <cell r="A8" t="str">
            <v>Large Off</v>
          </cell>
          <cell r="B8" t="str">
            <v> Office 20,000 to 100,000 sf</v>
          </cell>
        </row>
        <row r="9">
          <cell r="A9" t="str">
            <v>Other</v>
          </cell>
          <cell r="B9" t="str">
            <v> Other Commercial</v>
          </cell>
        </row>
        <row r="10">
          <cell r="A10" t="str">
            <v>OtherHealth</v>
          </cell>
          <cell r="B10" t="str">
            <v> Other Health, Nursing, Medical Clinic</v>
          </cell>
        </row>
        <row r="11">
          <cell r="A11" t="str">
            <v>Restaurant</v>
          </cell>
          <cell r="B11" t="str">
            <v> Restaurant</v>
          </cell>
        </row>
        <row r="12">
          <cell r="A12" t="str">
            <v>Small Box</v>
          </cell>
          <cell r="B12" t="str">
            <v> Retail 5,000 to 50,000 sf</v>
          </cell>
        </row>
        <row r="13">
          <cell r="A13" t="str">
            <v>Anchor</v>
          </cell>
          <cell r="B13" t="str">
            <v> Retail Anchor Store &gt;50,000 sf Multistory</v>
          </cell>
        </row>
        <row r="14">
          <cell r="A14" t="str">
            <v>Big Box</v>
          </cell>
          <cell r="B14" t="str">
            <v> Retail Big Box &gt;50,000 sf One-Story</v>
          </cell>
        </row>
        <row r="15">
          <cell r="A15" t="str">
            <v>High End</v>
          </cell>
          <cell r="B15" t="str">
            <v> Retail Boutique &lt;5,000 sf</v>
          </cell>
        </row>
        <row r="16">
          <cell r="A16" t="str">
            <v>MiniMart</v>
          </cell>
          <cell r="B16" t="str">
            <v> Retail Mini Mart</v>
          </cell>
        </row>
        <row r="17">
          <cell r="A17" t="str">
            <v>Supermarket</v>
          </cell>
          <cell r="B17" t="str">
            <v> Retail Supermarket</v>
          </cell>
        </row>
        <row r="18">
          <cell r="A18" t="str">
            <v>K-12</v>
          </cell>
          <cell r="B18" t="str">
            <v> School K-12</v>
          </cell>
        </row>
        <row r="19">
          <cell r="A19" t="str">
            <v>Warehouse</v>
          </cell>
          <cell r="B19" t="str">
            <v> Warehouse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amp;B Retro Deemed  Measure Table"/>
      <sheetName val="L&amp;B Retrofit Bulk System Value"/>
      <sheetName val="L&amp;B New Bulk System Value"/>
      <sheetName val="ProData"/>
      <sheetName val="Generic Lamp&amp;Ballast Retrofit"/>
      <sheetName val="Generic Lamp&amp;Ballast New"/>
      <sheetName val="Specific L&amp;B Retro 2003"/>
      <sheetName val="Specific Lamp&amp;Ballast Retrofit"/>
      <sheetName val="Lamp&amp;Ballast Retrfit by Bld 03"/>
      <sheetName val="Lamp&amp;Ballast Retrfit by Bldg"/>
      <sheetName val="Building Specific Data 2003"/>
      <sheetName val="Existing Building Inputs 2003"/>
      <sheetName val="Building Specific Data"/>
      <sheetName val="Retrofit Descriptions-old"/>
      <sheetName val="Retrofit Descriptions 2003"/>
      <sheetName val="Data All"/>
      <sheetName val="Data All (old)"/>
      <sheetName val="Lamps&amp; Ballasts Data"/>
      <sheetName val="FEMP DATA"/>
      <sheetName val="Cost Data 03"/>
      <sheetName val="DOE Stds Data"/>
      <sheetName val="Stock Floorspace &amp; Use in 1993"/>
      <sheetName val="New Building Inputs"/>
      <sheetName val="Existing Building Inputs"/>
      <sheetName val="PT - L&amp;B All"/>
      <sheetName val="PT Summary"/>
      <sheetName val="Update 2004"/>
      <sheetName val="Measure Family 2003"/>
      <sheetName val="To Do"/>
    </sheetNames>
    <sheetDataSet>
      <sheetData sheetId="19">
        <row r="3">
          <cell r="B3" t="str">
            <v>System ID Tag</v>
          </cell>
          <cell r="C3" t="str">
            <v>Lamp Type</v>
          </cell>
          <cell r="D3" t="str">
            <v># of Lamps</v>
          </cell>
          <cell r="E3" t="str">
            <v>LAMP_HR    </v>
          </cell>
          <cell r="F3" t="str">
            <v>lamp cost 2003</v>
          </cell>
          <cell r="G3" t="str">
            <v>$2000 AVG_LCST   </v>
          </cell>
          <cell r="H3" t="str">
            <v>LMP_TIME   </v>
          </cell>
          <cell r="I3" t="str">
            <v>BALL_HR    </v>
          </cell>
          <cell r="J3" t="str">
            <v>$2003 AVG_BCST   </v>
          </cell>
          <cell r="K3" t="str">
            <v>$2000 AVG_BCST   </v>
          </cell>
          <cell r="L3" t="str">
            <v>BAL_TIME   </v>
          </cell>
          <cell r="M3" t="str">
            <v># of Ballasts</v>
          </cell>
        </row>
        <row r="4">
          <cell r="B4" t="str">
            <v>T12 4' Fluorescent, 2-F40T12ES 34W, 1-MAG EE</v>
          </cell>
          <cell r="C4" t="str">
            <v>F40T12ES</v>
          </cell>
          <cell r="D4">
            <v>2</v>
          </cell>
          <cell r="E4">
            <v>20000</v>
          </cell>
          <cell r="F4">
            <v>1.22</v>
          </cell>
          <cell r="G4">
            <v>1.1226595744680852</v>
          </cell>
          <cell r="H4">
            <v>0.09</v>
          </cell>
          <cell r="I4">
            <v>60000</v>
          </cell>
          <cell r="J4">
            <v>12</v>
          </cell>
          <cell r="K4">
            <v>11.042553191489361</v>
          </cell>
          <cell r="L4">
            <v>0.33</v>
          </cell>
          <cell r="M4">
            <v>1</v>
          </cell>
        </row>
        <row r="5">
          <cell r="B5" t="str">
            <v>T12 4' Fluorescent, 2-F40T12ES 34W, 1-MAG EE</v>
          </cell>
          <cell r="C5" t="str">
            <v>F40T12ES</v>
          </cell>
          <cell r="D5">
            <v>2</v>
          </cell>
          <cell r="E5">
            <v>20000</v>
          </cell>
          <cell r="F5">
            <v>1.22</v>
          </cell>
          <cell r="G5">
            <v>1.1226595744680852</v>
          </cell>
          <cell r="H5">
            <v>0.09</v>
          </cell>
          <cell r="I5">
            <v>60000</v>
          </cell>
          <cell r="J5">
            <v>12</v>
          </cell>
          <cell r="K5">
            <v>11.042553191489361</v>
          </cell>
          <cell r="L5">
            <v>0.33</v>
          </cell>
          <cell r="M5">
            <v>1</v>
          </cell>
        </row>
        <row r="6">
          <cell r="B6" t="str">
            <v>T12 4' Fluorescent, 1-F40T12ES 34W, 1-MAG EE</v>
          </cell>
          <cell r="C6" t="str">
            <v>F40T12ES</v>
          </cell>
          <cell r="D6">
            <v>1</v>
          </cell>
          <cell r="E6">
            <v>20000</v>
          </cell>
          <cell r="F6">
            <v>1.22</v>
          </cell>
          <cell r="G6">
            <v>1.1226595744680852</v>
          </cell>
          <cell r="H6">
            <v>0.09</v>
          </cell>
          <cell r="I6">
            <v>60000</v>
          </cell>
          <cell r="J6">
            <v>12</v>
          </cell>
          <cell r="K6">
            <v>11.042553191489361</v>
          </cell>
          <cell r="L6">
            <v>0.33</v>
          </cell>
          <cell r="M6">
            <v>1</v>
          </cell>
        </row>
        <row r="7">
          <cell r="B7" t="str">
            <v>T12 4' Fluorescent, 3-F40T12ES 34W, 2-MAG EE</v>
          </cell>
          <cell r="C7" t="str">
            <v>F40T12ES</v>
          </cell>
          <cell r="D7">
            <v>3</v>
          </cell>
          <cell r="E7">
            <v>20000</v>
          </cell>
          <cell r="F7">
            <v>1.22</v>
          </cell>
          <cell r="G7">
            <v>1.1226595744680852</v>
          </cell>
          <cell r="H7">
            <v>0.09</v>
          </cell>
          <cell r="I7">
            <v>60000</v>
          </cell>
          <cell r="J7">
            <v>13</v>
          </cell>
          <cell r="K7">
            <v>11.962765957446809</v>
          </cell>
          <cell r="L7">
            <v>0.42</v>
          </cell>
          <cell r="M7">
            <v>2</v>
          </cell>
        </row>
        <row r="8">
          <cell r="B8" t="str">
            <v>T12 4' Fluorescent, 3-F40T12ES 34W, 2-MAG EE</v>
          </cell>
          <cell r="C8" t="str">
            <v>F40T12ES</v>
          </cell>
          <cell r="D8">
            <v>3</v>
          </cell>
          <cell r="E8">
            <v>20000</v>
          </cell>
          <cell r="F8">
            <v>1.22</v>
          </cell>
          <cell r="G8">
            <v>1.1226595744680852</v>
          </cell>
          <cell r="H8">
            <v>0.09</v>
          </cell>
          <cell r="I8">
            <v>60000</v>
          </cell>
          <cell r="J8">
            <v>13</v>
          </cell>
          <cell r="K8">
            <v>11.962765957446809</v>
          </cell>
          <cell r="L8">
            <v>0.42</v>
          </cell>
          <cell r="M8">
            <v>2</v>
          </cell>
        </row>
        <row r="9">
          <cell r="B9" t="str">
            <v>T12 4' Fluorescent, 4-F40T12ES 34W, 2-MAG EE</v>
          </cell>
          <cell r="C9" t="str">
            <v>F40T12ES</v>
          </cell>
          <cell r="D9">
            <v>4</v>
          </cell>
          <cell r="E9">
            <v>20000</v>
          </cell>
          <cell r="F9">
            <v>1.22</v>
          </cell>
          <cell r="G9">
            <v>1.1226595744680852</v>
          </cell>
          <cell r="H9">
            <v>0.09</v>
          </cell>
          <cell r="I9">
            <v>60000</v>
          </cell>
          <cell r="J9">
            <v>13</v>
          </cell>
          <cell r="K9">
            <v>11.962765957446809</v>
          </cell>
          <cell r="L9">
            <v>0.42</v>
          </cell>
          <cell r="M9">
            <v>2</v>
          </cell>
        </row>
        <row r="10">
          <cell r="B10" t="str">
            <v>T12 4' Fluorescent, 4-F40T12ES 34W, 2-MAG EE</v>
          </cell>
          <cell r="C10" t="str">
            <v>F40T12ES</v>
          </cell>
          <cell r="D10">
            <v>4</v>
          </cell>
          <cell r="E10">
            <v>20000</v>
          </cell>
          <cell r="F10">
            <v>1.22</v>
          </cell>
          <cell r="G10">
            <v>1.1226595744680852</v>
          </cell>
          <cell r="H10">
            <v>0.09</v>
          </cell>
          <cell r="I10">
            <v>60000</v>
          </cell>
          <cell r="J10">
            <v>13</v>
          </cell>
          <cell r="K10">
            <v>11.962765957446809</v>
          </cell>
          <cell r="L10">
            <v>0.42</v>
          </cell>
          <cell r="M10">
            <v>2</v>
          </cell>
        </row>
        <row r="11">
          <cell r="B11" t="str">
            <v>T12 8' Fluorescent, 1-F96T12ES 60W, 1-MAG</v>
          </cell>
          <cell r="C11" t="str">
            <v>F96T12ES</v>
          </cell>
          <cell r="D11">
            <v>1</v>
          </cell>
          <cell r="E11">
            <v>12000</v>
          </cell>
          <cell r="F11">
            <v>6.52</v>
          </cell>
          <cell r="G11">
            <v>5.999787234042553</v>
          </cell>
          <cell r="H11">
            <v>0.09</v>
          </cell>
          <cell r="I11">
            <v>60000</v>
          </cell>
          <cell r="J11">
            <v>21</v>
          </cell>
          <cell r="K11">
            <v>19.324468085106382</v>
          </cell>
          <cell r="L11">
            <v>0.33</v>
          </cell>
          <cell r="M11">
            <v>1</v>
          </cell>
        </row>
        <row r="12">
          <cell r="B12" t="str">
            <v>T12 8' Fluorescent, 1-F96T12HOES 95W, 1-MAG</v>
          </cell>
          <cell r="C12" t="str">
            <v>F96T12HOES</v>
          </cell>
          <cell r="D12">
            <v>1</v>
          </cell>
          <cell r="E12">
            <v>12000</v>
          </cell>
          <cell r="F12">
            <v>7.63</v>
          </cell>
          <cell r="G12">
            <v>7.021223404255319</v>
          </cell>
          <cell r="H12">
            <v>0.09</v>
          </cell>
          <cell r="I12">
            <v>60000</v>
          </cell>
          <cell r="J12">
            <v>21</v>
          </cell>
          <cell r="K12">
            <v>19.324468085106382</v>
          </cell>
          <cell r="L12">
            <v>0.33</v>
          </cell>
          <cell r="M12">
            <v>1</v>
          </cell>
        </row>
        <row r="13">
          <cell r="B13" t="str">
            <v>T12 8' Fluorescent, 1-F96T12VHOES 185W, 1-MAG</v>
          </cell>
          <cell r="C13" t="str">
            <v>F96T12VHOES</v>
          </cell>
          <cell r="D13">
            <v>1</v>
          </cell>
          <cell r="E13">
            <v>12000</v>
          </cell>
          <cell r="F13">
            <v>12.58</v>
          </cell>
          <cell r="G13">
            <v>11.576276595744682</v>
          </cell>
          <cell r="H13">
            <v>0.09</v>
          </cell>
          <cell r="I13">
            <v>60000</v>
          </cell>
          <cell r="J13">
            <v>21</v>
          </cell>
          <cell r="K13">
            <v>19.324468085106382</v>
          </cell>
          <cell r="L13">
            <v>0.33</v>
          </cell>
          <cell r="M13">
            <v>1</v>
          </cell>
        </row>
        <row r="14">
          <cell r="B14" t="str">
            <v>T12 8' Fluorescent, 2-F96T12ES 60W, 1-MAG EE</v>
          </cell>
          <cell r="C14" t="str">
            <v>F96T12ES</v>
          </cell>
          <cell r="D14">
            <v>2</v>
          </cell>
          <cell r="E14">
            <v>12000</v>
          </cell>
          <cell r="F14">
            <v>6.52</v>
          </cell>
          <cell r="G14">
            <v>5.999787234042553</v>
          </cell>
          <cell r="H14">
            <v>0.09</v>
          </cell>
          <cell r="I14">
            <v>60000</v>
          </cell>
          <cell r="J14">
            <v>23</v>
          </cell>
          <cell r="K14">
            <v>21.164893617021278</v>
          </cell>
          <cell r="L14">
            <v>0.33</v>
          </cell>
          <cell r="M14">
            <v>1</v>
          </cell>
        </row>
        <row r="15">
          <cell r="B15" t="str">
            <v>T12 8' Fluorescent, 2-F96T12ES 60W, 1-MAG EE</v>
          </cell>
          <cell r="C15" t="str">
            <v>F96T12ES</v>
          </cell>
          <cell r="D15">
            <v>2</v>
          </cell>
          <cell r="E15">
            <v>12000</v>
          </cell>
          <cell r="F15">
            <v>6.52</v>
          </cell>
          <cell r="G15">
            <v>5.999787234042553</v>
          </cell>
          <cell r="H15">
            <v>0.09</v>
          </cell>
          <cell r="I15">
            <v>60000</v>
          </cell>
          <cell r="J15">
            <v>23</v>
          </cell>
          <cell r="K15">
            <v>21.164893617021278</v>
          </cell>
          <cell r="L15">
            <v>0.33</v>
          </cell>
          <cell r="M15">
            <v>1</v>
          </cell>
        </row>
        <row r="16">
          <cell r="B16" t="str">
            <v>T12 8' Fluorescent, 2-F96T12HOES 95W, 1-MAG</v>
          </cell>
          <cell r="C16" t="str">
            <v>F96T12HOES</v>
          </cell>
          <cell r="D16">
            <v>2</v>
          </cell>
          <cell r="E16">
            <v>12000</v>
          </cell>
          <cell r="F16">
            <v>7.63</v>
          </cell>
          <cell r="G16">
            <v>7.021223404255319</v>
          </cell>
          <cell r="H16">
            <v>0.09</v>
          </cell>
          <cell r="I16">
            <v>60000</v>
          </cell>
          <cell r="J16">
            <v>41</v>
          </cell>
          <cell r="K16">
            <v>37.72872340425532</v>
          </cell>
          <cell r="L16">
            <v>0.33</v>
          </cell>
          <cell r="M16">
            <v>1</v>
          </cell>
        </row>
        <row r="17">
          <cell r="B17" t="str">
            <v>T12 8' Fluorescent, 2-F96T12VHOES 185W, 1-MAG</v>
          </cell>
          <cell r="C17" t="str">
            <v>F96T12VHOES</v>
          </cell>
          <cell r="D17">
            <v>2</v>
          </cell>
          <cell r="E17">
            <v>10000</v>
          </cell>
          <cell r="F17">
            <v>12.58</v>
          </cell>
          <cell r="G17">
            <v>11.576276595744682</v>
          </cell>
          <cell r="H17">
            <v>0.09</v>
          </cell>
          <cell r="I17">
            <v>60000</v>
          </cell>
          <cell r="J17">
            <v>63</v>
          </cell>
          <cell r="K17">
            <v>57.97340425531915</v>
          </cell>
          <cell r="L17">
            <v>0.33</v>
          </cell>
          <cell r="M17">
            <v>1</v>
          </cell>
        </row>
        <row r="18">
          <cell r="B18" t="str">
            <v>T12 8' Fluorescent, 2-F96T12VHOES 185W, 1-MAG</v>
          </cell>
          <cell r="C18" t="str">
            <v>F96T12VHOES</v>
          </cell>
          <cell r="D18">
            <v>2</v>
          </cell>
          <cell r="E18">
            <v>10000</v>
          </cell>
          <cell r="F18">
            <v>12.58</v>
          </cell>
          <cell r="G18">
            <v>11.576276595744682</v>
          </cell>
          <cell r="H18">
            <v>0.09</v>
          </cell>
          <cell r="I18">
            <v>60000</v>
          </cell>
          <cell r="J18">
            <v>63</v>
          </cell>
          <cell r="K18">
            <v>57.97340425531915</v>
          </cell>
          <cell r="L18">
            <v>0.33</v>
          </cell>
          <cell r="M18">
            <v>1</v>
          </cell>
        </row>
        <row r="19">
          <cell r="B19" t="str">
            <v>T8 Fluorescent, 2-F32T8 32W, 1-ELEC</v>
          </cell>
          <cell r="C19" t="str">
            <v>F32T8</v>
          </cell>
          <cell r="D19">
            <v>2</v>
          </cell>
          <cell r="E19">
            <v>24000</v>
          </cell>
          <cell r="F19">
            <v>2.5</v>
          </cell>
          <cell r="G19">
            <v>2.300531914893617</v>
          </cell>
          <cell r="H19">
            <v>0.09</v>
          </cell>
          <cell r="I19">
            <v>60000</v>
          </cell>
          <cell r="J19">
            <v>12</v>
          </cell>
          <cell r="K19">
            <v>11.042553191489361</v>
          </cell>
          <cell r="L19">
            <v>0.33</v>
          </cell>
          <cell r="M19">
            <v>1</v>
          </cell>
        </row>
        <row r="20">
          <cell r="B20" t="str">
            <v>T8 Fluorescent, 3-F32T8 32W, 1-ELEC</v>
          </cell>
          <cell r="C20" t="str">
            <v>F32T8</v>
          </cell>
          <cell r="D20">
            <v>3</v>
          </cell>
          <cell r="E20">
            <v>24000</v>
          </cell>
          <cell r="F20">
            <v>2.5</v>
          </cell>
          <cell r="G20">
            <v>2.300531914893617</v>
          </cell>
          <cell r="H20">
            <v>0.09</v>
          </cell>
          <cell r="I20">
            <v>60000</v>
          </cell>
          <cell r="J20">
            <v>14</v>
          </cell>
          <cell r="K20">
            <v>12.882978723404255</v>
          </cell>
          <cell r="L20">
            <v>0.33</v>
          </cell>
          <cell r="M20">
            <v>1</v>
          </cell>
        </row>
        <row r="21">
          <cell r="B21" t="str">
            <v>T8 Fluorescent, 3-F32T8 32W, 1-ELEC</v>
          </cell>
          <cell r="C21" t="str">
            <v>F32T8</v>
          </cell>
          <cell r="D21">
            <v>3</v>
          </cell>
          <cell r="E21">
            <v>24000</v>
          </cell>
          <cell r="F21">
            <v>2.5</v>
          </cell>
          <cell r="G21">
            <v>2.300531914893617</v>
          </cell>
          <cell r="H21">
            <v>0.09</v>
          </cell>
          <cell r="I21">
            <v>60000</v>
          </cell>
          <cell r="J21">
            <v>14</v>
          </cell>
          <cell r="K21">
            <v>12.882978723404255</v>
          </cell>
          <cell r="L21">
            <v>0.33</v>
          </cell>
          <cell r="M21">
            <v>1</v>
          </cell>
        </row>
        <row r="22">
          <cell r="B22" t="str">
            <v>T8 Fluorescent, 4-F32T8 32W, 1-ELEC</v>
          </cell>
          <cell r="C22" t="str">
            <v>F32T8</v>
          </cell>
          <cell r="D22">
            <v>4</v>
          </cell>
          <cell r="E22">
            <v>24000</v>
          </cell>
          <cell r="F22">
            <v>2.5</v>
          </cell>
          <cell r="G22">
            <v>2.300531914893617</v>
          </cell>
          <cell r="H22">
            <v>0.09</v>
          </cell>
          <cell r="I22">
            <v>60000</v>
          </cell>
          <cell r="J22">
            <v>15</v>
          </cell>
          <cell r="K22">
            <v>13.803191489361703</v>
          </cell>
          <cell r="L22">
            <v>0.33</v>
          </cell>
          <cell r="M22">
            <v>1</v>
          </cell>
        </row>
        <row r="23">
          <cell r="B23" t="str">
            <v>T8 Fluorescent, 4-F32T8 32W, 1-ELEC</v>
          </cell>
          <cell r="C23" t="str">
            <v>F32T8</v>
          </cell>
          <cell r="D23">
            <v>4</v>
          </cell>
          <cell r="E23">
            <v>24000</v>
          </cell>
          <cell r="F23">
            <v>2.5</v>
          </cell>
          <cell r="G23">
            <v>2.300531914893617</v>
          </cell>
          <cell r="H23">
            <v>0.09</v>
          </cell>
          <cell r="I23">
            <v>60000</v>
          </cell>
          <cell r="J23">
            <v>15</v>
          </cell>
          <cell r="K23">
            <v>13.803191489361703</v>
          </cell>
          <cell r="L23">
            <v>0.33</v>
          </cell>
          <cell r="M23">
            <v>1</v>
          </cell>
        </row>
        <row r="24">
          <cell r="B24" t="str">
            <v>T8 Fluorescent, 2-F96T8HO 86W, 1-ELEC</v>
          </cell>
          <cell r="C24" t="str">
            <v>F96T8HO</v>
          </cell>
          <cell r="D24">
            <v>2</v>
          </cell>
          <cell r="E24">
            <v>10000</v>
          </cell>
          <cell r="F24">
            <v>12.61</v>
          </cell>
          <cell r="G24">
            <v>11.603882978723403</v>
          </cell>
          <cell r="H24">
            <v>0.09</v>
          </cell>
          <cell r="I24">
            <v>45000</v>
          </cell>
          <cell r="J24">
            <v>21</v>
          </cell>
          <cell r="K24">
            <v>19.324468085106382</v>
          </cell>
          <cell r="L24">
            <v>0.33</v>
          </cell>
          <cell r="M24">
            <v>1</v>
          </cell>
        </row>
        <row r="25">
          <cell r="B25" t="str">
            <v>Metal Halide, 1-STD 1000W, 1-MAG</v>
          </cell>
          <cell r="C25" t="str">
            <v>STD</v>
          </cell>
          <cell r="D25">
            <v>1</v>
          </cell>
          <cell r="E25">
            <v>12000</v>
          </cell>
          <cell r="F25">
            <v>45</v>
          </cell>
          <cell r="G25">
            <v>41.409574468085104</v>
          </cell>
          <cell r="H25">
            <v>0.4</v>
          </cell>
          <cell r="I25">
            <v>45000</v>
          </cell>
          <cell r="J25">
            <v>50</v>
          </cell>
          <cell r="K25">
            <v>46.01063829787234</v>
          </cell>
          <cell r="L25">
            <v>1.4</v>
          </cell>
          <cell r="M25">
            <v>1</v>
          </cell>
        </row>
        <row r="26">
          <cell r="B26" t="str">
            <v>Metal Halide, 1-STD 100W, 1-MAG</v>
          </cell>
          <cell r="C26" t="str">
            <v>STD</v>
          </cell>
          <cell r="D26">
            <v>1</v>
          </cell>
          <cell r="E26">
            <v>10000</v>
          </cell>
          <cell r="F26">
            <v>20</v>
          </cell>
          <cell r="G26">
            <v>18.404255319148938</v>
          </cell>
          <cell r="H26">
            <v>0.4</v>
          </cell>
          <cell r="I26">
            <v>45000</v>
          </cell>
          <cell r="J26">
            <v>50</v>
          </cell>
          <cell r="K26">
            <v>46.01063829787234</v>
          </cell>
          <cell r="L26">
            <v>1.4</v>
          </cell>
          <cell r="M26">
            <v>1</v>
          </cell>
        </row>
        <row r="27">
          <cell r="B27" t="str">
            <v>Metal Halide, 1-STD 150W, 1-MAG</v>
          </cell>
          <cell r="C27" t="str">
            <v>STD</v>
          </cell>
          <cell r="D27">
            <v>1</v>
          </cell>
          <cell r="E27">
            <v>10000</v>
          </cell>
          <cell r="F27">
            <v>20</v>
          </cell>
          <cell r="G27">
            <v>18.404255319148938</v>
          </cell>
          <cell r="H27">
            <v>0.4</v>
          </cell>
          <cell r="I27">
            <v>45000</v>
          </cell>
          <cell r="J27">
            <v>45</v>
          </cell>
          <cell r="K27">
            <v>41.409574468085104</v>
          </cell>
          <cell r="L27">
            <v>1.4</v>
          </cell>
          <cell r="M27">
            <v>1</v>
          </cell>
        </row>
        <row r="28">
          <cell r="B28" t="str">
            <v>Metal Halide, 1-STD 175W, 1-MAG</v>
          </cell>
          <cell r="C28" t="str">
            <v>STD</v>
          </cell>
          <cell r="D28">
            <v>1</v>
          </cell>
          <cell r="E28">
            <v>10000</v>
          </cell>
          <cell r="F28">
            <v>20</v>
          </cell>
          <cell r="G28">
            <v>18.404255319148938</v>
          </cell>
          <cell r="H28">
            <v>0.4</v>
          </cell>
          <cell r="I28">
            <v>45000</v>
          </cell>
          <cell r="J28">
            <v>48</v>
          </cell>
          <cell r="K28">
            <v>44.170212765957444</v>
          </cell>
          <cell r="L28">
            <v>1.4</v>
          </cell>
          <cell r="M28">
            <v>1</v>
          </cell>
        </row>
        <row r="29">
          <cell r="B29" t="str">
            <v>Metal Halide, 1-STD 250W, 1-MAG</v>
          </cell>
          <cell r="C29" t="str">
            <v>STD</v>
          </cell>
          <cell r="D29">
            <v>1</v>
          </cell>
          <cell r="E29">
            <v>10000</v>
          </cell>
          <cell r="F29">
            <v>20</v>
          </cell>
          <cell r="G29">
            <v>18.404255319148938</v>
          </cell>
          <cell r="H29">
            <v>0.4</v>
          </cell>
          <cell r="I29">
            <v>45000</v>
          </cell>
          <cell r="J29">
            <v>61</v>
          </cell>
          <cell r="K29">
            <v>56.13297872340426</v>
          </cell>
          <cell r="L29">
            <v>1.4</v>
          </cell>
          <cell r="M29">
            <v>1</v>
          </cell>
        </row>
        <row r="30">
          <cell r="B30" t="str">
            <v>Metal Halide, 1-STD 400W, 1-MAG</v>
          </cell>
          <cell r="C30" t="str">
            <v>STD</v>
          </cell>
          <cell r="D30">
            <v>1</v>
          </cell>
          <cell r="E30">
            <v>12000</v>
          </cell>
          <cell r="F30">
            <v>20</v>
          </cell>
          <cell r="G30">
            <v>18.404255319148938</v>
          </cell>
          <cell r="H30">
            <v>0.4</v>
          </cell>
          <cell r="I30">
            <v>45000</v>
          </cell>
          <cell r="J30">
            <v>50</v>
          </cell>
          <cell r="K30">
            <v>46.01063829787234</v>
          </cell>
          <cell r="L30">
            <v>1.4</v>
          </cell>
          <cell r="M30">
            <v>1</v>
          </cell>
        </row>
        <row r="31">
          <cell r="B31" t="str">
            <v>Metal Halide, 1-STD 50W, 1-MAG</v>
          </cell>
          <cell r="C31" t="str">
            <v>STD</v>
          </cell>
          <cell r="D31">
            <v>1</v>
          </cell>
          <cell r="E31">
            <v>10000</v>
          </cell>
          <cell r="F31">
            <v>25</v>
          </cell>
          <cell r="G31">
            <v>23.00531914893617</v>
          </cell>
          <cell r="H31">
            <v>0.4</v>
          </cell>
          <cell r="I31">
            <v>45000</v>
          </cell>
          <cell r="J31">
            <v>25</v>
          </cell>
          <cell r="K31">
            <v>23.00531914893617</v>
          </cell>
          <cell r="L31">
            <v>1.4</v>
          </cell>
          <cell r="M31">
            <v>1</v>
          </cell>
        </row>
        <row r="32">
          <cell r="B32" t="str">
            <v>Metal Halide, 1-STD 70W, 1-MAG</v>
          </cell>
          <cell r="C32" t="str">
            <v>STD</v>
          </cell>
          <cell r="D32">
            <v>1</v>
          </cell>
          <cell r="E32">
            <v>10000</v>
          </cell>
          <cell r="F32">
            <v>25</v>
          </cell>
          <cell r="G32">
            <v>23.00531914893617</v>
          </cell>
          <cell r="H32">
            <v>0.4</v>
          </cell>
          <cell r="I32">
            <v>45000</v>
          </cell>
          <cell r="J32">
            <v>25</v>
          </cell>
          <cell r="K32">
            <v>23.00531914893617</v>
          </cell>
          <cell r="L32">
            <v>1.4</v>
          </cell>
          <cell r="M32">
            <v>1</v>
          </cell>
        </row>
        <row r="33">
          <cell r="B33" t="str">
            <v>Incandescent, 1-PS40 500W, 1-None</v>
          </cell>
          <cell r="C33" t="str">
            <v>PS40</v>
          </cell>
          <cell r="D33">
            <v>1</v>
          </cell>
          <cell r="G33">
            <v>0</v>
          </cell>
          <cell r="K33">
            <v>0</v>
          </cell>
          <cell r="M33">
            <v>1</v>
          </cell>
        </row>
        <row r="34">
          <cell r="B34" t="str">
            <v>Incandescent, 1-PAR 150W, 1-None</v>
          </cell>
          <cell r="C34" t="str">
            <v>PAR</v>
          </cell>
          <cell r="D34">
            <v>1</v>
          </cell>
          <cell r="E34">
            <v>1750</v>
          </cell>
          <cell r="F34">
            <v>4.35</v>
          </cell>
          <cell r="G34">
            <v>4.002925531914894</v>
          </cell>
          <cell r="H34">
            <v>0.09</v>
          </cell>
          <cell r="K34">
            <v>0</v>
          </cell>
          <cell r="M34">
            <v>1</v>
          </cell>
        </row>
        <row r="35">
          <cell r="B35" t="str">
            <v>Incandescent, 1-R 150W, 1-None</v>
          </cell>
          <cell r="C35" t="str">
            <v>R</v>
          </cell>
          <cell r="D35">
            <v>1</v>
          </cell>
          <cell r="E35">
            <v>2000</v>
          </cell>
          <cell r="F35">
            <v>7</v>
          </cell>
          <cell r="G35">
            <v>6.441489361702128</v>
          </cell>
          <cell r="H35">
            <v>0.09</v>
          </cell>
          <cell r="K35">
            <v>0</v>
          </cell>
          <cell r="M35">
            <v>1</v>
          </cell>
        </row>
        <row r="36">
          <cell r="B36" t="str">
            <v>Incandescent, 1-PAR 100W, 1-None</v>
          </cell>
          <cell r="C36" t="str">
            <v>PAR</v>
          </cell>
          <cell r="D36">
            <v>1</v>
          </cell>
          <cell r="E36">
            <v>2000</v>
          </cell>
          <cell r="F36">
            <v>4</v>
          </cell>
          <cell r="G36">
            <v>3.6808510638297873</v>
          </cell>
          <cell r="H36">
            <v>0.09</v>
          </cell>
          <cell r="K36">
            <v>0</v>
          </cell>
          <cell r="M36">
            <v>1</v>
          </cell>
        </row>
        <row r="37">
          <cell r="B37" t="str">
            <v>Mercury Vapor, 1-STD 1000W, 1-MAG</v>
          </cell>
          <cell r="C37" t="str">
            <v>STD</v>
          </cell>
          <cell r="D37">
            <v>1</v>
          </cell>
          <cell r="E37">
            <v>24000</v>
          </cell>
          <cell r="F37">
            <v>57</v>
          </cell>
          <cell r="G37">
            <v>52.45212765957447</v>
          </cell>
          <cell r="H37">
            <v>0.4</v>
          </cell>
          <cell r="I37">
            <v>45000</v>
          </cell>
          <cell r="J37">
            <v>50</v>
          </cell>
          <cell r="K37">
            <v>46.01063829787234</v>
          </cell>
          <cell r="L37">
            <v>1.4</v>
          </cell>
          <cell r="M37">
            <v>1</v>
          </cell>
        </row>
        <row r="38">
          <cell r="B38" t="str">
            <v>Mercury Vapor, 1-STD 100W, 1-MAG</v>
          </cell>
          <cell r="C38" t="str">
            <v>STD</v>
          </cell>
          <cell r="D38">
            <v>1</v>
          </cell>
          <cell r="E38">
            <v>24000</v>
          </cell>
          <cell r="F38">
            <v>20</v>
          </cell>
          <cell r="G38">
            <v>18.404255319148938</v>
          </cell>
          <cell r="H38">
            <v>0.4</v>
          </cell>
          <cell r="I38">
            <v>45000</v>
          </cell>
          <cell r="J38">
            <v>50</v>
          </cell>
          <cell r="K38">
            <v>46.01063829787234</v>
          </cell>
          <cell r="L38">
            <v>1.4</v>
          </cell>
          <cell r="M38">
            <v>1</v>
          </cell>
        </row>
        <row r="39">
          <cell r="B39" t="str">
            <v>Mercury Vapor, 1-STD 175W, 1-MAG</v>
          </cell>
          <cell r="C39" t="str">
            <v>STD</v>
          </cell>
          <cell r="D39">
            <v>1</v>
          </cell>
          <cell r="E39">
            <v>24000</v>
          </cell>
          <cell r="F39">
            <v>16</v>
          </cell>
          <cell r="G39">
            <v>14.72340425531915</v>
          </cell>
          <cell r="H39">
            <v>0.4</v>
          </cell>
          <cell r="I39">
            <v>45000</v>
          </cell>
          <cell r="J39">
            <v>50</v>
          </cell>
          <cell r="K39">
            <v>46.01063829787234</v>
          </cell>
          <cell r="L39">
            <v>1.4</v>
          </cell>
          <cell r="M39">
            <v>1</v>
          </cell>
        </row>
        <row r="40">
          <cell r="B40" t="str">
            <v>Mercury Vapor, 1-STD 250W, 1-MAG</v>
          </cell>
          <cell r="C40" t="str">
            <v>STD</v>
          </cell>
          <cell r="D40">
            <v>1</v>
          </cell>
          <cell r="E40">
            <v>24000</v>
          </cell>
          <cell r="F40">
            <v>12</v>
          </cell>
          <cell r="G40">
            <v>11.042553191489361</v>
          </cell>
          <cell r="H40">
            <v>0.4</v>
          </cell>
          <cell r="I40">
            <v>45000</v>
          </cell>
          <cell r="J40">
            <v>50</v>
          </cell>
          <cell r="K40">
            <v>46.01063829787234</v>
          </cell>
          <cell r="L40">
            <v>1.4</v>
          </cell>
          <cell r="M40">
            <v>1</v>
          </cell>
        </row>
        <row r="41">
          <cell r="B41" t="str">
            <v>Mercury Vapor, 1-STD 400W, 1-MAG</v>
          </cell>
          <cell r="C41" t="str">
            <v>STD</v>
          </cell>
          <cell r="D41">
            <v>1</v>
          </cell>
          <cell r="E41">
            <v>24000</v>
          </cell>
          <cell r="F41">
            <v>23</v>
          </cell>
          <cell r="G41">
            <v>21.164893617021278</v>
          </cell>
          <cell r="H41">
            <v>0.4</v>
          </cell>
          <cell r="I41">
            <v>45000</v>
          </cell>
          <cell r="J41">
            <v>50</v>
          </cell>
          <cell r="K41">
            <v>46.01063829787234</v>
          </cell>
          <cell r="L41">
            <v>1.4</v>
          </cell>
          <cell r="M41">
            <v>1</v>
          </cell>
        </row>
        <row r="42">
          <cell r="B42" t="str">
            <v>T8 High Performance, 2-F32T8HP 32W, 1-ELEC HP RLO</v>
          </cell>
          <cell r="C42" t="str">
            <v>F32T8HP</v>
          </cell>
          <cell r="D42">
            <v>2</v>
          </cell>
          <cell r="E42">
            <v>30000</v>
          </cell>
          <cell r="F42">
            <v>3.25</v>
          </cell>
          <cell r="G42">
            <v>2.9906914893617023</v>
          </cell>
          <cell r="H42">
            <v>0.09</v>
          </cell>
          <cell r="I42">
            <v>60000</v>
          </cell>
          <cell r="J42">
            <v>13.8</v>
          </cell>
          <cell r="K42">
            <v>12.698936170212766</v>
          </cell>
          <cell r="L42">
            <v>0.33</v>
          </cell>
          <cell r="M42">
            <v>1</v>
          </cell>
        </row>
        <row r="43">
          <cell r="B43" t="str">
            <v>T8 High Performance, 1-F32T8HP 32W, 1-ELEC HP HLO</v>
          </cell>
          <cell r="C43" t="str">
            <v>F32T8HP</v>
          </cell>
          <cell r="D43">
            <v>1</v>
          </cell>
          <cell r="E43">
            <v>30000</v>
          </cell>
          <cell r="F43">
            <v>3.25</v>
          </cell>
          <cell r="G43">
            <v>2.9906914893617023</v>
          </cell>
          <cell r="H43">
            <v>0.09</v>
          </cell>
          <cell r="I43">
            <v>60000</v>
          </cell>
          <cell r="J43">
            <v>13.8</v>
          </cell>
          <cell r="K43">
            <v>12.698936170212766</v>
          </cell>
          <cell r="L43">
            <v>0.33</v>
          </cell>
          <cell r="M43">
            <v>1</v>
          </cell>
        </row>
        <row r="44">
          <cell r="B44" t="str">
            <v>T8 High Performance, 1-F32T8HP 32W, 1-ELEC HP RLO</v>
          </cell>
          <cell r="C44" t="str">
            <v>F32T8HP</v>
          </cell>
          <cell r="D44">
            <v>1</v>
          </cell>
          <cell r="E44">
            <v>30000</v>
          </cell>
          <cell r="F44">
            <v>3.25</v>
          </cell>
          <cell r="G44">
            <v>2.9906914893617023</v>
          </cell>
          <cell r="H44">
            <v>0.09</v>
          </cell>
          <cell r="I44">
            <v>60000</v>
          </cell>
          <cell r="J44">
            <v>13.8</v>
          </cell>
          <cell r="K44">
            <v>12.698936170212766</v>
          </cell>
          <cell r="L44">
            <v>0.33</v>
          </cell>
          <cell r="M44">
            <v>1</v>
          </cell>
        </row>
        <row r="45">
          <cell r="B45" t="str">
            <v>T8 High Performance, 2-F32T8HP 32W, 1-ELEC HP</v>
          </cell>
          <cell r="C45" t="str">
            <v>F32T8HP</v>
          </cell>
          <cell r="D45">
            <v>2</v>
          </cell>
          <cell r="E45">
            <v>30000</v>
          </cell>
          <cell r="F45">
            <v>3.25</v>
          </cell>
          <cell r="G45">
            <v>2.9906914893617023</v>
          </cell>
          <cell r="H45">
            <v>0.09</v>
          </cell>
          <cell r="I45">
            <v>60000</v>
          </cell>
          <cell r="J45">
            <v>13.8</v>
          </cell>
          <cell r="K45">
            <v>12.698936170212766</v>
          </cell>
          <cell r="L45">
            <v>0.33</v>
          </cell>
          <cell r="M45">
            <v>1</v>
          </cell>
        </row>
        <row r="46">
          <cell r="B46" t="str">
            <v>T8 High Performance, 2-F32T8HP 32W, 1-ELEC HP</v>
          </cell>
          <cell r="C46" t="str">
            <v>F32T8HP</v>
          </cell>
          <cell r="D46">
            <v>2</v>
          </cell>
          <cell r="E46">
            <v>30000</v>
          </cell>
          <cell r="F46">
            <v>3.25</v>
          </cell>
          <cell r="G46">
            <v>2.9906914893617023</v>
          </cell>
          <cell r="H46">
            <v>0.09</v>
          </cell>
          <cell r="I46">
            <v>60000</v>
          </cell>
          <cell r="J46">
            <v>13.8</v>
          </cell>
          <cell r="K46">
            <v>12.698936170212766</v>
          </cell>
          <cell r="L46">
            <v>0.33</v>
          </cell>
          <cell r="M46">
            <v>1</v>
          </cell>
        </row>
        <row r="47">
          <cell r="B47" t="str">
            <v>T8 High Performance, 3-F32T8HP 32W, 1-ELEC HP</v>
          </cell>
          <cell r="C47" t="str">
            <v>F32T8HP</v>
          </cell>
          <cell r="D47">
            <v>3</v>
          </cell>
          <cell r="E47">
            <v>30000</v>
          </cell>
          <cell r="F47">
            <v>3.25</v>
          </cell>
          <cell r="G47">
            <v>2.9906914893617023</v>
          </cell>
          <cell r="H47">
            <v>0.09</v>
          </cell>
          <cell r="I47">
            <v>60000</v>
          </cell>
          <cell r="J47">
            <v>16.099999999999998</v>
          </cell>
          <cell r="K47">
            <v>14.815425531914892</v>
          </cell>
          <cell r="L47">
            <v>0.33</v>
          </cell>
          <cell r="M47">
            <v>1</v>
          </cell>
        </row>
        <row r="48">
          <cell r="B48" t="str">
            <v>T8 High Performance, 2-F32T8HP 32W, 1-ELEC HP HLO</v>
          </cell>
          <cell r="C48" t="str">
            <v>F32T8HP</v>
          </cell>
          <cell r="D48">
            <v>2</v>
          </cell>
          <cell r="E48">
            <v>30000</v>
          </cell>
          <cell r="F48">
            <v>3.25</v>
          </cell>
          <cell r="G48">
            <v>2.9906914893617023</v>
          </cell>
          <cell r="H48">
            <v>0.09</v>
          </cell>
          <cell r="I48">
            <v>60000</v>
          </cell>
          <cell r="J48">
            <v>13.8</v>
          </cell>
          <cell r="K48">
            <v>12.698936170212766</v>
          </cell>
          <cell r="L48">
            <v>0.33</v>
          </cell>
          <cell r="M48">
            <v>1</v>
          </cell>
        </row>
        <row r="49">
          <cell r="B49" t="str">
            <v>T8 High Performance, 2-F32T8HP 32W, 1-ELEC HP RLO</v>
          </cell>
          <cell r="C49" t="str">
            <v>F32T8HP</v>
          </cell>
          <cell r="D49">
            <v>2</v>
          </cell>
          <cell r="E49">
            <v>30000</v>
          </cell>
          <cell r="F49">
            <v>3.25</v>
          </cell>
          <cell r="G49">
            <v>2.9906914893617023</v>
          </cell>
          <cell r="H49">
            <v>0.09</v>
          </cell>
          <cell r="I49">
            <v>60000</v>
          </cell>
          <cell r="J49">
            <v>13.8</v>
          </cell>
          <cell r="K49">
            <v>12.698936170212766</v>
          </cell>
          <cell r="L49">
            <v>0.33</v>
          </cell>
          <cell r="M49">
            <v>1</v>
          </cell>
        </row>
        <row r="50">
          <cell r="B50" t="str">
            <v>T8 High Performance, 2-F32T8HP 32W, 1-ELEC HP</v>
          </cell>
          <cell r="C50" t="str">
            <v>F32T8HP</v>
          </cell>
          <cell r="D50">
            <v>2</v>
          </cell>
          <cell r="E50">
            <v>30000</v>
          </cell>
          <cell r="F50">
            <v>3.25</v>
          </cell>
          <cell r="G50">
            <v>2.9906914893617023</v>
          </cell>
          <cell r="H50">
            <v>0.09</v>
          </cell>
          <cell r="I50">
            <v>60000</v>
          </cell>
          <cell r="J50">
            <v>13.8</v>
          </cell>
          <cell r="K50">
            <v>12.698936170212766</v>
          </cell>
          <cell r="L50">
            <v>0.33</v>
          </cell>
          <cell r="M50">
            <v>1</v>
          </cell>
        </row>
        <row r="51">
          <cell r="B51" t="str">
            <v>T8 Fluorescent, 1-F96T8 59W, 1-ELEC</v>
          </cell>
          <cell r="C51" t="str">
            <v>F96T8</v>
          </cell>
          <cell r="D51">
            <v>1</v>
          </cell>
          <cell r="E51">
            <v>12000</v>
          </cell>
          <cell r="F51">
            <v>5.11</v>
          </cell>
          <cell r="G51">
            <v>4.702287234042553</v>
          </cell>
          <cell r="H51">
            <v>0.09</v>
          </cell>
          <cell r="I51">
            <v>60000</v>
          </cell>
          <cell r="J51">
            <v>21</v>
          </cell>
          <cell r="K51">
            <v>19.324468085106382</v>
          </cell>
          <cell r="L51">
            <v>0.33</v>
          </cell>
          <cell r="M51">
            <v>1</v>
          </cell>
        </row>
        <row r="52">
          <cell r="B52" t="str">
            <v>T8 Fluorescent, 4-F32T8 32W, 1-ELEC</v>
          </cell>
          <cell r="C52" t="str">
            <v>F32T8</v>
          </cell>
          <cell r="D52">
            <v>4</v>
          </cell>
          <cell r="E52">
            <v>24000</v>
          </cell>
          <cell r="F52">
            <v>2.5</v>
          </cell>
          <cell r="G52">
            <v>2.300531914893617</v>
          </cell>
          <cell r="H52">
            <v>0.09</v>
          </cell>
          <cell r="I52">
            <v>60000</v>
          </cell>
          <cell r="J52">
            <v>15</v>
          </cell>
          <cell r="K52">
            <v>13.803191489361703</v>
          </cell>
          <cell r="L52">
            <v>0.33</v>
          </cell>
          <cell r="M52">
            <v>1</v>
          </cell>
        </row>
        <row r="53">
          <cell r="B53" t="str">
            <v>T8 Fluorescent, 1-F96T8 59W, 1-ELEC</v>
          </cell>
          <cell r="C53" t="str">
            <v>F96T8</v>
          </cell>
          <cell r="D53">
            <v>1</v>
          </cell>
          <cell r="E53">
            <v>12000</v>
          </cell>
          <cell r="F53">
            <v>5.11</v>
          </cell>
          <cell r="G53">
            <v>4.702287234042553</v>
          </cell>
          <cell r="H53">
            <v>0.09</v>
          </cell>
          <cell r="I53">
            <v>60000</v>
          </cell>
          <cell r="J53">
            <v>21</v>
          </cell>
          <cell r="K53">
            <v>19.324468085106382</v>
          </cell>
          <cell r="L53">
            <v>0.33</v>
          </cell>
          <cell r="M53">
            <v>1</v>
          </cell>
        </row>
        <row r="54">
          <cell r="B54" t="str">
            <v>T8 Fluorescent, 4-F32T8 32W, 2-ELEC HLO</v>
          </cell>
          <cell r="C54" t="str">
            <v>F32T8</v>
          </cell>
          <cell r="D54">
            <v>4</v>
          </cell>
          <cell r="E54">
            <v>24000</v>
          </cell>
          <cell r="F54">
            <v>2.5</v>
          </cell>
          <cell r="G54">
            <v>2.300531914893617</v>
          </cell>
          <cell r="H54">
            <v>0.09</v>
          </cell>
          <cell r="I54">
            <v>60000</v>
          </cell>
          <cell r="J54">
            <v>15</v>
          </cell>
          <cell r="K54">
            <v>13.803191489361703</v>
          </cell>
          <cell r="L54">
            <v>0.33</v>
          </cell>
          <cell r="M54">
            <v>2</v>
          </cell>
        </row>
        <row r="55">
          <cell r="B55" t="str">
            <v>T8 Fluorescent, 2-F96T8HO 86W, 1-ELEC</v>
          </cell>
          <cell r="C55" t="str">
            <v>F96T8HO</v>
          </cell>
          <cell r="D55">
            <v>2</v>
          </cell>
          <cell r="E55">
            <v>12000</v>
          </cell>
          <cell r="F55">
            <v>12.61</v>
          </cell>
          <cell r="G55">
            <v>11.603882978723403</v>
          </cell>
          <cell r="H55">
            <v>0.09</v>
          </cell>
          <cell r="I55">
            <v>60000</v>
          </cell>
          <cell r="J55">
            <v>21</v>
          </cell>
          <cell r="K55">
            <v>19.324468085106382</v>
          </cell>
          <cell r="L55">
            <v>0.33</v>
          </cell>
          <cell r="M55">
            <v>1</v>
          </cell>
        </row>
        <row r="56">
          <cell r="B56" t="str">
            <v>T8 High Performance, 4-F32T8HP 32W, 2-ELEC HP HLO</v>
          </cell>
          <cell r="C56" t="str">
            <v>F32T8HP</v>
          </cell>
          <cell r="D56">
            <v>4</v>
          </cell>
          <cell r="E56">
            <v>30000</v>
          </cell>
          <cell r="F56">
            <v>3.25</v>
          </cell>
          <cell r="G56">
            <v>2.9906914893617023</v>
          </cell>
          <cell r="H56">
            <v>0.09</v>
          </cell>
          <cell r="I56">
            <v>60000</v>
          </cell>
          <cell r="J56">
            <v>17.25</v>
          </cell>
          <cell r="K56">
            <v>15.873670212765958</v>
          </cell>
          <cell r="L56">
            <v>0.33</v>
          </cell>
          <cell r="M56">
            <v>2</v>
          </cell>
        </row>
        <row r="57">
          <cell r="B57" t="str">
            <v>T8 High Performance, 2-F32T8HP 32W, 1-ELEC HP RLO</v>
          </cell>
          <cell r="C57" t="str">
            <v>F32T8HP</v>
          </cell>
          <cell r="D57">
            <v>2</v>
          </cell>
          <cell r="E57">
            <v>30000</v>
          </cell>
          <cell r="F57">
            <v>3.25</v>
          </cell>
          <cell r="G57">
            <v>2.9906914893617023</v>
          </cell>
          <cell r="H57">
            <v>0.09</v>
          </cell>
          <cell r="I57">
            <v>60000</v>
          </cell>
          <cell r="J57">
            <v>13.8</v>
          </cell>
          <cell r="K57">
            <v>12.698936170212766</v>
          </cell>
          <cell r="L57">
            <v>0.33</v>
          </cell>
          <cell r="M57">
            <v>1</v>
          </cell>
        </row>
        <row r="58">
          <cell r="B58" t="str">
            <v>T8 High Performance, 3-F32T8HP 32W, 1-ELEC HP RLO</v>
          </cell>
          <cell r="C58" t="str">
            <v>F32T8HP</v>
          </cell>
          <cell r="D58">
            <v>3</v>
          </cell>
          <cell r="E58">
            <v>30000</v>
          </cell>
          <cell r="F58">
            <v>3.25</v>
          </cell>
          <cell r="G58">
            <v>2.9906914893617023</v>
          </cell>
          <cell r="H58">
            <v>0.09</v>
          </cell>
          <cell r="I58">
            <v>60000</v>
          </cell>
          <cell r="J58">
            <v>16.099999999999998</v>
          </cell>
          <cell r="K58">
            <v>14.815425531914892</v>
          </cell>
          <cell r="L58">
            <v>0.33</v>
          </cell>
          <cell r="M58">
            <v>1</v>
          </cell>
        </row>
        <row r="59">
          <cell r="B59" t="str">
            <v>T8 High Performance, 2-F32T8HP 32W, 1-ELEC HP HLO</v>
          </cell>
          <cell r="C59" t="str">
            <v>F32T8HP</v>
          </cell>
          <cell r="D59">
            <v>2</v>
          </cell>
          <cell r="E59">
            <v>30000</v>
          </cell>
          <cell r="F59">
            <v>3.25</v>
          </cell>
          <cell r="G59">
            <v>2.9906914893617023</v>
          </cell>
          <cell r="H59">
            <v>0.09</v>
          </cell>
          <cell r="I59">
            <v>60000</v>
          </cell>
          <cell r="J59">
            <v>13.8</v>
          </cell>
          <cell r="K59">
            <v>12.698936170212766</v>
          </cell>
          <cell r="L59">
            <v>0.33</v>
          </cell>
          <cell r="M59">
            <v>1</v>
          </cell>
        </row>
        <row r="60">
          <cell r="B60" t="str">
            <v>T8 High Performance, 4-F32T8HP 32W, 1-ELEC HP RLO</v>
          </cell>
          <cell r="C60" t="str">
            <v>F32T8HP</v>
          </cell>
          <cell r="D60">
            <v>4</v>
          </cell>
          <cell r="E60">
            <v>30000</v>
          </cell>
          <cell r="F60">
            <v>3.25</v>
          </cell>
          <cell r="G60">
            <v>2.9906914893617023</v>
          </cell>
          <cell r="H60">
            <v>0.09</v>
          </cell>
          <cell r="I60">
            <v>60000</v>
          </cell>
          <cell r="J60">
            <v>17.25</v>
          </cell>
          <cell r="K60">
            <v>15.873670212765958</v>
          </cell>
          <cell r="L60">
            <v>0.33</v>
          </cell>
          <cell r="M60">
            <v>1</v>
          </cell>
        </row>
        <row r="61">
          <cell r="B61" t="str">
            <v>T8 Fluorescent, 3-F32T8 32W, 1-ELEC</v>
          </cell>
          <cell r="C61" t="str">
            <v>F32T8</v>
          </cell>
          <cell r="D61">
            <v>3</v>
          </cell>
          <cell r="E61">
            <v>24000</v>
          </cell>
          <cell r="F61">
            <v>2.5</v>
          </cell>
          <cell r="G61">
            <v>2.300531914893617</v>
          </cell>
          <cell r="H61">
            <v>0.09</v>
          </cell>
          <cell r="I61">
            <v>60000</v>
          </cell>
          <cell r="J61">
            <v>13</v>
          </cell>
          <cell r="K61">
            <v>11.962765957446809</v>
          </cell>
          <cell r="L61">
            <v>0.33</v>
          </cell>
          <cell r="M61">
            <v>1</v>
          </cell>
        </row>
        <row r="62">
          <cell r="B62" t="str">
            <v>T8 High Performance, 4-F32T8HP 32W, 2-ELEC HP HLO</v>
          </cell>
          <cell r="C62" t="str">
            <v>F32T8HP</v>
          </cell>
          <cell r="D62">
            <v>4</v>
          </cell>
          <cell r="E62">
            <v>30000</v>
          </cell>
          <cell r="F62">
            <v>3.25</v>
          </cell>
          <cell r="G62">
            <v>2.9906914893617023</v>
          </cell>
          <cell r="H62">
            <v>0.09</v>
          </cell>
          <cell r="I62">
            <v>60000</v>
          </cell>
          <cell r="J62">
            <v>16.099999999999998</v>
          </cell>
          <cell r="K62">
            <v>14.815425531914892</v>
          </cell>
          <cell r="L62">
            <v>0.33</v>
          </cell>
          <cell r="M62">
            <v>2</v>
          </cell>
        </row>
        <row r="63">
          <cell r="B63" t="str">
            <v>MH Pulse Start, 1-PS 750W, 1-MAG</v>
          </cell>
          <cell r="C63" t="str">
            <v>PS</v>
          </cell>
          <cell r="D63">
            <v>1</v>
          </cell>
          <cell r="E63">
            <v>20000</v>
          </cell>
          <cell r="F63">
            <v>68</v>
          </cell>
          <cell r="G63">
            <v>62.57446808510638</v>
          </cell>
          <cell r="H63">
            <v>0.4</v>
          </cell>
          <cell r="I63">
            <v>30000</v>
          </cell>
          <cell r="J63">
            <v>70</v>
          </cell>
          <cell r="K63">
            <v>64.41489361702128</v>
          </cell>
          <cell r="L63">
            <v>1.4</v>
          </cell>
          <cell r="M63">
            <v>1</v>
          </cell>
        </row>
        <row r="64">
          <cell r="B64" t="str">
            <v>Hard-Wired CFL, 2-PL 42W, 1-ELEC</v>
          </cell>
          <cell r="C64" t="str">
            <v>PL</v>
          </cell>
          <cell r="D64">
            <v>2</v>
          </cell>
          <cell r="E64">
            <v>10000</v>
          </cell>
          <cell r="F64">
            <v>5.5</v>
          </cell>
          <cell r="G64">
            <v>5.0611702127659575</v>
          </cell>
          <cell r="H64">
            <v>0.09</v>
          </cell>
          <cell r="I64">
            <v>30000</v>
          </cell>
          <cell r="J64">
            <v>10</v>
          </cell>
          <cell r="K64">
            <v>9.202127659574469</v>
          </cell>
          <cell r="L64">
            <v>0.33</v>
          </cell>
          <cell r="M64">
            <v>1</v>
          </cell>
        </row>
        <row r="65">
          <cell r="B65" t="str">
            <v>T8 High Performance, 4-F32T8HP 32W, 1-ELEC HP</v>
          </cell>
          <cell r="C65" t="str">
            <v>F32T8HP</v>
          </cell>
          <cell r="D65">
            <v>4</v>
          </cell>
          <cell r="E65">
            <v>30000</v>
          </cell>
          <cell r="F65">
            <v>3.25</v>
          </cell>
          <cell r="G65">
            <v>2.9906914893617023</v>
          </cell>
          <cell r="H65">
            <v>0.09</v>
          </cell>
          <cell r="I65">
            <v>60000</v>
          </cell>
          <cell r="J65">
            <v>16.099999999999998</v>
          </cell>
          <cell r="K65">
            <v>14.815425531914892</v>
          </cell>
          <cell r="L65">
            <v>0.33</v>
          </cell>
          <cell r="M65">
            <v>1</v>
          </cell>
        </row>
        <row r="66">
          <cell r="B66" t="str">
            <v>T5HO Fluorescent, 2-F54T5HO 54W, 1-ELEC</v>
          </cell>
          <cell r="C66" t="str">
            <v>F54T5HO</v>
          </cell>
          <cell r="D66">
            <v>2</v>
          </cell>
          <cell r="E66">
            <v>20000</v>
          </cell>
          <cell r="F66">
            <v>8.22</v>
          </cell>
          <cell r="G66">
            <v>7.564148936170214</v>
          </cell>
          <cell r="H66">
            <v>0.09</v>
          </cell>
          <cell r="I66">
            <v>60000</v>
          </cell>
          <cell r="J66">
            <v>38</v>
          </cell>
          <cell r="K66">
            <v>34.96808510638298</v>
          </cell>
          <cell r="L66">
            <v>0.33</v>
          </cell>
          <cell r="M66">
            <v>1</v>
          </cell>
        </row>
        <row r="67">
          <cell r="B67" t="str">
            <v>T5HO Fluorescent, 3-F54T5HO 54W, 1-ELEC</v>
          </cell>
          <cell r="C67" t="str">
            <v>F54T5HO</v>
          </cell>
          <cell r="D67">
            <v>3</v>
          </cell>
          <cell r="E67">
            <v>20000</v>
          </cell>
          <cell r="F67">
            <v>8.22</v>
          </cell>
          <cell r="G67">
            <v>7.564148936170214</v>
          </cell>
          <cell r="H67">
            <v>0.09</v>
          </cell>
          <cell r="I67">
            <v>60000</v>
          </cell>
          <cell r="J67">
            <v>38</v>
          </cell>
          <cell r="K67">
            <v>34.96808510638298</v>
          </cell>
          <cell r="L67">
            <v>0.33</v>
          </cell>
          <cell r="M67">
            <v>1</v>
          </cell>
        </row>
        <row r="68">
          <cell r="B68" t="str">
            <v>T5HO Fluorescent, 4-F54T5HO 54W, 1-ELEC</v>
          </cell>
          <cell r="C68" t="str">
            <v>F54T5HO</v>
          </cell>
          <cell r="D68">
            <v>4</v>
          </cell>
          <cell r="E68">
            <v>20000</v>
          </cell>
          <cell r="F68">
            <v>8.22</v>
          </cell>
          <cell r="G68">
            <v>7.564148936170214</v>
          </cell>
          <cell r="H68">
            <v>0.09</v>
          </cell>
          <cell r="I68">
            <v>60000</v>
          </cell>
          <cell r="J68">
            <v>40</v>
          </cell>
          <cell r="K68">
            <v>36.808510638297875</v>
          </cell>
          <cell r="L68">
            <v>0.33</v>
          </cell>
          <cell r="M68">
            <v>1</v>
          </cell>
        </row>
        <row r="69">
          <cell r="B69" t="str">
            <v>T5HO Fluorescent, 6-F54T5HO 54W, 1-ELEC</v>
          </cell>
          <cell r="C69" t="str">
            <v>F54T5HO</v>
          </cell>
          <cell r="D69">
            <v>6</v>
          </cell>
          <cell r="E69">
            <v>20000</v>
          </cell>
          <cell r="F69">
            <v>8.22</v>
          </cell>
          <cell r="G69">
            <v>7.564148936170214</v>
          </cell>
          <cell r="H69">
            <v>0.09</v>
          </cell>
          <cell r="I69">
            <v>60000</v>
          </cell>
          <cell r="J69">
            <v>42</v>
          </cell>
          <cell r="K69">
            <v>38.648936170212764</v>
          </cell>
          <cell r="L69">
            <v>0.33</v>
          </cell>
          <cell r="M69">
            <v>1</v>
          </cell>
        </row>
        <row r="70">
          <cell r="B70" t="str">
            <v>Hard-Wired CFL, 1-PL 26W, 1-MAG</v>
          </cell>
          <cell r="C70" t="str">
            <v>PL</v>
          </cell>
          <cell r="D70">
            <v>1</v>
          </cell>
          <cell r="E70">
            <v>10000</v>
          </cell>
          <cell r="F70">
            <v>3.3</v>
          </cell>
          <cell r="G70">
            <v>3.0367021276595745</v>
          </cell>
          <cell r="H70">
            <v>0.09</v>
          </cell>
          <cell r="I70">
            <v>30000</v>
          </cell>
          <cell r="J70">
            <v>10</v>
          </cell>
          <cell r="K70">
            <v>9.202127659574469</v>
          </cell>
          <cell r="L70">
            <v>0.33</v>
          </cell>
          <cell r="M70">
            <v>1</v>
          </cell>
        </row>
        <row r="71">
          <cell r="B71" t="str">
            <v>Hard-Wired CFL, 1-PL 32W, 1-ELEC</v>
          </cell>
          <cell r="C71" t="str">
            <v>PL</v>
          </cell>
          <cell r="D71">
            <v>1</v>
          </cell>
          <cell r="E71">
            <v>10000</v>
          </cell>
          <cell r="F71">
            <v>5.2</v>
          </cell>
          <cell r="G71">
            <v>4.785106382978723</v>
          </cell>
          <cell r="H71">
            <v>0.09</v>
          </cell>
          <cell r="I71">
            <v>30000</v>
          </cell>
          <cell r="J71">
            <v>10</v>
          </cell>
          <cell r="K71">
            <v>9.202127659574469</v>
          </cell>
          <cell r="L71">
            <v>0.33</v>
          </cell>
          <cell r="M71">
            <v>1</v>
          </cell>
        </row>
        <row r="72">
          <cell r="B72" t="str">
            <v>Hard-Wired CFL, 2-PL 26W, 1-ELEC</v>
          </cell>
          <cell r="C72" t="str">
            <v>PL</v>
          </cell>
          <cell r="D72">
            <v>2</v>
          </cell>
          <cell r="E72">
            <v>10000</v>
          </cell>
          <cell r="F72">
            <v>3.3</v>
          </cell>
          <cell r="G72">
            <v>3.0367021276595745</v>
          </cell>
          <cell r="H72">
            <v>0.09</v>
          </cell>
          <cell r="I72">
            <v>30000</v>
          </cell>
          <cell r="J72">
            <v>10</v>
          </cell>
          <cell r="K72">
            <v>9.202127659574469</v>
          </cell>
          <cell r="L72">
            <v>0.33</v>
          </cell>
          <cell r="M72">
            <v>1</v>
          </cell>
        </row>
        <row r="73">
          <cell r="B73" t="str">
            <v>Ceramic Metal Halide, 1-SE 150W, 1-ELEC</v>
          </cell>
          <cell r="C73" t="str">
            <v>SE</v>
          </cell>
          <cell r="D73">
            <v>1</v>
          </cell>
          <cell r="E73">
            <v>20000</v>
          </cell>
          <cell r="F73">
            <v>47</v>
          </cell>
          <cell r="G73">
            <v>43.25</v>
          </cell>
          <cell r="H73">
            <v>0.4</v>
          </cell>
          <cell r="I73">
            <v>30000</v>
          </cell>
          <cell r="J73">
            <v>50</v>
          </cell>
          <cell r="K73">
            <v>46.01063829787234</v>
          </cell>
          <cell r="L73">
            <v>1.4</v>
          </cell>
          <cell r="M73">
            <v>1</v>
          </cell>
        </row>
        <row r="74">
          <cell r="B74" t="str">
            <v>Ceramic Metal Halide, 1-PAR 39W, 1-ELEC</v>
          </cell>
          <cell r="C74" t="str">
            <v>PAR</v>
          </cell>
          <cell r="D74">
            <v>1</v>
          </cell>
          <cell r="E74">
            <v>9000</v>
          </cell>
          <cell r="F74">
            <v>47</v>
          </cell>
          <cell r="G74">
            <v>43.25</v>
          </cell>
          <cell r="H74">
            <v>0.4</v>
          </cell>
          <cell r="I74">
            <v>30000</v>
          </cell>
          <cell r="J74">
            <v>50</v>
          </cell>
          <cell r="K74">
            <v>46.01063829787234</v>
          </cell>
          <cell r="L74">
            <v>1.4</v>
          </cell>
          <cell r="M74">
            <v>1</v>
          </cell>
        </row>
        <row r="75">
          <cell r="B75" t="str">
            <v>Ceramic Metal Halide, 1-PAR 39W, 1-ELEC</v>
          </cell>
          <cell r="C75" t="str">
            <v>PAR</v>
          </cell>
          <cell r="D75">
            <v>1</v>
          </cell>
          <cell r="E75">
            <v>9000</v>
          </cell>
          <cell r="F75">
            <v>47</v>
          </cell>
          <cell r="G75">
            <v>43.25</v>
          </cell>
          <cell r="H75">
            <v>0.4</v>
          </cell>
          <cell r="I75">
            <v>30000</v>
          </cell>
          <cell r="J75">
            <v>50</v>
          </cell>
          <cell r="K75">
            <v>46.01063829787234</v>
          </cell>
          <cell r="L75">
            <v>1.4</v>
          </cell>
          <cell r="M75">
            <v>1</v>
          </cell>
        </row>
        <row r="76">
          <cell r="B76" t="str">
            <v>MH Pulse Start, 1-PS 400W, 1-ELEC</v>
          </cell>
          <cell r="C76" t="str">
            <v>PS</v>
          </cell>
          <cell r="D76">
            <v>1</v>
          </cell>
          <cell r="E76">
            <v>20000</v>
          </cell>
          <cell r="F76">
            <v>30</v>
          </cell>
          <cell r="G76">
            <v>27.606382978723406</v>
          </cell>
          <cell r="H76">
            <v>0.4</v>
          </cell>
          <cell r="I76">
            <v>30000</v>
          </cell>
          <cell r="J76">
            <v>70</v>
          </cell>
          <cell r="K76">
            <v>64.41489361702128</v>
          </cell>
          <cell r="L76">
            <v>1.4</v>
          </cell>
          <cell r="M76">
            <v>1</v>
          </cell>
        </row>
        <row r="77">
          <cell r="B77" t="str">
            <v>Hard-Wired CFL, 2-PL 32W, 1-ELEC</v>
          </cell>
          <cell r="C77" t="str">
            <v>PL</v>
          </cell>
          <cell r="D77">
            <v>2</v>
          </cell>
          <cell r="E77">
            <v>10000</v>
          </cell>
          <cell r="F77">
            <v>5.2</v>
          </cell>
          <cell r="G77">
            <v>4.785106382978723</v>
          </cell>
          <cell r="H77">
            <v>0.09</v>
          </cell>
          <cell r="I77">
            <v>30000</v>
          </cell>
          <cell r="J77">
            <v>10</v>
          </cell>
          <cell r="K77">
            <v>9.202127659574469</v>
          </cell>
          <cell r="L77">
            <v>0.33</v>
          </cell>
          <cell r="M77">
            <v>1</v>
          </cell>
        </row>
        <row r="78">
          <cell r="B78" t="str">
            <v>T8 Fluorescent, 2-F32T8 32W, 1-ELEC HLO</v>
          </cell>
          <cell r="C78" t="str">
            <v>F32T8</v>
          </cell>
          <cell r="D78">
            <v>2</v>
          </cell>
          <cell r="E78">
            <v>24000</v>
          </cell>
          <cell r="F78">
            <v>2.5</v>
          </cell>
          <cell r="G78">
            <v>2.300531914893617</v>
          </cell>
          <cell r="H78">
            <v>0.09</v>
          </cell>
          <cell r="I78">
            <v>60000</v>
          </cell>
          <cell r="J78">
            <v>12</v>
          </cell>
          <cell r="K78">
            <v>11.042553191489361</v>
          </cell>
          <cell r="L78">
            <v>0.33</v>
          </cell>
          <cell r="M7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catalog.gelighting.com/cgi-bin/gx.cgi/AppLogic+FTContentServer?&amp;pagename=GE_Lighting/Catalog/Production_www/home&amp;mode=browse&amp;path=,FLU&amp;subcat=L2-376"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ptr.nwcouncil.org/../../../../TE/RTF/Software/Deemed%20Calcs%20Final/PostFY06%20Calcs/CreditCalc_kWh_FY07v1_7.xls"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pageSetUpPr fitToPage="1"/>
  </sheetPr>
  <dimension ref="B1:J42"/>
  <sheetViews>
    <sheetView tabSelected="1" zoomScale="90" zoomScaleNormal="90" workbookViewId="0" topLeftCell="A1">
      <selection activeCell="I8" sqref="I8"/>
    </sheetView>
  </sheetViews>
  <sheetFormatPr defaultColWidth="9.00390625" defaultRowHeight="15.75"/>
  <cols>
    <col min="1" max="1" width="1.75390625" style="485" customWidth="1"/>
    <col min="2" max="2" width="8.00390625" style="485" customWidth="1"/>
    <col min="3" max="3" width="16.50390625" style="485" customWidth="1"/>
    <col min="4" max="4" width="7.125" style="485" customWidth="1"/>
    <col min="5" max="5" width="8.00390625" style="485" customWidth="1"/>
    <col min="6" max="6" width="20.625" style="485" customWidth="1"/>
    <col min="7" max="7" width="4.125" style="485" customWidth="1"/>
    <col min="8" max="8" width="14.50390625" style="485" customWidth="1"/>
    <col min="9" max="9" width="21.875" style="485" customWidth="1"/>
    <col min="10" max="10" width="12.625" style="485" customWidth="1"/>
    <col min="11" max="16384" width="8.00390625" style="485" customWidth="1"/>
  </cols>
  <sheetData>
    <row r="1" spans="2:9" ht="21.75" customHeight="1">
      <c r="B1" s="635" t="s">
        <v>337</v>
      </c>
      <c r="C1" s="613"/>
      <c r="D1" s="613"/>
      <c r="E1" s="613"/>
      <c r="F1" s="613"/>
      <c r="G1" s="613"/>
      <c r="H1" s="613"/>
      <c r="I1" s="614"/>
    </row>
    <row r="2" spans="2:9" ht="21.75" customHeight="1">
      <c r="B2" s="600"/>
      <c r="C2" s="601"/>
      <c r="D2" s="601"/>
      <c r="E2" s="601"/>
      <c r="F2" s="601"/>
      <c r="G2" s="601"/>
      <c r="H2" s="601"/>
      <c r="I2" s="602"/>
    </row>
    <row r="3" spans="2:10" ht="98.25" customHeight="1" thickBot="1">
      <c r="B3" s="615" t="s">
        <v>336</v>
      </c>
      <c r="C3" s="616"/>
      <c r="D3" s="616"/>
      <c r="E3" s="616"/>
      <c r="F3" s="616"/>
      <c r="G3" s="616"/>
      <c r="H3" s="616"/>
      <c r="I3" s="617"/>
      <c r="J3" s="486"/>
    </row>
    <row r="4" spans="2:10" s="570" customFormat="1" ht="18" customHeight="1" thickBot="1">
      <c r="B4" s="626" t="s">
        <v>965</v>
      </c>
      <c r="C4" s="627"/>
      <c r="D4" s="644">
        <v>38991</v>
      </c>
      <c r="E4" s="645"/>
      <c r="F4" s="576" t="s">
        <v>518</v>
      </c>
      <c r="G4" s="621" t="s">
        <v>486</v>
      </c>
      <c r="H4" s="622"/>
      <c r="I4" s="572">
        <f ca="1">TODAY()</f>
        <v>39085</v>
      </c>
      <c r="J4" s="569"/>
    </row>
    <row r="5" spans="2:10" s="570" customFormat="1" ht="18" customHeight="1" thickBot="1">
      <c r="B5" s="626" t="s">
        <v>963</v>
      </c>
      <c r="C5" s="627"/>
      <c r="D5" s="623" t="str">
        <f>'Site Audit'!D4</f>
        <v>Lighting Measure Examples</v>
      </c>
      <c r="E5" s="628"/>
      <c r="F5" s="628"/>
      <c r="G5" s="648" t="str">
        <f>'Site Audit'!D7</f>
        <v>C&amp;I Machinery</v>
      </c>
      <c r="H5" s="649"/>
      <c r="I5" s="650"/>
      <c r="J5" s="569"/>
    </row>
    <row r="6" spans="2:10" s="570" customFormat="1" ht="18" customHeight="1" thickBot="1">
      <c r="B6" s="626" t="s">
        <v>966</v>
      </c>
      <c r="C6" s="627"/>
      <c r="D6" s="623" t="str">
        <f>'Site Audit'!D9</f>
        <v>123 West C&amp;I Avenue</v>
      </c>
      <c r="E6" s="624"/>
      <c r="F6" s="625"/>
      <c r="G6" s="621" t="s">
        <v>752</v>
      </c>
      <c r="H6" s="622"/>
      <c r="I6" s="577" t="str">
        <f>'Site Audit'!D12</f>
        <v>Main Warehouse</v>
      </c>
      <c r="J6" s="569"/>
    </row>
    <row r="7" spans="2:10" s="570" customFormat="1" ht="18" customHeight="1" thickBot="1">
      <c r="B7" s="626" t="s">
        <v>964</v>
      </c>
      <c r="C7" s="627"/>
      <c r="D7" s="623" t="str">
        <f>'Site Audit'!D10</f>
        <v>Longview</v>
      </c>
      <c r="E7" s="628"/>
      <c r="F7" s="629"/>
      <c r="G7" s="619" t="str">
        <f>'Site Audit'!D11</f>
        <v>Washington</v>
      </c>
      <c r="H7" s="620"/>
      <c r="I7" s="573">
        <f>'Site Audit'!E11</f>
        <v>97567</v>
      </c>
      <c r="J7" s="569"/>
    </row>
    <row r="8" spans="2:10" s="570" customFormat="1" ht="18" customHeight="1" thickBot="1">
      <c r="B8" s="626" t="s">
        <v>753</v>
      </c>
      <c r="C8" s="607"/>
      <c r="D8" s="606" t="str">
        <f>'Site Audit'!M4</f>
        <v>Pick a unique # that you will remember</v>
      </c>
      <c r="E8" s="603"/>
      <c r="F8" s="574" t="str">
        <f>'Site Audit'!M5</f>
        <v>NW Public Power</v>
      </c>
      <c r="G8" s="621" t="s">
        <v>754</v>
      </c>
      <c r="H8" s="622"/>
      <c r="I8" s="573" t="str">
        <f>'Site Audit'!E12</f>
        <v>A-12345</v>
      </c>
      <c r="J8" s="569"/>
    </row>
    <row r="9" spans="2:10" ht="15" customHeight="1" thickBot="1">
      <c r="B9" s="549" t="s">
        <v>1264</v>
      </c>
      <c r="C9" s="618" t="s">
        <v>334</v>
      </c>
      <c r="D9" s="611"/>
      <c r="E9" s="611"/>
      <c r="F9" s="611"/>
      <c r="G9" s="611"/>
      <c r="H9" s="611"/>
      <c r="I9" s="612"/>
      <c r="J9" s="483"/>
    </row>
    <row r="10" spans="2:10" ht="15" customHeight="1" thickBot="1">
      <c r="B10" s="550">
        <v>1</v>
      </c>
      <c r="C10" s="633" t="s">
        <v>487</v>
      </c>
      <c r="D10" s="634"/>
      <c r="E10" s="634"/>
      <c r="F10" s="634"/>
      <c r="G10" s="634"/>
      <c r="H10" s="634"/>
      <c r="I10" s="575">
        <f>'Site Audit'!M54*64</f>
        <v>20864</v>
      </c>
      <c r="J10" s="532"/>
    </row>
    <row r="11" spans="2:10" ht="15" customHeight="1" thickBot="1">
      <c r="B11" s="550">
        <v>2</v>
      </c>
      <c r="C11" s="651" t="s">
        <v>338</v>
      </c>
      <c r="D11" s="652"/>
      <c r="E11" s="652"/>
      <c r="F11" s="652"/>
      <c r="G11" s="652"/>
      <c r="H11" s="653"/>
      <c r="I11" s="595">
        <f>'Site Audit'!AI54*0.1</f>
        <v>0</v>
      </c>
      <c r="J11" s="532"/>
    </row>
    <row r="12" spans="2:10" ht="15" customHeight="1" thickBot="1">
      <c r="B12" s="550">
        <v>3</v>
      </c>
      <c r="C12" s="633" t="s">
        <v>198</v>
      </c>
      <c r="D12" s="634"/>
      <c r="E12" s="634"/>
      <c r="F12" s="634"/>
      <c r="G12" s="634"/>
      <c r="H12" s="634"/>
      <c r="I12" s="531" t="str">
        <f>INDEX(BTypeNames,Btype,1)</f>
        <v> Other Commercial</v>
      </c>
      <c r="J12" s="532"/>
    </row>
    <row r="13" spans="2:10" ht="15" customHeight="1" thickBot="1">
      <c r="B13" s="550">
        <v>4</v>
      </c>
      <c r="C13" s="633" t="s">
        <v>199</v>
      </c>
      <c r="D13" s="634"/>
      <c r="E13" s="634"/>
      <c r="F13" s="634"/>
      <c r="G13" s="634"/>
      <c r="H13" s="634"/>
      <c r="I13" s="531" t="str">
        <f>INDEX(SpaceHeatNames,SpaceHeat,1)</f>
        <v>Gas</v>
      </c>
      <c r="J13" s="532"/>
    </row>
    <row r="14" spans="2:10" ht="15" customHeight="1" thickBot="1">
      <c r="B14" s="550">
        <v>5</v>
      </c>
      <c r="C14" s="608" t="s">
        <v>617</v>
      </c>
      <c r="D14" s="609"/>
      <c r="E14" s="609"/>
      <c r="F14" s="609"/>
      <c r="G14" s="609"/>
      <c r="H14" s="610"/>
      <c r="I14" s="488">
        <f>'Site Audit'!D15</f>
        <v>57678</v>
      </c>
      <c r="J14" s="532"/>
    </row>
    <row r="15" spans="2:10" ht="15" customHeight="1" thickBot="1">
      <c r="B15" s="550">
        <v>6</v>
      </c>
      <c r="C15" s="633" t="s">
        <v>618</v>
      </c>
      <c r="D15" s="634"/>
      <c r="E15" s="634"/>
      <c r="F15" s="634"/>
      <c r="G15" s="634"/>
      <c r="H15" s="634"/>
      <c r="I15" s="489">
        <f>'Site Audit'!$E$15</f>
        <v>29789</v>
      </c>
      <c r="J15" s="532"/>
    </row>
    <row r="16" spans="2:10" ht="15" customHeight="1" thickBot="1">
      <c r="B16" s="550">
        <v>7</v>
      </c>
      <c r="C16" s="608" t="s">
        <v>235</v>
      </c>
      <c r="D16" s="609"/>
      <c r="E16" s="609"/>
      <c r="F16" s="609"/>
      <c r="G16" s="609"/>
      <c r="H16" s="610"/>
      <c r="I16" s="490">
        <f>'Site Audit'!$L$15</f>
        <v>307282</v>
      </c>
      <c r="J16" s="532"/>
    </row>
    <row r="17" spans="2:10" ht="15" customHeight="1" thickBot="1">
      <c r="B17" s="550">
        <v>8</v>
      </c>
      <c r="C17" s="608" t="s">
        <v>619</v>
      </c>
      <c r="D17" s="609"/>
      <c r="E17" s="609"/>
      <c r="F17" s="609"/>
      <c r="G17" s="609"/>
      <c r="H17" s="609"/>
      <c r="I17" s="435">
        <f>'Site Audit'!$E$16</f>
        <v>32000</v>
      </c>
      <c r="J17" s="532"/>
    </row>
    <row r="18" spans="2:10" ht="15" customHeight="1" thickBot="1">
      <c r="B18" s="550">
        <v>9</v>
      </c>
      <c r="C18" s="646" t="s">
        <v>376</v>
      </c>
      <c r="D18" s="647"/>
      <c r="E18" s="647"/>
      <c r="F18" s="647"/>
      <c r="G18" s="647"/>
      <c r="H18" s="647"/>
      <c r="I18" s="435">
        <f>'Site Audit'!$AI$54</f>
        <v>0</v>
      </c>
      <c r="J18" s="532"/>
    </row>
    <row r="19" spans="2:10" ht="15" customHeight="1" thickBot="1">
      <c r="B19" s="550">
        <v>10</v>
      </c>
      <c r="C19" s="637" t="s">
        <v>1265</v>
      </c>
      <c r="D19" s="638"/>
      <c r="E19" s="638"/>
      <c r="F19" s="638"/>
      <c r="G19" s="638"/>
      <c r="H19" s="639"/>
      <c r="I19" s="437">
        <f>INDEX(LSYield,Btype,6)</f>
        <v>4000</v>
      </c>
      <c r="J19" s="486"/>
    </row>
    <row r="20" spans="2:10" ht="15" customHeight="1" thickBot="1">
      <c r="B20" s="550">
        <v>11</v>
      </c>
      <c r="C20" s="641" t="s">
        <v>335</v>
      </c>
      <c r="D20" s="642"/>
      <c r="E20" s="642"/>
      <c r="F20" s="642"/>
      <c r="G20" s="642"/>
      <c r="H20" s="642"/>
      <c r="I20" s="643"/>
      <c r="J20" s="487"/>
    </row>
    <row r="21" spans="2:10" ht="15" customHeight="1" thickBot="1">
      <c r="B21" s="550">
        <v>12</v>
      </c>
      <c r="C21" s="630" t="s">
        <v>597</v>
      </c>
      <c r="D21" s="631"/>
      <c r="E21" s="631"/>
      <c r="F21" s="631"/>
      <c r="G21" s="631"/>
      <c r="H21" s="631"/>
      <c r="I21" s="596">
        <f>INDEX(LSYield,Btype,13)</f>
        <v>12</v>
      </c>
      <c r="J21" s="487"/>
    </row>
    <row r="22" spans="2:10" ht="15" customHeight="1" thickBot="1">
      <c r="B22" s="550">
        <v>13</v>
      </c>
      <c r="C22" s="630" t="s">
        <v>1266</v>
      </c>
      <c r="D22" s="631"/>
      <c r="E22" s="631"/>
      <c r="F22" s="631"/>
      <c r="G22" s="631"/>
      <c r="H22" s="632"/>
      <c r="I22" s="497">
        <f>I16/((I14-I15)/1000)</f>
        <v>11018.03578471799</v>
      </c>
      <c r="J22" s="486"/>
    </row>
    <row r="23" spans="2:10" ht="15" customHeight="1" thickBot="1">
      <c r="B23" s="550">
        <v>14</v>
      </c>
      <c r="C23" s="630" t="s">
        <v>488</v>
      </c>
      <c r="D23" s="631"/>
      <c r="E23" s="631"/>
      <c r="F23" s="631"/>
      <c r="G23" s="631"/>
      <c r="H23" s="631"/>
      <c r="I23" s="498">
        <f>INDEX(LSYield,Btype,SpaceHeat+1)</f>
        <v>1.0300048930028456</v>
      </c>
      <c r="J23" s="486"/>
    </row>
    <row r="24" spans="2:10" ht="15" customHeight="1" thickBot="1">
      <c r="B24" s="550">
        <v>15</v>
      </c>
      <c r="C24" s="630" t="s">
        <v>1267</v>
      </c>
      <c r="D24" s="631"/>
      <c r="E24" s="631"/>
      <c r="F24" s="631"/>
      <c r="G24" s="631"/>
      <c r="H24" s="631"/>
      <c r="I24" s="499">
        <f>I23*I16</f>
        <v>316501.96353170037</v>
      </c>
      <c r="J24" s="486"/>
    </row>
    <row r="25" spans="2:10" ht="15" customHeight="1" thickBot="1">
      <c r="B25" s="550">
        <v>16</v>
      </c>
      <c r="C25" s="630" t="s">
        <v>339</v>
      </c>
      <c r="D25" s="631"/>
      <c r="E25" s="631"/>
      <c r="F25" s="631"/>
      <c r="G25" s="631"/>
      <c r="H25" s="631"/>
      <c r="I25" s="499">
        <f>I24*1.05*1.025</f>
        <v>340635.2382509925</v>
      </c>
      <c r="J25" s="486"/>
    </row>
    <row r="26" spans="2:10" ht="15" customHeight="1" thickBot="1">
      <c r="B26" s="550">
        <v>17</v>
      </c>
      <c r="C26" s="561"/>
      <c r="D26" s="562"/>
      <c r="E26" s="562"/>
      <c r="F26" s="562"/>
      <c r="G26" s="631" t="s">
        <v>194</v>
      </c>
      <c r="H26" s="640"/>
      <c r="I26" s="597">
        <f>'Site Audit'!R15</f>
        <v>0.48352924858698293</v>
      </c>
      <c r="J26" s="486"/>
    </row>
    <row r="27" spans="2:10" ht="15" customHeight="1" thickBot="1">
      <c r="B27" s="550">
        <v>18</v>
      </c>
      <c r="C27" s="630" t="s">
        <v>1310</v>
      </c>
      <c r="D27" s="631"/>
      <c r="E27" s="631"/>
      <c r="F27" s="631"/>
      <c r="G27" s="631"/>
      <c r="H27" s="632"/>
      <c r="I27" s="520">
        <f>'Site Audit'!M8</f>
        <v>0.0625</v>
      </c>
      <c r="J27" s="486"/>
    </row>
    <row r="28" spans="2:10" ht="15" customHeight="1" thickBot="1">
      <c r="B28" s="550">
        <v>19</v>
      </c>
      <c r="C28" s="604" t="s">
        <v>375</v>
      </c>
      <c r="D28" s="605"/>
      <c r="E28" s="605"/>
      <c r="F28" s="605"/>
      <c r="G28" s="605"/>
      <c r="H28" s="636"/>
      <c r="I28" s="500">
        <f>I27*I24</f>
        <v>19781.372720731273</v>
      </c>
      <c r="J28" s="486"/>
    </row>
    <row r="29" spans="2:10" ht="15" customHeight="1" thickBot="1">
      <c r="B29" s="550">
        <v>20</v>
      </c>
      <c r="C29" s="630" t="s">
        <v>340</v>
      </c>
      <c r="D29" s="631"/>
      <c r="E29" s="631"/>
      <c r="F29" s="631"/>
      <c r="G29" s="631"/>
      <c r="H29" s="632"/>
      <c r="I29" s="501">
        <f>Project_Cost/I28</f>
        <v>1.6176834869737509</v>
      </c>
      <c r="J29" s="486"/>
    </row>
    <row r="30" spans="2:10" ht="15" customHeight="1" thickBot="1">
      <c r="B30" s="550">
        <v>21</v>
      </c>
      <c r="C30" s="630" t="s">
        <v>1268</v>
      </c>
      <c r="D30" s="631"/>
      <c r="E30" s="631"/>
      <c r="F30" s="631"/>
      <c r="G30" s="631"/>
      <c r="H30" s="632"/>
      <c r="I30" s="499">
        <f>I16/I10</f>
        <v>14.727856595092025</v>
      </c>
      <c r="J30" s="438"/>
    </row>
    <row r="31" spans="2:10" ht="15" customHeight="1" thickBot="1">
      <c r="B31" s="550">
        <v>22</v>
      </c>
      <c r="C31" s="630" t="s">
        <v>1269</v>
      </c>
      <c r="D31" s="631"/>
      <c r="E31" s="631"/>
      <c r="F31" s="631"/>
      <c r="G31" s="631"/>
      <c r="H31" s="632"/>
      <c r="I31" s="502">
        <f>(I14-I15)/I10</f>
        <v>1.3367043711656441</v>
      </c>
      <c r="J31" s="486"/>
    </row>
    <row r="32" spans="2:9" ht="15" customHeight="1" thickBot="1">
      <c r="B32" s="550">
        <v>23</v>
      </c>
      <c r="C32" s="630" t="s">
        <v>1270</v>
      </c>
      <c r="D32" s="631"/>
      <c r="E32" s="631"/>
      <c r="F32" s="631"/>
      <c r="G32" s="631"/>
      <c r="H32" s="632"/>
      <c r="I32" s="503">
        <f>VLOOKUP(INDEX(LSYield,Btype,SpaceHeat+8),NPV_kWh,2,FALSE)</f>
        <v>0.46224000000000004</v>
      </c>
    </row>
    <row r="33" spans="2:10" ht="15" customHeight="1" thickBot="1">
      <c r="B33" s="550">
        <v>24</v>
      </c>
      <c r="C33" s="630" t="s">
        <v>208</v>
      </c>
      <c r="D33" s="631"/>
      <c r="E33" s="631"/>
      <c r="F33" s="631"/>
      <c r="G33" s="631"/>
      <c r="H33" s="631"/>
      <c r="I33" s="504">
        <f>Savings_Busbar*I32</f>
        <v>157455.2325291388</v>
      </c>
      <c r="J33" s="486"/>
    </row>
    <row r="34" spans="2:10" ht="15" customHeight="1" thickBot="1">
      <c r="B34" s="550">
        <v>25</v>
      </c>
      <c r="C34" s="630" t="s">
        <v>206</v>
      </c>
      <c r="D34" s="631"/>
      <c r="E34" s="631"/>
      <c r="F34" s="631"/>
      <c r="G34" s="631"/>
      <c r="H34" s="632"/>
      <c r="I34" s="504">
        <f>'Site Audit'!Q54*'Project Summary'!I32</f>
        <v>52393.33238400001</v>
      </c>
      <c r="J34" s="486"/>
    </row>
    <row r="35" spans="2:10" ht="15" customHeight="1" thickBot="1">
      <c r="B35" s="550">
        <v>26</v>
      </c>
      <c r="C35" s="630" t="s">
        <v>1271</v>
      </c>
      <c r="D35" s="631"/>
      <c r="E35" s="631"/>
      <c r="F35" s="631"/>
      <c r="G35" s="631"/>
      <c r="H35" s="632"/>
      <c r="I35" s="505">
        <f>IF(SpaceHeat=3,-INDEX(LSYield,Btype,8),0)</f>
        <v>0.0038036976</v>
      </c>
      <c r="J35" s="486"/>
    </row>
    <row r="36" spans="2:10" ht="15" customHeight="1" thickBot="1">
      <c r="B36" s="550">
        <v>27</v>
      </c>
      <c r="C36" s="630" t="s">
        <v>205</v>
      </c>
      <c r="D36" s="631"/>
      <c r="E36" s="631"/>
      <c r="F36" s="631"/>
      <c r="G36" s="631"/>
      <c r="H36" s="631"/>
      <c r="I36" s="534">
        <f>ProjectBC!G10</f>
        <v>0</v>
      </c>
      <c r="J36" s="486"/>
    </row>
    <row r="37" spans="2:10" ht="15" customHeight="1" thickBot="1">
      <c r="B37" s="550">
        <v>28</v>
      </c>
      <c r="C37" s="630" t="s">
        <v>377</v>
      </c>
      <c r="D37" s="631"/>
      <c r="E37" s="631"/>
      <c r="F37" s="631"/>
      <c r="G37" s="631"/>
      <c r="H37" s="631"/>
      <c r="I37" s="504">
        <f>IF(SpaceHeat=3,-Savings_Busbar*INDEX(LSYield,Btype,8),0)</f>
        <v>1295.6734382107284</v>
      </c>
      <c r="J37" s="486"/>
    </row>
    <row r="38" spans="2:10" ht="15" customHeight="1" thickBot="1">
      <c r="B38" s="550">
        <v>29</v>
      </c>
      <c r="C38" s="630" t="s">
        <v>341</v>
      </c>
      <c r="D38" s="631"/>
      <c r="E38" s="631"/>
      <c r="F38" s="631"/>
      <c r="G38" s="631"/>
      <c r="H38" s="631"/>
      <c r="I38" s="504">
        <f>I18</f>
        <v>0</v>
      </c>
      <c r="J38" s="486"/>
    </row>
    <row r="39" spans="2:10" ht="15" customHeight="1" thickBot="1">
      <c r="B39" s="550">
        <v>30</v>
      </c>
      <c r="C39" s="630" t="s">
        <v>196</v>
      </c>
      <c r="D39" s="631"/>
      <c r="E39" s="631"/>
      <c r="F39" s="631"/>
      <c r="G39" s="631"/>
      <c r="H39" s="632"/>
      <c r="I39" s="504">
        <f>I36+PV_Gas_OM+PV_ReLamp_Cost</f>
        <v>1295.6734382107284</v>
      </c>
      <c r="J39" s="486"/>
    </row>
    <row r="40" spans="2:10" ht="15" customHeight="1" thickBot="1">
      <c r="B40" s="550">
        <v>31</v>
      </c>
      <c r="C40" s="630" t="s">
        <v>207</v>
      </c>
      <c r="D40" s="631"/>
      <c r="E40" s="631"/>
      <c r="F40" s="631"/>
      <c r="G40" s="631"/>
      <c r="H40" s="632"/>
      <c r="I40" s="504">
        <f>Project_Cost+PV_OandM+PV_Energy_Cost</f>
        <v>85689.00582221075</v>
      </c>
      <c r="J40" s="486"/>
    </row>
    <row r="41" spans="2:9" ht="15" customHeight="1" thickBot="1">
      <c r="B41" s="550">
        <v>32</v>
      </c>
      <c r="C41" s="630" t="s">
        <v>1272</v>
      </c>
      <c r="D41" s="631"/>
      <c r="E41" s="631"/>
      <c r="F41" s="631"/>
      <c r="G41" s="631"/>
      <c r="H41" s="632"/>
      <c r="I41" s="598">
        <f>BC_Ratio</f>
        <v>4.728999784952247</v>
      </c>
    </row>
    <row r="42" spans="2:9" ht="15" customHeight="1" thickBot="1">
      <c r="B42" s="571">
        <v>33</v>
      </c>
      <c r="C42" s="630" t="s">
        <v>195</v>
      </c>
      <c r="D42" s="631"/>
      <c r="E42" s="631"/>
      <c r="F42" s="631"/>
      <c r="G42" s="631"/>
      <c r="H42" s="632"/>
      <c r="I42" s="599">
        <f>'Site Audit'!$R$16</f>
        <v>12686</v>
      </c>
    </row>
    <row r="43" ht="16.5" customHeight="1"/>
    <row r="44" ht="16.5" customHeight="1"/>
    <row r="45" ht="18" customHeight="1"/>
    <row r="46" ht="18" customHeight="1"/>
  </sheetData>
  <sheetProtection password="C4BA" sheet="1" objects="1" scenarios="1"/>
  <mergeCells count="51">
    <mergeCell ref="B4:C4"/>
    <mergeCell ref="D4:E4"/>
    <mergeCell ref="B5:C5"/>
    <mergeCell ref="C22:H22"/>
    <mergeCell ref="G4:H4"/>
    <mergeCell ref="C18:H18"/>
    <mergeCell ref="D5:F5"/>
    <mergeCell ref="G5:I5"/>
    <mergeCell ref="C17:H17"/>
    <mergeCell ref="C11:H11"/>
    <mergeCell ref="C14:H14"/>
    <mergeCell ref="C27:H27"/>
    <mergeCell ref="C21:H21"/>
    <mergeCell ref="C19:H19"/>
    <mergeCell ref="G26:H26"/>
    <mergeCell ref="C20:I20"/>
    <mergeCell ref="C23:H23"/>
    <mergeCell ref="C24:H24"/>
    <mergeCell ref="C25:H25"/>
    <mergeCell ref="C32:H32"/>
    <mergeCell ref="C28:H28"/>
    <mergeCell ref="C31:H31"/>
    <mergeCell ref="C36:H36"/>
    <mergeCell ref="C30:H30"/>
    <mergeCell ref="C33:H33"/>
    <mergeCell ref="B1:I1"/>
    <mergeCell ref="B3:I3"/>
    <mergeCell ref="C9:I9"/>
    <mergeCell ref="C16:H16"/>
    <mergeCell ref="C12:H12"/>
    <mergeCell ref="C13:H13"/>
    <mergeCell ref="C10:H10"/>
    <mergeCell ref="B8:C8"/>
    <mergeCell ref="D8:E8"/>
    <mergeCell ref="G8:H8"/>
    <mergeCell ref="C42:H42"/>
    <mergeCell ref="C15:H15"/>
    <mergeCell ref="C29:H29"/>
    <mergeCell ref="C35:H35"/>
    <mergeCell ref="C40:H40"/>
    <mergeCell ref="C41:H41"/>
    <mergeCell ref="C39:H39"/>
    <mergeCell ref="C34:H34"/>
    <mergeCell ref="C38:H38"/>
    <mergeCell ref="C37:H37"/>
    <mergeCell ref="G7:H7"/>
    <mergeCell ref="G6:H6"/>
    <mergeCell ref="D6:F6"/>
    <mergeCell ref="B6:C6"/>
    <mergeCell ref="B7:C7"/>
    <mergeCell ref="D7:F7"/>
  </mergeCells>
  <printOptions/>
  <pageMargins left="0.75" right="0.75" top="1" bottom="1" header="0.5" footer="0.5"/>
  <pageSetup fitToHeight="4" fitToWidth="1" horizontalDpi="600" verticalDpi="600" orientation="portrait" scale="84" r:id="rId3"/>
  <legacyDrawing r:id="rId2"/>
</worksheet>
</file>

<file path=xl/worksheets/sheet10.xml><?xml version="1.0" encoding="utf-8"?>
<worksheet xmlns="http://schemas.openxmlformats.org/spreadsheetml/2006/main" xmlns:r="http://schemas.openxmlformats.org/officeDocument/2006/relationships">
  <dimension ref="A4:H26"/>
  <sheetViews>
    <sheetView zoomScale="75" zoomScaleNormal="75" workbookViewId="0" topLeftCell="C1">
      <selection activeCell="H9" sqref="H9"/>
    </sheetView>
  </sheetViews>
  <sheetFormatPr defaultColWidth="9.00390625" defaultRowHeight="15.75"/>
  <cols>
    <col min="2" max="2" width="40.25390625" style="0" customWidth="1"/>
    <col min="3" max="3" width="11.50390625" style="0" customWidth="1"/>
    <col min="4" max="4" width="27.75390625" style="0" customWidth="1"/>
    <col min="5" max="5" width="8.125" style="0" customWidth="1"/>
    <col min="6" max="6" width="46.25390625" style="0" customWidth="1"/>
    <col min="7" max="7" width="28.625" style="0" customWidth="1"/>
    <col min="8" max="8" width="17.75390625" style="0" customWidth="1"/>
  </cols>
  <sheetData>
    <row r="4" spans="1:8" s="554" customFormat="1" ht="31.5">
      <c r="A4" s="553" t="s">
        <v>1020</v>
      </c>
      <c r="B4" s="553" t="s">
        <v>1021</v>
      </c>
      <c r="C4" s="553" t="s">
        <v>1022</v>
      </c>
      <c r="D4" s="553" t="s">
        <v>362</v>
      </c>
      <c r="E4" s="553" t="s">
        <v>1024</v>
      </c>
      <c r="F4" s="553" t="s">
        <v>1023</v>
      </c>
      <c r="G4" s="553" t="s">
        <v>363</v>
      </c>
      <c r="H4" s="553" t="s">
        <v>365</v>
      </c>
    </row>
    <row r="5" spans="1:8" ht="45">
      <c r="A5" s="555">
        <v>1</v>
      </c>
      <c r="B5" s="559" t="s">
        <v>1026</v>
      </c>
      <c r="C5" s="558">
        <v>39067</v>
      </c>
      <c r="D5" s="558" t="s">
        <v>361</v>
      </c>
      <c r="E5" s="557" t="s">
        <v>1025</v>
      </c>
      <c r="F5" s="559" t="s">
        <v>1027</v>
      </c>
      <c r="G5" s="558" t="s">
        <v>364</v>
      </c>
      <c r="H5" s="558">
        <v>38702</v>
      </c>
    </row>
    <row r="6" spans="1:8" ht="45">
      <c r="A6" s="555">
        <v>2</v>
      </c>
      <c r="B6" s="559" t="s">
        <v>1029</v>
      </c>
      <c r="C6" s="558">
        <v>39067</v>
      </c>
      <c r="D6" s="558" t="s">
        <v>361</v>
      </c>
      <c r="E6" s="557" t="s">
        <v>1028</v>
      </c>
      <c r="F6" s="559" t="s">
        <v>1031</v>
      </c>
      <c r="G6" s="558" t="s">
        <v>364</v>
      </c>
      <c r="H6" s="558">
        <v>38702</v>
      </c>
    </row>
    <row r="7" spans="1:8" ht="45">
      <c r="A7" s="555">
        <v>3</v>
      </c>
      <c r="B7" s="559" t="s">
        <v>1030</v>
      </c>
      <c r="C7" s="558">
        <v>39058</v>
      </c>
      <c r="D7" s="558" t="s">
        <v>361</v>
      </c>
      <c r="E7" s="557" t="s">
        <v>1028</v>
      </c>
      <c r="F7" s="559" t="s">
        <v>539</v>
      </c>
      <c r="G7" s="558" t="s">
        <v>364</v>
      </c>
      <c r="H7" s="558">
        <v>38702</v>
      </c>
    </row>
    <row r="8" spans="1:8" ht="60">
      <c r="A8" s="555">
        <v>4</v>
      </c>
      <c r="B8" s="559" t="s">
        <v>537</v>
      </c>
      <c r="C8" s="558">
        <v>39067</v>
      </c>
      <c r="D8" s="558" t="s">
        <v>361</v>
      </c>
      <c r="E8" s="557" t="s">
        <v>1028</v>
      </c>
      <c r="F8" s="559" t="s">
        <v>538</v>
      </c>
      <c r="G8" s="558" t="s">
        <v>364</v>
      </c>
      <c r="H8" s="558">
        <v>38702</v>
      </c>
    </row>
    <row r="9" spans="1:8" ht="45.75">
      <c r="A9" s="555">
        <v>5</v>
      </c>
      <c r="B9" s="556" t="s">
        <v>755</v>
      </c>
      <c r="C9" s="558">
        <v>38874</v>
      </c>
      <c r="D9" s="558" t="s">
        <v>756</v>
      </c>
      <c r="E9" s="557" t="s">
        <v>1025</v>
      </c>
      <c r="F9" s="557" t="s">
        <v>757</v>
      </c>
      <c r="G9" s="558" t="s">
        <v>758</v>
      </c>
      <c r="H9" s="558">
        <v>38874</v>
      </c>
    </row>
    <row r="10" spans="1:8" ht="15.75">
      <c r="A10" s="555"/>
      <c r="B10" s="556"/>
      <c r="C10" s="557"/>
      <c r="D10" s="557"/>
      <c r="E10" s="557"/>
      <c r="F10" s="557"/>
      <c r="G10" s="560"/>
      <c r="H10" s="560"/>
    </row>
    <row r="11" spans="1:8" ht="15.75">
      <c r="A11" s="555"/>
      <c r="B11" s="556"/>
      <c r="C11" s="557"/>
      <c r="D11" s="557"/>
      <c r="E11" s="557"/>
      <c r="F11" s="557"/>
      <c r="G11" s="560"/>
      <c r="H11" s="560"/>
    </row>
    <row r="12" spans="1:8" ht="15.75">
      <c r="A12" s="555"/>
      <c r="B12" s="556"/>
      <c r="C12" s="557"/>
      <c r="D12" s="557"/>
      <c r="E12" s="557"/>
      <c r="F12" s="557"/>
      <c r="G12" s="560"/>
      <c r="H12" s="560"/>
    </row>
    <row r="13" spans="1:8" ht="15.75">
      <c r="A13" s="555"/>
      <c r="B13" s="556"/>
      <c r="C13" s="557"/>
      <c r="D13" s="557"/>
      <c r="E13" s="557"/>
      <c r="F13" s="557"/>
      <c r="G13" s="560"/>
      <c r="H13" s="560"/>
    </row>
    <row r="14" spans="1:8" ht="15.75">
      <c r="A14" s="555"/>
      <c r="B14" s="556"/>
      <c r="C14" s="557"/>
      <c r="D14" s="557"/>
      <c r="E14" s="557"/>
      <c r="F14" s="557"/>
      <c r="G14" s="560"/>
      <c r="H14" s="560"/>
    </row>
    <row r="15" spans="1:8" ht="15.75">
      <c r="A15" s="555"/>
      <c r="B15" s="556"/>
      <c r="C15" s="557"/>
      <c r="D15" s="557"/>
      <c r="E15" s="557"/>
      <c r="F15" s="557"/>
      <c r="G15" s="560"/>
      <c r="H15" s="560"/>
    </row>
    <row r="16" spans="1:8" ht="15.75">
      <c r="A16" s="555"/>
      <c r="B16" s="556"/>
      <c r="C16" s="557"/>
      <c r="D16" s="557"/>
      <c r="E16" s="557"/>
      <c r="F16" s="557"/>
      <c r="G16" s="560"/>
      <c r="H16" s="560"/>
    </row>
    <row r="17" spans="1:8" ht="15.75">
      <c r="A17" s="555"/>
      <c r="B17" s="556"/>
      <c r="C17" s="557"/>
      <c r="D17" s="557"/>
      <c r="E17" s="557"/>
      <c r="F17" s="557"/>
      <c r="G17" s="560"/>
      <c r="H17" s="560"/>
    </row>
    <row r="18" spans="1:8" ht="15.75">
      <c r="A18" s="555"/>
      <c r="B18" s="556"/>
      <c r="C18" s="557"/>
      <c r="D18" s="557"/>
      <c r="E18" s="557"/>
      <c r="F18" s="557"/>
      <c r="G18" s="560"/>
      <c r="H18" s="560"/>
    </row>
    <row r="19" spans="1:8" ht="15.75">
      <c r="A19" s="555"/>
      <c r="B19" s="556"/>
      <c r="C19" s="557"/>
      <c r="D19" s="557"/>
      <c r="E19" s="557"/>
      <c r="F19" s="557"/>
      <c r="G19" s="560"/>
      <c r="H19" s="560"/>
    </row>
    <row r="20" spans="1:8" ht="15.75">
      <c r="A20" s="555"/>
      <c r="B20" s="556"/>
      <c r="C20" s="557"/>
      <c r="D20" s="557"/>
      <c r="E20" s="557"/>
      <c r="F20" s="557"/>
      <c r="G20" s="560"/>
      <c r="H20" s="560"/>
    </row>
    <row r="21" spans="1:8" ht="15.75">
      <c r="A21" s="555"/>
      <c r="B21" s="556"/>
      <c r="C21" s="557"/>
      <c r="D21" s="557"/>
      <c r="E21" s="557"/>
      <c r="F21" s="557"/>
      <c r="G21" s="560"/>
      <c r="H21" s="560"/>
    </row>
    <row r="22" spans="1:8" ht="15.75">
      <c r="A22" s="555"/>
      <c r="B22" s="556"/>
      <c r="C22" s="557"/>
      <c r="D22" s="557"/>
      <c r="E22" s="557"/>
      <c r="F22" s="557"/>
      <c r="G22" s="560"/>
      <c r="H22" s="560"/>
    </row>
    <row r="23" spans="1:8" ht="15.75">
      <c r="A23" s="555"/>
      <c r="B23" s="556"/>
      <c r="C23" s="557"/>
      <c r="D23" s="557"/>
      <c r="E23" s="557"/>
      <c r="F23" s="557"/>
      <c r="G23" s="560"/>
      <c r="H23" s="560"/>
    </row>
    <row r="24" spans="1:8" ht="15.75">
      <c r="A24" s="555"/>
      <c r="B24" s="556"/>
      <c r="C24" s="557"/>
      <c r="D24" s="557"/>
      <c r="E24" s="557"/>
      <c r="F24" s="557"/>
      <c r="G24" s="560"/>
      <c r="H24" s="560"/>
    </row>
    <row r="25" spans="1:8" ht="15.75">
      <c r="A25" s="555"/>
      <c r="B25" s="556"/>
      <c r="C25" s="557"/>
      <c r="D25" s="557"/>
      <c r="E25" s="557"/>
      <c r="F25" s="557"/>
      <c r="G25" s="560"/>
      <c r="H25" s="560"/>
    </row>
    <row r="26" spans="1:8" ht="15.75">
      <c r="A26" s="555"/>
      <c r="B26" s="556"/>
      <c r="C26" s="557"/>
      <c r="D26" s="557"/>
      <c r="E26" s="557"/>
      <c r="F26" s="557"/>
      <c r="G26" s="560"/>
      <c r="H26" s="560"/>
    </row>
  </sheetData>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B1:F26"/>
  <sheetViews>
    <sheetView showGridLines="0" zoomScale="75" zoomScaleNormal="75" workbookViewId="0" topLeftCell="A1">
      <selection activeCell="B1" sqref="B1"/>
    </sheetView>
  </sheetViews>
  <sheetFormatPr defaultColWidth="9.00390625" defaultRowHeight="15.75"/>
  <cols>
    <col min="1" max="1" width="1.875" style="0" customWidth="1"/>
    <col min="2" max="2" width="22.75390625" style="0" customWidth="1"/>
    <col min="3" max="3" width="38.875" style="0" customWidth="1"/>
    <col min="4" max="4" width="32.00390625" style="0" customWidth="1"/>
    <col min="5" max="5" width="44.375" style="0" customWidth="1"/>
    <col min="6" max="6" width="30.00390625" style="0" customWidth="1"/>
  </cols>
  <sheetData>
    <row r="1" spans="2:6" s="48" customFormat="1" ht="37.5" customHeight="1">
      <c r="B1" s="254" t="s">
        <v>505</v>
      </c>
      <c r="C1" s="255"/>
      <c r="D1" s="255"/>
      <c r="E1" s="255"/>
      <c r="F1" s="255"/>
    </row>
    <row r="2" ht="22.5" customHeight="1" thickBot="1"/>
    <row r="3" spans="2:6" ht="31.5" customHeight="1" thickBot="1">
      <c r="B3" s="249" t="s">
        <v>391</v>
      </c>
      <c r="C3" s="252" t="s">
        <v>392</v>
      </c>
      <c r="D3" s="250" t="s">
        <v>393</v>
      </c>
      <c r="E3" s="252" t="s">
        <v>394</v>
      </c>
      <c r="F3" s="251" t="s">
        <v>395</v>
      </c>
    </row>
    <row r="4" spans="2:6" ht="22.5" customHeight="1">
      <c r="B4" s="806" t="s">
        <v>396</v>
      </c>
      <c r="C4" s="159" t="s">
        <v>1129</v>
      </c>
      <c r="D4" s="159" t="s">
        <v>1068</v>
      </c>
      <c r="E4" s="160" t="s">
        <v>397</v>
      </c>
      <c r="F4" s="809" t="s">
        <v>398</v>
      </c>
    </row>
    <row r="5" spans="2:6" ht="22.5" customHeight="1">
      <c r="B5" s="806"/>
      <c r="C5" s="159" t="s">
        <v>642</v>
      </c>
      <c r="D5" s="159" t="s">
        <v>1142</v>
      </c>
      <c r="E5" s="160" t="s">
        <v>400</v>
      </c>
      <c r="F5" s="810"/>
    </row>
    <row r="6" spans="2:6" ht="22.5" customHeight="1">
      <c r="B6" s="806"/>
      <c r="C6" s="159" t="s">
        <v>401</v>
      </c>
      <c r="D6" s="159" t="s">
        <v>399</v>
      </c>
      <c r="E6" s="160" t="s">
        <v>402</v>
      </c>
      <c r="F6" s="811"/>
    </row>
    <row r="7" spans="2:6" ht="22.5" customHeight="1">
      <c r="B7" s="805" t="s">
        <v>694</v>
      </c>
      <c r="C7" s="162" t="s">
        <v>1130</v>
      </c>
      <c r="D7" s="162" t="s">
        <v>1140</v>
      </c>
      <c r="E7" s="163" t="s">
        <v>695</v>
      </c>
      <c r="F7" s="164" t="s">
        <v>696</v>
      </c>
    </row>
    <row r="8" spans="2:6" ht="22.5" customHeight="1">
      <c r="B8" s="806"/>
      <c r="C8" s="159" t="s">
        <v>697</v>
      </c>
      <c r="D8" s="159" t="s">
        <v>1069</v>
      </c>
      <c r="E8" s="160" t="s">
        <v>698</v>
      </c>
      <c r="F8" s="165" t="s">
        <v>1104</v>
      </c>
    </row>
    <row r="9" spans="2:6" ht="22.5" customHeight="1">
      <c r="B9" s="802" t="s">
        <v>1065</v>
      </c>
      <c r="C9" s="162" t="s">
        <v>641</v>
      </c>
      <c r="D9" s="162" t="s">
        <v>699</v>
      </c>
      <c r="E9" s="163" t="s">
        <v>700</v>
      </c>
      <c r="F9" s="164" t="s">
        <v>1071</v>
      </c>
    </row>
    <row r="10" spans="2:6" ht="22.5" customHeight="1">
      <c r="B10" s="804"/>
      <c r="C10" s="159" t="s">
        <v>1098</v>
      </c>
      <c r="D10" s="159" t="s">
        <v>701</v>
      </c>
      <c r="E10" s="160" t="s">
        <v>702</v>
      </c>
      <c r="F10" s="166" t="s">
        <v>1072</v>
      </c>
    </row>
    <row r="11" spans="2:6" ht="22.5" customHeight="1">
      <c r="B11" s="805" t="s">
        <v>703</v>
      </c>
      <c r="C11" s="162" t="s">
        <v>1128</v>
      </c>
      <c r="D11" s="162" t="s">
        <v>1140</v>
      </c>
      <c r="E11" s="163" t="s">
        <v>1106</v>
      </c>
      <c r="F11" s="807" t="s">
        <v>0</v>
      </c>
    </row>
    <row r="12" spans="2:6" ht="22.5" customHeight="1">
      <c r="B12" s="806"/>
      <c r="C12" s="159" t="s">
        <v>1131</v>
      </c>
      <c r="D12" s="159" t="s">
        <v>1069</v>
      </c>
      <c r="E12" s="160" t="s">
        <v>698</v>
      </c>
      <c r="F12" s="811"/>
    </row>
    <row r="13" spans="2:6" s="48" customFormat="1" ht="22.5" customHeight="1">
      <c r="B13" s="161" t="s">
        <v>637</v>
      </c>
      <c r="C13" s="162" t="s">
        <v>1127</v>
      </c>
      <c r="D13" s="162" t="s">
        <v>640</v>
      </c>
      <c r="E13" s="163" t="s">
        <v>1</v>
      </c>
      <c r="F13" s="164" t="s">
        <v>1154</v>
      </c>
    </row>
    <row r="14" spans="2:6" s="48" customFormat="1" ht="22.5" customHeight="1">
      <c r="B14" s="247" t="s">
        <v>638</v>
      </c>
      <c r="C14" s="159" t="s">
        <v>1067</v>
      </c>
      <c r="D14" s="159" t="s">
        <v>639</v>
      </c>
      <c r="E14" s="160" t="s">
        <v>1155</v>
      </c>
      <c r="F14" s="166" t="s">
        <v>643</v>
      </c>
    </row>
    <row r="15" spans="2:6" ht="22.5" customHeight="1">
      <c r="B15" s="802" t="s">
        <v>1064</v>
      </c>
      <c r="C15" s="162" t="s">
        <v>1132</v>
      </c>
      <c r="D15" s="162" t="s">
        <v>645</v>
      </c>
      <c r="E15" s="163" t="s">
        <v>1153</v>
      </c>
      <c r="F15" s="164" t="s">
        <v>1102</v>
      </c>
    </row>
    <row r="16" spans="2:6" ht="22.5" customHeight="1">
      <c r="B16" s="803"/>
      <c r="C16" s="159" t="s">
        <v>1063</v>
      </c>
      <c r="D16" s="159" t="s">
        <v>646</v>
      </c>
      <c r="E16" s="160" t="s">
        <v>3</v>
      </c>
      <c r="F16" s="166" t="s">
        <v>4</v>
      </c>
    </row>
    <row r="17" spans="2:6" ht="22.5" customHeight="1">
      <c r="B17" s="804"/>
      <c r="C17" s="159" t="s">
        <v>2</v>
      </c>
      <c r="D17" s="159" t="s">
        <v>210</v>
      </c>
      <c r="E17" s="160" t="s">
        <v>1142</v>
      </c>
      <c r="F17" s="166"/>
    </row>
    <row r="18" spans="2:6" ht="22.5" customHeight="1">
      <c r="B18" s="802" t="s">
        <v>1066</v>
      </c>
      <c r="C18" s="162" t="s">
        <v>1136</v>
      </c>
      <c r="D18" s="162" t="s">
        <v>1140</v>
      </c>
      <c r="E18" s="163" t="s">
        <v>1152</v>
      </c>
      <c r="F18" s="167" t="s">
        <v>1135</v>
      </c>
    </row>
    <row r="19" spans="2:6" ht="22.5" customHeight="1">
      <c r="B19" s="803"/>
      <c r="C19" s="159" t="s">
        <v>1137</v>
      </c>
      <c r="D19" s="159" t="s">
        <v>1141</v>
      </c>
      <c r="E19" s="160" t="s">
        <v>1073</v>
      </c>
      <c r="F19" s="165" t="s">
        <v>1138</v>
      </c>
    </row>
    <row r="20" spans="2:6" ht="22.5" customHeight="1">
      <c r="B20" s="803"/>
      <c r="C20" s="159" t="s">
        <v>401</v>
      </c>
      <c r="D20" s="159" t="s">
        <v>644</v>
      </c>
      <c r="E20" s="160" t="s">
        <v>402</v>
      </c>
      <c r="F20" s="165" t="s">
        <v>1103</v>
      </c>
    </row>
    <row r="21" spans="2:6" ht="22.5" customHeight="1">
      <c r="B21" s="805" t="s">
        <v>1133</v>
      </c>
      <c r="C21" s="162" t="s">
        <v>1126</v>
      </c>
      <c r="D21" s="162" t="s">
        <v>1140</v>
      </c>
      <c r="E21" s="163" t="s">
        <v>5</v>
      </c>
      <c r="F21" s="164" t="s">
        <v>1135</v>
      </c>
    </row>
    <row r="22" spans="2:6" ht="22.5" customHeight="1">
      <c r="B22" s="806"/>
      <c r="C22" s="159" t="s">
        <v>636</v>
      </c>
      <c r="D22" s="159" t="s">
        <v>1070</v>
      </c>
      <c r="E22" s="160" t="s">
        <v>6</v>
      </c>
      <c r="F22" s="166" t="s">
        <v>1134</v>
      </c>
    </row>
    <row r="23" spans="2:6" ht="22.5" customHeight="1">
      <c r="B23" s="806"/>
      <c r="C23" s="159" t="s">
        <v>1063</v>
      </c>
      <c r="D23" s="159" t="s">
        <v>1074</v>
      </c>
      <c r="E23" s="160" t="s">
        <v>1139</v>
      </c>
      <c r="F23" s="166" t="s">
        <v>1143</v>
      </c>
    </row>
    <row r="24" spans="2:6" ht="22.5" customHeight="1">
      <c r="B24" s="161" t="s">
        <v>7</v>
      </c>
      <c r="C24" s="168" t="s">
        <v>1099</v>
      </c>
      <c r="D24" s="812" t="s">
        <v>8</v>
      </c>
      <c r="E24" s="169" t="s">
        <v>1101</v>
      </c>
      <c r="F24" s="807" t="s">
        <v>9</v>
      </c>
    </row>
    <row r="25" spans="2:6" ht="22.5" customHeight="1" thickBot="1">
      <c r="B25" s="248" t="s">
        <v>1062</v>
      </c>
      <c r="C25" s="170" t="s">
        <v>1105</v>
      </c>
      <c r="D25" s="813"/>
      <c r="E25" s="170" t="s">
        <v>1100</v>
      </c>
      <c r="F25" s="808"/>
    </row>
    <row r="26" spans="2:5" ht="22.5" customHeight="1">
      <c r="B26" s="122"/>
      <c r="C26" s="122"/>
      <c r="D26" s="122"/>
      <c r="E26" s="122"/>
    </row>
    <row r="27" ht="22.5" customHeight="1"/>
    <row r="28" ht="22.5" customHeight="1"/>
    <row r="29" ht="22.5" customHeight="1"/>
    <row r="30" ht="22.5" customHeight="1"/>
    <row r="31" ht="22.5" customHeight="1"/>
    <row r="32" ht="21.75" customHeight="1"/>
    <row r="33" ht="21.75" customHeight="1"/>
  </sheetData>
  <mergeCells count="11">
    <mergeCell ref="F24:F25"/>
    <mergeCell ref="F4:F6"/>
    <mergeCell ref="F11:F12"/>
    <mergeCell ref="D24:D25"/>
    <mergeCell ref="B15:B17"/>
    <mergeCell ref="B18:B20"/>
    <mergeCell ref="B21:B23"/>
    <mergeCell ref="B4:B6"/>
    <mergeCell ref="B7:B8"/>
    <mergeCell ref="B9:B10"/>
    <mergeCell ref="B11:B12"/>
  </mergeCells>
  <printOptions horizontalCentered="1" verticalCentered="1"/>
  <pageMargins left="0.5" right="0.5" top="0.25" bottom="0.25" header="0.25" footer="0.25"/>
  <pageSetup fitToHeight="1" fitToWidth="1" horizontalDpi="600" verticalDpi="600" orientation="landscape" paperSize="5" scale="92" r:id="rId1"/>
</worksheet>
</file>

<file path=xl/worksheets/sheet12.xml><?xml version="1.0" encoding="utf-8"?>
<worksheet xmlns="http://schemas.openxmlformats.org/spreadsheetml/2006/main" xmlns:r="http://schemas.openxmlformats.org/officeDocument/2006/relationships">
  <sheetPr codeName="Sheet8">
    <pageSetUpPr fitToPage="1"/>
  </sheetPr>
  <dimension ref="B1:K63"/>
  <sheetViews>
    <sheetView showGridLines="0" workbookViewId="0" topLeftCell="A1">
      <selection activeCell="B2" sqref="B2"/>
    </sheetView>
  </sheetViews>
  <sheetFormatPr defaultColWidth="9.00390625" defaultRowHeight="15.75"/>
  <cols>
    <col min="1" max="1" width="1.25" style="0" customWidth="1"/>
    <col min="2" max="2" width="22.25390625" style="0" customWidth="1"/>
    <col min="3" max="3" width="15.75390625" style="0" customWidth="1"/>
    <col min="4" max="4" width="8.00390625" style="81" customWidth="1"/>
    <col min="5" max="9" width="9.625" style="81" customWidth="1"/>
    <col min="10" max="10" width="10.75390625" style="81" customWidth="1"/>
    <col min="11" max="11" width="12.50390625" style="81" customWidth="1"/>
  </cols>
  <sheetData>
    <row r="1" spans="2:11" ht="20.25">
      <c r="B1" s="77" t="s">
        <v>273</v>
      </c>
      <c r="C1" s="78"/>
      <c r="D1" s="78"/>
      <c r="E1" s="78"/>
      <c r="F1" s="78"/>
      <c r="G1" s="78"/>
      <c r="H1" s="78"/>
      <c r="I1" s="78"/>
      <c r="J1" s="78"/>
      <c r="K1" s="78"/>
    </row>
    <row r="2" spans="2:11" ht="18.75">
      <c r="B2" s="79" t="s">
        <v>278</v>
      </c>
      <c r="C2" s="79"/>
      <c r="D2" s="79"/>
      <c r="E2" s="79"/>
      <c r="F2" s="79"/>
      <c r="G2" s="79"/>
      <c r="H2" s="79"/>
      <c r="I2" s="79"/>
      <c r="J2" s="79"/>
      <c r="K2" s="79"/>
    </row>
    <row r="3" spans="2:11" ht="18.75">
      <c r="B3" s="80" t="s">
        <v>506</v>
      </c>
      <c r="C3" s="79"/>
      <c r="D3" s="79"/>
      <c r="E3" s="79"/>
      <c r="F3" s="79"/>
      <c r="G3" s="79"/>
      <c r="H3" s="79"/>
      <c r="I3" s="79"/>
      <c r="J3" s="79"/>
      <c r="K3" s="79"/>
    </row>
    <row r="4" spans="2:7" ht="15.75">
      <c r="B4" s="120"/>
      <c r="F4" s="82"/>
      <c r="G4" s="82"/>
    </row>
    <row r="5" spans="2:11" ht="15.75">
      <c r="B5" s="83" t="s">
        <v>575</v>
      </c>
      <c r="C5" s="78"/>
      <c r="D5" s="78"/>
      <c r="G5" s="819"/>
      <c r="H5" s="819"/>
      <c r="I5" s="819"/>
      <c r="J5" s="819"/>
      <c r="K5" s="819"/>
    </row>
    <row r="6" spans="3:11" ht="5.25" customHeight="1">
      <c r="C6" s="78"/>
      <c r="D6" s="78"/>
      <c r="E6" s="78"/>
      <c r="F6" s="84"/>
      <c r="G6" s="84"/>
      <c r="H6" s="78"/>
      <c r="I6" s="78"/>
      <c r="J6" s="78"/>
      <c r="K6" s="78"/>
    </row>
    <row r="7" spans="2:11" ht="15.75">
      <c r="B7" s="85"/>
      <c r="C7" s="85"/>
      <c r="D7" s="87" t="s">
        <v>544</v>
      </c>
      <c r="E7" s="816" t="s">
        <v>545</v>
      </c>
      <c r="F7" s="817"/>
      <c r="G7" s="818"/>
      <c r="H7" s="86"/>
      <c r="I7" s="88"/>
      <c r="J7" s="89" t="s">
        <v>546</v>
      </c>
      <c r="K7" s="88" t="s">
        <v>544</v>
      </c>
    </row>
    <row r="8" spans="2:11" ht="15.75">
      <c r="B8" s="90" t="s">
        <v>547</v>
      </c>
      <c r="C8" s="90" t="s">
        <v>544</v>
      </c>
      <c r="D8" s="91" t="s">
        <v>548</v>
      </c>
      <c r="E8" s="92" t="s">
        <v>549</v>
      </c>
      <c r="F8" s="92" t="s">
        <v>549</v>
      </c>
      <c r="G8" s="91" t="s">
        <v>550</v>
      </c>
      <c r="H8" s="93" t="s">
        <v>551</v>
      </c>
      <c r="I8" s="94"/>
      <c r="J8" s="95" t="s">
        <v>552</v>
      </c>
      <c r="K8" s="96" t="s">
        <v>553</v>
      </c>
    </row>
    <row r="9" spans="2:11" ht="15.75">
      <c r="B9" s="97" t="s">
        <v>554</v>
      </c>
      <c r="C9" s="97" t="s">
        <v>555</v>
      </c>
      <c r="D9" s="98" t="s">
        <v>556</v>
      </c>
      <c r="E9" s="99" t="s">
        <v>557</v>
      </c>
      <c r="F9" s="99" t="s">
        <v>558</v>
      </c>
      <c r="G9" s="98" t="s">
        <v>558</v>
      </c>
      <c r="H9" s="99" t="s">
        <v>559</v>
      </c>
      <c r="I9" s="100" t="s">
        <v>560</v>
      </c>
      <c r="J9" s="101" t="s">
        <v>561</v>
      </c>
      <c r="K9" s="100" t="s">
        <v>562</v>
      </c>
    </row>
    <row r="10" spans="2:11" ht="15.75">
      <c r="B10" s="102" t="s">
        <v>1045</v>
      </c>
      <c r="C10" s="102" t="s">
        <v>563</v>
      </c>
      <c r="D10" s="104" t="s">
        <v>564</v>
      </c>
      <c r="E10" s="105">
        <v>24000</v>
      </c>
      <c r="F10" s="105">
        <v>30000</v>
      </c>
      <c r="G10" s="106">
        <v>36000</v>
      </c>
      <c r="H10" s="105">
        <v>3100</v>
      </c>
      <c r="I10" s="106">
        <v>2950</v>
      </c>
      <c r="J10" s="107">
        <v>86</v>
      </c>
      <c r="K10" s="108">
        <v>0.95</v>
      </c>
    </row>
    <row r="11" spans="2:11" ht="15.75">
      <c r="B11" s="102" t="s">
        <v>1046</v>
      </c>
      <c r="C11" s="102" t="s">
        <v>565</v>
      </c>
      <c r="D11" s="104" t="s">
        <v>564</v>
      </c>
      <c r="E11" s="105">
        <v>24000</v>
      </c>
      <c r="F11" s="105">
        <v>30000</v>
      </c>
      <c r="G11" s="106">
        <v>36000</v>
      </c>
      <c r="H11" s="105">
        <v>3100</v>
      </c>
      <c r="I11" s="106">
        <v>2950</v>
      </c>
      <c r="J11" s="107">
        <v>86</v>
      </c>
      <c r="K11" s="108">
        <v>0.95</v>
      </c>
    </row>
    <row r="12" spans="2:11" ht="15.75">
      <c r="B12" s="102" t="s">
        <v>1047</v>
      </c>
      <c r="C12" s="102" t="s">
        <v>566</v>
      </c>
      <c r="D12" s="104" t="s">
        <v>564</v>
      </c>
      <c r="E12" s="105">
        <v>24000</v>
      </c>
      <c r="F12" s="105">
        <v>30000</v>
      </c>
      <c r="G12" s="106">
        <v>36000</v>
      </c>
      <c r="H12" s="105">
        <v>3100</v>
      </c>
      <c r="I12" s="106">
        <v>2950</v>
      </c>
      <c r="J12" s="107">
        <v>86</v>
      </c>
      <c r="K12" s="108">
        <v>0.95</v>
      </c>
    </row>
    <row r="13" spans="2:11" ht="15.75">
      <c r="B13" s="109" t="s">
        <v>1048</v>
      </c>
      <c r="C13" s="109" t="s">
        <v>567</v>
      </c>
      <c r="D13" s="110" t="s">
        <v>564</v>
      </c>
      <c r="E13" s="111">
        <v>24000</v>
      </c>
      <c r="F13" s="111">
        <v>30000</v>
      </c>
      <c r="G13" s="112">
        <v>36000</v>
      </c>
      <c r="H13" s="111">
        <v>3100</v>
      </c>
      <c r="I13" s="112">
        <v>2950</v>
      </c>
      <c r="J13" s="113">
        <v>86</v>
      </c>
      <c r="K13" s="114">
        <v>0.95</v>
      </c>
    </row>
    <row r="14" spans="6:7" ht="18" customHeight="1">
      <c r="F14" s="82"/>
      <c r="G14" s="82"/>
    </row>
    <row r="15" spans="2:11" ht="15.75">
      <c r="B15" s="83" t="s">
        <v>574</v>
      </c>
      <c r="C15" s="78"/>
      <c r="D15" s="78"/>
      <c r="E15" s="78"/>
      <c r="F15" s="84"/>
      <c r="G15" s="84"/>
      <c r="H15" s="78"/>
      <c r="I15" s="78"/>
      <c r="J15" s="78"/>
      <c r="K15" s="78"/>
    </row>
    <row r="16" spans="2:11" ht="15.75">
      <c r="B16" s="85"/>
      <c r="C16" s="85"/>
      <c r="D16" s="87" t="s">
        <v>544</v>
      </c>
      <c r="E16" s="86"/>
      <c r="F16" s="86"/>
      <c r="G16" s="88"/>
      <c r="H16" s="86"/>
      <c r="I16" s="88"/>
      <c r="J16" s="89" t="s">
        <v>546</v>
      </c>
      <c r="K16" s="88" t="s">
        <v>544</v>
      </c>
    </row>
    <row r="17" spans="2:11" ht="15.75">
      <c r="B17" s="90" t="s">
        <v>547</v>
      </c>
      <c r="C17" s="90" t="s">
        <v>544</v>
      </c>
      <c r="D17" s="91" t="s">
        <v>548</v>
      </c>
      <c r="E17" s="93" t="s">
        <v>545</v>
      </c>
      <c r="F17" s="115"/>
      <c r="G17" s="94"/>
      <c r="H17" s="115" t="s">
        <v>551</v>
      </c>
      <c r="I17" s="94"/>
      <c r="J17" s="95" t="s">
        <v>552</v>
      </c>
      <c r="K17" s="96" t="s">
        <v>553</v>
      </c>
    </row>
    <row r="18" spans="2:11" ht="15.75">
      <c r="B18" s="97" t="s">
        <v>554</v>
      </c>
      <c r="C18" s="97" t="s">
        <v>555</v>
      </c>
      <c r="D18" s="98" t="s">
        <v>556</v>
      </c>
      <c r="E18" s="99" t="s">
        <v>549</v>
      </c>
      <c r="F18" s="99" t="s">
        <v>569</v>
      </c>
      <c r="G18" s="98" t="s">
        <v>570</v>
      </c>
      <c r="H18" s="99" t="s">
        <v>559</v>
      </c>
      <c r="I18" s="100" t="s">
        <v>560</v>
      </c>
      <c r="J18" s="101" t="s">
        <v>561</v>
      </c>
      <c r="K18" s="100" t="s">
        <v>562</v>
      </c>
    </row>
    <row r="19" spans="2:11" ht="15.75">
      <c r="B19" s="102" t="s">
        <v>1042</v>
      </c>
      <c r="C19" s="102" t="s">
        <v>563</v>
      </c>
      <c r="D19" s="116" t="s">
        <v>564</v>
      </c>
      <c r="E19" s="105">
        <v>15000</v>
      </c>
      <c r="F19" s="105">
        <v>20000</v>
      </c>
      <c r="G19" s="117">
        <v>30000</v>
      </c>
      <c r="H19" s="105">
        <v>3100</v>
      </c>
      <c r="I19" s="117">
        <v>2945</v>
      </c>
      <c r="J19" s="107">
        <v>85</v>
      </c>
      <c r="K19" s="108">
        <v>0.95</v>
      </c>
    </row>
    <row r="20" spans="2:11" ht="15.75">
      <c r="B20" s="102" t="s">
        <v>1043</v>
      </c>
      <c r="C20" s="102" t="s">
        <v>565</v>
      </c>
      <c r="D20" s="104" t="s">
        <v>564</v>
      </c>
      <c r="E20" s="105">
        <v>15000</v>
      </c>
      <c r="F20" s="105">
        <v>20000</v>
      </c>
      <c r="G20" s="106">
        <v>30000</v>
      </c>
      <c r="H20" s="105">
        <v>3100</v>
      </c>
      <c r="I20" s="106">
        <v>2945</v>
      </c>
      <c r="J20" s="107">
        <v>85</v>
      </c>
      <c r="K20" s="108">
        <v>0.95</v>
      </c>
    </row>
    <row r="21" spans="2:11" ht="15.75">
      <c r="B21" s="109" t="s">
        <v>1044</v>
      </c>
      <c r="C21" s="109" t="s">
        <v>566</v>
      </c>
      <c r="D21" s="110" t="s">
        <v>564</v>
      </c>
      <c r="E21" s="111">
        <v>15000</v>
      </c>
      <c r="F21" s="111">
        <v>20000</v>
      </c>
      <c r="G21" s="112">
        <v>30000</v>
      </c>
      <c r="H21" s="111">
        <v>3150</v>
      </c>
      <c r="I21" s="112">
        <v>2992</v>
      </c>
      <c r="J21" s="113">
        <v>85</v>
      </c>
      <c r="K21" s="114">
        <v>0.95</v>
      </c>
    </row>
    <row r="22" spans="6:7" ht="18" customHeight="1">
      <c r="F22" s="82"/>
      <c r="G22" s="82"/>
    </row>
    <row r="23" spans="2:11" ht="15.75">
      <c r="B23" s="83" t="s">
        <v>586</v>
      </c>
      <c r="C23" s="78"/>
      <c r="D23" s="78"/>
      <c r="E23" s="78"/>
      <c r="F23" s="84"/>
      <c r="G23" s="814" t="s">
        <v>587</v>
      </c>
      <c r="H23" s="815"/>
      <c r="I23" s="815"/>
      <c r="J23" s="815"/>
      <c r="K23" s="78"/>
    </row>
    <row r="24" spans="3:11" ht="5.25" customHeight="1">
      <c r="C24" s="78"/>
      <c r="D24" s="78"/>
      <c r="E24" s="78"/>
      <c r="F24" s="84"/>
      <c r="G24" s="84"/>
      <c r="H24" s="78"/>
      <c r="I24" s="78"/>
      <c r="J24" s="78"/>
      <c r="K24" s="78"/>
    </row>
    <row r="25" spans="2:11" ht="15.75">
      <c r="B25" s="85"/>
      <c r="C25" s="85"/>
      <c r="D25" s="87" t="s">
        <v>544</v>
      </c>
      <c r="E25" s="816" t="s">
        <v>545</v>
      </c>
      <c r="F25" s="817"/>
      <c r="G25" s="818"/>
      <c r="H25" s="86"/>
      <c r="I25" s="88"/>
      <c r="J25" s="89" t="s">
        <v>546</v>
      </c>
      <c r="K25" s="88" t="s">
        <v>544</v>
      </c>
    </row>
    <row r="26" spans="2:11" ht="15.75">
      <c r="B26" s="90" t="s">
        <v>547</v>
      </c>
      <c r="C26" s="90" t="s">
        <v>544</v>
      </c>
      <c r="D26" s="91" t="s">
        <v>548</v>
      </c>
      <c r="E26" s="92" t="s">
        <v>549</v>
      </c>
      <c r="F26" s="92" t="s">
        <v>550</v>
      </c>
      <c r="G26" s="91" t="s">
        <v>571</v>
      </c>
      <c r="H26" s="93" t="s">
        <v>551</v>
      </c>
      <c r="I26" s="94"/>
      <c r="J26" s="95" t="s">
        <v>552</v>
      </c>
      <c r="K26" s="96" t="s">
        <v>553</v>
      </c>
    </row>
    <row r="27" spans="2:11" ht="15.75">
      <c r="B27" s="97" t="s">
        <v>554</v>
      </c>
      <c r="C27" s="97" t="s">
        <v>555</v>
      </c>
      <c r="D27" s="98" t="s">
        <v>556</v>
      </c>
      <c r="E27" s="99" t="s">
        <v>557</v>
      </c>
      <c r="F27" s="99" t="s">
        <v>557</v>
      </c>
      <c r="G27" s="98" t="s">
        <v>572</v>
      </c>
      <c r="H27" s="99" t="s">
        <v>559</v>
      </c>
      <c r="I27" s="100" t="s">
        <v>560</v>
      </c>
      <c r="J27" s="101" t="s">
        <v>561</v>
      </c>
      <c r="K27" s="100" t="s">
        <v>562</v>
      </c>
    </row>
    <row r="28" spans="2:11" ht="15.75">
      <c r="B28" s="102" t="s">
        <v>1049</v>
      </c>
      <c r="C28" s="102" t="s">
        <v>563</v>
      </c>
      <c r="D28" s="116" t="s">
        <v>564</v>
      </c>
      <c r="E28" s="105">
        <v>24000</v>
      </c>
      <c r="F28" s="105">
        <v>24000</v>
      </c>
      <c r="G28" s="117">
        <v>29000</v>
      </c>
      <c r="H28" s="105">
        <v>3100</v>
      </c>
      <c r="I28" s="117">
        <v>2915</v>
      </c>
      <c r="J28" s="107">
        <v>85</v>
      </c>
      <c r="K28" s="108">
        <v>0.94</v>
      </c>
    </row>
    <row r="29" spans="2:11" ht="15.75">
      <c r="B29" s="102" t="s">
        <v>1050</v>
      </c>
      <c r="C29" s="102" t="s">
        <v>565</v>
      </c>
      <c r="D29" s="104" t="s">
        <v>564</v>
      </c>
      <c r="E29" s="105">
        <v>24000</v>
      </c>
      <c r="F29" s="105">
        <v>24000</v>
      </c>
      <c r="G29" s="106">
        <v>29000</v>
      </c>
      <c r="H29" s="105">
        <v>3100</v>
      </c>
      <c r="I29" s="106">
        <v>2915</v>
      </c>
      <c r="J29" s="107">
        <v>85</v>
      </c>
      <c r="K29" s="108">
        <v>0.94</v>
      </c>
    </row>
    <row r="30" spans="2:11" ht="15.75">
      <c r="B30" s="109" t="s">
        <v>1051</v>
      </c>
      <c r="C30" s="109" t="s">
        <v>566</v>
      </c>
      <c r="D30" s="110" t="s">
        <v>564</v>
      </c>
      <c r="E30" s="111">
        <v>24000</v>
      </c>
      <c r="F30" s="111">
        <v>24000</v>
      </c>
      <c r="G30" s="112">
        <v>29000</v>
      </c>
      <c r="H30" s="111">
        <v>3100</v>
      </c>
      <c r="I30" s="112">
        <v>2915</v>
      </c>
      <c r="J30" s="113">
        <v>85</v>
      </c>
      <c r="K30" s="114">
        <v>0.94</v>
      </c>
    </row>
    <row r="31" spans="2:11" ht="15.75">
      <c r="B31" s="103"/>
      <c r="C31" s="103"/>
      <c r="D31" s="82"/>
      <c r="E31" s="118"/>
      <c r="F31" s="118"/>
      <c r="G31" s="118"/>
      <c r="H31" s="118"/>
      <c r="I31" s="118"/>
      <c r="J31" s="82"/>
      <c r="K31" s="119"/>
    </row>
    <row r="32" spans="2:11" ht="15.75">
      <c r="B32" s="103"/>
      <c r="C32" s="103"/>
      <c r="D32" s="82"/>
      <c r="E32" s="118"/>
      <c r="F32" s="118"/>
      <c r="G32" s="118"/>
      <c r="H32" s="118"/>
      <c r="I32" s="118"/>
      <c r="J32" s="82"/>
      <c r="K32" s="119"/>
    </row>
    <row r="33" spans="2:11" ht="20.25">
      <c r="B33" s="77" t="s">
        <v>273</v>
      </c>
      <c r="C33" s="78"/>
      <c r="D33" s="78"/>
      <c r="E33" s="78"/>
      <c r="F33" s="78"/>
      <c r="G33" s="78"/>
      <c r="H33" s="78"/>
      <c r="I33" s="78"/>
      <c r="J33" s="78"/>
      <c r="K33" s="78"/>
    </row>
    <row r="34" spans="2:11" ht="18.75">
      <c r="B34" s="79" t="s">
        <v>279</v>
      </c>
      <c r="C34" s="79"/>
      <c r="D34" s="79"/>
      <c r="E34" s="79"/>
      <c r="F34" s="79"/>
      <c r="G34" s="79"/>
      <c r="H34" s="79"/>
      <c r="I34" s="79"/>
      <c r="J34" s="79"/>
      <c r="K34" s="79"/>
    </row>
    <row r="35" spans="2:11" ht="18.75">
      <c r="B35" s="80" t="s">
        <v>1210</v>
      </c>
      <c r="C35" s="79"/>
      <c r="D35" s="79"/>
      <c r="E35" s="79"/>
      <c r="F35" s="79"/>
      <c r="G35" s="79"/>
      <c r="H35" s="79"/>
      <c r="I35" s="79"/>
      <c r="J35" s="79"/>
      <c r="K35" s="79"/>
    </row>
    <row r="36" spans="6:7" ht="18" customHeight="1">
      <c r="F36" s="82"/>
      <c r="G36" s="82"/>
    </row>
    <row r="37" spans="2:11" ht="15.75">
      <c r="B37" s="83" t="s">
        <v>573</v>
      </c>
      <c r="C37" s="78"/>
      <c r="D37" s="78"/>
      <c r="E37" s="78"/>
      <c r="F37" s="84"/>
      <c r="G37" s="84"/>
      <c r="H37" s="78"/>
      <c r="I37" s="78"/>
      <c r="J37" s="78"/>
      <c r="K37" s="78"/>
    </row>
    <row r="38" spans="2:11" ht="15.75">
      <c r="B38" s="85"/>
      <c r="C38" s="85"/>
      <c r="D38" s="87" t="s">
        <v>544</v>
      </c>
      <c r="E38" s="86"/>
      <c r="F38" s="86"/>
      <c r="G38" s="88"/>
      <c r="H38" s="86"/>
      <c r="I38" s="88"/>
      <c r="J38" s="89" t="s">
        <v>546</v>
      </c>
      <c r="K38" s="88" t="s">
        <v>544</v>
      </c>
    </row>
    <row r="39" spans="2:11" ht="15.75">
      <c r="B39" s="90" t="s">
        <v>547</v>
      </c>
      <c r="C39" s="90" t="s">
        <v>544</v>
      </c>
      <c r="D39" s="91" t="s">
        <v>548</v>
      </c>
      <c r="E39" s="93" t="s">
        <v>545</v>
      </c>
      <c r="F39" s="115"/>
      <c r="G39" s="94"/>
      <c r="H39" s="115" t="s">
        <v>551</v>
      </c>
      <c r="I39" s="94"/>
      <c r="J39" s="95" t="s">
        <v>552</v>
      </c>
      <c r="K39" s="96" t="s">
        <v>553</v>
      </c>
    </row>
    <row r="40" spans="2:11" ht="15.75">
      <c r="B40" s="97" t="s">
        <v>554</v>
      </c>
      <c r="C40" s="97" t="s">
        <v>555</v>
      </c>
      <c r="D40" s="98" t="s">
        <v>556</v>
      </c>
      <c r="E40" s="99" t="s">
        <v>557</v>
      </c>
      <c r="F40" s="98"/>
      <c r="G40" s="98" t="s">
        <v>558</v>
      </c>
      <c r="H40" s="99" t="s">
        <v>559</v>
      </c>
      <c r="I40" s="100" t="s">
        <v>560</v>
      </c>
      <c r="J40" s="101" t="s">
        <v>561</v>
      </c>
      <c r="K40" s="100" t="s">
        <v>562</v>
      </c>
    </row>
    <row r="41" spans="2:11" ht="15.75">
      <c r="B41" s="102" t="s">
        <v>1053</v>
      </c>
      <c r="C41" s="102" t="s">
        <v>563</v>
      </c>
      <c r="D41" s="116" t="s">
        <v>568</v>
      </c>
      <c r="E41" s="105">
        <v>24000</v>
      </c>
      <c r="F41" s="106"/>
      <c r="G41" s="117">
        <v>30000</v>
      </c>
      <c r="H41" s="105">
        <v>5900</v>
      </c>
      <c r="I41" s="117">
        <v>5490</v>
      </c>
      <c r="J41" s="107">
        <v>85</v>
      </c>
      <c r="K41" s="108">
        <v>0.95</v>
      </c>
    </row>
    <row r="42" spans="2:11" ht="15.75">
      <c r="B42" s="102" t="s">
        <v>1052</v>
      </c>
      <c r="C42" s="102" t="s">
        <v>565</v>
      </c>
      <c r="D42" s="104" t="s">
        <v>568</v>
      </c>
      <c r="E42" s="105">
        <v>24000</v>
      </c>
      <c r="F42" s="106"/>
      <c r="G42" s="106">
        <v>30000</v>
      </c>
      <c r="H42" s="105">
        <v>5900</v>
      </c>
      <c r="I42" s="106">
        <v>5490</v>
      </c>
      <c r="J42" s="107">
        <v>85</v>
      </c>
      <c r="K42" s="108">
        <v>0.95</v>
      </c>
    </row>
    <row r="43" spans="2:11" ht="15.75">
      <c r="B43" s="102" t="s">
        <v>1054</v>
      </c>
      <c r="C43" s="102" t="s">
        <v>566</v>
      </c>
      <c r="D43" s="104" t="s">
        <v>568</v>
      </c>
      <c r="E43" s="105">
        <v>24000</v>
      </c>
      <c r="F43" s="106"/>
      <c r="G43" s="106">
        <v>30000</v>
      </c>
      <c r="H43" s="105">
        <v>5900</v>
      </c>
      <c r="I43" s="106">
        <v>5490</v>
      </c>
      <c r="J43" s="107">
        <v>85</v>
      </c>
      <c r="K43" s="108">
        <v>0.95</v>
      </c>
    </row>
    <row r="44" spans="2:11" ht="15.75">
      <c r="B44" s="109" t="s">
        <v>1055</v>
      </c>
      <c r="C44" s="109" t="s">
        <v>567</v>
      </c>
      <c r="D44" s="110" t="s">
        <v>568</v>
      </c>
      <c r="E44" s="111">
        <v>24000</v>
      </c>
      <c r="F44" s="112"/>
      <c r="G44" s="112">
        <v>30000</v>
      </c>
      <c r="H44" s="111">
        <v>5780</v>
      </c>
      <c r="I44" s="112">
        <v>5375</v>
      </c>
      <c r="J44" s="113">
        <v>85</v>
      </c>
      <c r="K44" s="114">
        <v>0.95</v>
      </c>
    </row>
    <row r="45" spans="6:7" ht="18" customHeight="1">
      <c r="F45" s="82"/>
      <c r="G45" s="82"/>
    </row>
    <row r="46" spans="2:11" ht="15.75">
      <c r="B46" s="83" t="s">
        <v>1208</v>
      </c>
      <c r="C46" s="78"/>
      <c r="D46" s="78"/>
      <c r="E46" s="78"/>
      <c r="F46" s="84"/>
      <c r="G46" s="84"/>
      <c r="H46" s="78"/>
      <c r="I46" s="78"/>
      <c r="J46" s="78"/>
      <c r="K46" s="78"/>
    </row>
    <row r="47" spans="2:11" ht="15.75">
      <c r="B47" s="85"/>
      <c r="C47" s="85"/>
      <c r="D47" s="87" t="s">
        <v>544</v>
      </c>
      <c r="E47" s="86"/>
      <c r="F47" s="86"/>
      <c r="G47" s="88"/>
      <c r="H47" s="86"/>
      <c r="I47" s="88"/>
      <c r="J47" s="89" t="s">
        <v>546</v>
      </c>
      <c r="K47" s="88" t="s">
        <v>544</v>
      </c>
    </row>
    <row r="48" spans="2:11" ht="15.75">
      <c r="B48" s="90" t="s">
        <v>547</v>
      </c>
      <c r="C48" s="90" t="s">
        <v>544</v>
      </c>
      <c r="D48" s="91" t="s">
        <v>548</v>
      </c>
      <c r="E48" s="93" t="s">
        <v>545</v>
      </c>
      <c r="F48" s="115"/>
      <c r="G48" s="94"/>
      <c r="H48" s="115" t="s">
        <v>551</v>
      </c>
      <c r="I48" s="94"/>
      <c r="J48" s="95" t="s">
        <v>552</v>
      </c>
      <c r="K48" s="96" t="s">
        <v>553</v>
      </c>
    </row>
    <row r="49" spans="2:11" ht="15.75">
      <c r="B49" s="97" t="s">
        <v>554</v>
      </c>
      <c r="C49" s="97" t="s">
        <v>555</v>
      </c>
      <c r="D49" s="98" t="s">
        <v>556</v>
      </c>
      <c r="E49" s="99" t="s">
        <v>557</v>
      </c>
      <c r="F49" s="98"/>
      <c r="G49" s="98" t="s">
        <v>558</v>
      </c>
      <c r="H49" s="99" t="s">
        <v>559</v>
      </c>
      <c r="I49" s="100" t="s">
        <v>560</v>
      </c>
      <c r="J49" s="101" t="s">
        <v>561</v>
      </c>
      <c r="K49" s="100" t="s">
        <v>562</v>
      </c>
    </row>
    <row r="50" spans="2:11" ht="15.75">
      <c r="B50" s="102" t="s">
        <v>1056</v>
      </c>
      <c r="C50" s="102" t="s">
        <v>563</v>
      </c>
      <c r="D50" s="116" t="s">
        <v>568</v>
      </c>
      <c r="E50" s="105">
        <v>18000</v>
      </c>
      <c r="F50" s="106"/>
      <c r="G50" s="117">
        <v>26000</v>
      </c>
      <c r="H50" s="105">
        <v>6100</v>
      </c>
      <c r="I50" s="117">
        <v>5795</v>
      </c>
      <c r="J50" s="107">
        <v>85</v>
      </c>
      <c r="K50" s="108">
        <v>0.95</v>
      </c>
    </row>
    <row r="51" spans="2:11" ht="15.75">
      <c r="B51" s="102" t="s">
        <v>1057</v>
      </c>
      <c r="C51" s="102" t="s">
        <v>565</v>
      </c>
      <c r="D51" s="104" t="s">
        <v>568</v>
      </c>
      <c r="E51" s="105">
        <v>18000</v>
      </c>
      <c r="F51" s="106"/>
      <c r="G51" s="106">
        <v>26000</v>
      </c>
      <c r="H51" s="105">
        <v>6100</v>
      </c>
      <c r="I51" s="106">
        <v>5795</v>
      </c>
      <c r="J51" s="107">
        <v>85</v>
      </c>
      <c r="K51" s="108">
        <v>0.95</v>
      </c>
    </row>
    <row r="52" spans="2:11" ht="15.75">
      <c r="B52" s="102" t="s">
        <v>1058</v>
      </c>
      <c r="C52" s="102" t="s">
        <v>566</v>
      </c>
      <c r="D52" s="104" t="s">
        <v>568</v>
      </c>
      <c r="E52" s="105">
        <v>18000</v>
      </c>
      <c r="F52" s="106"/>
      <c r="G52" s="106">
        <v>26000</v>
      </c>
      <c r="H52" s="105">
        <v>6100</v>
      </c>
      <c r="I52" s="106">
        <v>5795</v>
      </c>
      <c r="J52" s="107">
        <v>85</v>
      </c>
      <c r="K52" s="108">
        <v>0.95</v>
      </c>
    </row>
    <row r="53" spans="2:11" ht="15.75">
      <c r="B53" s="109" t="s">
        <v>1059</v>
      </c>
      <c r="C53" s="109" t="s">
        <v>567</v>
      </c>
      <c r="D53" s="110" t="s">
        <v>568</v>
      </c>
      <c r="E53" s="111">
        <v>18000</v>
      </c>
      <c r="F53" s="112"/>
      <c r="G53" s="112">
        <v>26000</v>
      </c>
      <c r="H53" s="111">
        <v>6100</v>
      </c>
      <c r="I53" s="112">
        <v>5795</v>
      </c>
      <c r="J53" s="113">
        <v>85</v>
      </c>
      <c r="K53" s="114">
        <v>0.95</v>
      </c>
    </row>
    <row r="54" ht="18" customHeight="1"/>
    <row r="55" spans="2:11" ht="15.75">
      <c r="B55" s="83" t="s">
        <v>895</v>
      </c>
      <c r="C55" s="78"/>
      <c r="D55" s="78"/>
      <c r="E55" s="78"/>
      <c r="F55" s="84"/>
      <c r="G55" s="814"/>
      <c r="H55" s="815"/>
      <c r="I55" s="815"/>
      <c r="J55" s="815"/>
      <c r="K55" s="78"/>
    </row>
    <row r="56" spans="2:11" ht="15.75">
      <c r="B56" s="85"/>
      <c r="C56" s="85"/>
      <c r="D56" s="87" t="s">
        <v>544</v>
      </c>
      <c r="E56" s="86"/>
      <c r="F56" s="86"/>
      <c r="G56" s="88"/>
      <c r="H56" s="86"/>
      <c r="I56" s="88"/>
      <c r="J56" s="89" t="s">
        <v>546</v>
      </c>
      <c r="K56" s="88" t="s">
        <v>544</v>
      </c>
    </row>
    <row r="57" spans="2:11" ht="15.75">
      <c r="B57" s="90" t="s">
        <v>547</v>
      </c>
      <c r="C57" s="90" t="s">
        <v>544</v>
      </c>
      <c r="D57" s="91" t="s">
        <v>548</v>
      </c>
      <c r="E57" s="93" t="s">
        <v>545</v>
      </c>
      <c r="F57" s="115"/>
      <c r="G57" s="94"/>
      <c r="H57" s="93" t="s">
        <v>551</v>
      </c>
      <c r="I57" s="94"/>
      <c r="J57" s="95" t="s">
        <v>552</v>
      </c>
      <c r="K57" s="96" t="s">
        <v>553</v>
      </c>
    </row>
    <row r="58" spans="2:11" ht="15.75">
      <c r="B58" s="97" t="s">
        <v>554</v>
      </c>
      <c r="C58" s="97" t="s">
        <v>555</v>
      </c>
      <c r="D58" s="98" t="s">
        <v>556</v>
      </c>
      <c r="E58" s="99" t="s">
        <v>557</v>
      </c>
      <c r="F58" s="98"/>
      <c r="G58" s="98" t="s">
        <v>558</v>
      </c>
      <c r="H58" s="99" t="s">
        <v>559</v>
      </c>
      <c r="I58" s="100" t="s">
        <v>560</v>
      </c>
      <c r="J58" s="101" t="s">
        <v>561</v>
      </c>
      <c r="K58" s="100" t="s">
        <v>562</v>
      </c>
    </row>
    <row r="59" spans="2:11" ht="15.75">
      <c r="B59" s="102" t="s">
        <v>898</v>
      </c>
      <c r="C59" s="102" t="s">
        <v>563</v>
      </c>
      <c r="D59" s="116" t="s">
        <v>568</v>
      </c>
      <c r="E59" s="105">
        <v>18000</v>
      </c>
      <c r="F59" s="106"/>
      <c r="G59" s="117">
        <v>26000</v>
      </c>
      <c r="H59" s="105">
        <v>5950</v>
      </c>
      <c r="I59" s="117">
        <v>5650</v>
      </c>
      <c r="J59" s="107">
        <v>86</v>
      </c>
      <c r="K59" s="108">
        <v>0.95</v>
      </c>
    </row>
    <row r="60" spans="2:11" ht="15.75">
      <c r="B60" s="102" t="s">
        <v>897</v>
      </c>
      <c r="C60" s="102" t="s">
        <v>565</v>
      </c>
      <c r="D60" s="104" t="s">
        <v>568</v>
      </c>
      <c r="E60" s="105">
        <v>18000</v>
      </c>
      <c r="F60" s="106"/>
      <c r="G60" s="106">
        <v>26000</v>
      </c>
      <c r="H60" s="105">
        <v>5950</v>
      </c>
      <c r="I60" s="106">
        <v>5650</v>
      </c>
      <c r="J60" s="107">
        <v>86</v>
      </c>
      <c r="K60" s="108">
        <v>0.95</v>
      </c>
    </row>
    <row r="61" spans="2:11" ht="15.75">
      <c r="B61" s="102" t="s">
        <v>896</v>
      </c>
      <c r="C61" s="102" t="s">
        <v>566</v>
      </c>
      <c r="D61" s="104" t="s">
        <v>568</v>
      </c>
      <c r="E61" s="105">
        <v>18000</v>
      </c>
      <c r="F61" s="106"/>
      <c r="G61" s="106">
        <v>26000</v>
      </c>
      <c r="H61" s="105">
        <v>5950</v>
      </c>
      <c r="I61" s="106">
        <v>5650</v>
      </c>
      <c r="J61" s="107">
        <v>86</v>
      </c>
      <c r="K61" s="108">
        <v>0.95</v>
      </c>
    </row>
    <row r="62" spans="2:11" ht="15.75">
      <c r="B62" s="109" t="s">
        <v>940</v>
      </c>
      <c r="C62" s="109" t="s">
        <v>567</v>
      </c>
      <c r="D62" s="110" t="s">
        <v>568</v>
      </c>
      <c r="E62" s="111">
        <v>18000</v>
      </c>
      <c r="F62" s="112"/>
      <c r="G62" s="112">
        <v>26000</v>
      </c>
      <c r="H62" s="111">
        <v>5950</v>
      </c>
      <c r="I62" s="112">
        <v>5650</v>
      </c>
      <c r="J62" s="113">
        <v>86</v>
      </c>
      <c r="K62" s="114">
        <v>0.95</v>
      </c>
    </row>
    <row r="63" spans="2:11" ht="15.75">
      <c r="B63" s="103"/>
      <c r="C63" s="103"/>
      <c r="D63" s="82"/>
      <c r="E63" s="118"/>
      <c r="F63" s="118"/>
      <c r="G63" s="118"/>
      <c r="H63" s="118"/>
      <c r="I63" s="118"/>
      <c r="J63" s="82"/>
      <c r="K63" s="119"/>
    </row>
  </sheetData>
  <mergeCells count="5">
    <mergeCell ref="G55:J55"/>
    <mergeCell ref="E7:G7"/>
    <mergeCell ref="G5:K5"/>
    <mergeCell ref="G23:J23"/>
    <mergeCell ref="E25:G25"/>
  </mergeCells>
  <hyperlinks>
    <hyperlink ref="G23" r:id="rId1" display="GE High Performance Lamp Spec Sheet"/>
  </hyperlinks>
  <printOptions/>
  <pageMargins left="0.75" right="0.75" top="1" bottom="1" header="0.5" footer="0.5"/>
  <pageSetup fitToHeight="5" fitToWidth="1" horizontalDpi="600" verticalDpi="600" orientation="landscape" scale="96" r:id="rId2"/>
</worksheet>
</file>

<file path=xl/worksheets/sheet13.xml><?xml version="1.0" encoding="utf-8"?>
<worksheet xmlns="http://schemas.openxmlformats.org/spreadsheetml/2006/main" xmlns:r="http://schemas.openxmlformats.org/officeDocument/2006/relationships">
  <sheetPr codeName="Sheet9"/>
  <dimension ref="A1:B71"/>
  <sheetViews>
    <sheetView showGridLines="0" workbookViewId="0" topLeftCell="A1">
      <selection activeCell="B7" sqref="B7"/>
    </sheetView>
  </sheetViews>
  <sheetFormatPr defaultColWidth="9.00390625" defaultRowHeight="15.75"/>
  <cols>
    <col min="1" max="1" width="3.00390625" style="64" customWidth="1"/>
    <col min="2" max="2" width="80.25390625" style="64" customWidth="1"/>
  </cols>
  <sheetData>
    <row r="1" ht="18.75" customHeight="1">
      <c r="B1" s="253" t="s">
        <v>441</v>
      </c>
    </row>
    <row r="2" ht="11.25" customHeight="1"/>
    <row r="3" spans="1:2" s="71" customFormat="1" ht="20.25">
      <c r="A3" s="69"/>
      <c r="B3" s="72" t="s">
        <v>148</v>
      </c>
    </row>
    <row r="4" ht="12" customHeight="1"/>
    <row r="5" spans="1:2" s="71" customFormat="1" ht="20.25">
      <c r="A5" s="69"/>
      <c r="B5" s="70" t="s">
        <v>601</v>
      </c>
    </row>
    <row r="6" spans="1:2" ht="15.75">
      <c r="A6" s="64">
        <v>1</v>
      </c>
      <c r="B6" s="64" t="s">
        <v>691</v>
      </c>
    </row>
    <row r="7" spans="1:2" ht="31.5">
      <c r="A7" s="64">
        <v>2</v>
      </c>
      <c r="B7" s="65" t="s">
        <v>692</v>
      </c>
    </row>
    <row r="8" spans="1:2" ht="31.5">
      <c r="A8" s="64">
        <v>3</v>
      </c>
      <c r="B8" s="65" t="s">
        <v>1237</v>
      </c>
    </row>
    <row r="9" spans="1:2" ht="31.5">
      <c r="A9" s="64">
        <v>4</v>
      </c>
      <c r="B9" s="65" t="s">
        <v>1238</v>
      </c>
    </row>
    <row r="10" spans="1:2" ht="15.75">
      <c r="A10" s="64">
        <v>5</v>
      </c>
      <c r="B10" s="65" t="s">
        <v>1239</v>
      </c>
    </row>
    <row r="11" spans="1:2" ht="31.5">
      <c r="A11" s="64">
        <v>6</v>
      </c>
      <c r="B11" s="65" t="s">
        <v>1240</v>
      </c>
    </row>
    <row r="12" spans="1:2" ht="31.5">
      <c r="A12" s="64">
        <v>7</v>
      </c>
      <c r="B12" s="66" t="s">
        <v>111</v>
      </c>
    </row>
    <row r="13" spans="1:2" ht="15.75">
      <c r="A13" s="64">
        <v>8</v>
      </c>
      <c r="B13" s="64" t="s">
        <v>10</v>
      </c>
    </row>
    <row r="14" spans="1:2" ht="15.75">
      <c r="A14" s="64">
        <v>9</v>
      </c>
      <c r="B14" s="64" t="s">
        <v>11</v>
      </c>
    </row>
    <row r="15" spans="1:2" ht="31.5">
      <c r="A15" s="64">
        <v>10</v>
      </c>
      <c r="B15" s="66" t="s">
        <v>1309</v>
      </c>
    </row>
    <row r="16" spans="1:2" ht="78.75" customHeight="1">
      <c r="A16" s="64">
        <v>11</v>
      </c>
      <c r="B16" s="66" t="s">
        <v>436</v>
      </c>
    </row>
    <row r="17" spans="1:2" ht="31.5">
      <c r="A17" s="64">
        <v>12</v>
      </c>
      <c r="B17" s="66" t="s">
        <v>437</v>
      </c>
    </row>
    <row r="18" spans="1:2" ht="63">
      <c r="A18" s="64">
        <v>13</v>
      </c>
      <c r="B18" s="64" t="s">
        <v>112</v>
      </c>
    </row>
    <row r="19" spans="1:2" ht="78.75">
      <c r="A19" s="64">
        <v>14</v>
      </c>
      <c r="B19" s="64" t="s">
        <v>435</v>
      </c>
    </row>
    <row r="20" spans="1:2" ht="48" customHeight="1">
      <c r="A20" s="64">
        <v>15</v>
      </c>
      <c r="B20" s="64" t="s">
        <v>390</v>
      </c>
    </row>
    <row r="21" spans="1:2" ht="63" customHeight="1">
      <c r="A21" s="64">
        <v>16</v>
      </c>
      <c r="B21" s="64" t="s">
        <v>439</v>
      </c>
    </row>
    <row r="22" spans="1:2" ht="31.5" customHeight="1">
      <c r="A22" s="64">
        <v>17</v>
      </c>
      <c r="B22" s="64" t="s">
        <v>919</v>
      </c>
    </row>
    <row r="23" spans="1:2" ht="31.5">
      <c r="A23" s="64">
        <v>18</v>
      </c>
      <c r="B23" s="64" t="s">
        <v>440</v>
      </c>
    </row>
    <row r="26" spans="1:2" s="71" customFormat="1" ht="20.25">
      <c r="A26" s="69"/>
      <c r="B26" s="70" t="s">
        <v>58</v>
      </c>
    </row>
    <row r="27" spans="1:2" ht="47.25">
      <c r="A27" s="64">
        <v>1</v>
      </c>
      <c r="B27" s="65" t="s">
        <v>979</v>
      </c>
    </row>
    <row r="28" spans="1:2" ht="31.5">
      <c r="A28" s="64">
        <v>2</v>
      </c>
      <c r="B28" s="65" t="s">
        <v>748</v>
      </c>
    </row>
    <row r="29" spans="1:2" ht="78.75">
      <c r="A29" s="64">
        <v>3</v>
      </c>
      <c r="B29" s="66" t="s">
        <v>741</v>
      </c>
    </row>
    <row r="30" spans="1:2" ht="31.5">
      <c r="A30" s="64">
        <v>4</v>
      </c>
      <c r="B30" s="66" t="s">
        <v>1109</v>
      </c>
    </row>
    <row r="31" spans="1:2" ht="31.5">
      <c r="A31" s="64">
        <v>5</v>
      </c>
      <c r="B31" s="66" t="s">
        <v>742</v>
      </c>
    </row>
    <row r="32" spans="1:2" ht="47.25">
      <c r="A32" s="64">
        <v>6</v>
      </c>
      <c r="B32" s="66" t="s">
        <v>747</v>
      </c>
    </row>
    <row r="33" spans="1:2" ht="47.25">
      <c r="A33" s="64">
        <v>7</v>
      </c>
      <c r="B33" s="66" t="s">
        <v>305</v>
      </c>
    </row>
    <row r="34" spans="1:2" ht="15.75">
      <c r="A34" s="64">
        <v>8</v>
      </c>
      <c r="B34" s="66" t="s">
        <v>461</v>
      </c>
    </row>
    <row r="35" spans="1:2" ht="15.75">
      <c r="A35" s="64">
        <v>9</v>
      </c>
      <c r="B35" s="64" t="s">
        <v>1122</v>
      </c>
    </row>
    <row r="36" spans="1:2" ht="15.75">
      <c r="A36" s="64">
        <v>10</v>
      </c>
      <c r="B36" s="64" t="s">
        <v>602</v>
      </c>
    </row>
    <row r="37" spans="1:2" ht="15.75">
      <c r="A37" s="64">
        <v>11</v>
      </c>
      <c r="B37" s="64" t="s">
        <v>1162</v>
      </c>
    </row>
    <row r="38" spans="1:2" ht="15.75">
      <c r="A38" s="64">
        <v>12</v>
      </c>
      <c r="B38" s="64" t="s">
        <v>57</v>
      </c>
    </row>
    <row r="39" spans="1:2" ht="15.75">
      <c r="A39" s="64">
        <v>13</v>
      </c>
      <c r="B39" s="64" t="s">
        <v>943</v>
      </c>
    </row>
    <row r="40" spans="1:2" ht="15.75">
      <c r="A40" s="64">
        <v>14</v>
      </c>
      <c r="B40" s="64" t="s">
        <v>1123</v>
      </c>
    </row>
    <row r="41" spans="1:2" ht="31.5">
      <c r="A41" s="64">
        <v>15</v>
      </c>
      <c r="B41" s="64" t="s">
        <v>1163</v>
      </c>
    </row>
    <row r="42" spans="1:2" ht="31.5">
      <c r="A42" s="64">
        <v>16</v>
      </c>
      <c r="B42" s="64" t="s">
        <v>144</v>
      </c>
    </row>
    <row r="43" spans="1:2" ht="31.5">
      <c r="A43" s="64">
        <v>17</v>
      </c>
      <c r="B43" s="64" t="s">
        <v>146</v>
      </c>
    </row>
    <row r="44" spans="1:2" ht="15.75">
      <c r="A44" s="64">
        <v>18</v>
      </c>
      <c r="B44" s="65" t="s">
        <v>145</v>
      </c>
    </row>
    <row r="45" spans="1:2" ht="15.75">
      <c r="A45" s="64">
        <v>19</v>
      </c>
      <c r="B45" s="64" t="s">
        <v>1164</v>
      </c>
    </row>
    <row r="46" spans="1:2" ht="15.75">
      <c r="A46" s="64">
        <v>20</v>
      </c>
      <c r="B46" s="64" t="s">
        <v>414</v>
      </c>
    </row>
    <row r="47" spans="1:2" ht="15.75">
      <c r="A47" s="64">
        <v>21</v>
      </c>
      <c r="B47" s="64" t="s">
        <v>415</v>
      </c>
    </row>
    <row r="48" spans="1:2" ht="15.75">
      <c r="A48" s="64">
        <v>22</v>
      </c>
      <c r="B48" s="64" t="s">
        <v>447</v>
      </c>
    </row>
    <row r="49" spans="1:2" ht="15.75">
      <c r="A49" s="64">
        <v>23</v>
      </c>
      <c r="B49" s="64" t="s">
        <v>54</v>
      </c>
    </row>
    <row r="50" spans="1:2" ht="15.75">
      <c r="A50" s="64">
        <v>24</v>
      </c>
      <c r="B50" s="64" t="s">
        <v>55</v>
      </c>
    </row>
    <row r="51" spans="1:2" ht="15.75">
      <c r="A51" s="64">
        <v>25</v>
      </c>
      <c r="B51" s="64" t="s">
        <v>1107</v>
      </c>
    </row>
    <row r="52" spans="1:2" ht="15.75">
      <c r="A52" s="64">
        <v>26</v>
      </c>
      <c r="B52" s="64" t="s">
        <v>743</v>
      </c>
    </row>
    <row r="53" spans="1:2" ht="15.75">
      <c r="A53" s="64">
        <v>27</v>
      </c>
      <c r="B53" s="64" t="s">
        <v>307</v>
      </c>
    </row>
    <row r="54" spans="1:2" ht="15.75">
      <c r="A54" s="64">
        <v>28</v>
      </c>
      <c r="B54" s="64" t="s">
        <v>306</v>
      </c>
    </row>
    <row r="55" spans="1:2" ht="15.75">
      <c r="A55" s="64">
        <v>29</v>
      </c>
      <c r="B55" s="64" t="s">
        <v>498</v>
      </c>
    </row>
    <row r="56" spans="1:2" ht="15.75">
      <c r="A56" s="64">
        <v>30</v>
      </c>
      <c r="B56" s="64" t="s">
        <v>500</v>
      </c>
    </row>
    <row r="57" spans="1:2" ht="15.75">
      <c r="A57" s="64">
        <v>31</v>
      </c>
      <c r="B57" s="64" t="s">
        <v>499</v>
      </c>
    </row>
    <row r="58" spans="1:2" ht="15.75">
      <c r="A58" s="64">
        <v>32</v>
      </c>
      <c r="B58" s="64" t="s">
        <v>1111</v>
      </c>
    </row>
    <row r="59" spans="1:2" ht="15.75">
      <c r="A59" s="64">
        <v>33</v>
      </c>
      <c r="B59" s="64" t="s">
        <v>1108</v>
      </c>
    </row>
    <row r="60" spans="1:2" ht="15.75">
      <c r="A60" s="64">
        <v>34</v>
      </c>
      <c r="B60" s="64" t="s">
        <v>147</v>
      </c>
    </row>
    <row r="61" spans="1:2" ht="31.5">
      <c r="A61" s="64">
        <v>35</v>
      </c>
      <c r="B61" s="64" t="s">
        <v>462</v>
      </c>
    </row>
    <row r="62" spans="1:2" ht="15.75">
      <c r="A62" s="64">
        <v>36</v>
      </c>
      <c r="B62" s="64" t="s">
        <v>511</v>
      </c>
    </row>
    <row r="63" spans="1:2" ht="31.5">
      <c r="A63" s="64">
        <v>37</v>
      </c>
      <c r="B63" s="64" t="s">
        <v>1110</v>
      </c>
    </row>
    <row r="64" spans="1:2" ht="15.75">
      <c r="A64" s="64">
        <v>38</v>
      </c>
      <c r="B64" s="64" t="s">
        <v>510</v>
      </c>
    </row>
    <row r="65" spans="1:2" ht="15.75">
      <c r="A65" s="64">
        <v>39</v>
      </c>
      <c r="B65" s="64" t="s">
        <v>501</v>
      </c>
    </row>
    <row r="66" spans="1:2" ht="15.75">
      <c r="A66" s="64">
        <v>40</v>
      </c>
      <c r="B66" s="64" t="s">
        <v>502</v>
      </c>
    </row>
    <row r="67" spans="1:2" ht="15.75">
      <c r="A67" s="64">
        <v>41</v>
      </c>
      <c r="B67" s="64" t="s">
        <v>509</v>
      </c>
    </row>
    <row r="68" spans="1:2" ht="15.75">
      <c r="A68" s="64">
        <v>42</v>
      </c>
      <c r="B68" s="64" t="s">
        <v>508</v>
      </c>
    </row>
    <row r="69" spans="1:2" ht="15.75">
      <c r="A69" s="64">
        <v>43</v>
      </c>
      <c r="B69" s="64" t="s">
        <v>463</v>
      </c>
    </row>
    <row r="70" spans="1:2" ht="15.75">
      <c r="A70" s="64">
        <v>44</v>
      </c>
      <c r="B70" s="64" t="s">
        <v>503</v>
      </c>
    </row>
    <row r="71" spans="1:2" ht="31.5">
      <c r="A71" s="64">
        <v>45</v>
      </c>
      <c r="B71" s="64" t="s">
        <v>504</v>
      </c>
    </row>
  </sheetData>
  <printOptions/>
  <pageMargins left="0.75" right="0.75" top="1" bottom="1" header="0.5" footer="0.5"/>
  <pageSetup horizontalDpi="600" verticalDpi="600" orientation="portrait" r:id="rId1"/>
  <rowBreaks count="1" manualBreakCount="1">
    <brk id="24" max="255" man="1"/>
  </rowBreaks>
</worksheet>
</file>

<file path=xl/worksheets/sheet14.xml><?xml version="1.0" encoding="utf-8"?>
<worksheet xmlns="http://schemas.openxmlformats.org/spreadsheetml/2006/main" xmlns:r="http://schemas.openxmlformats.org/officeDocument/2006/relationships">
  <sheetPr codeName="Sheet4"/>
  <dimension ref="B1:J37"/>
  <sheetViews>
    <sheetView showGridLines="0" workbookViewId="0" topLeftCell="A1">
      <selection activeCell="E5" sqref="E5"/>
    </sheetView>
  </sheetViews>
  <sheetFormatPr defaultColWidth="9.00390625" defaultRowHeight="15.75"/>
  <cols>
    <col min="1" max="1" width="1.37890625" style="0" customWidth="1"/>
    <col min="2" max="2" width="80.875" style="0" customWidth="1"/>
    <col min="3" max="3" width="1.37890625" style="0" customWidth="1"/>
  </cols>
  <sheetData>
    <row r="1" ht="20.25">
      <c r="B1" s="44" t="s">
        <v>273</v>
      </c>
    </row>
    <row r="2" ht="18.75">
      <c r="B2" s="45" t="s">
        <v>507</v>
      </c>
    </row>
    <row r="4" spans="2:10" s="48" customFormat="1" ht="37.5" customHeight="1">
      <c r="B4" s="46" t="s">
        <v>458</v>
      </c>
      <c r="C4" s="47"/>
      <c r="D4" s="47"/>
      <c r="E4" s="47"/>
      <c r="F4" s="47"/>
      <c r="G4" s="47"/>
      <c r="H4" s="47"/>
      <c r="I4" s="47"/>
      <c r="J4" s="47"/>
    </row>
    <row r="5" spans="2:10" s="50" customFormat="1" ht="98.25" customHeight="1">
      <c r="B5" s="46" t="s">
        <v>540</v>
      </c>
      <c r="C5" s="49"/>
      <c r="D5" s="49"/>
      <c r="E5" s="49"/>
      <c r="F5" s="49"/>
      <c r="G5" s="49"/>
      <c r="H5" s="49"/>
      <c r="I5" s="49"/>
      <c r="J5" s="49"/>
    </row>
    <row r="6" spans="2:10" s="48" customFormat="1" ht="37.5" customHeight="1">
      <c r="B6" s="46" t="s">
        <v>603</v>
      </c>
      <c r="C6" s="49"/>
      <c r="D6" s="49"/>
      <c r="E6" s="49"/>
      <c r="F6" s="49"/>
      <c r="G6" s="49"/>
      <c r="H6" s="49"/>
      <c r="I6" s="49"/>
      <c r="J6" s="49"/>
    </row>
    <row r="7" spans="2:10" s="50" customFormat="1" ht="67.5" customHeight="1">
      <c r="B7" s="51" t="s">
        <v>310</v>
      </c>
      <c r="C7" s="49"/>
      <c r="D7" s="49"/>
      <c r="E7" s="49"/>
      <c r="F7" s="49"/>
      <c r="G7" s="49"/>
      <c r="H7" s="49"/>
      <c r="I7" s="49"/>
      <c r="J7" s="49"/>
    </row>
    <row r="8" spans="2:10" s="48" customFormat="1" ht="38.25" customHeight="1">
      <c r="B8" s="46" t="s">
        <v>1060</v>
      </c>
      <c r="C8" s="49"/>
      <c r="D8" s="49"/>
      <c r="E8" s="49"/>
      <c r="F8" s="49"/>
      <c r="G8" s="49"/>
      <c r="H8" s="49"/>
      <c r="I8" s="49"/>
      <c r="J8" s="49"/>
    </row>
    <row r="9" spans="2:10" s="48" customFormat="1" ht="38.25" customHeight="1">
      <c r="B9" s="46" t="s">
        <v>427</v>
      </c>
      <c r="C9" s="49"/>
      <c r="D9" s="49"/>
      <c r="E9" s="49"/>
      <c r="F9" s="49"/>
      <c r="G9" s="49"/>
      <c r="H9" s="49"/>
      <c r="I9" s="49"/>
      <c r="J9" s="49"/>
    </row>
    <row r="10" spans="2:10" s="48" customFormat="1" ht="19.5" customHeight="1">
      <c r="B10" s="46" t="s">
        <v>457</v>
      </c>
      <c r="C10" s="49"/>
      <c r="D10" s="49"/>
      <c r="E10" s="49"/>
      <c r="F10" s="49"/>
      <c r="G10" s="49"/>
      <c r="H10" s="49"/>
      <c r="I10" s="49"/>
      <c r="J10" s="49"/>
    </row>
    <row r="11" spans="2:10" s="48" customFormat="1" ht="51.75" customHeight="1">
      <c r="B11" s="46" t="s">
        <v>1061</v>
      </c>
      <c r="C11" s="49"/>
      <c r="D11" s="49"/>
      <c r="E11" s="49"/>
      <c r="F11" s="49"/>
      <c r="G11" s="49"/>
      <c r="H11" s="49"/>
      <c r="I11" s="49"/>
      <c r="J11" s="49"/>
    </row>
    <row r="12" spans="2:10" s="48" customFormat="1" ht="38.25" customHeight="1">
      <c r="B12" s="46" t="s">
        <v>915</v>
      </c>
      <c r="C12" s="49"/>
      <c r="D12" s="49"/>
      <c r="E12" s="49"/>
      <c r="F12" s="49"/>
      <c r="G12" s="49"/>
      <c r="H12" s="49"/>
      <c r="I12" s="49"/>
      <c r="J12" s="49"/>
    </row>
    <row r="13" spans="2:10" s="48" customFormat="1" ht="39" customHeight="1">
      <c r="B13" s="46" t="s">
        <v>1125</v>
      </c>
      <c r="C13" s="49"/>
      <c r="D13" s="49"/>
      <c r="E13" s="49"/>
      <c r="F13" s="49"/>
      <c r="G13" s="49"/>
      <c r="H13" s="49"/>
      <c r="I13" s="49"/>
      <c r="J13" s="49"/>
    </row>
    <row r="14" spans="2:10" s="48" customFormat="1" ht="19.5" customHeight="1">
      <c r="B14" s="46" t="s">
        <v>272</v>
      </c>
      <c r="C14" s="49"/>
      <c r="D14" s="49"/>
      <c r="E14" s="49"/>
      <c r="F14" s="49"/>
      <c r="G14" s="49"/>
      <c r="H14" s="49"/>
      <c r="I14" s="49"/>
      <c r="J14" s="49"/>
    </row>
    <row r="15" spans="2:10" s="48" customFormat="1" ht="38.25" customHeight="1">
      <c r="B15" s="46" t="s">
        <v>588</v>
      </c>
      <c r="C15" s="49"/>
      <c r="D15" s="49"/>
      <c r="E15" s="49"/>
      <c r="F15" s="49"/>
      <c r="G15" s="49"/>
      <c r="H15" s="49"/>
      <c r="I15" s="49"/>
      <c r="J15" s="49"/>
    </row>
    <row r="16" spans="2:10" s="50" customFormat="1" ht="19.5" customHeight="1">
      <c r="B16" s="46" t="s">
        <v>606</v>
      </c>
      <c r="C16" s="47"/>
      <c r="D16" s="47"/>
      <c r="E16" s="47"/>
      <c r="F16" s="47"/>
      <c r="G16" s="47"/>
      <c r="H16" s="47"/>
      <c r="I16" s="47"/>
      <c r="J16" s="47"/>
    </row>
    <row r="17" spans="2:10" s="48" customFormat="1" ht="38.25" customHeight="1">
      <c r="B17" s="46" t="s">
        <v>109</v>
      </c>
      <c r="C17" s="49"/>
      <c r="D17" s="49"/>
      <c r="E17" s="49"/>
      <c r="F17" s="49"/>
      <c r="G17" s="49"/>
      <c r="H17" s="49"/>
      <c r="I17" s="49"/>
      <c r="J17" s="49"/>
    </row>
    <row r="18" spans="2:10" s="48" customFormat="1" ht="54.75" customHeight="1">
      <c r="B18" s="46" t="s">
        <v>277</v>
      </c>
      <c r="C18" s="49"/>
      <c r="D18" s="49"/>
      <c r="E18" s="49"/>
      <c r="F18" s="49"/>
      <c r="G18" s="49"/>
      <c r="H18" s="49"/>
      <c r="I18" s="49"/>
      <c r="J18" s="49"/>
    </row>
    <row r="19" spans="2:10" s="50" customFormat="1" ht="87.75" customHeight="1">
      <c r="B19" s="46" t="s">
        <v>442</v>
      </c>
      <c r="C19" s="47"/>
      <c r="D19" s="47"/>
      <c r="E19" s="47"/>
      <c r="F19" s="47"/>
      <c r="G19" s="47"/>
      <c r="H19" s="47"/>
      <c r="I19" s="47"/>
      <c r="J19" s="47"/>
    </row>
    <row r="20" spans="2:10" s="48" customFormat="1" ht="39" customHeight="1">
      <c r="B20" s="46" t="s">
        <v>443</v>
      </c>
      <c r="C20" s="49"/>
      <c r="D20" s="49"/>
      <c r="E20" s="49"/>
      <c r="F20" s="49"/>
      <c r="G20" s="49"/>
      <c r="H20" s="49"/>
      <c r="I20" s="49"/>
      <c r="J20" s="49"/>
    </row>
    <row r="21" spans="2:10" s="48" customFormat="1" ht="19.5" customHeight="1">
      <c r="B21" s="46" t="s">
        <v>280</v>
      </c>
      <c r="C21" s="49"/>
      <c r="D21" s="49"/>
      <c r="E21" s="49"/>
      <c r="F21" s="49"/>
      <c r="G21" s="49"/>
      <c r="H21" s="49"/>
      <c r="I21" s="49"/>
      <c r="J21" s="49"/>
    </row>
    <row r="22" spans="2:10" s="48" customFormat="1" ht="38.25" customHeight="1">
      <c r="B22" s="46" t="s">
        <v>541</v>
      </c>
      <c r="C22" s="49"/>
      <c r="D22" s="49"/>
      <c r="E22" s="49"/>
      <c r="F22" s="49"/>
      <c r="G22" s="49"/>
      <c r="H22" s="49"/>
      <c r="I22" s="49"/>
      <c r="J22" s="49"/>
    </row>
    <row r="23" spans="2:10" s="48" customFormat="1" ht="19.5" customHeight="1">
      <c r="B23" s="46" t="s">
        <v>311</v>
      </c>
      <c r="C23" s="49"/>
      <c r="D23" s="49"/>
      <c r="E23" s="49"/>
      <c r="F23" s="49"/>
      <c r="G23" s="49"/>
      <c r="H23" s="49"/>
      <c r="I23" s="49"/>
      <c r="J23" s="49"/>
    </row>
    <row r="24" spans="2:10" s="48" customFormat="1" ht="39" customHeight="1">
      <c r="B24" s="46" t="s">
        <v>690</v>
      </c>
      <c r="C24" s="49"/>
      <c r="D24" s="49"/>
      <c r="E24" s="49"/>
      <c r="F24" s="49"/>
      <c r="G24" s="49"/>
      <c r="H24" s="49"/>
      <c r="I24" s="49"/>
      <c r="J24" s="49"/>
    </row>
    <row r="25" spans="2:10" s="48" customFormat="1" ht="19.5" customHeight="1">
      <c r="B25" s="46" t="s">
        <v>932</v>
      </c>
      <c r="C25" s="49"/>
      <c r="D25" s="49"/>
      <c r="E25" s="49"/>
      <c r="F25" s="49"/>
      <c r="G25" s="49"/>
      <c r="H25" s="49"/>
      <c r="I25" s="49"/>
      <c r="J25" s="49"/>
    </row>
    <row r="26" spans="2:10" s="48" customFormat="1" ht="37.5" customHeight="1">
      <c r="B26" s="46" t="s">
        <v>110</v>
      </c>
      <c r="C26" s="49"/>
      <c r="D26" s="49"/>
      <c r="E26" s="49"/>
      <c r="F26" s="49"/>
      <c r="G26" s="49"/>
      <c r="H26" s="49"/>
      <c r="I26" s="49"/>
      <c r="J26" s="49"/>
    </row>
    <row r="27" spans="2:10" s="48" customFormat="1" ht="49.5" customHeight="1">
      <c r="B27" s="46" t="s">
        <v>113</v>
      </c>
      <c r="C27" s="49"/>
      <c r="D27" s="49"/>
      <c r="E27" s="49"/>
      <c r="F27" s="49"/>
      <c r="G27" s="49"/>
      <c r="H27" s="49"/>
      <c r="I27" s="49"/>
      <c r="J27" s="49"/>
    </row>
    <row r="28" spans="2:10" s="48" customFormat="1" ht="39" customHeight="1">
      <c r="B28" s="46" t="s">
        <v>542</v>
      </c>
      <c r="C28" s="49"/>
      <c r="D28" s="49"/>
      <c r="E28" s="49"/>
      <c r="F28" s="49"/>
      <c r="G28" s="49"/>
      <c r="H28" s="49"/>
      <c r="I28" s="49"/>
      <c r="J28" s="49"/>
    </row>
    <row r="29" spans="2:10" s="50" customFormat="1" ht="19.5" customHeight="1">
      <c r="B29" s="46" t="s">
        <v>1311</v>
      </c>
      <c r="C29" s="47"/>
      <c r="D29" s="47"/>
      <c r="E29" s="47"/>
      <c r="F29" s="47"/>
      <c r="G29" s="47"/>
      <c r="H29" s="47"/>
      <c r="I29" s="47"/>
      <c r="J29" s="47"/>
    </row>
    <row r="30" spans="2:10" s="50" customFormat="1" ht="19.5" customHeight="1">
      <c r="B30" s="46" t="s">
        <v>604</v>
      </c>
      <c r="C30" s="47"/>
      <c r="D30" s="47"/>
      <c r="E30" s="47"/>
      <c r="F30" s="47"/>
      <c r="G30" s="47"/>
      <c r="H30" s="47"/>
      <c r="I30" s="47"/>
      <c r="J30" s="47"/>
    </row>
    <row r="31" spans="2:10" s="48" customFormat="1" ht="19.5" customHeight="1">
      <c r="B31" s="46" t="s">
        <v>1312</v>
      </c>
      <c r="C31" s="49"/>
      <c r="D31" s="49"/>
      <c r="E31" s="49"/>
      <c r="F31" s="49"/>
      <c r="G31" s="49"/>
      <c r="H31" s="49"/>
      <c r="I31" s="49"/>
      <c r="J31" s="49"/>
    </row>
    <row r="32" spans="2:10" s="50" customFormat="1" ht="50.25" customHeight="1">
      <c r="B32" s="46" t="s">
        <v>543</v>
      </c>
      <c r="C32" s="47"/>
      <c r="D32" s="47"/>
      <c r="E32" s="47"/>
      <c r="F32" s="47"/>
      <c r="G32" s="47"/>
      <c r="H32" s="47"/>
      <c r="I32" s="47"/>
      <c r="J32" s="47"/>
    </row>
    <row r="33" spans="2:10" s="50" customFormat="1" ht="19.5" customHeight="1">
      <c r="B33" s="46" t="s">
        <v>934</v>
      </c>
      <c r="C33" s="47"/>
      <c r="D33" s="47"/>
      <c r="E33" s="47"/>
      <c r="F33" s="47"/>
      <c r="G33" s="47"/>
      <c r="H33" s="47"/>
      <c r="I33" s="47"/>
      <c r="J33" s="47"/>
    </row>
    <row r="34" spans="2:10" s="25" customFormat="1" ht="19.5" customHeight="1">
      <c r="B34" s="31"/>
      <c r="C34" s="31"/>
      <c r="D34" s="31"/>
      <c r="E34" s="31"/>
      <c r="F34" s="31"/>
      <c r="G34" s="31"/>
      <c r="H34" s="31"/>
      <c r="I34" s="31"/>
      <c r="J34" s="31"/>
    </row>
    <row r="35" spans="2:10" s="25" customFormat="1" ht="19.5" customHeight="1">
      <c r="B35" s="31"/>
      <c r="C35" s="31"/>
      <c r="D35" s="31"/>
      <c r="E35" s="31"/>
      <c r="F35" s="31"/>
      <c r="G35" s="31"/>
      <c r="H35" s="31"/>
      <c r="I35" s="31"/>
      <c r="J35" s="31"/>
    </row>
    <row r="36" spans="2:10" s="25" customFormat="1" ht="19.5" customHeight="1">
      <c r="B36" s="31"/>
      <c r="C36" s="31"/>
      <c r="D36" s="31"/>
      <c r="E36" s="31"/>
      <c r="F36" s="31"/>
      <c r="G36" s="31"/>
      <c r="H36" s="31"/>
      <c r="I36" s="31"/>
      <c r="J36" s="31"/>
    </row>
    <row r="37" spans="2:10" s="25" customFormat="1" ht="19.5" customHeight="1">
      <c r="B37" s="31"/>
      <c r="C37" s="31"/>
      <c r="D37" s="31"/>
      <c r="E37" s="31"/>
      <c r="F37" s="31"/>
      <c r="G37" s="31"/>
      <c r="H37" s="31"/>
      <c r="I37" s="31"/>
      <c r="J37" s="31"/>
    </row>
    <row r="38" s="25" customFormat="1" ht="19.5" customHeight="1"/>
    <row r="39" s="25" customFormat="1" ht="19.5" customHeight="1"/>
    <row r="40" s="25" customFormat="1" ht="19.5" customHeight="1"/>
    <row r="41" s="25" customFormat="1" ht="19.5" customHeight="1"/>
    <row r="42" s="25" customFormat="1" ht="19.5" customHeight="1"/>
    <row r="43" s="25" customFormat="1" ht="19.5" customHeight="1"/>
    <row r="44" s="25" customFormat="1" ht="19.5" customHeight="1"/>
    <row r="45" s="25" customFormat="1" ht="19.5" customHeight="1"/>
    <row r="46" s="25" customFormat="1" ht="19.5" customHeight="1"/>
    <row r="47" s="25" customFormat="1" ht="19.5" customHeight="1"/>
    <row r="48" s="25" customFormat="1" ht="19.5" customHeight="1"/>
    <row r="49" s="25" customFormat="1" ht="19.5" customHeight="1"/>
    <row r="50" s="25" customFormat="1" ht="19.5" customHeight="1"/>
    <row r="51" s="25" customFormat="1" ht="19.5" customHeight="1"/>
    <row r="52" s="25" customFormat="1" ht="19.5" customHeight="1"/>
    <row r="53" s="25" customFormat="1" ht="19.5" customHeight="1"/>
    <row r="54" s="25" customFormat="1" ht="19.5" customHeight="1"/>
    <row r="55" s="25" customFormat="1" ht="19.5" customHeight="1"/>
    <row r="56" s="25" customFormat="1" ht="19.5" customHeight="1"/>
    <row r="57" s="25" customFormat="1" ht="19.5" customHeight="1"/>
    <row r="58" s="25" customFormat="1" ht="19.5" customHeight="1"/>
    <row r="59" s="25" customFormat="1" ht="19.5" customHeight="1"/>
    <row r="60" s="25" customFormat="1" ht="19.5" customHeight="1"/>
    <row r="61" s="25" customFormat="1" ht="19.5" customHeight="1"/>
    <row r="62" s="25" customFormat="1" ht="19.5" customHeight="1"/>
    <row r="63" s="25" customFormat="1" ht="19.5" customHeight="1"/>
    <row r="64" s="25" customFormat="1" ht="19.5" customHeight="1"/>
    <row r="65" s="25" customFormat="1" ht="19.5" customHeight="1"/>
    <row r="66" s="25" customFormat="1" ht="19.5" customHeight="1"/>
    <row r="67" s="25" customFormat="1" ht="19.5" customHeight="1"/>
    <row r="68" s="25" customFormat="1" ht="19.5" customHeight="1"/>
    <row r="69" s="25" customFormat="1" ht="19.5" customHeight="1"/>
    <row r="70" s="25" customFormat="1" ht="19.5" customHeight="1"/>
    <row r="71" s="25" customFormat="1" ht="19.5" customHeight="1"/>
    <row r="72" s="25" customFormat="1" ht="19.5" customHeight="1"/>
    <row r="73" s="25" customFormat="1" ht="19.5" customHeight="1"/>
    <row r="74" s="25" customFormat="1" ht="19.5" customHeight="1"/>
    <row r="75" s="25" customFormat="1" ht="19.5" customHeight="1"/>
    <row r="76" s="25" customFormat="1" ht="19.5" customHeight="1"/>
    <row r="77" s="25" customFormat="1" ht="19.5" customHeight="1"/>
    <row r="78" s="25" customFormat="1" ht="19.5" customHeight="1"/>
    <row r="79" s="25" customFormat="1" ht="19.5" customHeight="1"/>
    <row r="80" s="25" customFormat="1" ht="19.5" customHeight="1"/>
    <row r="81" s="25" customFormat="1" ht="19.5" customHeight="1"/>
    <row r="82" s="25" customFormat="1" ht="19.5" customHeight="1"/>
    <row r="83" s="25" customFormat="1" ht="19.5" customHeight="1"/>
    <row r="84" s="25" customFormat="1" ht="19.5" customHeight="1"/>
    <row r="85" s="25" customFormat="1" ht="19.5" customHeight="1"/>
    <row r="86" s="25" customFormat="1" ht="19.5" customHeight="1"/>
    <row r="87" s="25" customFormat="1" ht="19.5" customHeight="1"/>
    <row r="88" s="25" customFormat="1" ht="19.5" customHeight="1"/>
    <row r="89" s="25" customFormat="1" ht="19.5" customHeight="1"/>
    <row r="90" s="25" customFormat="1" ht="19.5" customHeight="1"/>
    <row r="91" s="25" customFormat="1" ht="19.5" customHeight="1"/>
    <row r="92" s="25" customFormat="1" ht="19.5" customHeight="1"/>
    <row r="93" s="25" customFormat="1" ht="19.5" customHeight="1"/>
    <row r="94" s="25" customFormat="1" ht="19.5" customHeight="1"/>
    <row r="95" s="25" customFormat="1" ht="19.5" customHeight="1"/>
    <row r="96" s="25" customFormat="1" ht="19.5" customHeight="1"/>
    <row r="97" s="25" customFormat="1" ht="19.5" customHeight="1"/>
    <row r="98" s="25" customFormat="1" ht="19.5" customHeight="1"/>
    <row r="99" s="25" customFormat="1" ht="19.5" customHeight="1"/>
    <row r="100" s="25" customFormat="1" ht="19.5" customHeight="1"/>
    <row r="101" s="25" customFormat="1" ht="19.5" customHeight="1"/>
    <row r="102" s="25" customFormat="1" ht="19.5" customHeight="1"/>
    <row r="103" s="25" customFormat="1" ht="19.5" customHeight="1"/>
    <row r="104" s="25" customFormat="1" ht="19.5" customHeight="1"/>
    <row r="105" s="25" customFormat="1" ht="19.5" customHeight="1"/>
    <row r="106" s="25" customFormat="1" ht="19.5" customHeight="1"/>
    <row r="107" s="25" customFormat="1" ht="19.5" customHeight="1"/>
    <row r="108" s="25" customFormat="1" ht="19.5" customHeight="1"/>
    <row r="109" s="25" customFormat="1" ht="19.5" customHeight="1"/>
    <row r="110" s="25" customFormat="1" ht="19.5" customHeight="1"/>
    <row r="111" s="25" customFormat="1" ht="19.5" customHeight="1"/>
    <row r="112" s="25" customFormat="1" ht="19.5" customHeight="1"/>
    <row r="113" s="25" customFormat="1" ht="19.5" customHeight="1"/>
    <row r="114" s="25" customFormat="1" ht="19.5" customHeight="1"/>
    <row r="115" s="25" customFormat="1" ht="19.5" customHeight="1"/>
    <row r="116" s="25" customFormat="1" ht="19.5" customHeight="1"/>
    <row r="117" s="25" customFormat="1" ht="19.5" customHeight="1"/>
    <row r="118" s="25" customFormat="1" ht="19.5" customHeight="1"/>
    <row r="119" s="25" customFormat="1" ht="19.5" customHeight="1"/>
    <row r="120" s="25" customFormat="1" ht="19.5" customHeight="1"/>
    <row r="121" s="25" customFormat="1" ht="19.5" customHeight="1"/>
    <row r="122" s="25" customFormat="1" ht="19.5" customHeight="1"/>
    <row r="123" s="25" customFormat="1" ht="19.5" customHeight="1"/>
    <row r="124" s="25" customFormat="1" ht="19.5" customHeight="1"/>
    <row r="125" s="25" customFormat="1" ht="19.5" customHeight="1"/>
    <row r="126" s="25" customFormat="1" ht="19.5" customHeight="1"/>
    <row r="127" s="25" customFormat="1" ht="19.5" customHeight="1"/>
    <row r="128" s="25" customFormat="1" ht="19.5" customHeight="1"/>
    <row r="129" s="25" customFormat="1" ht="19.5" customHeight="1"/>
    <row r="130" s="25" customFormat="1" ht="19.5" customHeight="1"/>
    <row r="131" s="25" customFormat="1" ht="19.5" customHeight="1"/>
    <row r="132" s="25" customFormat="1" ht="19.5" customHeight="1"/>
    <row r="133" s="25" customFormat="1" ht="19.5" customHeight="1"/>
    <row r="134" s="25" customFormat="1" ht="19.5" customHeight="1"/>
    <row r="135" s="25" customFormat="1" ht="19.5" customHeight="1"/>
    <row r="136" s="25" customFormat="1" ht="19.5" customHeight="1"/>
    <row r="137" s="25" customFormat="1" ht="19.5" customHeight="1"/>
    <row r="138" s="25" customFormat="1" ht="19.5" customHeight="1"/>
    <row r="139" s="25" customFormat="1" ht="19.5" customHeight="1"/>
    <row r="140" s="25" customFormat="1" ht="19.5" customHeight="1"/>
    <row r="141" s="25" customFormat="1" ht="19.5" customHeight="1"/>
    <row r="142" s="25" customFormat="1" ht="19.5" customHeight="1"/>
    <row r="143" s="25" customFormat="1" ht="19.5" customHeight="1"/>
    <row r="144" s="25" customFormat="1" ht="19.5" customHeight="1"/>
    <row r="145" s="25" customFormat="1" ht="19.5" customHeight="1"/>
    <row r="146" s="25" customFormat="1" ht="19.5" customHeight="1"/>
    <row r="147" s="25" customFormat="1" ht="19.5" customHeight="1"/>
    <row r="148" s="25" customFormat="1" ht="19.5" customHeight="1"/>
    <row r="149" s="25" customFormat="1" ht="15.75"/>
    <row r="150" s="25" customFormat="1" ht="15.75"/>
    <row r="151" s="25" customFormat="1" ht="15.75"/>
    <row r="152" s="25" customFormat="1" ht="15.75"/>
    <row r="153" s="25" customFormat="1" ht="15.75"/>
    <row r="154" s="25" customFormat="1" ht="15.75"/>
    <row r="155" s="25" customFormat="1" ht="15.75"/>
    <row r="156" s="25" customFormat="1" ht="15.75"/>
    <row r="157" s="25" customFormat="1" ht="15.75"/>
    <row r="158" s="25" customFormat="1" ht="15.75"/>
    <row r="159" s="25" customFormat="1" ht="15.75"/>
    <row r="160" s="25" customFormat="1" ht="15.75"/>
    <row r="161" s="25" customFormat="1" ht="15.75"/>
    <row r="162" s="25" customFormat="1" ht="15.75"/>
    <row r="163" s="25" customFormat="1" ht="15.75"/>
    <row r="164" s="25" customFormat="1" ht="15.75"/>
    <row r="165" s="25" customFormat="1" ht="15.75"/>
    <row r="166" s="25" customFormat="1" ht="15.75"/>
    <row r="167" s="25" customFormat="1" ht="15.75"/>
    <row r="168" s="25" customFormat="1" ht="15.75"/>
    <row r="169" s="25" customFormat="1" ht="15.75"/>
    <row r="170" s="25" customFormat="1" ht="15.75"/>
    <row r="171" s="25" customFormat="1" ht="15.75"/>
    <row r="172" s="25" customFormat="1" ht="15.75"/>
    <row r="173" s="25" customFormat="1" ht="15.75"/>
    <row r="174" s="25" customFormat="1" ht="15.75"/>
    <row r="175" s="25" customFormat="1" ht="15.75"/>
    <row r="176" s="25" customFormat="1" ht="15.75"/>
    <row r="177" s="25" customFormat="1" ht="15.75"/>
    <row r="178" s="25" customFormat="1" ht="15.75"/>
    <row r="179" s="25" customFormat="1" ht="15.75"/>
    <row r="180" s="25" customFormat="1" ht="15.75"/>
    <row r="181" s="25" customFormat="1" ht="15.75"/>
    <row r="182" s="25" customFormat="1" ht="15.75"/>
    <row r="183" s="25" customFormat="1" ht="15.75"/>
    <row r="184" s="25" customFormat="1" ht="15.75"/>
    <row r="185" s="25" customFormat="1" ht="15.75"/>
    <row r="186" s="25" customFormat="1" ht="15.75"/>
    <row r="187" s="25" customFormat="1" ht="15.75"/>
    <row r="188" s="25" customFormat="1" ht="15.75"/>
    <row r="189" s="25" customFormat="1" ht="15.75"/>
    <row r="190" s="25" customFormat="1" ht="15.75"/>
    <row r="191" s="25" customFormat="1" ht="15.75"/>
    <row r="192" s="25" customFormat="1" ht="15.75"/>
    <row r="193" s="25" customFormat="1" ht="15.75"/>
    <row r="194" s="25" customFormat="1" ht="15.75"/>
    <row r="195" s="25" customFormat="1" ht="15.75"/>
    <row r="196" s="25" customFormat="1" ht="15.75"/>
    <row r="197" s="25" customFormat="1" ht="15.75"/>
    <row r="198" s="25" customFormat="1" ht="15.75"/>
    <row r="199" s="25" customFormat="1" ht="15.75"/>
    <row r="200" s="25" customFormat="1" ht="15.75"/>
    <row r="201" s="25" customFormat="1" ht="15.75"/>
    <row r="202" s="25" customFormat="1" ht="15.75"/>
    <row r="203" s="25" customFormat="1" ht="15.75"/>
    <row r="204" s="25" customFormat="1" ht="15.75"/>
    <row r="205" s="25" customFormat="1" ht="15.75"/>
    <row r="206" s="25" customFormat="1" ht="15.75"/>
    <row r="207" s="25" customFormat="1" ht="15.75"/>
    <row r="208" s="25" customFormat="1" ht="15.75"/>
    <row r="209" s="25" customFormat="1" ht="15.75"/>
    <row r="210" s="25" customFormat="1" ht="15.75"/>
    <row r="211" s="25" customFormat="1" ht="15.75"/>
    <row r="212" s="25" customFormat="1" ht="15.75"/>
    <row r="213" s="25" customFormat="1" ht="15.75"/>
    <row r="214" s="25" customFormat="1" ht="15.75"/>
    <row r="215" s="25" customFormat="1" ht="15.75"/>
    <row r="216" s="25" customFormat="1" ht="15.75"/>
    <row r="217" s="25" customFormat="1" ht="15.75"/>
    <row r="218" s="25" customFormat="1" ht="15.75"/>
    <row r="219" s="25" customFormat="1" ht="15.75"/>
  </sheetData>
  <printOptions/>
  <pageMargins left="0.75" right="0.75" top="0.75" bottom="0.75" header="0.5" footer="0.5"/>
  <pageSetup horizontalDpi="600" verticalDpi="600" orientation="portrait" r:id="rId1"/>
  <headerFooter alignWithMargins="0">
    <oddFooter>&amp;L&amp;F&amp;C&amp;P of &amp;N&amp;R&amp;D</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B1:AL68"/>
  <sheetViews>
    <sheetView showGridLines="0" zoomScale="75" zoomScaleNormal="75" workbookViewId="0" topLeftCell="A1">
      <selection activeCell="D8" sqref="D8:F8"/>
    </sheetView>
  </sheetViews>
  <sheetFormatPr defaultColWidth="9.00390625" defaultRowHeight="15.75"/>
  <cols>
    <col min="1" max="1" width="1.4921875" style="2" customWidth="1"/>
    <col min="2" max="2" width="16.375" style="21" customWidth="1"/>
    <col min="3" max="3" width="7.75390625" style="20" customWidth="1"/>
    <col min="4" max="4" width="31.375" style="2" customWidth="1"/>
    <col min="5" max="5" width="5.125" style="2" customWidth="1"/>
    <col min="6" max="6" width="6.25390625" style="2" customWidth="1"/>
    <col min="7" max="7" width="8.75390625" style="2" customWidth="1"/>
    <col min="8" max="9" width="9.50390625" style="2" hidden="1" customWidth="1"/>
    <col min="10" max="10" width="45.00390625" style="2" hidden="1" customWidth="1"/>
    <col min="11" max="11" width="7.50390625" style="2" customWidth="1"/>
    <col min="12" max="12" width="38.375" style="2" customWidth="1"/>
    <col min="13" max="13" width="4.625" style="2" customWidth="1"/>
    <col min="14" max="14" width="6.125" style="2" customWidth="1"/>
    <col min="15" max="15" width="8.75390625" style="2" customWidth="1"/>
    <col min="16" max="16" width="8.875" style="2" hidden="1" customWidth="1"/>
    <col min="17" max="17" width="9.25390625" style="2" hidden="1" customWidth="1"/>
    <col min="18" max="18" width="8.375" style="2" customWidth="1"/>
    <col min="19" max="19" width="6.625" style="2" customWidth="1"/>
    <col min="20" max="20" width="8.00390625" style="2" customWidth="1"/>
    <col min="21" max="21" width="10.00390625" style="2" hidden="1" customWidth="1"/>
    <col min="22" max="22" width="5.875" style="2" hidden="1" customWidth="1"/>
    <col min="23" max="23" width="6.625" style="2" customWidth="1"/>
    <col min="24" max="24" width="6.375" style="2" customWidth="1"/>
    <col min="25" max="25" width="7.75390625" style="158" customWidth="1"/>
    <col min="26" max="26" width="9.00390625" style="158" customWidth="1"/>
    <col min="27" max="27" width="13.50390625" style="158" customWidth="1"/>
    <col min="28" max="30" width="9.75390625" style="158" customWidth="1"/>
    <col min="31" max="31" width="11.50390625" style="158" customWidth="1"/>
    <col min="32" max="34" width="9.75390625" style="158" customWidth="1"/>
    <col min="35" max="35" width="9.75390625" style="2" customWidth="1"/>
    <col min="36" max="16384" width="9.00390625" style="2" customWidth="1"/>
  </cols>
  <sheetData>
    <row r="1" spans="2:20" ht="30" customHeight="1" thickBot="1">
      <c r="B1" s="242" t="s">
        <v>1038</v>
      </c>
      <c r="C1" s="203"/>
      <c r="D1" s="203"/>
      <c r="E1" s="203"/>
      <c r="F1" s="203"/>
      <c r="G1" s="203"/>
      <c r="H1" s="203"/>
      <c r="I1" s="203"/>
      <c r="J1" s="203"/>
      <c r="K1" s="203"/>
      <c r="L1" s="203"/>
      <c r="M1" s="203"/>
      <c r="N1" s="203"/>
      <c r="O1" s="203"/>
      <c r="P1" s="203"/>
      <c r="Q1" s="203"/>
      <c r="R1" s="203"/>
      <c r="S1" s="203"/>
      <c r="T1" s="203"/>
    </row>
    <row r="2" spans="2:34" s="257" customFormat="1" ht="30.75" customHeight="1" thickBot="1">
      <c r="B2" s="243" t="s">
        <v>519</v>
      </c>
      <c r="C2" s="256"/>
      <c r="D2" s="256"/>
      <c r="E2" s="256"/>
      <c r="F2" s="256"/>
      <c r="G2" s="256"/>
      <c r="H2" s="256"/>
      <c r="I2" s="256"/>
      <c r="J2" s="256"/>
      <c r="K2" s="256"/>
      <c r="L2" s="256"/>
      <c r="M2" s="256"/>
      <c r="N2" s="256"/>
      <c r="O2" s="256"/>
      <c r="P2" s="256"/>
      <c r="Q2" s="256"/>
      <c r="R2" s="256"/>
      <c r="S2" s="256"/>
      <c r="T2" s="256"/>
      <c r="W2" s="304"/>
      <c r="X2" s="304"/>
      <c r="Y2" s="305"/>
      <c r="Z2" s="317"/>
      <c r="AA2" s="258"/>
      <c r="AB2" s="258"/>
      <c r="AC2" s="258"/>
      <c r="AD2" s="258"/>
      <c r="AE2" s="258"/>
      <c r="AF2" s="258"/>
      <c r="AG2" s="258"/>
      <c r="AH2" s="258"/>
    </row>
    <row r="3" spans="2:38" s="364" customFormat="1" ht="9" customHeight="1">
      <c r="B3" s="362"/>
      <c r="C3" s="363"/>
      <c r="D3" s="363"/>
      <c r="E3" s="363"/>
      <c r="F3" s="363"/>
      <c r="G3" s="363"/>
      <c r="H3" s="363"/>
      <c r="I3" s="363"/>
      <c r="J3" s="363"/>
      <c r="K3" s="363"/>
      <c r="L3" s="363"/>
      <c r="M3" s="363"/>
      <c r="N3" s="363"/>
      <c r="O3" s="363"/>
      <c r="P3" s="363"/>
      <c r="Q3" s="363"/>
      <c r="R3" s="363"/>
      <c r="S3" s="363"/>
      <c r="T3" s="363"/>
      <c r="Y3" s="365"/>
      <c r="Z3" s="366"/>
      <c r="AA3" s="413"/>
      <c r="AB3" s="413"/>
      <c r="AC3" s="413"/>
      <c r="AD3" s="413"/>
      <c r="AE3" s="413"/>
      <c r="AF3" s="413"/>
      <c r="AG3" s="413"/>
      <c r="AH3" s="413"/>
      <c r="AI3" s="414"/>
      <c r="AJ3" s="414"/>
      <c r="AK3" s="414"/>
      <c r="AL3" s="414"/>
    </row>
    <row r="4" spans="2:26" ht="18.75" customHeight="1">
      <c r="B4" s="24"/>
      <c r="C4" s="3" t="s">
        <v>953</v>
      </c>
      <c r="D4" s="709" t="s">
        <v>649</v>
      </c>
      <c r="E4" s="710"/>
      <c r="F4" s="711"/>
      <c r="G4" s="368"/>
      <c r="H4" s="7"/>
      <c r="I4" s="7"/>
      <c r="J4" s="7"/>
      <c r="K4" s="7"/>
      <c r="L4" s="3" t="s">
        <v>983</v>
      </c>
      <c r="M4" s="712" t="s">
        <v>1325</v>
      </c>
      <c r="N4" s="713"/>
      <c r="O4" s="713"/>
      <c r="P4" s="713"/>
      <c r="Q4" s="713"/>
      <c r="R4" s="713"/>
      <c r="S4" s="713"/>
      <c r="T4" s="714"/>
      <c r="U4" s="369"/>
      <c r="V4" s="4"/>
      <c r="Y4" s="306"/>
      <c r="Z4" s="318"/>
    </row>
    <row r="5" spans="2:26" ht="18.75" customHeight="1">
      <c r="B5" s="24"/>
      <c r="C5" s="3" t="s">
        <v>201</v>
      </c>
      <c r="D5" s="566"/>
      <c r="E5" s="567"/>
      <c r="F5" s="568"/>
      <c r="G5" s="368"/>
      <c r="H5" s="7"/>
      <c r="I5" s="7"/>
      <c r="J5" s="7"/>
      <c r="K5" s="7"/>
      <c r="L5" s="3" t="s">
        <v>648</v>
      </c>
      <c r="M5" s="715" t="s">
        <v>931</v>
      </c>
      <c r="N5" s="716"/>
      <c r="O5" s="716"/>
      <c r="P5" s="716"/>
      <c r="Q5" s="716"/>
      <c r="R5" s="716"/>
      <c r="S5" s="716"/>
      <c r="T5" s="717"/>
      <c r="U5" s="8"/>
      <c r="Y5" s="306"/>
      <c r="Z5" s="318"/>
    </row>
    <row r="6" spans="2:26" ht="18.75" customHeight="1">
      <c r="B6" s="24"/>
      <c r="C6" s="3" t="s">
        <v>200</v>
      </c>
      <c r="D6" s="566"/>
      <c r="E6" s="567"/>
      <c r="F6" s="568"/>
      <c r="G6" s="368"/>
      <c r="H6" s="7"/>
      <c r="I6" s="7"/>
      <c r="J6" s="7"/>
      <c r="K6" s="7"/>
      <c r="L6" s="3" t="s">
        <v>956</v>
      </c>
      <c r="M6" s="718" t="s">
        <v>373</v>
      </c>
      <c r="N6" s="716"/>
      <c r="O6" s="716"/>
      <c r="P6" s="716"/>
      <c r="Q6" s="716"/>
      <c r="R6" s="716"/>
      <c r="S6" s="716"/>
      <c r="T6" s="717"/>
      <c r="U6" s="8"/>
      <c r="Y6" s="306"/>
      <c r="Z6" s="318"/>
    </row>
    <row r="7" spans="2:26" ht="18.75" customHeight="1">
      <c r="B7" s="24"/>
      <c r="C7" s="3" t="s">
        <v>749</v>
      </c>
      <c r="D7" s="724" t="s">
        <v>1326</v>
      </c>
      <c r="E7" s="725"/>
      <c r="F7" s="726"/>
      <c r="G7" s="368"/>
      <c r="H7" s="7"/>
      <c r="I7" s="7"/>
      <c r="J7" s="7"/>
      <c r="K7" s="7"/>
      <c r="L7" s="3" t="s">
        <v>958</v>
      </c>
      <c r="M7" s="718" t="s">
        <v>374</v>
      </c>
      <c r="N7" s="719"/>
      <c r="O7" s="719"/>
      <c r="P7" s="719"/>
      <c r="Q7" s="719"/>
      <c r="R7" s="719"/>
      <c r="S7" s="719"/>
      <c r="T7" s="720"/>
      <c r="U7" s="8"/>
      <c r="Y7" s="306"/>
      <c r="Z7" s="318"/>
    </row>
    <row r="8" spans="2:26" ht="18.75" customHeight="1">
      <c r="B8" s="24"/>
      <c r="C8" s="3" t="s">
        <v>962</v>
      </c>
      <c r="D8" s="688" t="s">
        <v>525</v>
      </c>
      <c r="E8" s="689"/>
      <c r="F8" s="690"/>
      <c r="G8" s="368"/>
      <c r="H8" s="7"/>
      <c r="I8" s="7"/>
      <c r="J8" s="7"/>
      <c r="K8" s="7"/>
      <c r="L8" s="300" t="s">
        <v>237</v>
      </c>
      <c r="M8" s="654">
        <v>0.0625</v>
      </c>
      <c r="N8" s="655"/>
      <c r="O8" s="656"/>
      <c r="P8" s="370"/>
      <c r="Q8" s="370"/>
      <c r="R8" s="721">
        <f>M8*W15</f>
        <v>19781.372720731273</v>
      </c>
      <c r="S8" s="722"/>
      <c r="T8" s="723"/>
      <c r="U8" s="8"/>
      <c r="Y8" s="306"/>
      <c r="Z8" s="318"/>
    </row>
    <row r="9" spans="2:35" ht="18.75" customHeight="1">
      <c r="B9" s="24"/>
      <c r="C9" s="3" t="s">
        <v>959</v>
      </c>
      <c r="D9" s="688" t="s">
        <v>521</v>
      </c>
      <c r="E9" s="689"/>
      <c r="F9" s="690"/>
      <c r="G9" s="368"/>
      <c r="H9" s="7"/>
      <c r="I9" s="7"/>
      <c r="J9" s="7"/>
      <c r="K9" s="7"/>
      <c r="L9" s="300" t="s">
        <v>238</v>
      </c>
      <c r="M9" s="654">
        <v>2.22</v>
      </c>
      <c r="N9" s="655"/>
      <c r="O9" s="656"/>
      <c r="P9" s="371"/>
      <c r="Q9" s="371"/>
      <c r="R9" s="721">
        <f>(D15-E15)/1000*M9*12</f>
        <v>742.9629600000001</v>
      </c>
      <c r="S9" s="722"/>
      <c r="T9" s="723"/>
      <c r="U9" s="8"/>
      <c r="Y9" s="306"/>
      <c r="Z9" s="318"/>
      <c r="AA9" s="733" t="s">
        <v>592</v>
      </c>
      <c r="AB9" s="733"/>
      <c r="AC9" s="733"/>
      <c r="AD9" s="733"/>
      <c r="AE9" s="733"/>
      <c r="AF9" s="733"/>
      <c r="AG9" s="733"/>
      <c r="AH9" s="733"/>
      <c r="AI9" s="733"/>
    </row>
    <row r="10" spans="2:35" ht="18.75" customHeight="1">
      <c r="B10" s="24"/>
      <c r="C10" s="3" t="s">
        <v>960</v>
      </c>
      <c r="D10" s="688" t="s">
        <v>523</v>
      </c>
      <c r="E10" s="707"/>
      <c r="F10" s="708"/>
      <c r="G10" s="368"/>
      <c r="H10" s="7"/>
      <c r="I10" s="7"/>
      <c r="J10" s="7"/>
      <c r="K10" s="7"/>
      <c r="L10" s="3" t="s">
        <v>1220</v>
      </c>
      <c r="M10" s="718" t="s">
        <v>1040</v>
      </c>
      <c r="N10" s="716"/>
      <c r="O10" s="716"/>
      <c r="P10" s="716"/>
      <c r="Q10" s="716"/>
      <c r="R10" s="716"/>
      <c r="S10" s="716"/>
      <c r="T10" s="717"/>
      <c r="U10" s="8"/>
      <c r="Y10" s="306"/>
      <c r="Z10" s="318"/>
      <c r="AA10" s="734" t="s">
        <v>593</v>
      </c>
      <c r="AB10" s="734"/>
      <c r="AC10" s="734"/>
      <c r="AD10" s="734"/>
      <c r="AE10" s="734"/>
      <c r="AF10" s="734"/>
      <c r="AG10" s="734"/>
      <c r="AH10" s="734"/>
      <c r="AI10" s="734"/>
    </row>
    <row r="11" spans="2:28" ht="18.75" customHeight="1">
      <c r="B11" s="24"/>
      <c r="C11" s="3" t="s">
        <v>969</v>
      </c>
      <c r="D11" s="578" t="s">
        <v>522</v>
      </c>
      <c r="E11" s="699">
        <v>97567</v>
      </c>
      <c r="F11" s="700"/>
      <c r="G11" s="368"/>
      <c r="H11" s="7"/>
      <c r="I11" s="7"/>
      <c r="J11" s="7"/>
      <c r="K11" s="7"/>
      <c r="L11" s="3" t="s">
        <v>1169</v>
      </c>
      <c r="M11" s="715" t="s">
        <v>955</v>
      </c>
      <c r="N11" s="716"/>
      <c r="O11" s="716"/>
      <c r="P11" s="716"/>
      <c r="Q11" s="716"/>
      <c r="R11" s="716"/>
      <c r="S11" s="716"/>
      <c r="T11" s="717"/>
      <c r="U11" s="8"/>
      <c r="Y11" s="306"/>
      <c r="Z11" s="318"/>
      <c r="AA11" s="735" t="s">
        <v>594</v>
      </c>
      <c r="AB11" s="736"/>
    </row>
    <row r="12" spans="2:28" ht="18.75" customHeight="1">
      <c r="B12" s="5"/>
      <c r="C12" s="3" t="s">
        <v>750</v>
      </c>
      <c r="D12" s="578" t="s">
        <v>751</v>
      </c>
      <c r="E12" s="699" t="s">
        <v>1032</v>
      </c>
      <c r="F12" s="700"/>
      <c r="G12" s="7"/>
      <c r="H12" s="7"/>
      <c r="I12" s="7"/>
      <c r="J12" s="7"/>
      <c r="K12" s="7"/>
      <c r="L12" s="3" t="s">
        <v>1168</v>
      </c>
      <c r="M12" s="704">
        <f ca="1">NOW()</f>
        <v>39085.496799305554</v>
      </c>
      <c r="N12" s="705"/>
      <c r="O12" s="705"/>
      <c r="P12" s="705"/>
      <c r="Q12" s="705"/>
      <c r="R12" s="705"/>
      <c r="S12" s="705"/>
      <c r="T12" s="706"/>
      <c r="U12" s="8"/>
      <c r="Y12" s="306"/>
      <c r="Z12" s="318"/>
      <c r="AA12" s="737"/>
      <c r="AB12" s="738"/>
    </row>
    <row r="13" spans="2:30" ht="13.5" customHeight="1">
      <c r="B13" s="5"/>
      <c r="C13" s="6"/>
      <c r="D13" s="7"/>
      <c r="E13" s="7"/>
      <c r="F13" s="7"/>
      <c r="G13" s="7"/>
      <c r="H13" s="7"/>
      <c r="I13" s="7"/>
      <c r="J13" s="7"/>
      <c r="K13" s="7"/>
      <c r="L13" s="3"/>
      <c r="M13" s="3"/>
      <c r="N13" s="3"/>
      <c r="O13" s="3"/>
      <c r="P13" s="3"/>
      <c r="Q13" s="3"/>
      <c r="R13" s="3"/>
      <c r="S13" s="3"/>
      <c r="T13" s="7"/>
      <c r="U13" s="8"/>
      <c r="Y13" s="306"/>
      <c r="Z13" s="318"/>
      <c r="AA13" s="494" t="s">
        <v>595</v>
      </c>
      <c r="AB13" s="495">
        <v>0.04</v>
      </c>
      <c r="AD13" s="415" t="s">
        <v>596</v>
      </c>
    </row>
    <row r="14" spans="2:28" ht="49.5" customHeight="1">
      <c r="B14" s="682" t="s">
        <v>1039</v>
      </c>
      <c r="C14" s="683"/>
      <c r="D14" s="42" t="s">
        <v>1185</v>
      </c>
      <c r="E14" s="701" t="s">
        <v>1184</v>
      </c>
      <c r="F14" s="702"/>
      <c r="G14" s="702"/>
      <c r="H14" s="702"/>
      <c r="I14" s="702"/>
      <c r="J14" s="702"/>
      <c r="K14" s="703"/>
      <c r="L14" s="310" t="s">
        <v>235</v>
      </c>
      <c r="M14" s="679" t="s">
        <v>239</v>
      </c>
      <c r="N14" s="731"/>
      <c r="O14" s="732"/>
      <c r="P14" s="372"/>
      <c r="Q14" s="43"/>
      <c r="R14" s="679" t="s">
        <v>369</v>
      </c>
      <c r="S14" s="680"/>
      <c r="T14" s="681"/>
      <c r="U14" s="8"/>
      <c r="W14" s="665" t="s">
        <v>378</v>
      </c>
      <c r="X14" s="665"/>
      <c r="Y14" s="666"/>
      <c r="Z14" s="318"/>
      <c r="AA14" s="494" t="s">
        <v>597</v>
      </c>
      <c r="AB14" s="494">
        <f>MeasureLife</f>
        <v>12</v>
      </c>
    </row>
    <row r="15" spans="2:28" ht="22.5" customHeight="1" thickBot="1">
      <c r="B15" s="684"/>
      <c r="C15" s="685"/>
      <c r="D15" s="380">
        <f>H54</f>
        <v>57678</v>
      </c>
      <c r="E15" s="657">
        <f>P54</f>
        <v>29789</v>
      </c>
      <c r="F15" s="658"/>
      <c r="G15" s="658"/>
      <c r="H15" s="658"/>
      <c r="I15" s="658"/>
      <c r="J15" s="658"/>
      <c r="K15" s="659"/>
      <c r="L15" s="398">
        <f>R54</f>
        <v>307282</v>
      </c>
      <c r="M15" s="671">
        <f>I54/H54*1000</f>
        <v>7292.704324005687</v>
      </c>
      <c r="N15" s="672"/>
      <c r="O15" s="672"/>
      <c r="P15" s="399"/>
      <c r="Q15" s="400"/>
      <c r="R15" s="696">
        <f>(D15-E15)/D15</f>
        <v>0.48352924858698293</v>
      </c>
      <c r="S15" s="697"/>
      <c r="T15" s="698"/>
      <c r="U15" s="8"/>
      <c r="W15" s="658">
        <f>'Project Summary'!I24</f>
        <v>316501.96353170037</v>
      </c>
      <c r="X15" s="658"/>
      <c r="Y15" s="667"/>
      <c r="Z15" s="318"/>
      <c r="AA15" s="494" t="s">
        <v>598</v>
      </c>
      <c r="AB15" s="496">
        <v>20</v>
      </c>
    </row>
    <row r="16" spans="2:26" ht="27.75" customHeight="1" thickBot="1">
      <c r="B16" s="686"/>
      <c r="C16" s="687"/>
      <c r="D16" s="379" t="s">
        <v>234</v>
      </c>
      <c r="E16" s="691">
        <v>32000</v>
      </c>
      <c r="F16" s="692"/>
      <c r="G16" s="692"/>
      <c r="H16" s="692"/>
      <c r="I16" s="692"/>
      <c r="J16" s="692"/>
      <c r="K16" s="693"/>
      <c r="L16" s="694" t="s">
        <v>520</v>
      </c>
      <c r="M16" s="695"/>
      <c r="N16" s="695"/>
      <c r="O16" s="695"/>
      <c r="P16" s="373"/>
      <c r="Q16" s="301"/>
      <c r="R16" s="673">
        <f>IF(ISBLANK(E16)," ",IF(E16&lt;=0,0,MIN(Y54,E16*0.7)))</f>
        <v>12686</v>
      </c>
      <c r="S16" s="674"/>
      <c r="T16" s="675"/>
      <c r="U16" s="8"/>
      <c r="W16" s="668"/>
      <c r="X16" s="669"/>
      <c r="Y16" s="670"/>
      <c r="Z16" s="318"/>
    </row>
    <row r="17" spans="2:26" ht="19.5" customHeight="1" thickBot="1">
      <c r="B17" s="192"/>
      <c r="C17" s="193"/>
      <c r="D17" s="194"/>
      <c r="E17" s="194"/>
      <c r="F17" s="194"/>
      <c r="G17" s="194"/>
      <c r="H17" s="194"/>
      <c r="I17" s="194"/>
      <c r="J17" s="194"/>
      <c r="K17" s="194"/>
      <c r="L17" s="195"/>
      <c r="M17" s="195"/>
      <c r="N17" s="195"/>
      <c r="O17" s="195"/>
      <c r="P17" s="195"/>
      <c r="Q17" s="195"/>
      <c r="R17" s="195"/>
      <c r="S17" s="195"/>
      <c r="T17" s="303"/>
      <c r="U17" s="8"/>
      <c r="W17" s="302"/>
      <c r="X17" s="302"/>
      <c r="Y17" s="307"/>
      <c r="Z17" s="318"/>
    </row>
    <row r="18" spans="2:34" ht="28.5" customHeight="1">
      <c r="B18" s="381" t="s">
        <v>663</v>
      </c>
      <c r="C18" s="382" t="s">
        <v>465</v>
      </c>
      <c r="D18" s="374"/>
      <c r="E18" s="374"/>
      <c r="F18" s="374"/>
      <c r="G18" s="375"/>
      <c r="H18" s="374"/>
      <c r="I18" s="375"/>
      <c r="J18" s="376"/>
      <c r="K18" s="663" t="s">
        <v>466</v>
      </c>
      <c r="L18" s="664"/>
      <c r="M18" s="664"/>
      <c r="N18" s="664"/>
      <c r="O18" s="664"/>
      <c r="P18" s="377"/>
      <c r="Q18" s="378"/>
      <c r="R18" s="739" t="s">
        <v>650</v>
      </c>
      <c r="S18" s="740"/>
      <c r="T18" s="741"/>
      <c r="U18" s="308"/>
      <c r="V18" s="257"/>
      <c r="W18" s="660" t="s">
        <v>366</v>
      </c>
      <c r="X18" s="661"/>
      <c r="Y18" s="662"/>
      <c r="Z18" s="318"/>
      <c r="AA18" s="727" t="s">
        <v>599</v>
      </c>
      <c r="AB18" s="728"/>
      <c r="AC18" s="728"/>
      <c r="AD18" s="729"/>
      <c r="AE18" s="730" t="s">
        <v>600</v>
      </c>
      <c r="AF18" s="730"/>
      <c r="AG18" s="730"/>
      <c r="AH18" s="730"/>
    </row>
    <row r="19" spans="2:35" ht="54.75" customHeight="1" thickBot="1">
      <c r="B19" s="383" t="s">
        <v>651</v>
      </c>
      <c r="C19" s="384" t="s">
        <v>52</v>
      </c>
      <c r="D19" s="385" t="s">
        <v>1167</v>
      </c>
      <c r="E19" s="386" t="s">
        <v>1190</v>
      </c>
      <c r="F19" s="387" t="s">
        <v>1187</v>
      </c>
      <c r="G19" s="388" t="s">
        <v>1188</v>
      </c>
      <c r="H19" s="269" t="s">
        <v>1189</v>
      </c>
      <c r="I19" s="272" t="s">
        <v>445</v>
      </c>
      <c r="J19" s="191" t="s">
        <v>1166</v>
      </c>
      <c r="K19" s="389" t="s">
        <v>52</v>
      </c>
      <c r="L19" s="390" t="s">
        <v>664</v>
      </c>
      <c r="M19" s="391" t="s">
        <v>1190</v>
      </c>
      <c r="N19" s="392" t="s">
        <v>1187</v>
      </c>
      <c r="O19" s="392" t="s">
        <v>1188</v>
      </c>
      <c r="P19" s="276" t="s">
        <v>1189</v>
      </c>
      <c r="Q19" s="261" t="s">
        <v>445</v>
      </c>
      <c r="R19" s="393" t="s">
        <v>661</v>
      </c>
      <c r="S19" s="394" t="s">
        <v>370</v>
      </c>
      <c r="T19" s="395" t="s">
        <v>368</v>
      </c>
      <c r="U19" s="309" t="s">
        <v>1186</v>
      </c>
      <c r="V19" s="302"/>
      <c r="W19" s="396" t="s">
        <v>367</v>
      </c>
      <c r="X19" s="396" t="s">
        <v>371</v>
      </c>
      <c r="Y19" s="397" t="s">
        <v>372</v>
      </c>
      <c r="AA19" s="416" t="s">
        <v>294</v>
      </c>
      <c r="AB19" s="416" t="s">
        <v>295</v>
      </c>
      <c r="AC19" s="416" t="s">
        <v>296</v>
      </c>
      <c r="AD19" s="416" t="s">
        <v>297</v>
      </c>
      <c r="AE19" s="417" t="s">
        <v>294</v>
      </c>
      <c r="AF19" s="417" t="s">
        <v>295</v>
      </c>
      <c r="AG19" s="417" t="s">
        <v>296</v>
      </c>
      <c r="AH19" s="417" t="s">
        <v>297</v>
      </c>
      <c r="AI19" s="418" t="s">
        <v>298</v>
      </c>
    </row>
    <row r="20" spans="2:35" ht="27.75" customHeight="1" hidden="1" thickTop="1">
      <c r="B20" s="184"/>
      <c r="C20" s="265"/>
      <c r="D20" s="263"/>
      <c r="E20" s="185"/>
      <c r="F20" s="186" t="str">
        <f aca="true" t="shared" si="0" ref="F20:F29">IF(ISBLANK(D20),CHAR(32),VLOOKUP(D20,Existing,2,FALSE))</f>
        <v> </v>
      </c>
      <c r="G20" s="277" t="str">
        <f aca="true" t="shared" si="1" ref="G20:G29">IF(ISBLANK(D20),CHAR(32),VLOOKUP(D20,Existing,3,FALSE))</f>
        <v> </v>
      </c>
      <c r="H20" s="267" t="str">
        <f aca="true" t="shared" si="2" ref="H20:H29">IF(OR(ISBLANK(D20),ISBLANK(E20),ISBLANK(F20)),CHAR(32),E20*F20)</f>
        <v> </v>
      </c>
      <c r="I20" s="273"/>
      <c r="J20" s="270" t="e">
        <f aca="true" t="shared" si="3" ref="J20:J29">VLOOKUP(D20,Existing,4,FALSE)</f>
        <v>#N/A</v>
      </c>
      <c r="K20" s="9"/>
      <c r="L20" s="187"/>
      <c r="M20" s="188">
        <f aca="true" t="shared" si="4" ref="M20:M41">E20</f>
        <v>0</v>
      </c>
      <c r="N20" s="189" t="str">
        <f aca="true" t="shared" si="5" ref="N20:N29">IF(OR(ISBLANK(L20),ISBLANK(M20)),CHAR(32),VLOOKUP(L20,Proposed,2,FALSE))</f>
        <v> </v>
      </c>
      <c r="O20" s="186" t="str">
        <f aca="true" t="shared" si="6" ref="O20:O29">IF(OR(ISBLANK(L20),ISBLANK(M20)),CHAR(32),VLOOKUP(L20,Proposed,3,FALSE))</f>
        <v> </v>
      </c>
      <c r="P20" s="275"/>
      <c r="Q20" s="190" t="str">
        <f>IF(OR(ISBLANK(L20),ISBLANK(M20)),CHAR(32),N20*M20)</f>
        <v> </v>
      </c>
      <c r="R20" s="357" t="str">
        <f>IF(OR(ISBLANK(E20),ISBLANK(M20),ISBLANK(C20)),CHAR(32),(H20-Q20)*C20/1000)</f>
        <v> </v>
      </c>
      <c r="S20" s="358" t="str">
        <f>IF(OR(ISBLANK(F20),ISBLANK(N20),ISBLANK(D20)),CHAR(32),(H20-Q20)/H20)</f>
        <v> </v>
      </c>
      <c r="T20" s="359" t="str">
        <f>IF(OR(ISBLANK(E20),ISBLANK(M20),ISBLANK(C20)),CHAR(32),((O20*M20)-(G20*E20))/(G20*E20))</f>
        <v> </v>
      </c>
      <c r="U20" s="10" t="str">
        <f>IF(AND(ISNUMBER(Q20),ISNUMBER(C20)),Q20*C20/1000,CHAR(32))</f>
        <v> </v>
      </c>
      <c r="V20" s="11" t="s">
        <v>1165</v>
      </c>
      <c r="W20" s="360"/>
      <c r="X20" s="360"/>
      <c r="Y20" s="361"/>
      <c r="AA20" s="419" t="str">
        <f>IF(ISBLANK(D20),CHAR(32),VLOOKUP(D20,Existing,16,FALSE))</f>
        <v> </v>
      </c>
      <c r="AB20" s="420" t="str">
        <f>IF(ISBLANK(D20),CHAR(32),VLOOKUP(D20,Existing,17,FALSE))</f>
        <v> </v>
      </c>
      <c r="AC20" s="421" t="str">
        <f>IF(ISBLANK(D20),CHAR(32),VLOOKUP(D20,Existing,18,FALSE))</f>
        <v> </v>
      </c>
      <c r="AD20" s="422" t="e">
        <f>dfuncPV(E20,C20,AA20,AB20,AC20,$AB$15,$AB$13,$AB$14)</f>
        <v>#NAME?</v>
      </c>
      <c r="AE20" s="423" t="str">
        <f>IF(OR(ISBLANK(L20),ISBLANK(M20)),CHAR(32),VLOOKUP(L20,Proposed,16,FALSE))</f>
        <v> </v>
      </c>
      <c r="AF20" s="424" t="str">
        <f>IF(OR(ISBLANK(L20),ISBLANK(M20)),CHAR(32),VLOOKUP(L20,Proposed,17,FALSE))</f>
        <v> </v>
      </c>
      <c r="AG20" s="425" t="str">
        <f>IF(OR(ISBLANK(L20),ISBLANK(M20)),CHAR(32),VLOOKUP(L20,Proposed,18,FALSE))</f>
        <v> </v>
      </c>
      <c r="AH20" s="426" t="e">
        <f>dfuncPV(M20,K20,AE20,AF20,AG20,$AB$15,$AB$13,$AB$14)</f>
        <v>#NAME?</v>
      </c>
      <c r="AI20" s="427">
        <f>IF(OR(ISERROR(AD20),ISERROR(AH20)),"",AH20-AD20)</f>
      </c>
    </row>
    <row r="21" spans="2:35" ht="42" customHeight="1">
      <c r="B21" s="34" t="s">
        <v>59</v>
      </c>
      <c r="C21" s="333">
        <v>8760</v>
      </c>
      <c r="D21" s="264" t="s">
        <v>668</v>
      </c>
      <c r="E21" s="327">
        <v>10</v>
      </c>
      <c r="F21" s="355">
        <f>IF(ISBLANK(D21),CHAR(32),VLOOKUP(D21,Existing,2,FALSE))</f>
        <v>82</v>
      </c>
      <c r="G21" s="356">
        <f>IF(ISBLANK(D21),CHAR(32),VLOOKUP(D21,Existing,3,FALSE))</f>
        <v>3867.94</v>
      </c>
      <c r="H21" s="268">
        <f>IF(OR(ISBLANK(D21),ISBLANK(E21),ISBLANK(F21)),CHAR(32),E21*F21)</f>
        <v>820</v>
      </c>
      <c r="I21" s="274">
        <f>C21*E21*F21/1000</f>
        <v>7183.2</v>
      </c>
      <c r="J21" s="271" t="str">
        <f>VLOOKUP(D21,Existing,4,FALSE)</f>
        <v>T8 High Performance, 2-F32T8HP 32W, 1-Elec HP RLO</v>
      </c>
      <c r="K21" s="335">
        <f>C21</f>
        <v>8760</v>
      </c>
      <c r="L21" s="260" t="s">
        <v>90</v>
      </c>
      <c r="M21" s="337">
        <f>E21</f>
        <v>10</v>
      </c>
      <c r="N21" s="401">
        <f>IF(OR(ISBLANK(L21),ISBLANK(M21)),CHAR(32),VLOOKUP(L21,Proposed,2,FALSE))</f>
        <v>33</v>
      </c>
      <c r="O21" s="355">
        <f>IF(OR(ISBLANK(L21),ISBLANK(M21)),CHAR(32),VLOOKUP(L21,Proposed,3,FALSE))</f>
        <v>3033.35</v>
      </c>
      <c r="P21" s="402">
        <f>IF(OR(ISBLANK(L21),ISBLANK(M21)),CHAR(32),N21*M21)</f>
        <v>330</v>
      </c>
      <c r="Q21" s="403">
        <f>IF(OR(ISBLANK(L21),ISBLANK(M21)),CHAR(32),K21*M21*N21/1000)</f>
        <v>2890.8</v>
      </c>
      <c r="R21" s="404">
        <f>IF(OR(ISBLANK(E21),ISBLANK(M21),ISBLANK(C21)),CHAR(32),(I21-Q21))</f>
        <v>4292.4</v>
      </c>
      <c r="S21" s="405">
        <f>IF(OR(ISBLANK(F21),ISBLANK(N21),ISBLANK(D21)),CHAR(32),(H21-P21)/H21)</f>
        <v>0.5975609756097561</v>
      </c>
      <c r="T21" s="406">
        <f aca="true" t="shared" si="7" ref="T21:T50">IF(OR(ISBLANK(E21),ISBLANK(M21),ISBLANK(C21)),CHAR(32),((M21*O21)-(E21*G21))/(E21*G21))</f>
        <v>-0.21577118569574505</v>
      </c>
      <c r="U21" s="407"/>
      <c r="V21" s="408"/>
      <c r="W21" s="409" t="str">
        <f>IF(OR(ISBLANK(L21),ISBLANK(M21)),CHAR(32),VLOOKUP(L21,Proposed,4,FALSE))</f>
        <v>A1</v>
      </c>
      <c r="X21" s="410">
        <f>IF(OR(ISBLANK(L21),ISBLANK(M21)),CHAR(32),VLOOKUP(L21,Proposed,5,FALSE))</f>
        <v>15</v>
      </c>
      <c r="Y21" s="411">
        <f>M21*X21</f>
        <v>150</v>
      </c>
      <c r="AA21" s="506">
        <f aca="true" t="shared" si="8" ref="AA21:AA49">IF(ISBLANK(D21),CHAR(32),VLOOKUP(D21,Existing,16,FALSE))</f>
        <v>20000</v>
      </c>
      <c r="AB21" s="507">
        <f aca="true" t="shared" si="9" ref="AB21:AB49">IF(ISBLANK(D21),CHAR(32),VLOOKUP(D21,Existing,17,FALSE))</f>
        <v>1.12</v>
      </c>
      <c r="AC21" s="508">
        <f aca="true" t="shared" si="10" ref="AC21:AC49">IF(ISBLANK(D21),CHAR(32),VLOOKUP(D21,Existing,18,FALSE))</f>
        <v>0.09</v>
      </c>
      <c r="AD21" s="509" t="e">
        <f aca="true" t="shared" si="11" ref="AD21:AD48">dfuncPV(E21,C21,AA21,AB21,AC21,$AB$15,$AB$13,$AB$14)</f>
        <v>#NAME?</v>
      </c>
      <c r="AE21" s="510">
        <f aca="true" t="shared" si="12" ref="AE21:AE49">IF(OR(ISBLANK(L21),ISBLANK(M21)),CHAR(32),VLOOKUP(L21,Proposed,16,FALSE))</f>
        <v>30000</v>
      </c>
      <c r="AF21" s="511">
        <f aca="true" t="shared" si="13" ref="AF21:AF49">IF(OR(ISBLANK(L21),ISBLANK(M21)),CHAR(32),VLOOKUP(L21,Proposed,17,FALSE))</f>
        <v>3.25</v>
      </c>
      <c r="AG21" s="512">
        <f aca="true" t="shared" si="14" ref="AG21:AG49">IF(OR(ISBLANK(L21),ISBLANK(M21)),CHAR(32),VLOOKUP(L21,Proposed,18,FALSE))</f>
        <v>0.09</v>
      </c>
      <c r="AH21" s="513" t="e">
        <f aca="true" t="shared" si="15" ref="AH21:AH49">dfuncPV(M21,K21,AE21,AF21,AG21,$AB$15,$AB$13,$AB$14)</f>
        <v>#NAME?</v>
      </c>
      <c r="AI21" s="514">
        <f aca="true" t="shared" si="16" ref="AI21:AI49">IF(OR(ISERROR(AD21),ISERROR(AH21)),"",AH21-AD21)</f>
      </c>
    </row>
    <row r="22" spans="2:35" ht="42" customHeight="1">
      <c r="B22" s="34" t="s">
        <v>60</v>
      </c>
      <c r="C22" s="333">
        <v>3500</v>
      </c>
      <c r="D22" s="264" t="s">
        <v>670</v>
      </c>
      <c r="E22" s="327">
        <v>50</v>
      </c>
      <c r="F22" s="355">
        <f>IF(ISBLANK(D22),CHAR(32),VLOOKUP(D22,Existing,2,FALSE))</f>
        <v>96</v>
      </c>
      <c r="G22" s="356">
        <f>IF(ISBLANK(D22),CHAR(32),VLOOKUP(D22,Existing,3,FALSE))</f>
        <v>4867.8</v>
      </c>
      <c r="H22" s="268">
        <f>IF(OR(ISBLANK(D22),ISBLANK(E22),ISBLANK(F22)),CHAR(32),E22*F22)</f>
        <v>4800</v>
      </c>
      <c r="I22" s="274">
        <f>C22*E22*F22/1000</f>
        <v>16800</v>
      </c>
      <c r="J22" s="271" t="str">
        <f>VLOOKUP(D22,Existing,4,FALSE)</f>
        <v>T8 High Performance, 2-F32T8HP 32W, 1-Elec HP RLO</v>
      </c>
      <c r="K22" s="335">
        <f>C22</f>
        <v>3500</v>
      </c>
      <c r="L22" s="260" t="s">
        <v>944</v>
      </c>
      <c r="M22" s="337">
        <f>E22</f>
        <v>50</v>
      </c>
      <c r="N22" s="401">
        <f>IF(OR(ISBLANK(L22),ISBLANK(M22)),CHAR(32),VLOOKUP(L22,Proposed,2,FALSE))</f>
        <v>48</v>
      </c>
      <c r="O22" s="355">
        <f>IF(OR(ISBLANK(L22),ISBLANK(M22)),CHAR(32),VLOOKUP(L22,Proposed,3,FALSE))</f>
        <v>4535.3</v>
      </c>
      <c r="P22" s="402">
        <f>IF(OR(ISBLANK(L22),ISBLANK(M22)),CHAR(32),N22*M22)</f>
        <v>2400</v>
      </c>
      <c r="Q22" s="403">
        <f>IF(OR(ISBLANK(L22),ISBLANK(M22)),CHAR(32),K22*M22*N22/1000)</f>
        <v>8400</v>
      </c>
      <c r="R22" s="404">
        <f>IF(OR(ISBLANK(E22),ISBLANK(M22),ISBLANK(C22)),CHAR(32),(I22-Q22))</f>
        <v>8400</v>
      </c>
      <c r="S22" s="405">
        <f>IF(OR(ISBLANK(F22),ISBLANK(N22),ISBLANK(D22)),CHAR(32),(H22-P22)/H22)</f>
        <v>0.5</v>
      </c>
      <c r="T22" s="406">
        <f t="shared" si="7"/>
        <v>-0.06830601092896176</v>
      </c>
      <c r="U22" s="407"/>
      <c r="V22" s="408"/>
      <c r="W22" s="409" t="str">
        <f aca="true" t="shared" si="17" ref="W22:W50">IF(OR(ISBLANK(L22),ISBLANK(M22)),CHAR(32),VLOOKUP(L22,Proposed,4,FALSE))</f>
        <v>A2</v>
      </c>
      <c r="X22" s="410">
        <f>IF(OR(ISBLANK(L22),ISBLANK(M22)),CHAR(32),VLOOKUP(L22,Proposed,5,FALSE))</f>
        <v>30</v>
      </c>
      <c r="Y22" s="411">
        <f aca="true" t="shared" si="18" ref="Y22:Y50">M22*X22</f>
        <v>1500</v>
      </c>
      <c r="AA22" s="506">
        <f t="shared" si="8"/>
        <v>20000</v>
      </c>
      <c r="AB22" s="507">
        <f t="shared" si="9"/>
        <v>1.12</v>
      </c>
      <c r="AC22" s="508">
        <f t="shared" si="10"/>
        <v>0.09</v>
      </c>
      <c r="AD22" s="509" t="e">
        <f t="shared" si="11"/>
        <v>#NAME?</v>
      </c>
      <c r="AE22" s="510">
        <f t="shared" si="12"/>
        <v>30000</v>
      </c>
      <c r="AF22" s="511">
        <f t="shared" si="13"/>
        <v>3.25</v>
      </c>
      <c r="AG22" s="512">
        <f t="shared" si="14"/>
        <v>0.09</v>
      </c>
      <c r="AH22" s="513" t="e">
        <f t="shared" si="15"/>
        <v>#NAME?</v>
      </c>
      <c r="AI22" s="514">
        <f t="shared" si="16"/>
      </c>
    </row>
    <row r="23" spans="2:35" ht="42.75">
      <c r="B23" s="34" t="s">
        <v>61</v>
      </c>
      <c r="C23" s="333">
        <v>2000</v>
      </c>
      <c r="D23" s="264" t="s">
        <v>666</v>
      </c>
      <c r="E23" s="327">
        <v>1</v>
      </c>
      <c r="F23" s="355">
        <f>IF(ISBLANK(D23),CHAR(32),VLOOKUP(D23,Existing,2,FALSE))</f>
        <v>52</v>
      </c>
      <c r="G23" s="356">
        <f>IF(ISBLANK(D23),CHAR(32),VLOOKUP(D23,Existing,3,FALSE))</f>
        <v>2433.9</v>
      </c>
      <c r="H23" s="268">
        <f>IF(OR(ISBLANK(D23),ISBLANK(E23),ISBLANK(F23)),CHAR(32),E23*F23)</f>
        <v>52</v>
      </c>
      <c r="I23" s="274">
        <f>C23*E23*F23/1000</f>
        <v>104</v>
      </c>
      <c r="J23" s="271" t="str">
        <f>VLOOKUP(D23,Existing,4,FALSE)</f>
        <v>T8 High Performance, 1-F32T8HP 32W, 1-Elec HP</v>
      </c>
      <c r="K23" s="335">
        <f>C23</f>
        <v>2000</v>
      </c>
      <c r="L23" s="260" t="s">
        <v>233</v>
      </c>
      <c r="M23" s="337">
        <f>E23</f>
        <v>1</v>
      </c>
      <c r="N23" s="401">
        <f>IF(OR(ISBLANK(L23),ISBLANK(M23)),CHAR(32),VLOOKUP(L23,Proposed,2,FALSE))</f>
        <v>31</v>
      </c>
      <c r="O23" s="355">
        <f>IF(OR(ISBLANK(L23),ISBLANK(M23)),CHAR(32),VLOOKUP(L23,Proposed,3,FALSE))</f>
        <v>2400</v>
      </c>
      <c r="P23" s="402">
        <f>IF(OR(ISBLANK(L23),ISBLANK(M23)),CHAR(32),N23*M23)</f>
        <v>31</v>
      </c>
      <c r="Q23" s="403">
        <f>IF(OR(ISBLANK(L23),ISBLANK(M23)),CHAR(32),K23*M23*N23/1000)</f>
        <v>62</v>
      </c>
      <c r="R23" s="404">
        <f>IF(OR(ISBLANK(E23),ISBLANK(M23),ISBLANK(C23)),CHAR(32),(I23-Q23))</f>
        <v>42</v>
      </c>
      <c r="S23" s="405">
        <f>IF(OR(ISBLANK(F23),ISBLANK(N23),ISBLANK(D23)),CHAR(32),(H23-P23)/H23)</f>
        <v>0.40384615384615385</v>
      </c>
      <c r="T23" s="406">
        <f t="shared" si="7"/>
        <v>-0.01392826328115374</v>
      </c>
      <c r="U23" s="412">
        <f aca="true" t="shared" si="19" ref="U23:U50">IF(AND(ISNUMBER(Q23),ISNUMBER(C23)),Q23*C23/1000,CHAR(32))</f>
        <v>124</v>
      </c>
      <c r="V23" s="408" t="s">
        <v>1165</v>
      </c>
      <c r="W23" s="409" t="str">
        <f t="shared" si="17"/>
        <v>B1</v>
      </c>
      <c r="X23" s="410">
        <f>IF(OR(ISBLANK(L23),ISBLANK(M23)),CHAR(32),VLOOKUP(L23,Proposed,5,FALSE))</f>
        <v>8</v>
      </c>
      <c r="Y23" s="411">
        <f t="shared" si="18"/>
        <v>8</v>
      </c>
      <c r="AA23" s="506">
        <f t="shared" si="8"/>
        <v>20000</v>
      </c>
      <c r="AB23" s="507">
        <f t="shared" si="9"/>
        <v>1.12</v>
      </c>
      <c r="AC23" s="508">
        <f t="shared" si="10"/>
        <v>0.09</v>
      </c>
      <c r="AD23" s="509" t="e">
        <f t="shared" si="11"/>
        <v>#NAME?</v>
      </c>
      <c r="AE23" s="510">
        <f t="shared" si="12"/>
        <v>24000</v>
      </c>
      <c r="AF23" s="511">
        <f t="shared" si="13"/>
        <v>2.5</v>
      </c>
      <c r="AG23" s="512">
        <f t="shared" si="14"/>
        <v>0.09</v>
      </c>
      <c r="AH23" s="513" t="e">
        <f t="shared" si="15"/>
        <v>#NAME?</v>
      </c>
      <c r="AI23" s="514">
        <f t="shared" si="16"/>
      </c>
    </row>
    <row r="24" spans="2:35" ht="42.75">
      <c r="B24" s="34" t="s">
        <v>62</v>
      </c>
      <c r="C24" s="333">
        <v>2000</v>
      </c>
      <c r="D24" s="264" t="s">
        <v>670</v>
      </c>
      <c r="E24" s="327">
        <v>1</v>
      </c>
      <c r="F24" s="355">
        <f t="shared" si="0"/>
        <v>96</v>
      </c>
      <c r="G24" s="356">
        <f t="shared" si="1"/>
        <v>4867.8</v>
      </c>
      <c r="H24" s="268">
        <f t="shared" si="2"/>
        <v>96</v>
      </c>
      <c r="I24" s="274">
        <f aca="true" t="shared" si="20" ref="I24:I49">C24*E24*F24/1000</f>
        <v>192</v>
      </c>
      <c r="J24" s="271" t="str">
        <f t="shared" si="3"/>
        <v>T8 High Performance, 2-F32T8HP 32W, 1-Elec HP RLO</v>
      </c>
      <c r="K24" s="335">
        <f aca="true" t="shared" si="21" ref="K24:K29">C24</f>
        <v>2000</v>
      </c>
      <c r="L24" s="260" t="s">
        <v>630</v>
      </c>
      <c r="M24" s="337">
        <f t="shared" si="4"/>
        <v>1</v>
      </c>
      <c r="N24" s="401">
        <f t="shared" si="5"/>
        <v>59</v>
      </c>
      <c r="O24" s="355">
        <f t="shared" si="6"/>
        <v>4932.4</v>
      </c>
      <c r="P24" s="402">
        <f aca="true" t="shared" si="22" ref="P24:P50">IF(OR(ISBLANK(L24),ISBLANK(M24)),CHAR(32),N24*M24)</f>
        <v>59</v>
      </c>
      <c r="Q24" s="403">
        <f aca="true" t="shared" si="23" ref="Q24:Q50">IF(OR(ISBLANK(L24),ISBLANK(M24)),CHAR(32),K24*M24*N24/1000)</f>
        <v>118</v>
      </c>
      <c r="R24" s="404">
        <f aca="true" t="shared" si="24" ref="R24:R50">IF(OR(ISBLANK(E24),ISBLANK(M24),ISBLANK(C24)),CHAR(32),(I24-Q24))</f>
        <v>74</v>
      </c>
      <c r="S24" s="405">
        <f aca="true" t="shared" si="25" ref="S24:S50">IF(OR(ISBLANK(F24),ISBLANK(N24),ISBLANK(D24)),CHAR(32),(H24-P24)/H24)</f>
        <v>0.3854166666666667</v>
      </c>
      <c r="T24" s="406">
        <f t="shared" si="7"/>
        <v>0.013270882123341028</v>
      </c>
      <c r="U24" s="412">
        <f t="shared" si="19"/>
        <v>236</v>
      </c>
      <c r="V24" s="408" t="s">
        <v>1165</v>
      </c>
      <c r="W24" s="409" t="str">
        <f t="shared" si="17"/>
        <v>B2</v>
      </c>
      <c r="X24" s="410">
        <f aca="true" t="shared" si="26" ref="X24:X50">IF(OR(ISBLANK(L24),ISBLANK(M24)),CHAR(32),VLOOKUP(L24,Proposed,5,FALSE))</f>
        <v>15</v>
      </c>
      <c r="Y24" s="411">
        <f t="shared" si="18"/>
        <v>15</v>
      </c>
      <c r="AA24" s="506">
        <f t="shared" si="8"/>
        <v>20000</v>
      </c>
      <c r="AB24" s="507">
        <f t="shared" si="9"/>
        <v>1.12</v>
      </c>
      <c r="AC24" s="508">
        <f t="shared" si="10"/>
        <v>0.09</v>
      </c>
      <c r="AD24" s="509" t="e">
        <f t="shared" si="11"/>
        <v>#NAME?</v>
      </c>
      <c r="AE24" s="510">
        <f t="shared" si="12"/>
        <v>24000</v>
      </c>
      <c r="AF24" s="511">
        <f t="shared" si="13"/>
        <v>2.5</v>
      </c>
      <c r="AG24" s="512">
        <f t="shared" si="14"/>
        <v>0.09</v>
      </c>
      <c r="AH24" s="513" t="e">
        <f t="shared" si="15"/>
        <v>#NAME?</v>
      </c>
      <c r="AI24" s="514">
        <f t="shared" si="16"/>
      </c>
    </row>
    <row r="25" spans="2:35" ht="42.75">
      <c r="B25" s="34" t="s">
        <v>63</v>
      </c>
      <c r="C25" s="333">
        <v>4380</v>
      </c>
      <c r="D25" s="264" t="s">
        <v>473</v>
      </c>
      <c r="E25" s="327">
        <v>4</v>
      </c>
      <c r="F25" s="355">
        <f t="shared" si="0"/>
        <v>100</v>
      </c>
      <c r="G25" s="356">
        <f t="shared" si="1"/>
        <v>1548</v>
      </c>
      <c r="H25" s="268">
        <f t="shared" si="2"/>
        <v>400</v>
      </c>
      <c r="I25" s="274">
        <f t="shared" si="20"/>
        <v>1752</v>
      </c>
      <c r="J25" s="271" t="str">
        <f t="shared" si="3"/>
        <v>Hard-Wired CFL, 1-PL 26W, 1-Mag</v>
      </c>
      <c r="K25" s="335">
        <f t="shared" si="21"/>
        <v>4380</v>
      </c>
      <c r="L25" s="260" t="s">
        <v>13</v>
      </c>
      <c r="M25" s="337">
        <f t="shared" si="4"/>
        <v>4</v>
      </c>
      <c r="N25" s="401">
        <f t="shared" si="5"/>
        <v>29</v>
      </c>
      <c r="O25" s="355">
        <f t="shared" si="6"/>
        <v>1530</v>
      </c>
      <c r="P25" s="402">
        <f t="shared" si="22"/>
        <v>116</v>
      </c>
      <c r="Q25" s="403">
        <f t="shared" si="23"/>
        <v>508.08</v>
      </c>
      <c r="R25" s="404">
        <f t="shared" si="24"/>
        <v>1243.92</v>
      </c>
      <c r="S25" s="405">
        <f t="shared" si="25"/>
        <v>0.71</v>
      </c>
      <c r="T25" s="406">
        <f t="shared" si="7"/>
        <v>-0.011627906976744186</v>
      </c>
      <c r="U25" s="412">
        <f t="shared" si="19"/>
        <v>2225.3903999999998</v>
      </c>
      <c r="V25" s="408" t="s">
        <v>1165</v>
      </c>
      <c r="W25" s="409" t="str">
        <f t="shared" si="17"/>
        <v>C1</v>
      </c>
      <c r="X25" s="410">
        <f t="shared" si="26"/>
        <v>30</v>
      </c>
      <c r="Y25" s="411">
        <f t="shared" si="18"/>
        <v>120</v>
      </c>
      <c r="AA25" s="506">
        <f t="shared" si="8"/>
        <v>1000</v>
      </c>
      <c r="AB25" s="507">
        <f t="shared" si="9"/>
        <v>0.52</v>
      </c>
      <c r="AC25" s="508">
        <f t="shared" si="10"/>
        <v>0.05</v>
      </c>
      <c r="AD25" s="509" t="e">
        <f t="shared" si="11"/>
        <v>#NAME?</v>
      </c>
      <c r="AE25" s="510">
        <f t="shared" si="12"/>
        <v>10000</v>
      </c>
      <c r="AF25" s="511">
        <f t="shared" si="13"/>
        <v>1.91</v>
      </c>
      <c r="AG25" s="512">
        <f t="shared" si="14"/>
        <v>0.09</v>
      </c>
      <c r="AH25" s="513" t="e">
        <f t="shared" si="15"/>
        <v>#NAME?</v>
      </c>
      <c r="AI25" s="514">
        <f t="shared" si="16"/>
      </c>
    </row>
    <row r="26" spans="2:35" ht="42.75">
      <c r="B26" s="34" t="s">
        <v>64</v>
      </c>
      <c r="C26" s="333">
        <v>4380</v>
      </c>
      <c r="D26" s="264" t="s">
        <v>474</v>
      </c>
      <c r="E26" s="327">
        <v>2</v>
      </c>
      <c r="F26" s="355">
        <f t="shared" si="0"/>
        <v>150</v>
      </c>
      <c r="G26" s="356">
        <f t="shared" si="1"/>
        <v>2536.5</v>
      </c>
      <c r="H26" s="268">
        <f t="shared" si="2"/>
        <v>300</v>
      </c>
      <c r="I26" s="274">
        <f t="shared" si="20"/>
        <v>1314</v>
      </c>
      <c r="J26" s="271" t="str">
        <f t="shared" si="3"/>
        <v>Hard-Wired CFL, 2-PL 23W, 2-Mag</v>
      </c>
      <c r="K26" s="335">
        <f t="shared" si="21"/>
        <v>4380</v>
      </c>
      <c r="L26" s="260" t="s">
        <v>14</v>
      </c>
      <c r="M26" s="337">
        <f t="shared" si="4"/>
        <v>2</v>
      </c>
      <c r="N26" s="401">
        <f t="shared" si="5"/>
        <v>52</v>
      </c>
      <c r="O26" s="355">
        <f t="shared" si="6"/>
        <v>3060</v>
      </c>
      <c r="P26" s="402">
        <f t="shared" si="22"/>
        <v>104</v>
      </c>
      <c r="Q26" s="403">
        <f t="shared" si="23"/>
        <v>455.52</v>
      </c>
      <c r="R26" s="404">
        <f t="shared" si="24"/>
        <v>858.48</v>
      </c>
      <c r="S26" s="405">
        <f t="shared" si="25"/>
        <v>0.6533333333333333</v>
      </c>
      <c r="T26" s="406">
        <f t="shared" si="7"/>
        <v>0.2063867534003548</v>
      </c>
      <c r="U26" s="412">
        <f t="shared" si="19"/>
        <v>1995.1775999999998</v>
      </c>
      <c r="V26" s="408" t="s">
        <v>1165</v>
      </c>
      <c r="W26" s="409" t="str">
        <f t="shared" si="17"/>
        <v>C2</v>
      </c>
      <c r="X26" s="410">
        <f t="shared" si="26"/>
        <v>50</v>
      </c>
      <c r="Y26" s="411">
        <f t="shared" si="18"/>
        <v>100</v>
      </c>
      <c r="AA26" s="506">
        <f t="shared" si="8"/>
        <v>1000</v>
      </c>
      <c r="AB26" s="507">
        <f t="shared" si="9"/>
        <v>0.52</v>
      </c>
      <c r="AC26" s="508">
        <f t="shared" si="10"/>
        <v>0.05</v>
      </c>
      <c r="AD26" s="509" t="e">
        <f t="shared" si="11"/>
        <v>#NAME?</v>
      </c>
      <c r="AE26" s="510">
        <f t="shared" si="12"/>
        <v>10000</v>
      </c>
      <c r="AF26" s="511">
        <f t="shared" si="13"/>
        <v>3.3</v>
      </c>
      <c r="AG26" s="512">
        <f t="shared" si="14"/>
        <v>0.09</v>
      </c>
      <c r="AH26" s="513" t="e">
        <f t="shared" si="15"/>
        <v>#NAME?</v>
      </c>
      <c r="AI26" s="514">
        <f t="shared" si="16"/>
      </c>
    </row>
    <row r="27" spans="2:35" ht="42.75">
      <c r="B27" s="34" t="s">
        <v>65</v>
      </c>
      <c r="C27" s="333">
        <v>3500</v>
      </c>
      <c r="D27" s="264" t="s">
        <v>1348</v>
      </c>
      <c r="E27" s="327">
        <v>4</v>
      </c>
      <c r="F27" s="355">
        <f t="shared" si="0"/>
        <v>75</v>
      </c>
      <c r="G27" s="356">
        <f t="shared" si="1"/>
        <v>688.5</v>
      </c>
      <c r="H27" s="268">
        <f t="shared" si="2"/>
        <v>300</v>
      </c>
      <c r="I27" s="274">
        <f t="shared" si="20"/>
        <v>1050</v>
      </c>
      <c r="J27" s="271" t="str">
        <f t="shared" si="3"/>
        <v>Hard-Wired CFL, 1-PL 20W, 1-Mag</v>
      </c>
      <c r="K27" s="335">
        <f t="shared" si="21"/>
        <v>3500</v>
      </c>
      <c r="L27" s="260" t="s">
        <v>409</v>
      </c>
      <c r="M27" s="337">
        <v>1</v>
      </c>
      <c r="N27" s="401">
        <f t="shared" si="5"/>
        <v>45</v>
      </c>
      <c r="O27" s="355">
        <f t="shared" si="6"/>
        <v>2600</v>
      </c>
      <c r="P27" s="402">
        <f t="shared" si="22"/>
        <v>45</v>
      </c>
      <c r="Q27" s="403">
        <f t="shared" si="23"/>
        <v>157.5</v>
      </c>
      <c r="R27" s="404">
        <f t="shared" si="24"/>
        <v>892.5</v>
      </c>
      <c r="S27" s="405">
        <f t="shared" si="25"/>
        <v>0.85</v>
      </c>
      <c r="T27" s="406">
        <f t="shared" si="7"/>
        <v>-0.05591866376180102</v>
      </c>
      <c r="U27" s="412">
        <f t="shared" si="19"/>
        <v>551.25</v>
      </c>
      <c r="V27" s="408" t="s">
        <v>1165</v>
      </c>
      <c r="W27" s="409" t="str">
        <f t="shared" si="17"/>
        <v>D1</v>
      </c>
      <c r="X27" s="410">
        <f t="shared" si="26"/>
        <v>50</v>
      </c>
      <c r="Y27" s="411">
        <f t="shared" si="18"/>
        <v>50</v>
      </c>
      <c r="AA27" s="506">
        <f t="shared" si="8"/>
        <v>2000</v>
      </c>
      <c r="AB27" s="507">
        <f t="shared" si="9"/>
        <v>4</v>
      </c>
      <c r="AC27" s="508">
        <f t="shared" si="10"/>
        <v>0.09</v>
      </c>
      <c r="AD27" s="509" t="e">
        <f t="shared" si="11"/>
        <v>#NAME?</v>
      </c>
      <c r="AE27" s="510">
        <f t="shared" si="12"/>
        <v>9000</v>
      </c>
      <c r="AF27" s="511">
        <f t="shared" si="13"/>
        <v>43.25</v>
      </c>
      <c r="AG27" s="512">
        <f t="shared" si="14"/>
        <v>0.15</v>
      </c>
      <c r="AH27" s="513" t="e">
        <f t="shared" si="15"/>
        <v>#NAME?</v>
      </c>
      <c r="AI27" s="514">
        <f t="shared" si="16"/>
      </c>
    </row>
    <row r="28" spans="2:35" ht="42.75">
      <c r="B28" s="34" t="s">
        <v>66</v>
      </c>
      <c r="C28" s="333">
        <v>3500</v>
      </c>
      <c r="D28" s="264" t="s">
        <v>131</v>
      </c>
      <c r="E28" s="327">
        <v>2</v>
      </c>
      <c r="F28" s="355">
        <f t="shared" si="0"/>
        <v>285</v>
      </c>
      <c r="G28" s="356">
        <f t="shared" si="1"/>
        <v>10700</v>
      </c>
      <c r="H28" s="268">
        <f t="shared" si="2"/>
        <v>570</v>
      </c>
      <c r="I28" s="274">
        <f t="shared" si="20"/>
        <v>1995</v>
      </c>
      <c r="J28" s="271" t="str">
        <f t="shared" si="3"/>
        <v>T5HO Fluorescent, 2-F54T5HO 54W, 1-Elec</v>
      </c>
      <c r="K28" s="335">
        <f>C28</f>
        <v>3500</v>
      </c>
      <c r="L28" s="260" t="s">
        <v>309</v>
      </c>
      <c r="M28" s="337">
        <f t="shared" si="4"/>
        <v>2</v>
      </c>
      <c r="N28" s="401">
        <f t="shared" si="5"/>
        <v>168</v>
      </c>
      <c r="O28" s="355">
        <f t="shared" si="6"/>
        <v>9920</v>
      </c>
      <c r="P28" s="402">
        <f t="shared" si="22"/>
        <v>336</v>
      </c>
      <c r="Q28" s="403">
        <f t="shared" si="23"/>
        <v>1176</v>
      </c>
      <c r="R28" s="404">
        <f t="shared" si="24"/>
        <v>819</v>
      </c>
      <c r="S28" s="405">
        <f t="shared" si="25"/>
        <v>0.4105263157894737</v>
      </c>
      <c r="T28" s="406">
        <f t="shared" si="7"/>
        <v>-0.07289719626168224</v>
      </c>
      <c r="U28" s="412">
        <f t="shared" si="19"/>
        <v>4116</v>
      </c>
      <c r="V28" s="408" t="s">
        <v>1165</v>
      </c>
      <c r="W28" s="409" t="str">
        <f t="shared" si="17"/>
        <v>D2</v>
      </c>
      <c r="X28" s="410">
        <f t="shared" si="26"/>
        <v>80</v>
      </c>
      <c r="Y28" s="411">
        <f t="shared" si="18"/>
        <v>160</v>
      </c>
      <c r="AA28" s="506">
        <f t="shared" si="8"/>
        <v>24000</v>
      </c>
      <c r="AB28" s="507">
        <f t="shared" si="9"/>
        <v>13.85</v>
      </c>
      <c r="AC28" s="508">
        <f t="shared" si="10"/>
        <v>0.4</v>
      </c>
      <c r="AD28" s="509" t="e">
        <f t="shared" si="11"/>
        <v>#NAME?</v>
      </c>
      <c r="AE28" s="510">
        <f t="shared" si="12"/>
        <v>20000</v>
      </c>
      <c r="AF28" s="511">
        <f t="shared" si="13"/>
        <v>43.25</v>
      </c>
      <c r="AG28" s="512">
        <f t="shared" si="14"/>
        <v>0.15</v>
      </c>
      <c r="AH28" s="513" t="e">
        <f t="shared" si="15"/>
        <v>#NAME?</v>
      </c>
      <c r="AI28" s="514">
        <f t="shared" si="16"/>
      </c>
    </row>
    <row r="29" spans="2:35" ht="42.75">
      <c r="B29" s="34" t="s">
        <v>67</v>
      </c>
      <c r="C29" s="333">
        <v>3500</v>
      </c>
      <c r="D29" s="264" t="s">
        <v>472</v>
      </c>
      <c r="E29" s="327">
        <v>10</v>
      </c>
      <c r="F29" s="355">
        <f t="shared" si="0"/>
        <v>75</v>
      </c>
      <c r="G29" s="356">
        <f t="shared" si="1"/>
        <v>1085.6</v>
      </c>
      <c r="H29" s="268">
        <f t="shared" si="2"/>
        <v>750</v>
      </c>
      <c r="I29" s="274">
        <f t="shared" si="20"/>
        <v>2625</v>
      </c>
      <c r="J29" s="271" t="str">
        <f t="shared" si="3"/>
        <v>Hard-Wired CFL, 1-PL 20W, 1-Mag</v>
      </c>
      <c r="K29" s="335">
        <f t="shared" si="21"/>
        <v>3500</v>
      </c>
      <c r="L29" s="260" t="s">
        <v>186</v>
      </c>
      <c r="M29" s="337">
        <f t="shared" si="4"/>
        <v>10</v>
      </c>
      <c r="N29" s="401">
        <f t="shared" si="5"/>
        <v>23</v>
      </c>
      <c r="O29" s="355">
        <f t="shared" si="6"/>
        <v>1190</v>
      </c>
      <c r="P29" s="402">
        <f t="shared" si="22"/>
        <v>230</v>
      </c>
      <c r="Q29" s="403">
        <f t="shared" si="23"/>
        <v>805</v>
      </c>
      <c r="R29" s="404">
        <f t="shared" si="24"/>
        <v>1820</v>
      </c>
      <c r="S29" s="405">
        <f t="shared" si="25"/>
        <v>0.6933333333333334</v>
      </c>
      <c r="T29" s="406">
        <f t="shared" si="7"/>
        <v>0.09616801768607222</v>
      </c>
      <c r="U29" s="412">
        <f t="shared" si="19"/>
        <v>2817.5</v>
      </c>
      <c r="V29" s="408" t="s">
        <v>1165</v>
      </c>
      <c r="W29" s="409" t="str">
        <f t="shared" si="17"/>
        <v>E1</v>
      </c>
      <c r="X29" s="410">
        <f t="shared" si="26"/>
        <v>3</v>
      </c>
      <c r="Y29" s="411">
        <f t="shared" si="18"/>
        <v>30</v>
      </c>
      <c r="AA29" s="506">
        <f t="shared" si="8"/>
        <v>1200</v>
      </c>
      <c r="AB29" s="507">
        <f t="shared" si="9"/>
        <v>0.52</v>
      </c>
      <c r="AC29" s="508">
        <f t="shared" si="10"/>
        <v>0.05</v>
      </c>
      <c r="AD29" s="509" t="e">
        <f t="shared" si="11"/>
        <v>#NAME?</v>
      </c>
      <c r="AE29" s="510">
        <f t="shared" si="12"/>
        <v>10000</v>
      </c>
      <c r="AF29" s="511">
        <f t="shared" si="13"/>
        <v>4</v>
      </c>
      <c r="AG29" s="512">
        <f t="shared" si="14"/>
        <v>0.09</v>
      </c>
      <c r="AH29" s="513" t="e">
        <f t="shared" si="15"/>
        <v>#NAME?</v>
      </c>
      <c r="AI29" s="514">
        <f t="shared" si="16"/>
      </c>
    </row>
    <row r="30" spans="2:35" ht="42.75">
      <c r="B30" s="34" t="s">
        <v>68</v>
      </c>
      <c r="C30" s="333">
        <v>3500</v>
      </c>
      <c r="D30" s="264" t="s">
        <v>474</v>
      </c>
      <c r="E30" s="327">
        <v>5</v>
      </c>
      <c r="F30" s="355">
        <f aca="true" t="shared" si="27" ref="F30:F38">IF(ISBLANK(D30),CHAR(32),VLOOKUP(D30,Existing,2,FALSE))</f>
        <v>150</v>
      </c>
      <c r="G30" s="356">
        <f aca="true" t="shared" si="28" ref="G30:G38">IF(ISBLANK(D30),CHAR(32),VLOOKUP(D30,Existing,3,FALSE))</f>
        <v>2536.5</v>
      </c>
      <c r="H30" s="268">
        <f aca="true" t="shared" si="29" ref="H30:H38">IF(OR(ISBLANK(D30),ISBLANK(E30),ISBLANK(F30)),CHAR(32),E30*F30)</f>
        <v>750</v>
      </c>
      <c r="I30" s="274">
        <f t="shared" si="20"/>
        <v>2625</v>
      </c>
      <c r="J30" s="271" t="str">
        <f aca="true" t="shared" si="30" ref="J30:J37">VLOOKUP(D30,Existing,4,FALSE)</f>
        <v>Hard-Wired CFL, 2-PL 23W, 2-Mag</v>
      </c>
      <c r="K30" s="335">
        <f>C30</f>
        <v>3500</v>
      </c>
      <c r="L30" s="260" t="s">
        <v>176</v>
      </c>
      <c r="M30" s="337">
        <f t="shared" si="4"/>
        <v>5</v>
      </c>
      <c r="N30" s="401">
        <f aca="true" t="shared" si="31" ref="N30:N37">IF(OR(ISBLANK(L30),ISBLANK(M30)),CHAR(32),VLOOKUP(L30,Proposed,2,FALSE))</f>
        <v>42</v>
      </c>
      <c r="O30" s="355">
        <f aca="true" t="shared" si="32" ref="O30:O37">IF(OR(ISBLANK(L30),ISBLANK(M30)),CHAR(32),VLOOKUP(L30,Proposed,3,FALSE))</f>
        <v>2380</v>
      </c>
      <c r="P30" s="402">
        <f t="shared" si="22"/>
        <v>210</v>
      </c>
      <c r="Q30" s="403">
        <f t="shared" si="23"/>
        <v>735</v>
      </c>
      <c r="R30" s="404">
        <f t="shared" si="24"/>
        <v>1890</v>
      </c>
      <c r="S30" s="405">
        <f t="shared" si="25"/>
        <v>0.72</v>
      </c>
      <c r="T30" s="406">
        <f t="shared" si="7"/>
        <v>-0.06169919179972403</v>
      </c>
      <c r="U30" s="412">
        <f t="shared" si="19"/>
        <v>2572.5</v>
      </c>
      <c r="V30" s="408" t="s">
        <v>1165</v>
      </c>
      <c r="W30" s="409" t="str">
        <f t="shared" si="17"/>
        <v>E2</v>
      </c>
      <c r="X30" s="410">
        <f t="shared" si="26"/>
        <v>6</v>
      </c>
      <c r="Y30" s="411">
        <f t="shared" si="18"/>
        <v>30</v>
      </c>
      <c r="AA30" s="506">
        <f t="shared" si="8"/>
        <v>1000</v>
      </c>
      <c r="AB30" s="507">
        <f t="shared" si="9"/>
        <v>0.52</v>
      </c>
      <c r="AC30" s="508">
        <f t="shared" si="10"/>
        <v>0.05</v>
      </c>
      <c r="AD30" s="509" t="e">
        <f t="shared" si="11"/>
        <v>#NAME?</v>
      </c>
      <c r="AE30" s="510">
        <f t="shared" si="12"/>
        <v>10000</v>
      </c>
      <c r="AF30" s="511">
        <f t="shared" si="13"/>
        <v>13</v>
      </c>
      <c r="AG30" s="512">
        <f t="shared" si="14"/>
        <v>0.09</v>
      </c>
      <c r="AH30" s="513" t="e">
        <f t="shared" si="15"/>
        <v>#NAME?</v>
      </c>
      <c r="AI30" s="514">
        <f t="shared" si="16"/>
      </c>
    </row>
    <row r="31" spans="2:35" ht="42.75">
      <c r="B31" s="34" t="s">
        <v>69</v>
      </c>
      <c r="C31" s="333">
        <v>3500</v>
      </c>
      <c r="D31" s="264" t="s">
        <v>1353</v>
      </c>
      <c r="E31" s="327">
        <v>1</v>
      </c>
      <c r="F31" s="355">
        <f t="shared" si="27"/>
        <v>200</v>
      </c>
      <c r="G31" s="356">
        <f t="shared" si="28"/>
        <v>3153.5</v>
      </c>
      <c r="H31" s="268">
        <f t="shared" si="29"/>
        <v>200</v>
      </c>
      <c r="I31" s="274">
        <f t="shared" si="20"/>
        <v>700</v>
      </c>
      <c r="J31" s="271" t="str">
        <f t="shared" si="30"/>
        <v>Hard-Wired CFL, 2-2D 28W, 1-Elec</v>
      </c>
      <c r="K31" s="335">
        <f>C31</f>
        <v>3500</v>
      </c>
      <c r="L31" s="260" t="s">
        <v>179</v>
      </c>
      <c r="M31" s="337">
        <f t="shared" si="4"/>
        <v>1</v>
      </c>
      <c r="N31" s="401">
        <f t="shared" si="31"/>
        <v>65</v>
      </c>
      <c r="O31" s="355">
        <f t="shared" si="32"/>
        <v>3570</v>
      </c>
      <c r="P31" s="402">
        <f t="shared" si="22"/>
        <v>65</v>
      </c>
      <c r="Q31" s="403">
        <f t="shared" si="23"/>
        <v>227.5</v>
      </c>
      <c r="R31" s="404">
        <f t="shared" si="24"/>
        <v>472.5</v>
      </c>
      <c r="S31" s="405">
        <f t="shared" si="25"/>
        <v>0.675</v>
      </c>
      <c r="T31" s="406">
        <f t="shared" si="7"/>
        <v>0.1320754716981132</v>
      </c>
      <c r="U31" s="412">
        <f t="shared" si="19"/>
        <v>796.25</v>
      </c>
      <c r="V31" s="408" t="s">
        <v>1165</v>
      </c>
      <c r="W31" s="409" t="str">
        <f t="shared" si="17"/>
        <v>E3</v>
      </c>
      <c r="X31" s="410">
        <f t="shared" si="26"/>
        <v>12</v>
      </c>
      <c r="Y31" s="411">
        <f t="shared" si="18"/>
        <v>12</v>
      </c>
      <c r="AA31" s="506">
        <f t="shared" si="8"/>
        <v>750</v>
      </c>
      <c r="AB31" s="507">
        <f t="shared" si="9"/>
        <v>4.29</v>
      </c>
      <c r="AC31" s="508">
        <f t="shared" si="10"/>
        <v>0.09</v>
      </c>
      <c r="AD31" s="509" t="e">
        <f t="shared" si="11"/>
        <v>#NAME?</v>
      </c>
      <c r="AE31" s="510">
        <f t="shared" si="12"/>
        <v>10000</v>
      </c>
      <c r="AF31" s="511">
        <f t="shared" si="13"/>
        <v>18</v>
      </c>
      <c r="AG31" s="512">
        <f t="shared" si="14"/>
        <v>0.09</v>
      </c>
      <c r="AH31" s="513" t="e">
        <f t="shared" si="15"/>
        <v>#NAME?</v>
      </c>
      <c r="AI31" s="514">
        <f t="shared" si="16"/>
      </c>
    </row>
    <row r="32" spans="2:35" ht="42.75">
      <c r="B32" s="34" t="s">
        <v>70</v>
      </c>
      <c r="C32" s="333">
        <v>8760</v>
      </c>
      <c r="D32" s="264" t="s">
        <v>142</v>
      </c>
      <c r="E32" s="327">
        <v>30</v>
      </c>
      <c r="F32" s="355">
        <f t="shared" si="27"/>
        <v>40</v>
      </c>
      <c r="G32" s="356">
        <f t="shared" si="28"/>
        <v>2</v>
      </c>
      <c r="H32" s="268">
        <f t="shared" si="29"/>
        <v>1200</v>
      </c>
      <c r="I32" s="274">
        <f t="shared" si="20"/>
        <v>10512</v>
      </c>
      <c r="J32" s="271" t="str">
        <f t="shared" si="30"/>
        <v>New Exit Sign, 1-LED &lt;5W, 1-None</v>
      </c>
      <c r="K32" s="335">
        <f>C32</f>
        <v>8760</v>
      </c>
      <c r="L32" s="260" t="s">
        <v>226</v>
      </c>
      <c r="M32" s="337">
        <f t="shared" si="4"/>
        <v>30</v>
      </c>
      <c r="N32" s="401">
        <f t="shared" si="31"/>
        <v>1.5</v>
      </c>
      <c r="O32" s="355">
        <f t="shared" si="32"/>
        <v>2</v>
      </c>
      <c r="P32" s="402">
        <f t="shared" si="22"/>
        <v>45</v>
      </c>
      <c r="Q32" s="403">
        <f t="shared" si="23"/>
        <v>394.2</v>
      </c>
      <c r="R32" s="404">
        <f t="shared" si="24"/>
        <v>10117.8</v>
      </c>
      <c r="S32" s="405">
        <f t="shared" si="25"/>
        <v>0.9625</v>
      </c>
      <c r="T32" s="406">
        <f t="shared" si="7"/>
        <v>0</v>
      </c>
      <c r="U32" s="412">
        <f t="shared" si="19"/>
        <v>3453.192</v>
      </c>
      <c r="V32" s="408" t="s">
        <v>1165</v>
      </c>
      <c r="W32" s="409" t="str">
        <f t="shared" si="17"/>
        <v>F1</v>
      </c>
      <c r="X32" s="410">
        <f t="shared" si="26"/>
        <v>30</v>
      </c>
      <c r="Y32" s="411">
        <f t="shared" si="18"/>
        <v>900</v>
      </c>
      <c r="AA32" s="506">
        <f t="shared" si="8"/>
        <v>10000</v>
      </c>
      <c r="AB32" s="507">
        <f t="shared" si="9"/>
        <v>2.31</v>
      </c>
      <c r="AC32" s="508">
        <f t="shared" si="10"/>
        <v>0.1</v>
      </c>
      <c r="AD32" s="509" t="e">
        <f t="shared" si="11"/>
        <v>#NAME?</v>
      </c>
      <c r="AE32" s="510">
        <f t="shared" si="12"/>
        <v>100000</v>
      </c>
      <c r="AF32" s="511">
        <f t="shared" si="13"/>
        <v>25</v>
      </c>
      <c r="AG32" s="512">
        <f t="shared" si="14"/>
        <v>0.2</v>
      </c>
      <c r="AH32" s="513" t="e">
        <f t="shared" si="15"/>
        <v>#NAME?</v>
      </c>
      <c r="AI32" s="514">
        <f t="shared" si="16"/>
      </c>
    </row>
    <row r="33" spans="2:35" ht="42.75">
      <c r="B33" s="34" t="s">
        <v>71</v>
      </c>
      <c r="C33" s="333">
        <v>4380</v>
      </c>
      <c r="D33" s="264" t="s">
        <v>130</v>
      </c>
      <c r="E33" s="327">
        <v>4</v>
      </c>
      <c r="F33" s="355">
        <f t="shared" si="27"/>
        <v>205</v>
      </c>
      <c r="G33" s="356">
        <f t="shared" si="28"/>
        <v>7600</v>
      </c>
      <c r="H33" s="268">
        <f t="shared" si="29"/>
        <v>820</v>
      </c>
      <c r="I33" s="274">
        <f t="shared" si="20"/>
        <v>3591.6</v>
      </c>
      <c r="J33" s="271" t="str">
        <f t="shared" si="30"/>
        <v>T8 Fluorescent, 2-F32T8 32W, 1-Elec HLO</v>
      </c>
      <c r="K33" s="335">
        <f>C33</f>
        <v>4380</v>
      </c>
      <c r="L33" s="260" t="s">
        <v>404</v>
      </c>
      <c r="M33" s="337">
        <f t="shared" si="4"/>
        <v>4</v>
      </c>
      <c r="N33" s="401">
        <f t="shared" si="31"/>
        <v>85</v>
      </c>
      <c r="O33" s="355">
        <f t="shared" si="32"/>
        <v>4800</v>
      </c>
      <c r="P33" s="402">
        <f t="shared" si="22"/>
        <v>340</v>
      </c>
      <c r="Q33" s="403">
        <f t="shared" si="23"/>
        <v>1489.2</v>
      </c>
      <c r="R33" s="404">
        <f t="shared" si="24"/>
        <v>2102.3999999999996</v>
      </c>
      <c r="S33" s="405">
        <f t="shared" si="25"/>
        <v>0.5853658536585366</v>
      </c>
      <c r="T33" s="406">
        <f t="shared" si="7"/>
        <v>-0.3684210526315789</v>
      </c>
      <c r="U33" s="412">
        <f t="shared" si="19"/>
        <v>6522.696</v>
      </c>
      <c r="V33" s="408" t="s">
        <v>1165</v>
      </c>
      <c r="W33" s="409" t="str">
        <f t="shared" si="17"/>
        <v>G1</v>
      </c>
      <c r="X33" s="410">
        <f t="shared" si="26"/>
        <v>60</v>
      </c>
      <c r="Y33" s="411">
        <f t="shared" si="18"/>
        <v>240</v>
      </c>
      <c r="AA33" s="506">
        <f t="shared" si="8"/>
        <v>24000</v>
      </c>
      <c r="AB33" s="507">
        <f t="shared" si="9"/>
        <v>12.35</v>
      </c>
      <c r="AC33" s="508">
        <f t="shared" si="10"/>
        <v>0.4</v>
      </c>
      <c r="AD33" s="509" t="e">
        <f t="shared" si="11"/>
        <v>#NAME?</v>
      </c>
      <c r="AE33" s="510">
        <f t="shared" si="12"/>
        <v>100000</v>
      </c>
      <c r="AF33" s="511">
        <f t="shared" si="13"/>
        <v>400</v>
      </c>
      <c r="AG33" s="512">
        <f t="shared" si="14"/>
        <v>0.3</v>
      </c>
      <c r="AH33" s="513" t="e">
        <f t="shared" si="15"/>
        <v>#NAME?</v>
      </c>
      <c r="AI33" s="514">
        <f t="shared" si="16"/>
      </c>
    </row>
    <row r="34" spans="2:35" ht="42.75">
      <c r="B34" s="34" t="s">
        <v>72</v>
      </c>
      <c r="C34" s="333">
        <v>4380</v>
      </c>
      <c r="D34" s="264" t="s">
        <v>131</v>
      </c>
      <c r="E34" s="327">
        <v>4</v>
      </c>
      <c r="F34" s="355">
        <f t="shared" si="27"/>
        <v>285</v>
      </c>
      <c r="G34" s="356">
        <f t="shared" si="28"/>
        <v>10700</v>
      </c>
      <c r="H34" s="268">
        <f t="shared" si="29"/>
        <v>1140</v>
      </c>
      <c r="I34" s="274">
        <f t="shared" si="20"/>
        <v>4993.2</v>
      </c>
      <c r="J34" s="271" t="str">
        <f t="shared" si="30"/>
        <v>T5HO Fluorescent, 2-F54T5HO 54W, 1-Elec</v>
      </c>
      <c r="K34" s="335">
        <f>C34</f>
        <v>4380</v>
      </c>
      <c r="L34" s="260" t="s">
        <v>406</v>
      </c>
      <c r="M34" s="337">
        <f t="shared" si="4"/>
        <v>4</v>
      </c>
      <c r="N34" s="401">
        <f t="shared" si="31"/>
        <v>165</v>
      </c>
      <c r="O34" s="355">
        <f t="shared" si="32"/>
        <v>9600</v>
      </c>
      <c r="P34" s="402">
        <f t="shared" si="22"/>
        <v>660</v>
      </c>
      <c r="Q34" s="403">
        <f t="shared" si="23"/>
        <v>2890.8</v>
      </c>
      <c r="R34" s="404">
        <f t="shared" si="24"/>
        <v>2102.3999999999996</v>
      </c>
      <c r="S34" s="405">
        <f t="shared" si="25"/>
        <v>0.42105263157894735</v>
      </c>
      <c r="T34" s="406">
        <f t="shared" si="7"/>
        <v>-0.102803738317757</v>
      </c>
      <c r="U34" s="412">
        <f t="shared" si="19"/>
        <v>12661.704</v>
      </c>
      <c r="V34" s="408" t="s">
        <v>1165</v>
      </c>
      <c r="W34" s="409" t="str">
        <f t="shared" si="17"/>
        <v>G2</v>
      </c>
      <c r="X34" s="410">
        <f t="shared" si="26"/>
        <v>120</v>
      </c>
      <c r="Y34" s="411">
        <f t="shared" si="18"/>
        <v>480</v>
      </c>
      <c r="AA34" s="506">
        <f t="shared" si="8"/>
        <v>24000</v>
      </c>
      <c r="AB34" s="507">
        <f t="shared" si="9"/>
        <v>13.85</v>
      </c>
      <c r="AC34" s="508">
        <f t="shared" si="10"/>
        <v>0.4</v>
      </c>
      <c r="AD34" s="509" t="e">
        <f t="shared" si="11"/>
        <v>#NAME?</v>
      </c>
      <c r="AE34" s="510">
        <f t="shared" si="12"/>
        <v>100000</v>
      </c>
      <c r="AF34" s="511">
        <f t="shared" si="13"/>
        <v>400</v>
      </c>
      <c r="AG34" s="512">
        <f t="shared" si="14"/>
        <v>0.3</v>
      </c>
      <c r="AH34" s="513" t="e">
        <f t="shared" si="15"/>
        <v>#NAME?</v>
      </c>
      <c r="AI34" s="514">
        <f t="shared" si="16"/>
      </c>
    </row>
    <row r="35" spans="2:35" ht="42.75">
      <c r="B35" s="34" t="s">
        <v>73</v>
      </c>
      <c r="C35" s="333">
        <v>8760</v>
      </c>
      <c r="D35" s="264" t="s">
        <v>138</v>
      </c>
      <c r="E35" s="327">
        <v>10</v>
      </c>
      <c r="F35" s="355">
        <f t="shared" si="27"/>
        <v>210</v>
      </c>
      <c r="G35" s="356">
        <f t="shared" si="28"/>
        <v>9400</v>
      </c>
      <c r="H35" s="268">
        <f t="shared" si="29"/>
        <v>2100</v>
      </c>
      <c r="I35" s="274">
        <f t="shared" si="20"/>
        <v>18396</v>
      </c>
      <c r="J35" s="271" t="str">
        <f t="shared" si="30"/>
        <v>T5HO Fluorescent, 2-F54T5HO 54W, 1-Elec</v>
      </c>
      <c r="K35" s="335">
        <v>2100</v>
      </c>
      <c r="L35" s="260" t="s">
        <v>856</v>
      </c>
      <c r="M35" s="337">
        <f t="shared" si="4"/>
        <v>10</v>
      </c>
      <c r="N35" s="401">
        <f t="shared" si="31"/>
        <v>112</v>
      </c>
      <c r="O35" s="355">
        <f t="shared" si="32"/>
        <v>10425.3</v>
      </c>
      <c r="P35" s="402">
        <f t="shared" si="22"/>
        <v>1120</v>
      </c>
      <c r="Q35" s="403">
        <f t="shared" si="23"/>
        <v>2352</v>
      </c>
      <c r="R35" s="404">
        <f t="shared" si="24"/>
        <v>16044</v>
      </c>
      <c r="S35" s="405">
        <f t="shared" si="25"/>
        <v>0.4666666666666667</v>
      </c>
      <c r="T35" s="406">
        <f t="shared" si="7"/>
        <v>0.10907446808510639</v>
      </c>
      <c r="U35" s="412">
        <f t="shared" si="19"/>
        <v>20603.52</v>
      </c>
      <c r="V35" s="408" t="s">
        <v>1165</v>
      </c>
      <c r="W35" s="409" t="str">
        <f t="shared" si="17"/>
        <v>A2</v>
      </c>
      <c r="X35" s="410">
        <f t="shared" si="26"/>
        <v>30</v>
      </c>
      <c r="Y35" s="411">
        <f t="shared" si="18"/>
        <v>300</v>
      </c>
      <c r="AA35" s="506">
        <f t="shared" si="8"/>
        <v>10000</v>
      </c>
      <c r="AB35" s="507">
        <f t="shared" si="9"/>
        <v>18.4</v>
      </c>
      <c r="AC35" s="508">
        <f t="shared" si="10"/>
        <v>0.4</v>
      </c>
      <c r="AD35" s="509" t="e">
        <f t="shared" si="11"/>
        <v>#NAME?</v>
      </c>
      <c r="AE35" s="510">
        <f t="shared" si="12"/>
        <v>30000</v>
      </c>
      <c r="AF35" s="511">
        <f t="shared" si="13"/>
        <v>3.25</v>
      </c>
      <c r="AG35" s="512">
        <f t="shared" si="14"/>
        <v>0.09</v>
      </c>
      <c r="AH35" s="513" t="e">
        <f t="shared" si="15"/>
        <v>#NAME?</v>
      </c>
      <c r="AI35" s="514">
        <f t="shared" si="16"/>
      </c>
    </row>
    <row r="36" spans="2:35" ht="42.75">
      <c r="B36" s="34" t="s">
        <v>74</v>
      </c>
      <c r="C36" s="333"/>
      <c r="D36" s="264"/>
      <c r="E36" s="327"/>
      <c r="F36" s="355" t="str">
        <f>IF(ISBLANK(D36),CHAR(32),VLOOKUP(D36,Existing,2,FALSE))</f>
        <v> </v>
      </c>
      <c r="G36" s="356" t="str">
        <f>IF(ISBLANK(D36),CHAR(32),VLOOKUP(D36,Existing,3,FALSE))</f>
        <v> </v>
      </c>
      <c r="H36" s="268" t="str">
        <f>IF(OR(ISBLANK(D36),ISBLANK(E36),ISBLANK(F36)),CHAR(32),E36*F36)</f>
        <v> </v>
      </c>
      <c r="I36" s="274"/>
      <c r="J36" s="271"/>
      <c r="K36" s="335"/>
      <c r="L36" s="260" t="s">
        <v>654</v>
      </c>
      <c r="M36" s="337">
        <f>M35</f>
        <v>10</v>
      </c>
      <c r="N36" s="401"/>
      <c r="O36" s="355"/>
      <c r="P36" s="402">
        <f>IF(OR(ISBLANK(L36),ISBLANK(M36)),CHAR(32),N36*M36)</f>
        <v>0</v>
      </c>
      <c r="Q36" s="403">
        <f>IF(OR(ISBLANK(L36),ISBLANK(M36)),CHAR(32),K36*M36*N36/1000)</f>
        <v>0</v>
      </c>
      <c r="R36" s="404" t="str">
        <f>IF(OR(ISBLANK(E36),ISBLANK(M36),ISBLANK(C36)),CHAR(32),(I36-Q36))</f>
        <v> </v>
      </c>
      <c r="S36" s="405" t="str">
        <f>IF(OR(ISBLANK(F36),ISBLANK(N36),ISBLANK(D36)),CHAR(32),(H36-P36)/H36)</f>
        <v> </v>
      </c>
      <c r="T36" s="406" t="str">
        <f t="shared" si="7"/>
        <v> </v>
      </c>
      <c r="U36" s="412" t="str">
        <f t="shared" si="19"/>
        <v> </v>
      </c>
      <c r="V36" s="408" t="s">
        <v>1165</v>
      </c>
      <c r="W36" s="409" t="str">
        <f t="shared" si="17"/>
        <v>J1</v>
      </c>
      <c r="X36" s="410">
        <f t="shared" si="26"/>
        <v>35</v>
      </c>
      <c r="Y36" s="411">
        <f t="shared" si="18"/>
        <v>350</v>
      </c>
      <c r="AA36" s="506" t="str">
        <f t="shared" si="8"/>
        <v> </v>
      </c>
      <c r="AB36" s="507" t="str">
        <f t="shared" si="9"/>
        <v> </v>
      </c>
      <c r="AC36" s="508" t="str">
        <f t="shared" si="10"/>
        <v> </v>
      </c>
      <c r="AD36" s="509" t="e">
        <f t="shared" si="11"/>
        <v>#NAME?</v>
      </c>
      <c r="AE36" s="510" t="str">
        <f t="shared" si="12"/>
        <v>No Default</v>
      </c>
      <c r="AF36" s="511" t="str">
        <f t="shared" si="13"/>
        <v>No Default</v>
      </c>
      <c r="AG36" s="512" t="str">
        <f t="shared" si="14"/>
        <v>No Default</v>
      </c>
      <c r="AH36" s="513" t="e">
        <f t="shared" si="15"/>
        <v>#NAME?</v>
      </c>
      <c r="AI36" s="514">
        <f t="shared" si="16"/>
      </c>
    </row>
    <row r="37" spans="2:35" ht="42.75">
      <c r="B37" s="34" t="s">
        <v>75</v>
      </c>
      <c r="C37" s="333">
        <v>8760</v>
      </c>
      <c r="D37" s="264" t="s">
        <v>139</v>
      </c>
      <c r="E37" s="327">
        <v>10</v>
      </c>
      <c r="F37" s="355">
        <f t="shared" si="27"/>
        <v>295</v>
      </c>
      <c r="G37" s="356">
        <f t="shared" si="28"/>
        <v>11300</v>
      </c>
      <c r="H37" s="268">
        <f t="shared" si="29"/>
        <v>2950</v>
      </c>
      <c r="I37" s="274">
        <f t="shared" si="20"/>
        <v>25842</v>
      </c>
      <c r="J37" s="271" t="str">
        <f t="shared" si="30"/>
        <v>T5HO Fluorescent, 3-F54T5HO 54W, 1-Elec</v>
      </c>
      <c r="K37" s="335">
        <v>2100</v>
      </c>
      <c r="L37" s="260" t="s">
        <v>855</v>
      </c>
      <c r="M37" s="337">
        <f t="shared" si="4"/>
        <v>10</v>
      </c>
      <c r="N37" s="401">
        <f t="shared" si="31"/>
        <v>114</v>
      </c>
      <c r="O37" s="355">
        <f t="shared" si="32"/>
        <v>10366.4</v>
      </c>
      <c r="P37" s="402">
        <f t="shared" si="22"/>
        <v>1140</v>
      </c>
      <c r="Q37" s="403">
        <f t="shared" si="23"/>
        <v>2394</v>
      </c>
      <c r="R37" s="404">
        <f t="shared" si="24"/>
        <v>23448</v>
      </c>
      <c r="S37" s="405">
        <f t="shared" si="25"/>
        <v>0.6135593220338983</v>
      </c>
      <c r="T37" s="406">
        <f t="shared" si="7"/>
        <v>-0.08261946902654867</v>
      </c>
      <c r="U37" s="412">
        <f t="shared" si="19"/>
        <v>20971.44</v>
      </c>
      <c r="V37" s="408" t="s">
        <v>1165</v>
      </c>
      <c r="W37" s="409" t="str">
        <f t="shared" si="17"/>
        <v>A2</v>
      </c>
      <c r="X37" s="410">
        <f t="shared" si="26"/>
        <v>30</v>
      </c>
      <c r="Y37" s="411">
        <f t="shared" si="18"/>
        <v>300</v>
      </c>
      <c r="AA37" s="506">
        <f t="shared" si="8"/>
        <v>10000</v>
      </c>
      <c r="AB37" s="507">
        <f t="shared" si="9"/>
        <v>18.4</v>
      </c>
      <c r="AC37" s="508">
        <f t="shared" si="10"/>
        <v>0.4</v>
      </c>
      <c r="AD37" s="509" t="e">
        <f t="shared" si="11"/>
        <v>#NAME?</v>
      </c>
      <c r="AE37" s="510">
        <f t="shared" si="12"/>
        <v>30000</v>
      </c>
      <c r="AF37" s="511">
        <f t="shared" si="13"/>
        <v>3.25</v>
      </c>
      <c r="AG37" s="512">
        <f t="shared" si="14"/>
        <v>0.09</v>
      </c>
      <c r="AH37" s="513" t="e">
        <f t="shared" si="15"/>
        <v>#NAME?</v>
      </c>
      <c r="AI37" s="514">
        <f t="shared" si="16"/>
      </c>
    </row>
    <row r="38" spans="2:35" ht="42.75">
      <c r="B38" s="34" t="s">
        <v>76</v>
      </c>
      <c r="C38" s="333"/>
      <c r="D38" s="264"/>
      <c r="E38" s="327"/>
      <c r="F38" s="355" t="str">
        <f t="shared" si="27"/>
        <v> </v>
      </c>
      <c r="G38" s="356" t="str">
        <f t="shared" si="28"/>
        <v> </v>
      </c>
      <c r="H38" s="268" t="str">
        <f t="shared" si="29"/>
        <v> </v>
      </c>
      <c r="I38" s="274"/>
      <c r="J38" s="271"/>
      <c r="K38" s="335"/>
      <c r="L38" s="260" t="s">
        <v>654</v>
      </c>
      <c r="M38" s="337">
        <f>M37</f>
        <v>10</v>
      </c>
      <c r="N38" s="401"/>
      <c r="O38" s="355"/>
      <c r="P38" s="402">
        <f t="shared" si="22"/>
        <v>0</v>
      </c>
      <c r="Q38" s="403">
        <f t="shared" si="23"/>
        <v>0</v>
      </c>
      <c r="R38" s="404" t="str">
        <f t="shared" si="24"/>
        <v> </v>
      </c>
      <c r="S38" s="405" t="str">
        <f t="shared" si="25"/>
        <v> </v>
      </c>
      <c r="T38" s="406" t="str">
        <f t="shared" si="7"/>
        <v> </v>
      </c>
      <c r="U38" s="412" t="str">
        <f t="shared" si="19"/>
        <v> </v>
      </c>
      <c r="V38" s="408" t="s">
        <v>1165</v>
      </c>
      <c r="W38" s="409" t="str">
        <f t="shared" si="17"/>
        <v>J1</v>
      </c>
      <c r="X38" s="410">
        <f t="shared" si="26"/>
        <v>35</v>
      </c>
      <c r="Y38" s="411">
        <f t="shared" si="18"/>
        <v>350</v>
      </c>
      <c r="AA38" s="506" t="str">
        <f t="shared" si="8"/>
        <v> </v>
      </c>
      <c r="AB38" s="507" t="str">
        <f t="shared" si="9"/>
        <v> </v>
      </c>
      <c r="AC38" s="508" t="str">
        <f t="shared" si="10"/>
        <v> </v>
      </c>
      <c r="AD38" s="509" t="e">
        <f t="shared" si="11"/>
        <v>#NAME?</v>
      </c>
      <c r="AE38" s="510" t="str">
        <f t="shared" si="12"/>
        <v>No Default</v>
      </c>
      <c r="AF38" s="511" t="str">
        <f t="shared" si="13"/>
        <v>No Default</v>
      </c>
      <c r="AG38" s="512" t="str">
        <f t="shared" si="14"/>
        <v>No Default</v>
      </c>
      <c r="AH38" s="513" t="e">
        <f t="shared" si="15"/>
        <v>#NAME?</v>
      </c>
      <c r="AI38" s="514">
        <f t="shared" si="16"/>
      </c>
    </row>
    <row r="39" spans="2:35" ht="42.75">
      <c r="B39" s="34" t="s">
        <v>77</v>
      </c>
      <c r="C39" s="333">
        <v>8760</v>
      </c>
      <c r="D39" s="264" t="s">
        <v>140</v>
      </c>
      <c r="E39" s="327">
        <v>20</v>
      </c>
      <c r="F39" s="355">
        <f aca="true" t="shared" si="33" ref="F39:F50">IF(ISBLANK(D39),CHAR(32),VLOOKUP(D39,Existing,2,FALSE))</f>
        <v>458</v>
      </c>
      <c r="G39" s="356">
        <f aca="true" t="shared" si="34" ref="G39:G50">IF(ISBLANK(D39),CHAR(32),VLOOKUP(D39,Existing,3,FALSE))</f>
        <v>26000</v>
      </c>
      <c r="H39" s="268">
        <f aca="true" t="shared" si="35" ref="H39:H50">IF(OR(ISBLANK(D39),ISBLANK(E39),ISBLANK(F39)),CHAR(32),E39*F39)</f>
        <v>9160</v>
      </c>
      <c r="I39" s="274">
        <f t="shared" si="20"/>
        <v>80241.6</v>
      </c>
      <c r="J39" s="271" t="str">
        <f aca="true" t="shared" si="36" ref="J39:J49">VLOOKUP(D39,Existing,4,FALSE)</f>
        <v>T5HO Fluorescent, 4-F54T5HO 54W, 1-Elec</v>
      </c>
      <c r="K39" s="335">
        <v>2100</v>
      </c>
      <c r="L39" s="260" t="s">
        <v>384</v>
      </c>
      <c r="M39" s="337">
        <f t="shared" si="4"/>
        <v>20</v>
      </c>
      <c r="N39" s="401">
        <f aca="true" t="shared" si="37" ref="N39:N49">IF(OR(ISBLANK(L39),ISBLANK(M39)),CHAR(32),VLOOKUP(L39,Proposed,2,FALSE))</f>
        <v>255</v>
      </c>
      <c r="O39" s="355">
        <f aca="true" t="shared" si="38" ref="O39:O49">IF(OR(ISBLANK(L39),ISBLANK(M39)),CHAR(32),VLOOKUP(L39,Proposed,3,FALSE))</f>
        <v>23324.399999999998</v>
      </c>
      <c r="P39" s="402">
        <f t="shared" si="22"/>
        <v>5100</v>
      </c>
      <c r="Q39" s="403">
        <f t="shared" si="23"/>
        <v>10710</v>
      </c>
      <c r="R39" s="404">
        <f t="shared" si="24"/>
        <v>69531.6</v>
      </c>
      <c r="S39" s="405">
        <f t="shared" si="25"/>
        <v>0.4432314410480349</v>
      </c>
      <c r="T39" s="406">
        <f t="shared" si="7"/>
        <v>-0.10290769230769242</v>
      </c>
      <c r="U39" s="412">
        <f t="shared" si="19"/>
        <v>93819.6</v>
      </c>
      <c r="V39" s="408" t="s">
        <v>1165</v>
      </c>
      <c r="W39" s="409" t="str">
        <f t="shared" si="17"/>
        <v>K2</v>
      </c>
      <c r="X39" s="410">
        <f t="shared" si="26"/>
        <v>40</v>
      </c>
      <c r="Y39" s="411">
        <f t="shared" si="18"/>
        <v>800</v>
      </c>
      <c r="AA39" s="506">
        <f t="shared" si="8"/>
        <v>10000</v>
      </c>
      <c r="AB39" s="507">
        <f t="shared" si="9"/>
        <v>18.4</v>
      </c>
      <c r="AC39" s="508">
        <f t="shared" si="10"/>
        <v>0.4</v>
      </c>
      <c r="AD39" s="509" t="e">
        <f t="shared" si="11"/>
        <v>#NAME?</v>
      </c>
      <c r="AE39" s="510">
        <f t="shared" si="12"/>
        <v>30000</v>
      </c>
      <c r="AF39" s="511">
        <f t="shared" si="13"/>
        <v>3.25</v>
      </c>
      <c r="AG39" s="512">
        <f t="shared" si="14"/>
        <v>0.09</v>
      </c>
      <c r="AH39" s="513" t="e">
        <f t="shared" si="15"/>
        <v>#NAME?</v>
      </c>
      <c r="AI39" s="514">
        <f t="shared" si="16"/>
      </c>
    </row>
    <row r="40" spans="2:35" ht="42.75">
      <c r="B40" s="34" t="s">
        <v>78</v>
      </c>
      <c r="C40" s="333"/>
      <c r="D40" s="264"/>
      <c r="E40" s="327"/>
      <c r="F40" s="355" t="str">
        <f>IF(ISBLANK(D40),CHAR(32),VLOOKUP(D40,Existing,2,FALSE))</f>
        <v> </v>
      </c>
      <c r="G40" s="356" t="str">
        <f>IF(ISBLANK(D40),CHAR(32),VLOOKUP(D40,Existing,3,FALSE))</f>
        <v> </v>
      </c>
      <c r="H40" s="268" t="str">
        <f>IF(OR(ISBLANK(D40),ISBLANK(E40),ISBLANK(F40)),CHAR(32),E40*F40)</f>
        <v> </v>
      </c>
      <c r="I40" s="274"/>
      <c r="J40" s="271"/>
      <c r="K40" s="335"/>
      <c r="L40" s="260" t="s">
        <v>428</v>
      </c>
      <c r="M40" s="337">
        <f>M39</f>
        <v>20</v>
      </c>
      <c r="N40" s="401"/>
      <c r="O40" s="355"/>
      <c r="P40" s="402">
        <f>IF(OR(ISBLANK(L40),ISBLANK(M40)),CHAR(32),N40*M40)</f>
        <v>0</v>
      </c>
      <c r="Q40" s="403">
        <f>IF(OR(ISBLANK(L40),ISBLANK(M40)),CHAR(32),K40*M40*N40/1000)</f>
        <v>0</v>
      </c>
      <c r="R40" s="404" t="str">
        <f>IF(OR(ISBLANK(E40),ISBLANK(M40),ISBLANK(C40)),CHAR(32),(I40-Q40))</f>
        <v> </v>
      </c>
      <c r="S40" s="405" t="str">
        <f>IF(OR(ISBLANK(F40),ISBLANK(N40),ISBLANK(D40)),CHAR(32),(H40-P40)/H40)</f>
        <v> </v>
      </c>
      <c r="T40" s="406" t="str">
        <f t="shared" si="7"/>
        <v> </v>
      </c>
      <c r="U40" s="412" t="str">
        <f t="shared" si="19"/>
        <v> </v>
      </c>
      <c r="V40" s="408" t="s">
        <v>1165</v>
      </c>
      <c r="W40" s="409" t="str">
        <f t="shared" si="17"/>
        <v>J2</v>
      </c>
      <c r="X40" s="410">
        <f t="shared" si="26"/>
        <v>45</v>
      </c>
      <c r="Y40" s="411">
        <f t="shared" si="18"/>
        <v>900</v>
      </c>
      <c r="AA40" s="506" t="str">
        <f t="shared" si="8"/>
        <v> </v>
      </c>
      <c r="AB40" s="507" t="str">
        <f t="shared" si="9"/>
        <v> </v>
      </c>
      <c r="AC40" s="508" t="str">
        <f t="shared" si="10"/>
        <v> </v>
      </c>
      <c r="AD40" s="509" t="e">
        <f t="shared" si="11"/>
        <v>#NAME?</v>
      </c>
      <c r="AE40" s="510" t="str">
        <f t="shared" si="12"/>
        <v>No Default</v>
      </c>
      <c r="AF40" s="511" t="str">
        <f t="shared" si="13"/>
        <v>No Default</v>
      </c>
      <c r="AG40" s="512" t="str">
        <f t="shared" si="14"/>
        <v>No Default</v>
      </c>
      <c r="AH40" s="513" t="e">
        <f t="shared" si="15"/>
        <v>#NAME?</v>
      </c>
      <c r="AI40" s="514">
        <f t="shared" si="16"/>
      </c>
    </row>
    <row r="41" spans="2:35" ht="42.75">
      <c r="B41" s="34" t="s">
        <v>79</v>
      </c>
      <c r="C41" s="333">
        <v>8760</v>
      </c>
      <c r="D41" s="264" t="s">
        <v>133</v>
      </c>
      <c r="E41" s="327">
        <v>5</v>
      </c>
      <c r="F41" s="355">
        <f t="shared" si="33"/>
        <v>1080</v>
      </c>
      <c r="G41" s="356">
        <f t="shared" si="34"/>
        <v>45000</v>
      </c>
      <c r="H41" s="268">
        <f t="shared" si="35"/>
        <v>5400</v>
      </c>
      <c r="I41" s="274">
        <f t="shared" si="20"/>
        <v>47304</v>
      </c>
      <c r="J41" s="271" t="str">
        <f t="shared" si="36"/>
        <v>MH Pulse Start, 1-PS 400W, 1-Elec</v>
      </c>
      <c r="K41" s="335">
        <v>2100</v>
      </c>
      <c r="L41" s="260" t="s">
        <v>925</v>
      </c>
      <c r="M41" s="337">
        <f t="shared" si="4"/>
        <v>5</v>
      </c>
      <c r="N41" s="401">
        <f t="shared" si="37"/>
        <v>352</v>
      </c>
      <c r="O41" s="355">
        <f t="shared" si="38"/>
        <v>28500</v>
      </c>
      <c r="P41" s="402">
        <f t="shared" si="22"/>
        <v>1760</v>
      </c>
      <c r="Q41" s="403">
        <f t="shared" si="23"/>
        <v>3696</v>
      </c>
      <c r="R41" s="404">
        <f t="shared" si="24"/>
        <v>43608</v>
      </c>
      <c r="S41" s="405">
        <f t="shared" si="25"/>
        <v>0.674074074074074</v>
      </c>
      <c r="T41" s="406">
        <f t="shared" si="7"/>
        <v>-0.36666666666666664</v>
      </c>
      <c r="U41" s="412">
        <f t="shared" si="19"/>
        <v>32376.96</v>
      </c>
      <c r="V41" s="408" t="s">
        <v>1165</v>
      </c>
      <c r="W41" s="409" t="str">
        <f t="shared" si="17"/>
        <v>H4</v>
      </c>
      <c r="X41" s="410">
        <f t="shared" si="26"/>
        <v>140</v>
      </c>
      <c r="Y41" s="411">
        <f t="shared" si="18"/>
        <v>700</v>
      </c>
      <c r="AA41" s="506">
        <f t="shared" si="8"/>
        <v>24000</v>
      </c>
      <c r="AB41" s="507">
        <f t="shared" si="9"/>
        <v>64.08</v>
      </c>
      <c r="AC41" s="508">
        <f t="shared" si="10"/>
        <v>0.4</v>
      </c>
      <c r="AD41" s="509" t="e">
        <f t="shared" si="11"/>
        <v>#NAME?</v>
      </c>
      <c r="AE41" s="510">
        <f t="shared" si="12"/>
        <v>20000</v>
      </c>
      <c r="AF41" s="511">
        <f t="shared" si="13"/>
        <v>8.22</v>
      </c>
      <c r="AG41" s="512">
        <f t="shared" si="14"/>
        <v>0.09</v>
      </c>
      <c r="AH41" s="513" t="e">
        <f t="shared" si="15"/>
        <v>#NAME?</v>
      </c>
      <c r="AI41" s="514">
        <f t="shared" si="16"/>
      </c>
    </row>
    <row r="42" spans="2:35" ht="42.75">
      <c r="B42" s="34" t="s">
        <v>78</v>
      </c>
      <c r="C42" s="333"/>
      <c r="D42" s="264"/>
      <c r="E42" s="327"/>
      <c r="F42" s="355" t="str">
        <f>IF(ISBLANK(D42),CHAR(32),VLOOKUP(D42,Existing,2,FALSE))</f>
        <v> </v>
      </c>
      <c r="G42" s="356" t="str">
        <f>IF(ISBLANK(D42),CHAR(32),VLOOKUP(D42,Existing,3,FALSE))</f>
        <v> </v>
      </c>
      <c r="H42" s="268" t="str">
        <f>IF(OR(ISBLANK(D42),ISBLANK(E42),ISBLANK(F42)),CHAR(32),E42*F42)</f>
        <v> </v>
      </c>
      <c r="I42" s="274"/>
      <c r="J42" s="271"/>
      <c r="K42" s="335"/>
      <c r="L42" s="260" t="s">
        <v>428</v>
      </c>
      <c r="M42" s="337">
        <f>M41</f>
        <v>5</v>
      </c>
      <c r="N42" s="401"/>
      <c r="O42" s="355"/>
      <c r="P42" s="402">
        <f>IF(OR(ISBLANK(L42),ISBLANK(M42)),CHAR(32),N42*M42)</f>
        <v>0</v>
      </c>
      <c r="Q42" s="403">
        <f>IF(OR(ISBLANK(L42),ISBLANK(M42)),CHAR(32),K42*M42*N42/1000)</f>
        <v>0</v>
      </c>
      <c r="R42" s="404" t="str">
        <f>IF(OR(ISBLANK(E42),ISBLANK(M42),ISBLANK(C42)),CHAR(32),(I42-Q42))</f>
        <v> </v>
      </c>
      <c r="S42" s="405" t="str">
        <f>IF(OR(ISBLANK(F42),ISBLANK(N42),ISBLANK(D42)),CHAR(32),(H42-P42)/H42)</f>
        <v> </v>
      </c>
      <c r="T42" s="406" t="str">
        <f t="shared" si="7"/>
        <v> </v>
      </c>
      <c r="U42" s="412" t="str">
        <f t="shared" si="19"/>
        <v> </v>
      </c>
      <c r="V42" s="408" t="s">
        <v>1165</v>
      </c>
      <c r="W42" s="409" t="str">
        <f t="shared" si="17"/>
        <v>J2</v>
      </c>
      <c r="X42" s="410">
        <f t="shared" si="26"/>
        <v>45</v>
      </c>
      <c r="Y42" s="411">
        <f t="shared" si="18"/>
        <v>225</v>
      </c>
      <c r="AA42" s="506" t="str">
        <f t="shared" si="8"/>
        <v> </v>
      </c>
      <c r="AB42" s="507" t="str">
        <f t="shared" si="9"/>
        <v> </v>
      </c>
      <c r="AC42" s="508" t="str">
        <f t="shared" si="10"/>
        <v> </v>
      </c>
      <c r="AD42" s="509" t="e">
        <f t="shared" si="11"/>
        <v>#NAME?</v>
      </c>
      <c r="AE42" s="510" t="str">
        <f t="shared" si="12"/>
        <v>No Default</v>
      </c>
      <c r="AF42" s="511" t="str">
        <f t="shared" si="13"/>
        <v>No Default</v>
      </c>
      <c r="AG42" s="512" t="str">
        <f t="shared" si="14"/>
        <v>No Default</v>
      </c>
      <c r="AH42" s="513" t="e">
        <f t="shared" si="15"/>
        <v>#NAME?</v>
      </c>
      <c r="AI42" s="514">
        <f t="shared" si="16"/>
      </c>
    </row>
    <row r="43" spans="2:35" ht="42.75">
      <c r="B43" s="34" t="s">
        <v>80</v>
      </c>
      <c r="C43" s="333">
        <v>4380</v>
      </c>
      <c r="D43" s="264" t="s">
        <v>132</v>
      </c>
      <c r="E43" s="327">
        <v>10</v>
      </c>
      <c r="F43" s="355">
        <f t="shared" si="33"/>
        <v>454</v>
      </c>
      <c r="G43" s="356">
        <f t="shared" si="34"/>
        <v>19100</v>
      </c>
      <c r="H43" s="268">
        <f t="shared" si="35"/>
        <v>4540</v>
      </c>
      <c r="I43" s="274">
        <f t="shared" si="20"/>
        <v>19885.2</v>
      </c>
      <c r="J43" s="271" t="str">
        <f t="shared" si="36"/>
        <v>T5HO Fluorescent, 4-F54T5HO 54W, 1-Elec</v>
      </c>
      <c r="K43" s="335">
        <f>C43</f>
        <v>4380</v>
      </c>
      <c r="L43" s="260" t="s">
        <v>1225</v>
      </c>
      <c r="M43" s="337">
        <f aca="true" t="shared" si="39" ref="M43:M49">E43</f>
        <v>10</v>
      </c>
      <c r="N43" s="401">
        <f t="shared" si="37"/>
        <v>342</v>
      </c>
      <c r="O43" s="355">
        <f t="shared" si="38"/>
        <v>24400</v>
      </c>
      <c r="P43" s="402">
        <f t="shared" si="22"/>
        <v>3420</v>
      </c>
      <c r="Q43" s="403">
        <f t="shared" si="23"/>
        <v>14979.6</v>
      </c>
      <c r="R43" s="404">
        <f t="shared" si="24"/>
        <v>4905.6</v>
      </c>
      <c r="S43" s="405">
        <f t="shared" si="25"/>
        <v>0.24669603524229075</v>
      </c>
      <c r="T43" s="406">
        <f t="shared" si="7"/>
        <v>0.2774869109947644</v>
      </c>
      <c r="U43" s="412">
        <f t="shared" si="19"/>
        <v>65610.648</v>
      </c>
      <c r="V43" s="408" t="s">
        <v>1165</v>
      </c>
      <c r="W43" s="409" t="str">
        <f t="shared" si="17"/>
        <v>I1</v>
      </c>
      <c r="X43" s="410">
        <f t="shared" si="26"/>
        <v>100</v>
      </c>
      <c r="Y43" s="411">
        <f t="shared" si="18"/>
        <v>1000</v>
      </c>
      <c r="AA43" s="506">
        <f t="shared" si="8"/>
        <v>24000</v>
      </c>
      <c r="AB43" s="507">
        <f t="shared" si="9"/>
        <v>18.34</v>
      </c>
      <c r="AC43" s="508">
        <f t="shared" si="10"/>
        <v>0.4</v>
      </c>
      <c r="AD43" s="509" t="e">
        <f t="shared" si="11"/>
        <v>#NAME?</v>
      </c>
      <c r="AE43" s="510">
        <f t="shared" si="12"/>
        <v>20000</v>
      </c>
      <c r="AF43" s="511">
        <f t="shared" si="13"/>
        <v>27.606382978723406</v>
      </c>
      <c r="AG43" s="512">
        <f t="shared" si="14"/>
        <v>0.4</v>
      </c>
      <c r="AH43" s="513" t="e">
        <f t="shared" si="15"/>
        <v>#NAME?</v>
      </c>
      <c r="AI43" s="514">
        <f t="shared" si="16"/>
      </c>
    </row>
    <row r="44" spans="2:35" ht="42.75">
      <c r="B44" s="34" t="s">
        <v>81</v>
      </c>
      <c r="C44" s="333">
        <v>8760</v>
      </c>
      <c r="D44" s="264" t="s">
        <v>834</v>
      </c>
      <c r="E44" s="327">
        <v>5</v>
      </c>
      <c r="F44" s="355">
        <f t="shared" si="33"/>
        <v>1080</v>
      </c>
      <c r="G44" s="356">
        <f t="shared" si="34"/>
        <v>78000</v>
      </c>
      <c r="H44" s="268">
        <f t="shared" si="35"/>
        <v>5400</v>
      </c>
      <c r="I44" s="274">
        <f t="shared" si="20"/>
        <v>47304</v>
      </c>
      <c r="J44" s="271" t="str">
        <f t="shared" si="36"/>
        <v>MH Pulse Start, 750W, 1-PS Mag</v>
      </c>
      <c r="K44" s="335">
        <f>C44</f>
        <v>8760</v>
      </c>
      <c r="L44" s="260" t="s">
        <v>1204</v>
      </c>
      <c r="M44" s="337">
        <f t="shared" si="39"/>
        <v>5</v>
      </c>
      <c r="N44" s="401">
        <f t="shared" si="37"/>
        <v>818</v>
      </c>
      <c r="O44" s="355">
        <f t="shared" si="38"/>
        <v>60000</v>
      </c>
      <c r="P44" s="402">
        <f t="shared" si="22"/>
        <v>4090</v>
      </c>
      <c r="Q44" s="403">
        <f t="shared" si="23"/>
        <v>35828.4</v>
      </c>
      <c r="R44" s="404">
        <f t="shared" si="24"/>
        <v>11475.599999999999</v>
      </c>
      <c r="S44" s="405">
        <f t="shared" si="25"/>
        <v>0.24259259259259258</v>
      </c>
      <c r="T44" s="406">
        <f t="shared" si="7"/>
        <v>-0.23076923076923078</v>
      </c>
      <c r="U44" s="412">
        <f t="shared" si="19"/>
        <v>313856.784</v>
      </c>
      <c r="V44" s="408" t="s">
        <v>1165</v>
      </c>
      <c r="W44" s="409" t="str">
        <f t="shared" si="17"/>
        <v>I2</v>
      </c>
      <c r="X44" s="410">
        <f t="shared" si="26"/>
        <v>150</v>
      </c>
      <c r="Y44" s="411">
        <f t="shared" si="18"/>
        <v>750</v>
      </c>
      <c r="AA44" s="506">
        <f t="shared" si="8"/>
        <v>10000</v>
      </c>
      <c r="AB44" s="507">
        <f t="shared" si="9"/>
        <v>41.41</v>
      </c>
      <c r="AC44" s="508">
        <f t="shared" si="10"/>
        <v>0.4</v>
      </c>
      <c r="AD44" s="509" t="e">
        <f t="shared" si="11"/>
        <v>#NAME?</v>
      </c>
      <c r="AE44" s="510">
        <f t="shared" si="12"/>
        <v>20000</v>
      </c>
      <c r="AF44" s="511">
        <f t="shared" si="13"/>
        <v>62.57446808510638</v>
      </c>
      <c r="AG44" s="512">
        <f t="shared" si="14"/>
        <v>0.4</v>
      </c>
      <c r="AH44" s="513" t="e">
        <f t="shared" si="15"/>
        <v>#NAME?</v>
      </c>
      <c r="AI44" s="514">
        <f t="shared" si="16"/>
      </c>
    </row>
    <row r="45" spans="2:35" ht="42.75">
      <c r="B45" s="34" t="s">
        <v>82</v>
      </c>
      <c r="C45" s="333">
        <v>4000</v>
      </c>
      <c r="D45" s="264" t="s">
        <v>977</v>
      </c>
      <c r="E45" s="327">
        <v>2</v>
      </c>
      <c r="F45" s="355">
        <f t="shared" si="33"/>
        <v>140</v>
      </c>
      <c r="G45" s="356">
        <f t="shared" si="34"/>
        <v>6715.94</v>
      </c>
      <c r="H45" s="268">
        <f t="shared" si="35"/>
        <v>280</v>
      </c>
      <c r="I45" s="274">
        <f t="shared" si="20"/>
        <v>1120</v>
      </c>
      <c r="J45" s="271" t="str">
        <f t="shared" si="36"/>
        <v>T8 High Performance, 2-F32T8HP 32W, 1-Elec HP HLO</v>
      </c>
      <c r="K45" s="335">
        <f>C45</f>
        <v>4000</v>
      </c>
      <c r="L45" s="260" t="s">
        <v>904</v>
      </c>
      <c r="M45" s="337">
        <f t="shared" si="39"/>
        <v>2</v>
      </c>
      <c r="N45" s="401">
        <f t="shared" si="37"/>
        <v>99</v>
      </c>
      <c r="O45" s="355">
        <f t="shared" si="38"/>
        <v>7380</v>
      </c>
      <c r="P45" s="402">
        <f t="shared" si="22"/>
        <v>198</v>
      </c>
      <c r="Q45" s="403">
        <f t="shared" si="23"/>
        <v>792</v>
      </c>
      <c r="R45" s="404">
        <f t="shared" si="24"/>
        <v>328</v>
      </c>
      <c r="S45" s="405">
        <f t="shared" si="25"/>
        <v>0.29285714285714287</v>
      </c>
      <c r="T45" s="406">
        <f t="shared" si="7"/>
        <v>0.09887819128818906</v>
      </c>
      <c r="U45" s="412">
        <f t="shared" si="19"/>
        <v>3168</v>
      </c>
      <c r="V45" s="408" t="s">
        <v>1165</v>
      </c>
      <c r="W45" s="409" t="str">
        <f t="shared" si="17"/>
        <v>B1</v>
      </c>
      <c r="X45" s="410">
        <f t="shared" si="26"/>
        <v>8</v>
      </c>
      <c r="Y45" s="411">
        <f t="shared" si="18"/>
        <v>16</v>
      </c>
      <c r="AA45" s="506">
        <f t="shared" si="8"/>
        <v>12000</v>
      </c>
      <c r="AB45" s="507">
        <f t="shared" si="9"/>
        <v>7.02</v>
      </c>
      <c r="AC45" s="508">
        <f t="shared" si="10"/>
        <v>0.09</v>
      </c>
      <c r="AD45" s="509" t="e">
        <f t="shared" si="11"/>
        <v>#NAME?</v>
      </c>
      <c r="AE45" s="510">
        <f t="shared" si="12"/>
        <v>24000</v>
      </c>
      <c r="AF45" s="511">
        <f t="shared" si="13"/>
        <v>2.5</v>
      </c>
      <c r="AG45" s="512">
        <f t="shared" si="14"/>
        <v>0.09</v>
      </c>
      <c r="AH45" s="513" t="e">
        <f t="shared" si="15"/>
        <v>#NAME?</v>
      </c>
      <c r="AI45" s="514">
        <f t="shared" si="16"/>
      </c>
    </row>
    <row r="46" spans="2:35" ht="42.75">
      <c r="B46" s="34" t="s">
        <v>83</v>
      </c>
      <c r="C46" s="333">
        <v>4000</v>
      </c>
      <c r="D46" s="264" t="s">
        <v>328</v>
      </c>
      <c r="E46" s="327">
        <v>10</v>
      </c>
      <c r="F46" s="355">
        <f t="shared" si="33"/>
        <v>252</v>
      </c>
      <c r="G46" s="356">
        <f t="shared" si="34"/>
        <v>13431.88</v>
      </c>
      <c r="H46" s="268">
        <f t="shared" si="35"/>
        <v>2520</v>
      </c>
      <c r="I46" s="274">
        <f t="shared" si="20"/>
        <v>10080</v>
      </c>
      <c r="J46" s="271" t="str">
        <f t="shared" si="36"/>
        <v>T8 Fluorescent, 4-F32T8 32W, 2-Elec HLO</v>
      </c>
      <c r="K46" s="335">
        <f>C46</f>
        <v>4000</v>
      </c>
      <c r="L46" s="260" t="s">
        <v>942</v>
      </c>
      <c r="M46" s="337">
        <f t="shared" si="39"/>
        <v>10</v>
      </c>
      <c r="N46" s="401">
        <f t="shared" si="37"/>
        <v>154</v>
      </c>
      <c r="O46" s="355">
        <f t="shared" si="38"/>
        <v>14136</v>
      </c>
      <c r="P46" s="402">
        <f t="shared" si="22"/>
        <v>1540</v>
      </c>
      <c r="Q46" s="403">
        <f t="shared" si="23"/>
        <v>6160</v>
      </c>
      <c r="R46" s="404">
        <f t="shared" si="24"/>
        <v>3920</v>
      </c>
      <c r="S46" s="405">
        <f t="shared" si="25"/>
        <v>0.3888888888888889</v>
      </c>
      <c r="T46" s="406">
        <f t="shared" si="7"/>
        <v>0.052421552306899794</v>
      </c>
      <c r="U46" s="412">
        <f t="shared" si="19"/>
        <v>24640</v>
      </c>
      <c r="V46" s="408" t="s">
        <v>1165</v>
      </c>
      <c r="W46" s="409" t="str">
        <f t="shared" si="17"/>
        <v>K2</v>
      </c>
      <c r="X46" s="410">
        <f t="shared" si="26"/>
        <v>40</v>
      </c>
      <c r="Y46" s="411">
        <f t="shared" si="18"/>
        <v>400</v>
      </c>
      <c r="AA46" s="506">
        <f t="shared" si="8"/>
        <v>12000</v>
      </c>
      <c r="AB46" s="507">
        <f t="shared" si="9"/>
        <v>7.02</v>
      </c>
      <c r="AC46" s="508">
        <f t="shared" si="10"/>
        <v>0.09</v>
      </c>
      <c r="AD46" s="509" t="e">
        <f t="shared" si="11"/>
        <v>#NAME?</v>
      </c>
      <c r="AE46" s="510">
        <f t="shared" si="12"/>
        <v>30000</v>
      </c>
      <c r="AF46" s="511">
        <f t="shared" si="13"/>
        <v>3.25</v>
      </c>
      <c r="AG46" s="512">
        <f t="shared" si="14"/>
        <v>0.09</v>
      </c>
      <c r="AH46" s="513" t="e">
        <f t="shared" si="15"/>
        <v>#NAME?</v>
      </c>
      <c r="AI46" s="514">
        <f t="shared" si="16"/>
      </c>
    </row>
    <row r="47" spans="2:35" ht="42.75">
      <c r="B47" s="34" t="s">
        <v>84</v>
      </c>
      <c r="C47" s="333">
        <v>8760</v>
      </c>
      <c r="D47" s="264" t="s">
        <v>1328</v>
      </c>
      <c r="E47" s="327">
        <v>15</v>
      </c>
      <c r="F47" s="355">
        <f t="shared" si="33"/>
        <v>230</v>
      </c>
      <c r="G47" s="356">
        <f t="shared" si="34"/>
        <v>9525.6</v>
      </c>
      <c r="H47" s="268">
        <f t="shared" si="35"/>
        <v>3450</v>
      </c>
      <c r="I47" s="274">
        <f t="shared" si="20"/>
        <v>30222</v>
      </c>
      <c r="J47" s="271" t="str">
        <f t="shared" si="36"/>
        <v>T8 Fluorescent, 1-F96T8 59W, 1-Elec</v>
      </c>
      <c r="K47" s="335">
        <v>2500</v>
      </c>
      <c r="L47" s="260" t="s">
        <v>972</v>
      </c>
      <c r="M47" s="337">
        <f t="shared" si="39"/>
        <v>15</v>
      </c>
      <c r="N47" s="401">
        <f t="shared" si="37"/>
        <v>118</v>
      </c>
      <c r="O47" s="355">
        <f t="shared" si="38"/>
        <v>9500</v>
      </c>
      <c r="P47" s="402">
        <f t="shared" si="22"/>
        <v>1770</v>
      </c>
      <c r="Q47" s="403">
        <f t="shared" si="23"/>
        <v>4425</v>
      </c>
      <c r="R47" s="404">
        <f t="shared" si="24"/>
        <v>25797</v>
      </c>
      <c r="S47" s="405">
        <f t="shared" si="25"/>
        <v>0.48695652173913045</v>
      </c>
      <c r="T47" s="406">
        <f t="shared" si="7"/>
        <v>-0.0026874947509868143</v>
      </c>
      <c r="U47" s="412">
        <f t="shared" si="19"/>
        <v>38763</v>
      </c>
      <c r="V47" s="408" t="s">
        <v>1165</v>
      </c>
      <c r="W47" s="409" t="str">
        <f t="shared" si="17"/>
        <v>L1</v>
      </c>
      <c r="X47" s="410">
        <f t="shared" si="26"/>
        <v>25</v>
      </c>
      <c r="Y47" s="411">
        <f t="shared" si="18"/>
        <v>375</v>
      </c>
      <c r="AA47" s="506">
        <f t="shared" si="8"/>
        <v>12000</v>
      </c>
      <c r="AB47" s="507">
        <f t="shared" si="9"/>
        <v>11.58</v>
      </c>
      <c r="AC47" s="508">
        <f t="shared" si="10"/>
        <v>0.09</v>
      </c>
      <c r="AD47" s="509" t="e">
        <f t="shared" si="11"/>
        <v>#NAME?</v>
      </c>
      <c r="AE47" s="510">
        <f t="shared" si="12"/>
        <v>20000</v>
      </c>
      <c r="AF47" s="511">
        <f t="shared" si="13"/>
        <v>8.22</v>
      </c>
      <c r="AG47" s="512">
        <f t="shared" si="14"/>
        <v>0.09</v>
      </c>
      <c r="AH47" s="513" t="e">
        <f t="shared" si="15"/>
        <v>#NAME?</v>
      </c>
      <c r="AI47" s="514">
        <f t="shared" si="16"/>
      </c>
    </row>
    <row r="48" spans="2:35" ht="42.75">
      <c r="B48" s="34" t="s">
        <v>76</v>
      </c>
      <c r="C48" s="333"/>
      <c r="D48" s="264"/>
      <c r="E48" s="327"/>
      <c r="F48" s="355" t="str">
        <f t="shared" si="33"/>
        <v> </v>
      </c>
      <c r="G48" s="356" t="str">
        <f t="shared" si="34"/>
        <v> </v>
      </c>
      <c r="H48" s="268" t="str">
        <f t="shared" si="35"/>
        <v> </v>
      </c>
      <c r="I48" s="274"/>
      <c r="J48" s="271"/>
      <c r="K48" s="335"/>
      <c r="L48" s="260" t="s">
        <v>654</v>
      </c>
      <c r="M48" s="337">
        <f>M47</f>
        <v>15</v>
      </c>
      <c r="N48" s="401"/>
      <c r="O48" s="355"/>
      <c r="P48" s="402">
        <f t="shared" si="22"/>
        <v>0</v>
      </c>
      <c r="Q48" s="403">
        <f t="shared" si="23"/>
        <v>0</v>
      </c>
      <c r="R48" s="404" t="str">
        <f t="shared" si="24"/>
        <v> </v>
      </c>
      <c r="S48" s="405" t="str">
        <f t="shared" si="25"/>
        <v> </v>
      </c>
      <c r="T48" s="406" t="str">
        <f t="shared" si="7"/>
        <v> </v>
      </c>
      <c r="U48" s="412" t="str">
        <f t="shared" si="19"/>
        <v> </v>
      </c>
      <c r="V48" s="408" t="s">
        <v>1165</v>
      </c>
      <c r="W48" s="409" t="str">
        <f t="shared" si="17"/>
        <v>J1</v>
      </c>
      <c r="X48" s="410">
        <f t="shared" si="26"/>
        <v>35</v>
      </c>
      <c r="Y48" s="411">
        <f t="shared" si="18"/>
        <v>525</v>
      </c>
      <c r="AA48" s="506" t="str">
        <f t="shared" si="8"/>
        <v> </v>
      </c>
      <c r="AB48" s="507" t="str">
        <f t="shared" si="9"/>
        <v> </v>
      </c>
      <c r="AC48" s="508" t="str">
        <f t="shared" si="10"/>
        <v> </v>
      </c>
      <c r="AD48" s="509" t="e">
        <f t="shared" si="11"/>
        <v>#NAME?</v>
      </c>
      <c r="AE48" s="510" t="str">
        <f t="shared" si="12"/>
        <v>No Default</v>
      </c>
      <c r="AF48" s="511" t="str">
        <f t="shared" si="13"/>
        <v>No Default</v>
      </c>
      <c r="AG48" s="512" t="str">
        <f t="shared" si="14"/>
        <v>No Default</v>
      </c>
      <c r="AH48" s="513" t="e">
        <f t="shared" si="15"/>
        <v>#NAME?</v>
      </c>
      <c r="AI48" s="514">
        <f t="shared" si="16"/>
      </c>
    </row>
    <row r="49" spans="2:35" ht="42.75">
      <c r="B49" s="34" t="s">
        <v>85</v>
      </c>
      <c r="C49" s="333">
        <v>8760</v>
      </c>
      <c r="D49" s="264" t="s">
        <v>330</v>
      </c>
      <c r="E49" s="327">
        <v>20</v>
      </c>
      <c r="F49" s="355">
        <f t="shared" si="33"/>
        <v>440</v>
      </c>
      <c r="G49" s="356">
        <f t="shared" si="34"/>
        <v>19051.2</v>
      </c>
      <c r="H49" s="268">
        <f t="shared" si="35"/>
        <v>8800</v>
      </c>
      <c r="I49" s="274">
        <f t="shared" si="20"/>
        <v>77088</v>
      </c>
      <c r="J49" s="271" t="str">
        <f t="shared" si="36"/>
        <v>T8 Fluorescent, 2-F96T8HO 86W, 1-Elec</v>
      </c>
      <c r="K49" s="335">
        <v>2500</v>
      </c>
      <c r="L49" s="260" t="s">
        <v>973</v>
      </c>
      <c r="M49" s="337">
        <f t="shared" si="39"/>
        <v>20</v>
      </c>
      <c r="N49" s="401">
        <f t="shared" si="37"/>
        <v>234</v>
      </c>
      <c r="O49" s="355">
        <f t="shared" si="38"/>
        <v>19000</v>
      </c>
      <c r="P49" s="402">
        <f t="shared" si="22"/>
        <v>4680</v>
      </c>
      <c r="Q49" s="403">
        <f t="shared" si="23"/>
        <v>11700</v>
      </c>
      <c r="R49" s="404">
        <f t="shared" si="24"/>
        <v>65388</v>
      </c>
      <c r="S49" s="405">
        <f t="shared" si="25"/>
        <v>0.4681818181818182</v>
      </c>
      <c r="T49" s="406">
        <f t="shared" si="7"/>
        <v>-0.0026874947509868143</v>
      </c>
      <c r="U49" s="412">
        <f t="shared" si="19"/>
        <v>102492</v>
      </c>
      <c r="V49" s="408" t="s">
        <v>1165</v>
      </c>
      <c r="W49" s="409" t="str">
        <f t="shared" si="17"/>
        <v>L2</v>
      </c>
      <c r="X49" s="410">
        <f t="shared" si="26"/>
        <v>50</v>
      </c>
      <c r="Y49" s="411">
        <f t="shared" si="18"/>
        <v>1000</v>
      </c>
      <c r="AA49" s="506">
        <f t="shared" si="8"/>
        <v>12000</v>
      </c>
      <c r="AB49" s="507">
        <f t="shared" si="9"/>
        <v>11.58</v>
      </c>
      <c r="AC49" s="508">
        <f t="shared" si="10"/>
        <v>0.09</v>
      </c>
      <c r="AD49" s="508"/>
      <c r="AE49" s="510">
        <f t="shared" si="12"/>
        <v>20000</v>
      </c>
      <c r="AF49" s="511">
        <f t="shared" si="13"/>
        <v>8.22</v>
      </c>
      <c r="AG49" s="512">
        <f t="shared" si="14"/>
        <v>0.09</v>
      </c>
      <c r="AH49" s="513" t="e">
        <f t="shared" si="15"/>
        <v>#NAME?</v>
      </c>
      <c r="AI49" s="514">
        <f t="shared" si="16"/>
      </c>
    </row>
    <row r="50" spans="2:35" ht="42.75">
      <c r="B50" s="34" t="s">
        <v>78</v>
      </c>
      <c r="C50" s="333"/>
      <c r="D50" s="264"/>
      <c r="E50" s="327"/>
      <c r="F50" s="355" t="str">
        <f t="shared" si="33"/>
        <v> </v>
      </c>
      <c r="G50" s="356" t="str">
        <f t="shared" si="34"/>
        <v> </v>
      </c>
      <c r="H50" s="268" t="str">
        <f t="shared" si="35"/>
        <v> </v>
      </c>
      <c r="I50" s="274"/>
      <c r="J50" s="271"/>
      <c r="K50" s="335"/>
      <c r="L50" s="260" t="s">
        <v>428</v>
      </c>
      <c r="M50" s="337">
        <f>M49</f>
        <v>20</v>
      </c>
      <c r="N50" s="401"/>
      <c r="O50" s="355"/>
      <c r="P50" s="402">
        <f t="shared" si="22"/>
        <v>0</v>
      </c>
      <c r="Q50" s="403">
        <f t="shared" si="23"/>
        <v>0</v>
      </c>
      <c r="R50" s="404" t="str">
        <f t="shared" si="24"/>
        <v> </v>
      </c>
      <c r="S50" s="405" t="str">
        <f t="shared" si="25"/>
        <v> </v>
      </c>
      <c r="T50" s="406" t="str">
        <f t="shared" si="7"/>
        <v> </v>
      </c>
      <c r="U50" s="412" t="str">
        <f t="shared" si="19"/>
        <v> </v>
      </c>
      <c r="V50" s="408" t="s">
        <v>1165</v>
      </c>
      <c r="W50" s="409" t="str">
        <f t="shared" si="17"/>
        <v>J2</v>
      </c>
      <c r="X50" s="410">
        <f t="shared" si="26"/>
        <v>45</v>
      </c>
      <c r="Y50" s="411">
        <f t="shared" si="18"/>
        <v>900</v>
      </c>
      <c r="AA50" s="506" t="str">
        <f>IF(ISBLANK(D50),CHAR(32),VLOOKUP(D50,Existing,16,FALSE))</f>
        <v> </v>
      </c>
      <c r="AB50" s="507" t="str">
        <f>IF(ISBLANK(D50),CHAR(32),VLOOKUP(D50,Existing,17,FALSE))</f>
        <v> </v>
      </c>
      <c r="AC50" s="508" t="str">
        <f>IF(ISBLANK(D50),CHAR(32),VLOOKUP(D50,Existing,18,FALSE))</f>
        <v> </v>
      </c>
      <c r="AD50" s="508"/>
      <c r="AE50" s="510" t="str">
        <f>IF(OR(ISBLANK(L50),ISBLANK(M50)),CHAR(32),VLOOKUP(L50,Proposed,16,FALSE))</f>
        <v>No Default</v>
      </c>
      <c r="AF50" s="511" t="str">
        <f>IF(OR(ISBLANK(L50),ISBLANK(M50)),CHAR(32),VLOOKUP(L50,Proposed,17,FALSE))</f>
        <v>No Default</v>
      </c>
      <c r="AG50" s="512" t="str">
        <f>IF(OR(ISBLANK(L50),ISBLANK(M50)),CHAR(32),VLOOKUP(L50,Proposed,18,FALSE))</f>
        <v>No Default</v>
      </c>
      <c r="AH50" s="513" t="e">
        <f>dfuncPV(M50,K50,AE50,AF50,AG50,$AB$15,$AB$13,$AB$14)</f>
        <v>#NAME?</v>
      </c>
      <c r="AI50" s="514">
        <f>IF(OR(ISERROR(AD50),ISERROR(AH50)),"",AH50-AD50)</f>
      </c>
    </row>
    <row r="51" spans="2:35" ht="42.75">
      <c r="B51" s="34" t="s">
        <v>957</v>
      </c>
      <c r="C51" s="333">
        <v>8760</v>
      </c>
      <c r="D51" s="264" t="s">
        <v>330</v>
      </c>
      <c r="E51" s="327">
        <v>2</v>
      </c>
      <c r="F51" s="355">
        <f>IF(ISBLANK(D51),CHAR(32),VLOOKUP(D51,Existing,2,FALSE))</f>
        <v>440</v>
      </c>
      <c r="G51" s="356">
        <f>IF(ISBLANK(D51),CHAR(32),VLOOKUP(D51,Existing,3,FALSE))</f>
        <v>19051.2</v>
      </c>
      <c r="H51" s="268">
        <f>IF(OR(ISBLANK(D51),ISBLANK(E51),ISBLANK(F51)),CHAR(32),E51*F51)</f>
        <v>880</v>
      </c>
      <c r="I51" s="274">
        <f>C51*E51*F51/1000</f>
        <v>7708.8</v>
      </c>
      <c r="J51" s="271" t="str">
        <f>VLOOKUP(D51,Existing,4,FALSE)</f>
        <v>T8 Fluorescent, 2-F96T8HO 86W, 1-Elec</v>
      </c>
      <c r="K51" s="335">
        <v>0</v>
      </c>
      <c r="L51" s="260" t="s">
        <v>1221</v>
      </c>
      <c r="M51" s="337">
        <f>E51</f>
        <v>2</v>
      </c>
      <c r="N51" s="401">
        <f>IF(OR(ISBLANK(L51),ISBLANK(M51)),CHAR(32),VLOOKUP(L51,Proposed,2,FALSE))</f>
        <v>0</v>
      </c>
      <c r="O51" s="355">
        <f>IF(OR(ISBLANK(L51),ISBLANK(M51)),CHAR(32),VLOOKUP(L51,Proposed,3,FALSE))</f>
        <v>0</v>
      </c>
      <c r="P51" s="402">
        <f>IF(OR(ISBLANK(L51),ISBLANK(M51)),CHAR(32),N51*M51)</f>
        <v>0</v>
      </c>
      <c r="Q51" s="403">
        <f>IF(OR(ISBLANK(L51),ISBLANK(M51)),CHAR(32),K51*M51*N51/1000)</f>
        <v>0</v>
      </c>
      <c r="R51" s="404">
        <f>IF(OR(ISBLANK(E51),ISBLANK(M51),ISBLANK(C51)),CHAR(32),(I51-Q51))</f>
        <v>7708.8</v>
      </c>
      <c r="S51" s="405">
        <f>IF(OR(ISBLANK(F51),ISBLANK(N51),ISBLANK(D51)),CHAR(32),(H51-P51)/H51)</f>
        <v>1</v>
      </c>
      <c r="T51" s="406">
        <f>IF(OR(ISBLANK(E51),ISBLANK(M51),ISBLANK(C51)),CHAR(32),((M51*O51)-(E51*G51))/(E51*G51))</f>
        <v>-1</v>
      </c>
      <c r="U51" s="412">
        <f>IF(AND(ISNUMBER(Q51),ISNUMBER(C51)),Q51*C51/1000,CHAR(32))</f>
        <v>0</v>
      </c>
      <c r="V51" s="408" t="s">
        <v>1165</v>
      </c>
      <c r="W51" s="409" t="str">
        <f>IF(OR(ISBLANK(L51),ISBLANK(M51)),CHAR(32),VLOOKUP(L51,Proposed,4,FALSE))</f>
        <v>N/A</v>
      </c>
      <c r="X51" s="410">
        <f>IF(OR(ISBLANK(L51),ISBLANK(M51)),CHAR(32),VLOOKUP(L51,Proposed,5,FALSE))</f>
        <v>0</v>
      </c>
      <c r="Y51" s="411">
        <f>M51*X51</f>
        <v>0</v>
      </c>
      <c r="AA51" s="506">
        <f>IF(ISBLANK(D51),CHAR(32),VLOOKUP(D51,Existing,16,FALSE))</f>
        <v>12000</v>
      </c>
      <c r="AB51" s="507">
        <f>IF(ISBLANK(D51),CHAR(32),VLOOKUP(D51,Existing,17,FALSE))</f>
        <v>11.58</v>
      </c>
      <c r="AC51" s="508">
        <f>IF(ISBLANK(D51),CHAR(32),VLOOKUP(D51,Existing,18,FALSE))</f>
        <v>0.09</v>
      </c>
      <c r="AD51" s="508"/>
      <c r="AE51" s="510">
        <f>IF(OR(ISBLANK(L51),ISBLANK(M51)),CHAR(32),VLOOKUP(L51,Proposed,16,FALSE))</f>
        <v>0</v>
      </c>
      <c r="AF51" s="511">
        <f>IF(OR(ISBLANK(L51),ISBLANK(M51)),CHAR(32),VLOOKUP(L51,Proposed,17,FALSE))</f>
        <v>0</v>
      </c>
      <c r="AG51" s="512">
        <f>IF(OR(ISBLANK(L51),ISBLANK(M51)),CHAR(32),VLOOKUP(L51,Proposed,18,FALSE))</f>
        <v>0</v>
      </c>
      <c r="AH51" s="513" t="e">
        <f>dfuncPV(M51,K51,AE51,AF51,AG51,$AB$15,$AB$13,$AB$14)</f>
        <v>#NAME?</v>
      </c>
      <c r="AI51" s="514">
        <f>IF(OR(ISERROR(AD51),ISERROR(AH51)),"",AH51-AD51)</f>
      </c>
    </row>
    <row r="52" spans="2:35" ht="42.75">
      <c r="B52" s="34" t="s">
        <v>88</v>
      </c>
      <c r="C52" s="333">
        <v>4380</v>
      </c>
      <c r="D52" s="264" t="s">
        <v>122</v>
      </c>
      <c r="E52" s="327">
        <v>12</v>
      </c>
      <c r="F52" s="355"/>
      <c r="G52" s="356"/>
      <c r="H52" s="268"/>
      <c r="I52" s="274"/>
      <c r="J52" s="271" t="str">
        <f>VLOOKUP(D52,Existing,4,FALSE)</f>
        <v>None</v>
      </c>
      <c r="K52" s="335">
        <f>C52</f>
        <v>4380</v>
      </c>
      <c r="L52" s="260" t="s">
        <v>86</v>
      </c>
      <c r="M52" s="337">
        <f>E52</f>
        <v>12</v>
      </c>
      <c r="N52" s="401"/>
      <c r="O52" s="355"/>
      <c r="P52" s="402"/>
      <c r="Q52" s="403"/>
      <c r="R52" s="404"/>
      <c r="S52" s="405"/>
      <c r="T52" s="406"/>
      <c r="U52" s="412"/>
      <c r="V52" s="408"/>
      <c r="W52" s="409"/>
      <c r="X52" s="410"/>
      <c r="Y52" s="411"/>
      <c r="AA52" s="506">
        <f>IF(ISBLANK(D52),CHAR(32),VLOOKUP(D52,Existing,16,FALSE))</f>
        <v>24000</v>
      </c>
      <c r="AB52" s="507">
        <f>IF(ISBLANK(D52),CHAR(32),VLOOKUP(D52,Existing,17,FALSE))</f>
        <v>15.72</v>
      </c>
      <c r="AC52" s="508">
        <f>IF(ISBLANK(D52),CHAR(32),VLOOKUP(D52,Existing,18,FALSE))</f>
        <v>0.4</v>
      </c>
      <c r="AD52" s="508"/>
      <c r="AE52" s="510">
        <f>IF(OR(ISBLANK(L52),ISBLANK(M52)),CHAR(32),VLOOKUP(L52,Proposed,16,FALSE))</f>
        <v>0</v>
      </c>
      <c r="AF52" s="511">
        <f>IF(OR(ISBLANK(L52),ISBLANK(M52)),CHAR(32),VLOOKUP(L52,Proposed,17,FALSE))</f>
        <v>0</v>
      </c>
      <c r="AG52" s="512">
        <f>IF(OR(ISBLANK(L52),ISBLANK(M52)),CHAR(32),VLOOKUP(L52,Proposed,18,FALSE))</f>
        <v>0</v>
      </c>
      <c r="AH52" s="513" t="e">
        <f>dfuncPV(M52,K52,AE52,AF52,AG52,$AB$15,$AB$13,$AB$14)</f>
        <v>#NAME?</v>
      </c>
      <c r="AI52" s="514">
        <f>IF(OR(ISERROR(AD52),ISERROR(AH52)),"",AH52-AD52)</f>
      </c>
    </row>
    <row r="53" spans="2:38" ht="22.5" customHeight="1">
      <c r="B53" s="319"/>
      <c r="C53" s="334"/>
      <c r="D53" s="320"/>
      <c r="E53" s="328"/>
      <c r="F53" s="329"/>
      <c r="G53" s="330"/>
      <c r="H53" s="321"/>
      <c r="I53" s="322"/>
      <c r="J53" s="323"/>
      <c r="K53" s="336"/>
      <c r="L53" s="324"/>
      <c r="M53" s="337"/>
      <c r="N53" s="338"/>
      <c r="O53" s="329"/>
      <c r="P53" s="339"/>
      <c r="Q53" s="340"/>
      <c r="R53" s="341"/>
      <c r="S53" s="342"/>
      <c r="T53" s="343"/>
      <c r="U53" s="325"/>
      <c r="V53" s="325"/>
      <c r="W53" s="349"/>
      <c r="X53" s="350"/>
      <c r="Y53" s="351"/>
      <c r="AA53" s="515"/>
      <c r="AB53" s="515"/>
      <c r="AC53" s="515"/>
      <c r="AD53" s="515"/>
      <c r="AE53" s="516"/>
      <c r="AF53" s="516"/>
      <c r="AG53" s="516"/>
      <c r="AH53" s="516"/>
      <c r="AI53" s="494"/>
      <c r="AJ53" s="257"/>
      <c r="AK53" s="257"/>
      <c r="AL53" s="257"/>
    </row>
    <row r="54" spans="2:38" s="257" customFormat="1" ht="36.75" customHeight="1">
      <c r="B54" s="535" t="s">
        <v>954</v>
      </c>
      <c r="C54" s="536"/>
      <c r="D54" s="537"/>
      <c r="E54" s="538">
        <f>SUM(E20:E53)</f>
        <v>249</v>
      </c>
      <c r="F54" s="331" t="str">
        <f>IF(ISBLANK(D54),CHAR(32),VLOOKUP(D54,Existing,2,FALSE))</f>
        <v> </v>
      </c>
      <c r="G54" s="332" t="str">
        <f>IF(ISBLANK(D54),CHAR(32),VLOOKUP(D54,Existing,3,FALSE))</f>
        <v> </v>
      </c>
      <c r="H54" s="539">
        <f>SUM(H20:H53)</f>
        <v>57678</v>
      </c>
      <c r="I54" s="540">
        <f>SUM(I20:I53)</f>
        <v>420628.60000000003</v>
      </c>
      <c r="J54" s="323"/>
      <c r="K54" s="336"/>
      <c r="L54" s="541"/>
      <c r="M54" s="542">
        <f>SUM(M20:M53)</f>
        <v>326</v>
      </c>
      <c r="N54" s="344" t="str">
        <f>IF(OR(ISBLANK(L54),ISBLANK(M54)),CHAR(32),VLOOKUP(L54,Proposed,2,FALSE))</f>
        <v> </v>
      </c>
      <c r="O54" s="331" t="str">
        <f>IF(OR(ISBLANK(L54),ISBLANK(M54)),CHAR(32),VLOOKUP(L54,Proposed,3,FALSE))</f>
        <v> </v>
      </c>
      <c r="P54" s="345">
        <f>SUM(P20:P53)</f>
        <v>29789</v>
      </c>
      <c r="Q54" s="346">
        <f>SUM(Q20:Q53)</f>
        <v>113346.6</v>
      </c>
      <c r="R54" s="543">
        <f>SUM(R20:R53)</f>
        <v>307282</v>
      </c>
      <c r="S54" s="347" t="str">
        <f>IF(OR(ISBLANK(F54),ISBLANK(N54),ISBLANK(D54)),CHAR(32),(H54-Q54)/H54)</f>
        <v> </v>
      </c>
      <c r="T54" s="348" t="str">
        <f>IF(OR(ISBLANK(E54),ISBLANK(M54),ISBLANK(C54)),CHAR(32),((O54*M54)-(G54*E54))/(G54*E54))</f>
        <v> </v>
      </c>
      <c r="U54" s="326" t="str">
        <f>IF(OR(ISBLANK(F54),ISBLANK(N54),ISBLANK(D54)),CHAR(32),((P54*N54)-(H54*F54))/(H54*F54))</f>
        <v> </v>
      </c>
      <c r="V54" s="326" t="e">
        <f>IF(OR(ISBLANK(G54),ISBLANK(O54),ISBLANK(E54)),CHAR(32),((Q54*O54)-(I54*G54))/(I54*G54))</f>
        <v>#VALUE!</v>
      </c>
      <c r="W54" s="352"/>
      <c r="X54" s="353"/>
      <c r="Y54" s="354">
        <f>SUM(Y21:Y53)</f>
        <v>12686</v>
      </c>
      <c r="Z54" s="258"/>
      <c r="AA54" s="517"/>
      <c r="AB54" s="517"/>
      <c r="AC54" s="517"/>
      <c r="AD54" s="517"/>
      <c r="AE54" s="518"/>
      <c r="AF54" s="518"/>
      <c r="AG54" s="518"/>
      <c r="AH54" s="518"/>
      <c r="AI54" s="519">
        <f>SUM(AI21:AI53)</f>
        <v>0</v>
      </c>
      <c r="AJ54" s="2" t="s">
        <v>616</v>
      </c>
      <c r="AK54" s="2"/>
      <c r="AL54" s="2"/>
    </row>
    <row r="55" spans="2:22" ht="18.75" customHeight="1">
      <c r="B55" s="12"/>
      <c r="C55" s="13"/>
      <c r="D55" s="14"/>
      <c r="E55" s="13"/>
      <c r="F55" s="15"/>
      <c r="G55" s="15"/>
      <c r="H55" s="15"/>
      <c r="I55" s="15"/>
      <c r="J55" s="15"/>
      <c r="K55" s="15"/>
      <c r="L55" s="16"/>
      <c r="M55" s="17"/>
      <c r="N55" s="15"/>
      <c r="O55" s="15"/>
      <c r="P55" s="15"/>
      <c r="Q55" s="15"/>
      <c r="R55" s="15"/>
      <c r="S55" s="15"/>
      <c r="T55" s="18"/>
      <c r="U55" s="15"/>
      <c r="V55" s="11"/>
    </row>
    <row r="57" spans="3:18" ht="142.5" customHeight="1">
      <c r="C57" s="676" t="s">
        <v>971</v>
      </c>
      <c r="D57" s="677"/>
      <c r="E57" s="677"/>
      <c r="F57" s="677"/>
      <c r="G57" s="677"/>
      <c r="H57" s="677"/>
      <c r="I57" s="677"/>
      <c r="J57" s="677"/>
      <c r="K57" s="677"/>
      <c r="L57" s="677"/>
      <c r="M57" s="677"/>
      <c r="N57" s="677"/>
      <c r="O57" s="677"/>
      <c r="P57" s="677"/>
      <c r="Q57" s="677"/>
      <c r="R57" s="678"/>
    </row>
    <row r="58" spans="2:21" ht="45" customHeight="1">
      <c r="B58" s="266" t="s">
        <v>53</v>
      </c>
      <c r="C58" s="2"/>
      <c r="U58" s="19">
        <f>SUM(U21:U55)</f>
        <v>754373.612</v>
      </c>
    </row>
    <row r="59" spans="2:20" ht="14.25">
      <c r="B59" s="20"/>
      <c r="D59" s="20"/>
      <c r="E59" s="20"/>
      <c r="F59" s="20"/>
      <c r="G59" s="20"/>
      <c r="H59" s="20"/>
      <c r="I59" s="20"/>
      <c r="J59" s="20"/>
      <c r="K59" s="20"/>
      <c r="L59" s="20"/>
      <c r="M59" s="20"/>
      <c r="N59" s="20"/>
      <c r="O59" s="20"/>
      <c r="P59" s="20"/>
      <c r="Q59" s="20"/>
      <c r="R59" s="20"/>
      <c r="S59" s="20"/>
      <c r="T59" s="20"/>
    </row>
    <row r="60" spans="2:3" ht="19.5" customHeight="1">
      <c r="B60" s="2"/>
      <c r="C60" s="2"/>
    </row>
    <row r="61" spans="36:38" ht="15.75">
      <c r="AJ61" s="414"/>
      <c r="AK61" s="414"/>
      <c r="AL61" s="414"/>
    </row>
    <row r="62" spans="25:38" s="364" customFormat="1" ht="15.75">
      <c r="Y62" s="367"/>
      <c r="Z62" s="367"/>
      <c r="AA62" s="413"/>
      <c r="AB62" s="413"/>
      <c r="AC62" s="413"/>
      <c r="AD62" s="413"/>
      <c r="AE62" s="413"/>
      <c r="AF62" s="413"/>
      <c r="AG62" s="413"/>
      <c r="AH62" s="413"/>
      <c r="AI62" s="414"/>
      <c r="AJ62" s="414"/>
      <c r="AK62" s="414"/>
      <c r="AL62" s="414"/>
    </row>
    <row r="63" spans="25:38" s="364" customFormat="1" ht="15.75">
      <c r="Y63" s="367"/>
      <c r="Z63" s="367"/>
      <c r="AA63" s="413"/>
      <c r="AB63" s="413"/>
      <c r="AC63" s="413"/>
      <c r="AD63" s="413"/>
      <c r="AE63" s="413"/>
      <c r="AF63" s="413"/>
      <c r="AG63" s="413"/>
      <c r="AH63" s="413"/>
      <c r="AI63" s="414"/>
      <c r="AJ63" s="414"/>
      <c r="AK63" s="414"/>
      <c r="AL63" s="414"/>
    </row>
    <row r="64" spans="25:38" s="364" customFormat="1" ht="15.75">
      <c r="Y64" s="367"/>
      <c r="Z64" s="367"/>
      <c r="AA64" s="413"/>
      <c r="AB64" s="413"/>
      <c r="AC64" s="413"/>
      <c r="AD64" s="413"/>
      <c r="AE64" s="413"/>
      <c r="AF64" s="413"/>
      <c r="AG64" s="413"/>
      <c r="AH64" s="413"/>
      <c r="AI64" s="414"/>
      <c r="AJ64" s="414"/>
      <c r="AK64" s="414"/>
      <c r="AL64" s="414"/>
    </row>
    <row r="65" spans="25:38" s="364" customFormat="1" ht="15.75">
      <c r="Y65" s="367"/>
      <c r="Z65" s="367"/>
      <c r="AA65" s="413"/>
      <c r="AB65" s="413"/>
      <c r="AC65" s="413"/>
      <c r="AD65" s="413"/>
      <c r="AE65" s="413"/>
      <c r="AF65" s="413"/>
      <c r="AG65" s="413"/>
      <c r="AH65" s="413"/>
      <c r="AI65" s="414"/>
      <c r="AJ65" s="414"/>
      <c r="AK65" s="414"/>
      <c r="AL65" s="414"/>
    </row>
    <row r="66" spans="25:38" s="364" customFormat="1" ht="15.75">
      <c r="Y66" s="367"/>
      <c r="Z66" s="367"/>
      <c r="AA66" s="413"/>
      <c r="AB66" s="413"/>
      <c r="AC66" s="413"/>
      <c r="AD66" s="413"/>
      <c r="AE66" s="413"/>
      <c r="AF66" s="413"/>
      <c r="AG66" s="413"/>
      <c r="AH66" s="413"/>
      <c r="AI66" s="414"/>
      <c r="AJ66" s="2"/>
      <c r="AK66" s="2"/>
      <c r="AL66" s="2"/>
    </row>
    <row r="67" spans="36:38" ht="15.75">
      <c r="AJ67" s="414"/>
      <c r="AK67" s="414"/>
      <c r="AL67" s="414"/>
    </row>
    <row r="68" spans="25:38" s="364" customFormat="1" ht="15.75">
      <c r="Y68" s="367"/>
      <c r="Z68" s="367"/>
      <c r="AA68" s="413"/>
      <c r="AB68" s="413"/>
      <c r="AC68" s="413"/>
      <c r="AD68" s="413"/>
      <c r="AE68" s="413"/>
      <c r="AF68" s="413"/>
      <c r="AG68" s="413"/>
      <c r="AH68" s="413"/>
      <c r="AI68" s="414"/>
      <c r="AJ68" s="2"/>
      <c r="AK68" s="2"/>
      <c r="AL68" s="2"/>
    </row>
  </sheetData>
  <sheetProtection/>
  <mergeCells count="40">
    <mergeCell ref="D7:F7"/>
    <mergeCell ref="AA18:AD18"/>
    <mergeCell ref="AE18:AH18"/>
    <mergeCell ref="M14:O14"/>
    <mergeCell ref="AA9:AI9"/>
    <mergeCell ref="AA10:AI10"/>
    <mergeCell ref="AA11:AB12"/>
    <mergeCell ref="R18:T18"/>
    <mergeCell ref="M10:T10"/>
    <mergeCell ref="M11:T11"/>
    <mergeCell ref="M12:T12"/>
    <mergeCell ref="D9:F9"/>
    <mergeCell ref="D10:F10"/>
    <mergeCell ref="D4:F4"/>
    <mergeCell ref="M4:T4"/>
    <mergeCell ref="M5:T5"/>
    <mergeCell ref="M6:T6"/>
    <mergeCell ref="M7:T7"/>
    <mergeCell ref="R8:T8"/>
    <mergeCell ref="R9:T9"/>
    <mergeCell ref="C57:R57"/>
    <mergeCell ref="R14:T14"/>
    <mergeCell ref="B14:C16"/>
    <mergeCell ref="D8:F8"/>
    <mergeCell ref="E16:K16"/>
    <mergeCell ref="L16:O16"/>
    <mergeCell ref="R15:T15"/>
    <mergeCell ref="E11:F11"/>
    <mergeCell ref="E12:F12"/>
    <mergeCell ref="E14:K14"/>
    <mergeCell ref="M8:O8"/>
    <mergeCell ref="M9:O9"/>
    <mergeCell ref="E15:K15"/>
    <mergeCell ref="W18:Y18"/>
    <mergeCell ref="K18:O18"/>
    <mergeCell ref="W14:Y14"/>
    <mergeCell ref="W15:Y15"/>
    <mergeCell ref="W16:Y16"/>
    <mergeCell ref="M15:O15"/>
    <mergeCell ref="R16:T16"/>
  </mergeCells>
  <conditionalFormatting sqref="D15:D16 N55:S55 H55:I55 J53:K55 H53:I53 F53:G55 N53:Q54 R53 N20:R52 W21:Y52 F20:K52">
    <cfRule type="cellIs" priority="1" dxfId="0" operator="equal" stopIfTrue="1">
      <formula>#N/A</formula>
    </cfRule>
  </conditionalFormatting>
  <conditionalFormatting sqref="U55 U20:U52">
    <cfRule type="cellIs" priority="2" dxfId="1" operator="lessThanOrEqual" stopIfTrue="1">
      <formula>0</formula>
    </cfRule>
  </conditionalFormatting>
  <conditionalFormatting sqref="T55">
    <cfRule type="cellIs" priority="3" dxfId="1" operator="lessThan" stopIfTrue="1">
      <formula>0</formula>
    </cfRule>
  </conditionalFormatting>
  <conditionalFormatting sqref="R15:R16">
    <cfRule type="cellIs" priority="4" dxfId="1" operator="lessThan" stopIfTrue="1">
      <formula>0.3</formula>
    </cfRule>
  </conditionalFormatting>
  <conditionalFormatting sqref="T53:Y54 T20:T52">
    <cfRule type="cellIs" priority="5" dxfId="1" operator="lessThan" stopIfTrue="1">
      <formula>-0.1</formula>
    </cfRule>
    <cfRule type="cellIs" priority="6" dxfId="1" operator="greaterThan" stopIfTrue="1">
      <formula>0.1</formula>
    </cfRule>
  </conditionalFormatting>
  <conditionalFormatting sqref="S20 S54">
    <cfRule type="cellIs" priority="7" dxfId="1" operator="notBetween" stopIfTrue="1">
      <formula>0</formula>
      <formula>0.5</formula>
    </cfRule>
  </conditionalFormatting>
  <conditionalFormatting sqref="S21:S53">
    <cfRule type="cellIs" priority="8" dxfId="1" operator="notBetween" stopIfTrue="1">
      <formula>0.2</formula>
      <formula>0.5</formula>
    </cfRule>
  </conditionalFormatting>
  <dataValidations count="6">
    <dataValidation type="list" allowBlank="1" showInputMessage="1" showErrorMessage="1" prompt="Choose a lamp/ballast combination." sqref="D20:D55">
      <formula1>Existing_Description</formula1>
    </dataValidation>
    <dataValidation allowBlank="1" showInputMessage="1" showErrorMessage="1" prompt="Enter Quanity" sqref="M55 E20:E53 E55"/>
    <dataValidation allowBlank="1" showInputMessage="1" showErrorMessage="1" prompt="Enter annual operating hours." sqref="C20:C55"/>
    <dataValidation type="list" allowBlank="1" showInputMessage="1" prompt="Choose a lamp/ballast combination." sqref="L20:L55">
      <formula1>Proposed_Description</formula1>
    </dataValidation>
    <dataValidation allowBlank="1" showInputMessage="1" showErrorMessage="1" prompt="Enter a location." sqref="B20:B55"/>
    <dataValidation allowBlank="1" showInputMessage="1" showErrorMessage="1" prompt="Enter Quanity if Different than Existing" sqref="E54 M20:M54 R54 H54:I54"/>
  </dataValidations>
  <printOptions horizontalCentered="1"/>
  <pageMargins left="0.25" right="0.25" top="0.5" bottom="0.75" header="0.5" footer="0.5"/>
  <pageSetup fitToHeight="12" fitToWidth="1" horizontalDpi="600" verticalDpi="600" orientation="landscape" scale="68" r:id="rId3"/>
  <headerFooter alignWithMargins="0">
    <oddFooter>&amp;L&amp;F&amp;R&amp;D, &amp;T</oddFooter>
  </headerFooter>
  <legacyDrawing r:id="rId2"/>
</worksheet>
</file>

<file path=xl/worksheets/sheet3.xml><?xml version="1.0" encoding="utf-8"?>
<worksheet xmlns="http://schemas.openxmlformats.org/spreadsheetml/2006/main" xmlns:r="http://schemas.openxmlformats.org/officeDocument/2006/relationships">
  <sheetPr codeName="Sheet5">
    <pageSetUpPr fitToPage="1"/>
  </sheetPr>
  <dimension ref="B1:K75"/>
  <sheetViews>
    <sheetView showGridLines="0" workbookViewId="0" topLeftCell="A1">
      <selection activeCell="J8" sqref="J8"/>
    </sheetView>
  </sheetViews>
  <sheetFormatPr defaultColWidth="9.00390625" defaultRowHeight="15.75"/>
  <cols>
    <col min="1" max="1" width="2.50390625" style="144" customWidth="1"/>
    <col min="2" max="2" width="13.375" style="144" customWidth="1"/>
    <col min="3" max="3" width="3.00390625" style="216" customWidth="1"/>
    <col min="4" max="4" width="38.75390625" style="144" customWidth="1"/>
    <col min="5" max="5" width="13.00390625" style="144" customWidth="1"/>
    <col min="6" max="6" width="8.875" style="216" customWidth="1"/>
    <col min="7" max="7" width="8.125" style="216" customWidth="1"/>
    <col min="8" max="8" width="11.50390625" style="216" customWidth="1"/>
    <col min="9" max="9" width="9.00390625" style="144" customWidth="1"/>
    <col min="10" max="10" width="8.875" style="144" customWidth="1"/>
    <col min="11" max="16384" width="9.00390625" style="144" customWidth="1"/>
  </cols>
  <sheetData>
    <row r="1" spans="2:8" ht="16.5" customHeight="1">
      <c r="B1" s="214"/>
      <c r="H1" s="594" t="s">
        <v>978</v>
      </c>
    </row>
    <row r="2" spans="2:8" ht="29.25" customHeight="1" thickBot="1">
      <c r="B2" s="759" t="s">
        <v>526</v>
      </c>
      <c r="C2" s="759"/>
      <c r="D2" s="759"/>
      <c r="E2" s="759"/>
      <c r="F2" s="759"/>
      <c r="G2" s="759"/>
      <c r="H2" s="759"/>
    </row>
    <row r="3" spans="2:8" s="217" customFormat="1" ht="18" customHeight="1">
      <c r="B3" s="174"/>
      <c r="C3" s="246" t="s">
        <v>967</v>
      </c>
      <c r="D3" s="212" t="str">
        <f>'Site Audit'!D9</f>
        <v>123 West C&amp;I Avenue</v>
      </c>
      <c r="E3" s="172" t="s">
        <v>953</v>
      </c>
      <c r="F3" s="760" t="str">
        <f>'Site Audit'!D4</f>
        <v>Lighting Measure Examples</v>
      </c>
      <c r="G3" s="761"/>
      <c r="H3" s="762"/>
    </row>
    <row r="4" spans="2:8" s="217" customFormat="1" ht="18" customHeight="1">
      <c r="B4" s="244"/>
      <c r="C4" s="245" t="s">
        <v>960</v>
      </c>
      <c r="D4" s="213" t="str">
        <f>'Site Audit'!D10</f>
        <v>Longview</v>
      </c>
      <c r="E4" s="173" t="s">
        <v>968</v>
      </c>
      <c r="F4" s="765" t="str">
        <f>'Site Audit'!M4</f>
        <v>Pick a unique # that you will remember</v>
      </c>
      <c r="G4" s="766"/>
      <c r="H4" s="767"/>
    </row>
    <row r="5" spans="2:8" ht="6" customHeight="1">
      <c r="B5" s="218"/>
      <c r="C5" s="152"/>
      <c r="D5" s="219"/>
      <c r="E5" s="219"/>
      <c r="F5" s="152"/>
      <c r="G5" s="152"/>
      <c r="H5" s="220"/>
    </row>
    <row r="6" spans="2:11" ht="35.25" customHeight="1" thickBot="1">
      <c r="B6" s="231" t="s">
        <v>1112</v>
      </c>
      <c r="C6" s="232"/>
      <c r="D6" s="233" t="s">
        <v>1113</v>
      </c>
      <c r="E6" s="233"/>
      <c r="F6" s="234" t="s">
        <v>527</v>
      </c>
      <c r="G6" s="234" t="s">
        <v>1114</v>
      </c>
      <c r="H6" s="235" t="s">
        <v>1115</v>
      </c>
      <c r="I6" s="221"/>
      <c r="J6" s="221"/>
      <c r="K6" s="221"/>
    </row>
    <row r="7" spans="2:8" ht="15" customHeight="1">
      <c r="B7" s="123"/>
      <c r="C7" s="178" t="s">
        <v>1116</v>
      </c>
      <c r="D7" s="763" t="s">
        <v>1117</v>
      </c>
      <c r="E7" s="764"/>
      <c r="F7" s="124"/>
      <c r="G7" s="124"/>
      <c r="H7" s="125"/>
    </row>
    <row r="8" spans="2:8" s="217" customFormat="1" ht="57.75" customHeight="1">
      <c r="B8" s="126" t="s">
        <v>282</v>
      </c>
      <c r="C8" s="751" t="s">
        <v>528</v>
      </c>
      <c r="D8" s="747"/>
      <c r="E8" s="747"/>
      <c r="F8" s="747"/>
      <c r="G8" s="747"/>
      <c r="H8" s="748"/>
    </row>
    <row r="9" spans="2:8" ht="15" customHeight="1">
      <c r="B9" s="127" t="s">
        <v>284</v>
      </c>
      <c r="C9" s="143">
        <v>1</v>
      </c>
      <c r="D9" s="754" t="s">
        <v>1119</v>
      </c>
      <c r="E9" s="756"/>
      <c r="F9" s="138">
        <v>15</v>
      </c>
      <c r="G9" s="128"/>
      <c r="H9" s="129" t="str">
        <f>IF(ISBLANK(G9)," ",F9*G9)</f>
        <v> </v>
      </c>
    </row>
    <row r="10" spans="2:8" ht="15" customHeight="1" thickBot="1">
      <c r="B10" s="130"/>
      <c r="C10" s="205">
        <v>2</v>
      </c>
      <c r="D10" s="757" t="s">
        <v>1120</v>
      </c>
      <c r="E10" s="758"/>
      <c r="F10" s="579">
        <v>30</v>
      </c>
      <c r="G10" s="580"/>
      <c r="H10" s="581" t="str">
        <f>IF(ISBLANK(G10)," ",F10*G10)</f>
        <v> </v>
      </c>
    </row>
    <row r="11" spans="2:8" ht="15" customHeight="1">
      <c r="B11" s="132" t="s">
        <v>283</v>
      </c>
      <c r="C11" s="178" t="s">
        <v>899</v>
      </c>
      <c r="D11" s="744" t="s">
        <v>1211</v>
      </c>
      <c r="E11" s="745"/>
      <c r="F11" s="124"/>
      <c r="G11" s="124"/>
      <c r="H11" s="125"/>
    </row>
    <row r="12" spans="2:8" ht="30.75" customHeight="1">
      <c r="B12" s="126" t="s">
        <v>1118</v>
      </c>
      <c r="C12" s="751" t="s">
        <v>529</v>
      </c>
      <c r="D12" s="752"/>
      <c r="E12" s="752"/>
      <c r="F12" s="752"/>
      <c r="G12" s="752"/>
      <c r="H12" s="753"/>
    </row>
    <row r="13" spans="2:9" ht="15" customHeight="1">
      <c r="B13" s="127" t="s">
        <v>827</v>
      </c>
      <c r="C13" s="131">
        <v>1</v>
      </c>
      <c r="D13" s="754" t="s">
        <v>1212</v>
      </c>
      <c r="E13" s="755"/>
      <c r="F13" s="171">
        <v>8</v>
      </c>
      <c r="G13" s="133"/>
      <c r="H13" s="129" t="str">
        <f>IF(ISBLANK(G13)," ",F13*G13)</f>
        <v> </v>
      </c>
      <c r="I13" s="222"/>
    </row>
    <row r="14" spans="2:9" ht="15" customHeight="1" thickBot="1">
      <c r="B14" s="134"/>
      <c r="C14" s="227">
        <v>2</v>
      </c>
      <c r="D14" s="757" t="s">
        <v>1213</v>
      </c>
      <c r="E14" s="768"/>
      <c r="F14" s="206">
        <v>15</v>
      </c>
      <c r="G14" s="156"/>
      <c r="H14" s="157" t="str">
        <f>IF(ISBLANK(G14)," ",F14*G14)</f>
        <v> </v>
      </c>
      <c r="I14" s="222"/>
    </row>
    <row r="15" spans="2:8" ht="15" customHeight="1">
      <c r="B15" s="127"/>
      <c r="C15" s="178" t="s">
        <v>828</v>
      </c>
      <c r="D15" s="763" t="s">
        <v>625</v>
      </c>
      <c r="E15" s="764"/>
      <c r="F15" s="124"/>
      <c r="G15" s="124"/>
      <c r="H15" s="125"/>
    </row>
    <row r="16" spans="2:8" s="217" customFormat="1" ht="15" customHeight="1">
      <c r="B16" s="126"/>
      <c r="C16" s="769" t="s">
        <v>530</v>
      </c>
      <c r="D16" s="747"/>
      <c r="E16" s="747"/>
      <c r="F16" s="747"/>
      <c r="G16" s="747"/>
      <c r="H16" s="748"/>
    </row>
    <row r="17" spans="2:8" ht="15" customHeight="1">
      <c r="B17" s="127"/>
      <c r="C17" s="131">
        <v>1</v>
      </c>
      <c r="D17" s="754" t="s">
        <v>1214</v>
      </c>
      <c r="E17" s="756"/>
      <c r="F17" s="135">
        <v>30</v>
      </c>
      <c r="G17" s="133"/>
      <c r="H17" s="129" t="str">
        <f>IF(ISBLANK(G17)," ",F17*G17)</f>
        <v> </v>
      </c>
    </row>
    <row r="18" spans="2:8" ht="15" customHeight="1" thickBot="1">
      <c r="B18" s="127"/>
      <c r="C18" s="582">
        <v>2</v>
      </c>
      <c r="D18" s="770" t="s">
        <v>829</v>
      </c>
      <c r="E18" s="771"/>
      <c r="F18" s="226">
        <v>50</v>
      </c>
      <c r="G18" s="156"/>
      <c r="H18" s="581" t="str">
        <f>IF(ISBLANK(G18)," ",F18*G18)</f>
        <v> </v>
      </c>
    </row>
    <row r="19" spans="2:8" ht="15" customHeight="1">
      <c r="B19" s="127"/>
      <c r="C19" s="178" t="s">
        <v>830</v>
      </c>
      <c r="D19" s="744" t="s">
        <v>1218</v>
      </c>
      <c r="E19" s="745"/>
      <c r="F19" s="124"/>
      <c r="G19" s="124"/>
      <c r="H19" s="125"/>
    </row>
    <row r="20" spans="2:8" s="217" customFormat="1" ht="15" customHeight="1">
      <c r="B20" s="126"/>
      <c r="C20" s="746" t="s">
        <v>831</v>
      </c>
      <c r="D20" s="747"/>
      <c r="E20" s="747"/>
      <c r="F20" s="747"/>
      <c r="G20" s="747"/>
      <c r="H20" s="748"/>
    </row>
    <row r="21" spans="2:8" ht="15" customHeight="1">
      <c r="B21" s="127" t="s">
        <v>1121</v>
      </c>
      <c r="C21" s="143">
        <v>1</v>
      </c>
      <c r="D21" s="749" t="s">
        <v>1219</v>
      </c>
      <c r="E21" s="755"/>
      <c r="F21" s="138">
        <v>50</v>
      </c>
      <c r="G21" s="128"/>
      <c r="H21" s="129" t="str">
        <f>IF(ISBLANK(G21)," ",F21*G21)</f>
        <v> </v>
      </c>
    </row>
    <row r="22" spans="2:8" ht="15" customHeight="1" thickBot="1">
      <c r="B22" s="127"/>
      <c r="C22" s="582">
        <v>2</v>
      </c>
      <c r="D22" s="770" t="s">
        <v>832</v>
      </c>
      <c r="E22" s="758"/>
      <c r="F22" s="579">
        <v>80</v>
      </c>
      <c r="G22" s="580"/>
      <c r="H22" s="581" t="str">
        <f>IF(ISBLANK(G22)," ",F22*G22)</f>
        <v> </v>
      </c>
    </row>
    <row r="23" spans="2:8" ht="15" customHeight="1">
      <c r="B23" s="139"/>
      <c r="C23" s="178" t="s">
        <v>833</v>
      </c>
      <c r="D23" s="744" t="s">
        <v>730</v>
      </c>
      <c r="E23" s="745"/>
      <c r="F23" s="140"/>
      <c r="G23" s="124"/>
      <c r="H23" s="125"/>
    </row>
    <row r="24" spans="2:8" s="217" customFormat="1" ht="15" customHeight="1">
      <c r="B24" s="126" t="s">
        <v>1118</v>
      </c>
      <c r="C24" s="746" t="s">
        <v>731</v>
      </c>
      <c r="D24" s="747"/>
      <c r="E24" s="747"/>
      <c r="F24" s="747"/>
      <c r="G24" s="747"/>
      <c r="H24" s="748"/>
    </row>
    <row r="25" spans="2:8" ht="15" customHeight="1">
      <c r="B25" s="139"/>
      <c r="C25" s="131">
        <v>1</v>
      </c>
      <c r="D25" s="754" t="s">
        <v>359</v>
      </c>
      <c r="E25" s="756"/>
      <c r="F25" s="135">
        <v>3</v>
      </c>
      <c r="G25" s="133"/>
      <c r="H25" s="141" t="str">
        <f>IF(ISBLANK(G25)," ",F25*G25)</f>
        <v> </v>
      </c>
    </row>
    <row r="26" spans="2:8" ht="15" customHeight="1">
      <c r="B26" s="127" t="s">
        <v>827</v>
      </c>
      <c r="C26" s="143">
        <v>2</v>
      </c>
      <c r="D26" s="772" t="s">
        <v>360</v>
      </c>
      <c r="E26" s="773"/>
      <c r="F26" s="136">
        <v>6</v>
      </c>
      <c r="G26" s="137"/>
      <c r="H26" s="142" t="str">
        <f>IF(ISBLANK(G26)," ",F26*G26)</f>
        <v> </v>
      </c>
    </row>
    <row r="27" spans="2:8" ht="15" customHeight="1" thickBot="1">
      <c r="B27" s="127"/>
      <c r="C27" s="582">
        <v>3</v>
      </c>
      <c r="D27" s="774" t="s">
        <v>1077</v>
      </c>
      <c r="E27" s="775"/>
      <c r="F27" s="226">
        <v>12</v>
      </c>
      <c r="G27" s="156"/>
      <c r="H27" s="581" t="str">
        <f>IF(ISBLANK(G27)," ",F27*G27)</f>
        <v> </v>
      </c>
    </row>
    <row r="28" spans="2:8" ht="15" customHeight="1">
      <c r="B28" s="139"/>
      <c r="C28" s="178" t="s">
        <v>1078</v>
      </c>
      <c r="D28" s="744" t="s">
        <v>729</v>
      </c>
      <c r="E28" s="745"/>
      <c r="F28" s="124"/>
      <c r="G28" s="124"/>
      <c r="H28" s="125"/>
    </row>
    <row r="29" spans="2:8" s="217" customFormat="1" ht="15" customHeight="1">
      <c r="B29" s="126"/>
      <c r="C29" s="769" t="s">
        <v>1079</v>
      </c>
      <c r="D29" s="747"/>
      <c r="E29" s="747"/>
      <c r="F29" s="747"/>
      <c r="G29" s="747"/>
      <c r="H29" s="748"/>
    </row>
    <row r="30" spans="2:8" s="223" customFormat="1" ht="15" customHeight="1" thickBot="1">
      <c r="B30" s="127"/>
      <c r="C30" s="583">
        <v>1</v>
      </c>
      <c r="D30" s="742" t="s">
        <v>1080</v>
      </c>
      <c r="E30" s="743"/>
      <c r="F30" s="584">
        <v>30</v>
      </c>
      <c r="G30" s="585"/>
      <c r="H30" s="586" t="str">
        <f>IF(ISBLANK(G30)," ",F30*G30)</f>
        <v> </v>
      </c>
    </row>
    <row r="31" spans="2:8" ht="15" customHeight="1">
      <c r="B31" s="127"/>
      <c r="C31" s="178" t="s">
        <v>1081</v>
      </c>
      <c r="D31" s="744" t="s">
        <v>626</v>
      </c>
      <c r="E31" s="745"/>
      <c r="F31" s="124"/>
      <c r="G31" s="124"/>
      <c r="H31" s="125"/>
    </row>
    <row r="32" spans="2:8" s="217" customFormat="1" ht="15" customHeight="1">
      <c r="B32" s="126"/>
      <c r="C32" s="746" t="s">
        <v>627</v>
      </c>
      <c r="D32" s="747"/>
      <c r="E32" s="747"/>
      <c r="F32" s="747"/>
      <c r="G32" s="747"/>
      <c r="H32" s="748"/>
    </row>
    <row r="33" spans="2:8" ht="15" customHeight="1">
      <c r="B33" s="127"/>
      <c r="C33" s="143">
        <v>1</v>
      </c>
      <c r="D33" s="749" t="s">
        <v>1082</v>
      </c>
      <c r="E33" s="750"/>
      <c r="F33" s="145">
        <v>60</v>
      </c>
      <c r="G33" s="146"/>
      <c r="H33" s="129" t="str">
        <f>IF(ISBLANK(G33)," ",F33*G33)</f>
        <v> </v>
      </c>
    </row>
    <row r="34" spans="2:8" ht="15" customHeight="1" thickBot="1">
      <c r="B34" s="134"/>
      <c r="C34" s="230">
        <v>2</v>
      </c>
      <c r="D34" s="774" t="s">
        <v>1083</v>
      </c>
      <c r="E34" s="775"/>
      <c r="F34" s="228">
        <v>120</v>
      </c>
      <c r="G34" s="156"/>
      <c r="H34" s="157" t="str">
        <f>IF(ISBLANK(G34)," ",F34*G34)</f>
        <v> </v>
      </c>
    </row>
    <row r="35" spans="2:8" ht="15" customHeight="1">
      <c r="B35" s="139"/>
      <c r="C35" s="178" t="s">
        <v>1084</v>
      </c>
      <c r="D35" s="763" t="s">
        <v>1216</v>
      </c>
      <c r="E35" s="764"/>
      <c r="F35" s="124"/>
      <c r="G35" s="124"/>
      <c r="H35" s="125"/>
    </row>
    <row r="36" spans="2:10" ht="30" customHeight="1">
      <c r="B36" s="123" t="s">
        <v>1170</v>
      </c>
      <c r="C36" s="746" t="s">
        <v>531</v>
      </c>
      <c r="D36" s="747"/>
      <c r="E36" s="747"/>
      <c r="F36" s="747"/>
      <c r="G36" s="747"/>
      <c r="H36" s="748"/>
      <c r="J36" s="224"/>
    </row>
    <row r="37" spans="2:10" ht="15" customHeight="1">
      <c r="B37" s="127" t="s">
        <v>1118</v>
      </c>
      <c r="C37" s="147">
        <v>1</v>
      </c>
      <c r="D37" s="749" t="s">
        <v>281</v>
      </c>
      <c r="E37" s="750"/>
      <c r="F37" s="148">
        <v>80</v>
      </c>
      <c r="G37" s="133"/>
      <c r="H37" s="129" t="str">
        <f>IF(ISBLANK(G37)," ",F37*G37)</f>
        <v> </v>
      </c>
      <c r="J37" s="224"/>
    </row>
    <row r="38" spans="2:8" ht="15" customHeight="1">
      <c r="B38" s="127" t="s">
        <v>1215</v>
      </c>
      <c r="C38" s="147">
        <v>2</v>
      </c>
      <c r="D38" s="776" t="s">
        <v>1085</v>
      </c>
      <c r="E38" s="777"/>
      <c r="F38" s="148">
        <v>100</v>
      </c>
      <c r="G38" s="137"/>
      <c r="H38" s="149" t="str">
        <f>IF(ISBLANK(G38)," ",F38*G38)</f>
        <v> </v>
      </c>
    </row>
    <row r="39" spans="2:8" ht="15" customHeight="1">
      <c r="B39" s="127" t="s">
        <v>1118</v>
      </c>
      <c r="C39" s="152">
        <v>3</v>
      </c>
      <c r="D39" s="776" t="s">
        <v>1086</v>
      </c>
      <c r="E39" s="777"/>
      <c r="F39" s="148">
        <v>120</v>
      </c>
      <c r="G39" s="137"/>
      <c r="H39" s="142" t="str">
        <f>IF(ISBLANK(G39)," ",F39*G39)</f>
        <v> </v>
      </c>
    </row>
    <row r="40" spans="2:8" ht="15" customHeight="1" thickBot="1">
      <c r="B40" s="150" t="s">
        <v>1087</v>
      </c>
      <c r="C40" s="229">
        <v>4</v>
      </c>
      <c r="D40" s="770" t="s">
        <v>1088</v>
      </c>
      <c r="E40" s="758"/>
      <c r="F40" s="587">
        <v>140</v>
      </c>
      <c r="G40" s="156"/>
      <c r="H40" s="581" t="str">
        <f>IF(ISBLANK(G40)," ",F40*G40)</f>
        <v> </v>
      </c>
    </row>
    <row r="41" spans="2:8" ht="15" customHeight="1">
      <c r="B41" s="127" t="s">
        <v>1089</v>
      </c>
      <c r="C41" s="178" t="s">
        <v>1090</v>
      </c>
      <c r="D41" s="744" t="s">
        <v>1217</v>
      </c>
      <c r="E41" s="745"/>
      <c r="F41" s="124"/>
      <c r="G41" s="124"/>
      <c r="H41" s="125"/>
    </row>
    <row r="42" spans="2:8" ht="15" customHeight="1">
      <c r="B42" s="132" t="s">
        <v>1118</v>
      </c>
      <c r="C42" s="746" t="s">
        <v>532</v>
      </c>
      <c r="D42" s="747"/>
      <c r="E42" s="747"/>
      <c r="F42" s="747"/>
      <c r="G42" s="747"/>
      <c r="H42" s="748"/>
    </row>
    <row r="43" spans="2:8" ht="15" customHeight="1">
      <c r="B43" s="132" t="s">
        <v>1121</v>
      </c>
      <c r="C43" s="152">
        <v>1</v>
      </c>
      <c r="D43" s="749" t="s">
        <v>1091</v>
      </c>
      <c r="E43" s="750"/>
      <c r="F43" s="151">
        <v>100</v>
      </c>
      <c r="G43" s="133"/>
      <c r="H43" s="129" t="str">
        <f>IF(ISBLANK(G43)," ",F43*G43)</f>
        <v> </v>
      </c>
    </row>
    <row r="44" spans="2:8" ht="15" customHeight="1" thickBot="1">
      <c r="B44" s="153"/>
      <c r="C44" s="229">
        <v>2</v>
      </c>
      <c r="D44" s="770" t="s">
        <v>1092</v>
      </c>
      <c r="E44" s="771"/>
      <c r="F44" s="228">
        <v>150</v>
      </c>
      <c r="G44" s="156"/>
      <c r="H44" s="157" t="str">
        <f>IF(ISBLANK(G44)," ",F44*G44)</f>
        <v> </v>
      </c>
    </row>
    <row r="45" spans="2:8" ht="15" customHeight="1">
      <c r="B45" s="778" t="s">
        <v>1093</v>
      </c>
      <c r="C45" s="588" t="s">
        <v>1094</v>
      </c>
      <c r="D45" s="763" t="s">
        <v>285</v>
      </c>
      <c r="E45" s="764"/>
      <c r="F45" s="589"/>
      <c r="G45" s="589"/>
      <c r="H45" s="590"/>
    </row>
    <row r="46" spans="2:8" ht="15" customHeight="1">
      <c r="B46" s="779"/>
      <c r="C46" s="746" t="s">
        <v>286</v>
      </c>
      <c r="D46" s="747"/>
      <c r="E46" s="747"/>
      <c r="F46" s="747"/>
      <c r="G46" s="747"/>
      <c r="H46" s="748"/>
    </row>
    <row r="47" spans="2:8" ht="15" customHeight="1">
      <c r="B47" s="779"/>
      <c r="C47" s="152">
        <v>1</v>
      </c>
      <c r="D47" s="754" t="s">
        <v>727</v>
      </c>
      <c r="E47" s="755"/>
      <c r="F47" s="154">
        <v>35</v>
      </c>
      <c r="G47" s="155"/>
      <c r="H47" s="129" t="str">
        <f>IF(ISBLANK(G47)," ",F47*G47)</f>
        <v> </v>
      </c>
    </row>
    <row r="48" spans="2:8" ht="15" customHeight="1" thickBot="1">
      <c r="B48" s="780"/>
      <c r="C48" s="229">
        <v>2</v>
      </c>
      <c r="D48" s="757" t="s">
        <v>728</v>
      </c>
      <c r="E48" s="768"/>
      <c r="F48" s="228">
        <v>45</v>
      </c>
      <c r="G48" s="156"/>
      <c r="H48" s="157" t="str">
        <f>IF(ISBLANK(G48)," ",F48*G48)</f>
        <v> </v>
      </c>
    </row>
    <row r="49" spans="2:8" ht="15" customHeight="1">
      <c r="B49" s="123"/>
      <c r="C49" s="204" t="s">
        <v>287</v>
      </c>
      <c r="D49" s="763" t="s">
        <v>288</v>
      </c>
      <c r="E49" s="764"/>
      <c r="F49" s="124"/>
      <c r="G49" s="124"/>
      <c r="H49" s="125"/>
    </row>
    <row r="50" spans="2:8" s="217" customFormat="1" ht="30" customHeight="1">
      <c r="B50" s="591" t="s">
        <v>533</v>
      </c>
      <c r="C50" s="781" t="s">
        <v>534</v>
      </c>
      <c r="D50" s="782"/>
      <c r="E50" s="782"/>
      <c r="F50" s="782"/>
      <c r="G50" s="782"/>
      <c r="H50" s="783"/>
    </row>
    <row r="51" spans="2:8" ht="15" customHeight="1">
      <c r="B51" s="127" t="s">
        <v>535</v>
      </c>
      <c r="C51" s="143">
        <v>1</v>
      </c>
      <c r="D51" s="754" t="s">
        <v>290</v>
      </c>
      <c r="E51" s="756"/>
      <c r="F51" s="138">
        <v>20</v>
      </c>
      <c r="G51" s="128"/>
      <c r="H51" s="129" t="str">
        <f>IF(ISBLANK(G51)," ",F51*G51)</f>
        <v> </v>
      </c>
    </row>
    <row r="52" spans="2:8" ht="15" customHeight="1" thickBot="1">
      <c r="B52" s="225"/>
      <c r="C52" s="205">
        <v>2</v>
      </c>
      <c r="D52" s="757" t="s">
        <v>536</v>
      </c>
      <c r="E52" s="758"/>
      <c r="F52" s="226">
        <v>40</v>
      </c>
      <c r="G52" s="156"/>
      <c r="H52" s="157" t="str">
        <f>IF(ISBLANK(G52)," ",F52*G52)</f>
        <v> </v>
      </c>
    </row>
    <row r="53" spans="2:8" ht="15" customHeight="1">
      <c r="B53" s="132"/>
      <c r="C53" s="204" t="s">
        <v>291</v>
      </c>
      <c r="D53" s="763" t="s">
        <v>292</v>
      </c>
      <c r="E53" s="764"/>
      <c r="F53" s="124"/>
      <c r="G53" s="124"/>
      <c r="H53" s="125"/>
    </row>
    <row r="54" spans="2:8" ht="30.75" customHeight="1">
      <c r="B54" s="126" t="s">
        <v>289</v>
      </c>
      <c r="C54" s="751" t="s">
        <v>1313</v>
      </c>
      <c r="D54" s="752"/>
      <c r="E54" s="752"/>
      <c r="F54" s="752"/>
      <c r="G54" s="752"/>
      <c r="H54" s="753"/>
    </row>
    <row r="55" spans="2:9" ht="15" customHeight="1">
      <c r="B55" s="127" t="s">
        <v>293</v>
      </c>
      <c r="C55" s="131">
        <v>1</v>
      </c>
      <c r="D55" s="754" t="s">
        <v>1314</v>
      </c>
      <c r="E55" s="755"/>
      <c r="F55" s="171">
        <v>25</v>
      </c>
      <c r="G55" s="133"/>
      <c r="H55" s="129" t="str">
        <f>IF(ISBLANK(G55)," ",F55*G55)</f>
        <v> </v>
      </c>
      <c r="I55" s="222"/>
    </row>
    <row r="56" spans="2:9" ht="15" customHeight="1" thickBot="1">
      <c r="B56" s="134"/>
      <c r="C56" s="205">
        <v>2</v>
      </c>
      <c r="D56" s="757" t="s">
        <v>1315</v>
      </c>
      <c r="E56" s="768"/>
      <c r="F56" s="206">
        <v>50</v>
      </c>
      <c r="G56" s="156"/>
      <c r="H56" s="157" t="str">
        <f>IF(ISBLANK(G56)," ",F56*G56)</f>
        <v> </v>
      </c>
      <c r="I56" s="222"/>
    </row>
    <row r="57" spans="2:8" ht="15" customHeight="1">
      <c r="B57" s="132"/>
      <c r="C57" s="204" t="s">
        <v>1316</v>
      </c>
      <c r="D57" s="763" t="s">
        <v>1317</v>
      </c>
      <c r="E57" s="764"/>
      <c r="F57" s="124"/>
      <c r="G57" s="124"/>
      <c r="H57" s="125"/>
    </row>
    <row r="58" spans="2:8" ht="30.75" customHeight="1">
      <c r="B58" s="126" t="s">
        <v>1318</v>
      </c>
      <c r="C58" s="751" t="s">
        <v>1319</v>
      </c>
      <c r="D58" s="752"/>
      <c r="E58" s="752"/>
      <c r="F58" s="752"/>
      <c r="G58" s="752"/>
      <c r="H58" s="753"/>
    </row>
    <row r="59" spans="2:9" ht="15" customHeight="1">
      <c r="B59" s="127" t="s">
        <v>1320</v>
      </c>
      <c r="C59" s="131">
        <v>1</v>
      </c>
      <c r="D59" s="754" t="s">
        <v>1321</v>
      </c>
      <c r="E59" s="755"/>
      <c r="F59" s="592"/>
      <c r="G59" s="133"/>
      <c r="H59" s="129" t="str">
        <f>IF(ISBLANK(G59)," ",F59*G59)</f>
        <v> </v>
      </c>
      <c r="I59" s="222"/>
    </row>
    <row r="60" spans="2:9" ht="15" customHeight="1" thickBot="1">
      <c r="B60" s="134"/>
      <c r="C60" s="205">
        <v>2</v>
      </c>
      <c r="D60" s="757" t="s">
        <v>1321</v>
      </c>
      <c r="E60" s="768"/>
      <c r="F60" s="593"/>
      <c r="G60" s="156"/>
      <c r="H60" s="157" t="str">
        <f>IF(ISBLANK(G60)," ",F60*G60)</f>
        <v> </v>
      </c>
      <c r="I60" s="222"/>
    </row>
    <row r="61" spans="3:9" ht="18" customHeight="1">
      <c r="C61" s="180"/>
      <c r="D61" s="158"/>
      <c r="E61" s="158"/>
      <c r="F61" s="144"/>
      <c r="G61" s="207" t="s">
        <v>1322</v>
      </c>
      <c r="H61" s="237">
        <f>SUM(H9,H10,H13,H14,H17,H18,H21,H22,H25,H26,H27,H30,H33,H34,H37,H38,H39,H40,H43,H44,H47,H48,H51,H52,H55,H56,H59,H60)</f>
        <v>0</v>
      </c>
      <c r="I61" s="236"/>
    </row>
    <row r="62" spans="3:8" ht="18" customHeight="1">
      <c r="C62" s="209"/>
      <c r="D62" s="210"/>
      <c r="E62" s="2"/>
      <c r="F62" s="20"/>
      <c r="G62" s="207" t="s">
        <v>1095</v>
      </c>
      <c r="H62" s="238"/>
    </row>
    <row r="63" spans="3:8" ht="18" customHeight="1">
      <c r="C63" s="209"/>
      <c r="D63" s="210"/>
      <c r="E63" s="158"/>
      <c r="F63" s="20"/>
      <c r="G63" s="207" t="s">
        <v>1096</v>
      </c>
      <c r="H63" s="239" t="str">
        <f>IF(ISBLANK(H62)," ",H62*0.7)</f>
        <v> </v>
      </c>
    </row>
    <row r="64" spans="3:8" ht="18" customHeight="1">
      <c r="C64" s="209"/>
      <c r="D64" s="210"/>
      <c r="E64" s="158"/>
      <c r="F64" s="181"/>
      <c r="G64" s="207" t="s">
        <v>1323</v>
      </c>
      <c r="H64" s="239" t="str">
        <f>IF(ISBLANK(H62)," ",MIN(H61,H63))</f>
        <v> </v>
      </c>
    </row>
    <row r="65" spans="3:8" ht="18" customHeight="1">
      <c r="C65" s="182"/>
      <c r="D65" s="183"/>
      <c r="E65" s="183"/>
      <c r="F65" s="180"/>
      <c r="G65" s="262" t="s">
        <v>323</v>
      </c>
      <c r="H65" s="241">
        <f>'Site Audit'!R15</f>
        <v>0.48352924858698293</v>
      </c>
    </row>
    <row r="66" spans="7:8" ht="18" customHeight="1" thickBot="1">
      <c r="G66" s="211" t="s">
        <v>1097</v>
      </c>
      <c r="H66" s="240">
        <f>'Site Audit'!W15</f>
        <v>316501.96353170037</v>
      </c>
    </row>
    <row r="67" ht="18" customHeight="1"/>
    <row r="68" ht="18" customHeight="1">
      <c r="B68" s="179" t="s">
        <v>358</v>
      </c>
    </row>
    <row r="69" spans="2:8" ht="18" customHeight="1">
      <c r="B69" s="208" t="s">
        <v>1034</v>
      </c>
      <c r="G69" s="216" t="s">
        <v>1036</v>
      </c>
      <c r="H69" s="563"/>
    </row>
    <row r="70" spans="2:8" ht="18" customHeight="1">
      <c r="B70" s="208" t="s">
        <v>1033</v>
      </c>
      <c r="G70" s="216" t="s">
        <v>1036</v>
      </c>
      <c r="H70" s="565"/>
    </row>
    <row r="71" spans="2:8" ht="18" customHeight="1">
      <c r="B71" s="208" t="s">
        <v>1324</v>
      </c>
      <c r="G71" s="216" t="s">
        <v>1036</v>
      </c>
      <c r="H71" s="564"/>
    </row>
    <row r="72" spans="2:8" ht="18" customHeight="1">
      <c r="B72" s="208" t="s">
        <v>1035</v>
      </c>
      <c r="G72" s="216" t="s">
        <v>1036</v>
      </c>
      <c r="H72" s="565"/>
    </row>
    <row r="73" ht="18" customHeight="1"/>
    <row r="74" ht="18" customHeight="1"/>
    <row r="75" spans="2:8" ht="18" customHeight="1">
      <c r="B75" s="214" t="s">
        <v>1037</v>
      </c>
      <c r="C75" s="182"/>
      <c r="D75" s="183"/>
      <c r="E75" s="183"/>
      <c r="F75" s="215" t="s">
        <v>304</v>
      </c>
      <c r="G75" s="784">
        <f ca="1">NOW()</f>
        <v>39085.49679861111</v>
      </c>
      <c r="H75" s="784"/>
    </row>
    <row r="76" ht="18" customHeight="1"/>
  </sheetData>
  <mergeCells count="59">
    <mergeCell ref="G75:H75"/>
    <mergeCell ref="D57:E57"/>
    <mergeCell ref="C58:H58"/>
    <mergeCell ref="D59:E59"/>
    <mergeCell ref="D60:E60"/>
    <mergeCell ref="D53:E53"/>
    <mergeCell ref="C54:H54"/>
    <mergeCell ref="D55:E55"/>
    <mergeCell ref="D56:E56"/>
    <mergeCell ref="D49:E49"/>
    <mergeCell ref="C50:H50"/>
    <mergeCell ref="D51:E51"/>
    <mergeCell ref="D52:E52"/>
    <mergeCell ref="D44:E44"/>
    <mergeCell ref="B45:B48"/>
    <mergeCell ref="D45:E45"/>
    <mergeCell ref="C46:H46"/>
    <mergeCell ref="D47:E47"/>
    <mergeCell ref="D48:E48"/>
    <mergeCell ref="D40:E40"/>
    <mergeCell ref="D41:E41"/>
    <mergeCell ref="C42:H42"/>
    <mergeCell ref="D43:E43"/>
    <mergeCell ref="D26:E26"/>
    <mergeCell ref="D27:E27"/>
    <mergeCell ref="D38:E38"/>
    <mergeCell ref="D39:E39"/>
    <mergeCell ref="D34:E34"/>
    <mergeCell ref="D35:E35"/>
    <mergeCell ref="C36:H36"/>
    <mergeCell ref="D37:E37"/>
    <mergeCell ref="D28:E28"/>
    <mergeCell ref="C29:H29"/>
    <mergeCell ref="D22:E22"/>
    <mergeCell ref="D23:E23"/>
    <mergeCell ref="C24:H24"/>
    <mergeCell ref="D25:E25"/>
    <mergeCell ref="D18:E18"/>
    <mergeCell ref="D19:E19"/>
    <mergeCell ref="C20:H20"/>
    <mergeCell ref="D21:E21"/>
    <mergeCell ref="D14:E14"/>
    <mergeCell ref="D15:E15"/>
    <mergeCell ref="C16:H16"/>
    <mergeCell ref="D17:E17"/>
    <mergeCell ref="B2:H2"/>
    <mergeCell ref="F3:H3"/>
    <mergeCell ref="D7:E7"/>
    <mergeCell ref="C8:H8"/>
    <mergeCell ref="F4:H4"/>
    <mergeCell ref="C12:H12"/>
    <mergeCell ref="D13:E13"/>
    <mergeCell ref="D9:E9"/>
    <mergeCell ref="D10:E10"/>
    <mergeCell ref="D11:E11"/>
    <mergeCell ref="D30:E30"/>
    <mergeCell ref="D31:E31"/>
    <mergeCell ref="C32:H32"/>
    <mergeCell ref="D33:E33"/>
  </mergeCells>
  <conditionalFormatting sqref="H61">
    <cfRule type="cellIs" priority="1" dxfId="2" operator="equal" stopIfTrue="1">
      <formula>0</formula>
    </cfRule>
  </conditionalFormatting>
  <printOptions horizontalCentered="1" verticalCentered="1"/>
  <pageMargins left="0.5" right="0.5" top="1" bottom="1.25" header="0" footer="0"/>
  <pageSetup fitToHeight="2" fitToWidth="1" horizontalDpi="600" verticalDpi="600" orientation="portrait" scale="92" r:id="rId2"/>
  <rowBreaks count="2" manualBreakCount="2">
    <brk id="43" max="255" man="1"/>
    <brk id="44" max="255" man="1"/>
  </rowBreaks>
  <drawing r:id="rId1"/>
</worksheet>
</file>

<file path=xl/worksheets/sheet4.xml><?xml version="1.0" encoding="utf-8"?>
<worksheet xmlns="http://schemas.openxmlformats.org/spreadsheetml/2006/main" xmlns:r="http://schemas.openxmlformats.org/officeDocument/2006/relationships">
  <sheetPr codeName="Sheet6"/>
  <dimension ref="B2:H33"/>
  <sheetViews>
    <sheetView workbookViewId="0" topLeftCell="A1">
      <selection activeCell="H9" sqref="H9"/>
    </sheetView>
  </sheetViews>
  <sheetFormatPr defaultColWidth="9.00390625" defaultRowHeight="15.75"/>
  <cols>
    <col min="1" max="1" width="2.50390625" style="0" customWidth="1"/>
    <col min="2" max="2" width="4.875" style="0" customWidth="1"/>
    <col min="3" max="5" width="11.625" style="0" customWidth="1"/>
    <col min="6" max="6" width="10.375" style="0" customWidth="1"/>
    <col min="7" max="8" width="12.25390625" style="0" customWidth="1"/>
    <col min="9" max="9" width="9.625" style="0" customWidth="1"/>
  </cols>
  <sheetData>
    <row r="2" spans="2:8" ht="15.75">
      <c r="B2" s="78" t="s">
        <v>961</v>
      </c>
      <c r="C2" s="78"/>
      <c r="D2" s="78"/>
      <c r="E2" s="78"/>
      <c r="F2" s="78"/>
      <c r="G2" s="78"/>
      <c r="H2" s="78"/>
    </row>
    <row r="3" spans="2:8" ht="15.75">
      <c r="B3" s="78" t="s">
        <v>1181</v>
      </c>
      <c r="C3" s="78"/>
      <c r="D3" s="78"/>
      <c r="E3" s="78"/>
      <c r="F3" s="78"/>
      <c r="G3" s="78"/>
      <c r="H3" s="78"/>
    </row>
    <row r="4" spans="2:8" ht="15.75">
      <c r="B4" s="78" t="s">
        <v>1182</v>
      </c>
      <c r="C4" s="78"/>
      <c r="D4" s="78"/>
      <c r="E4" s="78"/>
      <c r="F4" s="78"/>
      <c r="G4" s="78"/>
      <c r="H4" s="78"/>
    </row>
    <row r="5" spans="2:8" ht="15.75">
      <c r="B5" s="78" t="s">
        <v>1183</v>
      </c>
      <c r="C5" s="78"/>
      <c r="D5" s="78"/>
      <c r="E5" s="78"/>
      <c r="F5" s="78"/>
      <c r="G5" s="78"/>
      <c r="H5" s="78"/>
    </row>
    <row r="7" spans="2:8" ht="15.75">
      <c r="B7" s="785">
        <f ca="1">NOW()</f>
        <v>39085.49679895833</v>
      </c>
      <c r="C7" s="786"/>
      <c r="D7" s="786"/>
      <c r="E7" s="786"/>
      <c r="F7" s="786"/>
      <c r="G7" s="786"/>
      <c r="H7" s="786"/>
    </row>
    <row r="8" spans="5:6" ht="15.75">
      <c r="E8" s="176"/>
      <c r="F8" s="78"/>
    </row>
    <row r="10" spans="2:3" ht="15.75">
      <c r="B10" s="175" t="s">
        <v>913</v>
      </c>
      <c r="C10" s="175" t="str">
        <f>'Site Audit'!D12</f>
        <v>Main Warehouse</v>
      </c>
    </row>
    <row r="11" ht="15.75" customHeight="1"/>
    <row r="12" spans="2:8" ht="35.25" customHeight="1">
      <c r="B12" s="292" t="s">
        <v>917</v>
      </c>
      <c r="E12" s="177"/>
      <c r="F12" s="787" t="str">
        <f>'Site Audit'!D4</f>
        <v>Lighting Measure Examples</v>
      </c>
      <c r="G12" s="787"/>
      <c r="H12" s="787"/>
    </row>
    <row r="13" ht="16.5" thickBot="1">
      <c r="F13" s="177"/>
    </row>
    <row r="14" spans="2:8" ht="24.75" customHeight="1">
      <c r="B14" s="288"/>
      <c r="C14" s="289"/>
      <c r="D14" s="289"/>
      <c r="E14" s="289"/>
      <c r="F14" s="290" t="s">
        <v>1173</v>
      </c>
      <c r="G14" s="311">
        <f>'Site Audit'!E16</f>
        <v>32000</v>
      </c>
      <c r="H14" s="291"/>
    </row>
    <row r="15" spans="2:8" ht="24.75" customHeight="1">
      <c r="B15" s="283"/>
      <c r="C15" s="284"/>
      <c r="D15" s="284"/>
      <c r="E15" s="284"/>
      <c r="F15" s="285" t="s">
        <v>1172</v>
      </c>
      <c r="G15" s="287">
        <f>'Site Audit'!R16</f>
        <v>12686</v>
      </c>
      <c r="H15" s="286"/>
    </row>
    <row r="16" spans="2:8" ht="24.75" customHeight="1">
      <c r="B16" s="283"/>
      <c r="C16" s="284"/>
      <c r="D16" s="284"/>
      <c r="E16" s="284"/>
      <c r="F16" s="285" t="s">
        <v>1174</v>
      </c>
      <c r="G16" s="312">
        <f>G14-G15</f>
        <v>19314</v>
      </c>
      <c r="H16" s="286"/>
    </row>
    <row r="17" spans="2:8" ht="24.75" customHeight="1">
      <c r="B17" s="283"/>
      <c r="C17" s="284"/>
      <c r="D17" s="284"/>
      <c r="E17" s="284"/>
      <c r="F17" s="285" t="s">
        <v>1175</v>
      </c>
      <c r="G17" s="313">
        <f>'Site Audit'!W15</f>
        <v>316501.96353170037</v>
      </c>
      <c r="H17" s="286" t="s">
        <v>1179</v>
      </c>
    </row>
    <row r="18" spans="2:8" ht="24.75" customHeight="1">
      <c r="B18" s="283"/>
      <c r="C18" s="284"/>
      <c r="D18" s="284"/>
      <c r="E18" s="284"/>
      <c r="F18" s="285" t="s">
        <v>1176</v>
      </c>
      <c r="G18" s="314">
        <f>'Site Audit'!R8+'Site Audit'!R9</f>
        <v>20524.335680731274</v>
      </c>
      <c r="H18" s="286"/>
    </row>
    <row r="19" spans="2:8" ht="24.75" customHeight="1">
      <c r="B19" s="283"/>
      <c r="C19" s="284"/>
      <c r="D19" s="284"/>
      <c r="E19" s="284"/>
      <c r="F19" s="285" t="s">
        <v>1177</v>
      </c>
      <c r="G19" s="315">
        <f>'Site Audit'!R15</f>
        <v>0.48352924858698293</v>
      </c>
      <c r="H19" s="286" t="s">
        <v>681</v>
      </c>
    </row>
    <row r="20" spans="2:8" ht="24.75" customHeight="1" thickBot="1">
      <c r="B20" s="279"/>
      <c r="C20" s="280"/>
      <c r="D20" s="280"/>
      <c r="E20" s="280"/>
      <c r="F20" s="281" t="s">
        <v>1178</v>
      </c>
      <c r="G20" s="316">
        <f>G16/G18</f>
        <v>0.941029239651953</v>
      </c>
      <c r="H20" s="282" t="s">
        <v>1180</v>
      </c>
    </row>
    <row r="23" ht="15.75">
      <c r="B23" t="s">
        <v>236</v>
      </c>
    </row>
    <row r="24" ht="15.75">
      <c r="B24" t="s">
        <v>916</v>
      </c>
    </row>
    <row r="26" spans="2:7" ht="15.75">
      <c r="B26" t="s">
        <v>1171</v>
      </c>
      <c r="G26" t="str">
        <f>'Site Audit'!M11</f>
        <v>503-230-5865 Office</v>
      </c>
    </row>
    <row r="27" ht="15.75">
      <c r="B27" t="s">
        <v>918</v>
      </c>
    </row>
    <row r="30" ht="15.75">
      <c r="B30" t="s">
        <v>914</v>
      </c>
    </row>
    <row r="33" ht="15.75">
      <c r="B33" t="str">
        <f>'Site Audit'!M10</f>
        <v>Craig Ciranny</v>
      </c>
    </row>
  </sheetData>
  <mergeCells count="2">
    <mergeCell ref="B7:H7"/>
    <mergeCell ref="F12:H12"/>
  </mergeCells>
  <printOptions horizontalCentered="1"/>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2">
    <pageSetUpPr fitToPage="1"/>
  </sheetPr>
  <dimension ref="B1:U1585"/>
  <sheetViews>
    <sheetView showGridLines="0" workbookViewId="0" topLeftCell="A1">
      <pane xSplit="2" ySplit="3" topLeftCell="C4" activePane="bottomRight" state="frozen"/>
      <selection pane="topLeft" activeCell="A1" sqref="A1"/>
      <selection pane="topRight" activeCell="C1" sqref="C1"/>
      <selection pane="bottomLeft" activeCell="A4" sqref="A4"/>
      <selection pane="bottomRight" activeCell="F6" sqref="F6"/>
    </sheetView>
  </sheetViews>
  <sheetFormatPr defaultColWidth="9.00390625" defaultRowHeight="15.75"/>
  <cols>
    <col min="1" max="1" width="1.625" style="22" customWidth="1"/>
    <col min="2" max="2" width="46.00390625" style="22" customWidth="1"/>
    <col min="3" max="3" width="7.625" style="22" bestFit="1" customWidth="1"/>
    <col min="4" max="4" width="8.00390625" style="22" bestFit="1" customWidth="1"/>
    <col min="5" max="5" width="42.50390625" style="23" bestFit="1" customWidth="1"/>
    <col min="6" max="14" width="9.00390625" style="22" customWidth="1"/>
    <col min="15" max="15" width="10.75390625" style="22" customWidth="1"/>
    <col min="16" max="17" width="11.75390625" style="22" customWidth="1"/>
    <col min="18" max="16384" width="9.00390625" style="22" customWidth="1"/>
  </cols>
  <sheetData>
    <row r="1" spans="2:21" ht="15.75">
      <c r="B1" s="428">
        <v>1</v>
      </c>
      <c r="C1" s="428">
        <v>2</v>
      </c>
      <c r="D1" s="428">
        <v>3</v>
      </c>
      <c r="E1" s="428">
        <v>4</v>
      </c>
      <c r="F1" s="428">
        <v>5</v>
      </c>
      <c r="G1" s="428">
        <v>6</v>
      </c>
      <c r="H1" s="428">
        <v>7</v>
      </c>
      <c r="I1" s="428">
        <v>8</v>
      </c>
      <c r="J1" s="428">
        <v>9</v>
      </c>
      <c r="K1" s="428">
        <v>10</v>
      </c>
      <c r="L1" s="428">
        <v>11</v>
      </c>
      <c r="M1" s="428">
        <v>12</v>
      </c>
      <c r="N1" s="428">
        <v>13</v>
      </c>
      <c r="O1" s="428">
        <v>14</v>
      </c>
      <c r="P1" s="428">
        <v>15</v>
      </c>
      <c r="Q1" s="428">
        <v>16</v>
      </c>
      <c r="R1" s="428">
        <v>17</v>
      </c>
      <c r="S1" s="428">
        <v>18</v>
      </c>
      <c r="T1" s="428">
        <v>19</v>
      </c>
      <c r="U1" s="428">
        <v>20</v>
      </c>
    </row>
    <row r="2" spans="2:19" ht="45" customHeight="1" thickBot="1">
      <c r="B2" s="791" t="s">
        <v>1076</v>
      </c>
      <c r="C2" s="792"/>
      <c r="D2" s="792"/>
      <c r="E2" s="792"/>
      <c r="Q2" s="788" t="s">
        <v>197</v>
      </c>
      <c r="R2" s="789"/>
      <c r="S2" s="790"/>
    </row>
    <row r="3" spans="2:19" ht="76.5" customHeight="1" thickBot="1">
      <c r="B3" s="40" t="s">
        <v>464</v>
      </c>
      <c r="C3" s="196" t="s">
        <v>56</v>
      </c>
      <c r="D3" s="26" t="s">
        <v>1041</v>
      </c>
      <c r="E3" s="197" t="s">
        <v>665</v>
      </c>
      <c r="Q3" s="429" t="s">
        <v>299</v>
      </c>
      <c r="R3" s="429" t="s">
        <v>295</v>
      </c>
      <c r="S3" s="429" t="s">
        <v>296</v>
      </c>
    </row>
    <row r="4" spans="2:19" s="1" customFormat="1" ht="15.75">
      <c r="B4" s="52"/>
      <c r="C4" s="53"/>
      <c r="D4" s="56"/>
      <c r="E4" s="60"/>
      <c r="H4" s="32"/>
      <c r="J4" s="28"/>
      <c r="L4" s="198"/>
      <c r="M4" s="76"/>
      <c r="Q4" s="22"/>
      <c r="R4" s="22"/>
      <c r="S4" s="22"/>
    </row>
    <row r="5" spans="2:19" s="1" customFormat="1" ht="15.75">
      <c r="B5" s="52" t="s">
        <v>1307</v>
      </c>
      <c r="C5" s="53"/>
      <c r="D5" s="53"/>
      <c r="E5" s="60" t="s">
        <v>497</v>
      </c>
      <c r="H5" s="32"/>
      <c r="J5" s="28"/>
      <c r="L5" s="198"/>
      <c r="M5" s="76"/>
      <c r="Q5" s="22"/>
      <c r="R5" s="22"/>
      <c r="S5" s="22"/>
    </row>
    <row r="6" spans="2:19" s="1" customFormat="1" ht="15.75">
      <c r="B6" s="63" t="s">
        <v>274</v>
      </c>
      <c r="C6" s="53"/>
      <c r="D6" s="53"/>
      <c r="E6" s="60"/>
      <c r="H6" s="32"/>
      <c r="J6" s="28"/>
      <c r="L6" s="198"/>
      <c r="M6" s="76"/>
      <c r="Q6" s="22"/>
      <c r="R6" s="22"/>
      <c r="S6" s="22"/>
    </row>
    <row r="7" spans="2:19" ht="15.75">
      <c r="B7" s="52" t="s">
        <v>467</v>
      </c>
      <c r="C7" s="53">
        <v>15</v>
      </c>
      <c r="D7" s="53">
        <v>95.45</v>
      </c>
      <c r="E7" s="54" t="s">
        <v>718</v>
      </c>
      <c r="Q7" s="430">
        <v>1500</v>
      </c>
      <c r="R7" s="431">
        <v>0.67</v>
      </c>
      <c r="S7" s="428">
        <v>0.05</v>
      </c>
    </row>
    <row r="8" spans="2:19" ht="15.75">
      <c r="B8" s="55" t="s">
        <v>468</v>
      </c>
      <c r="C8" s="56">
        <v>25</v>
      </c>
      <c r="D8" s="56">
        <v>169.85</v>
      </c>
      <c r="E8" s="57" t="s">
        <v>718</v>
      </c>
      <c r="Q8" s="430">
        <v>1500</v>
      </c>
      <c r="R8" s="431">
        <v>0.67</v>
      </c>
      <c r="S8" s="428">
        <v>0.05</v>
      </c>
    </row>
    <row r="9" spans="2:19" ht="15.75">
      <c r="B9" s="55" t="s">
        <v>469</v>
      </c>
      <c r="C9" s="56">
        <v>40</v>
      </c>
      <c r="D9" s="56">
        <v>402.5</v>
      </c>
      <c r="E9" s="57" t="s">
        <v>718</v>
      </c>
      <c r="Q9" s="430">
        <v>1500</v>
      </c>
      <c r="R9" s="431">
        <v>0.67</v>
      </c>
      <c r="S9" s="428">
        <v>0.05</v>
      </c>
    </row>
    <row r="10" spans="2:19" ht="15.75">
      <c r="B10" s="55" t="s">
        <v>470</v>
      </c>
      <c r="C10" s="56">
        <v>50</v>
      </c>
      <c r="D10" s="56">
        <v>428.75</v>
      </c>
      <c r="E10" s="57" t="s">
        <v>719</v>
      </c>
      <c r="Q10" s="430">
        <v>1200</v>
      </c>
      <c r="R10" s="431">
        <v>0.67</v>
      </c>
      <c r="S10" s="428">
        <v>0.05</v>
      </c>
    </row>
    <row r="11" spans="2:19" ht="15.75">
      <c r="B11" s="55" t="s">
        <v>471</v>
      </c>
      <c r="C11" s="56">
        <v>60</v>
      </c>
      <c r="D11" s="56">
        <v>799.8</v>
      </c>
      <c r="E11" s="57" t="s">
        <v>720</v>
      </c>
      <c r="Q11" s="430">
        <v>1200</v>
      </c>
      <c r="R11" s="431">
        <v>0.52</v>
      </c>
      <c r="S11" s="428">
        <v>0.05</v>
      </c>
    </row>
    <row r="12" spans="2:19" ht="15.75">
      <c r="B12" s="55" t="s">
        <v>472</v>
      </c>
      <c r="C12" s="56">
        <v>75</v>
      </c>
      <c r="D12" s="56">
        <v>1085.6</v>
      </c>
      <c r="E12" s="57" t="s">
        <v>721</v>
      </c>
      <c r="Q12" s="430">
        <v>1200</v>
      </c>
      <c r="R12" s="431">
        <v>0.52</v>
      </c>
      <c r="S12" s="428">
        <v>0.05</v>
      </c>
    </row>
    <row r="13" spans="2:19" ht="15.75">
      <c r="B13" s="55" t="s">
        <v>473</v>
      </c>
      <c r="C13" s="56">
        <v>100</v>
      </c>
      <c r="D13" s="56">
        <v>1548</v>
      </c>
      <c r="E13" s="57" t="s">
        <v>723</v>
      </c>
      <c r="Q13" s="430">
        <v>1000</v>
      </c>
      <c r="R13" s="431">
        <v>0.52</v>
      </c>
      <c r="S13" s="428">
        <v>0.05</v>
      </c>
    </row>
    <row r="14" spans="2:19" ht="15.75">
      <c r="B14" s="55" t="s">
        <v>474</v>
      </c>
      <c r="C14" s="56">
        <v>150</v>
      </c>
      <c r="D14" s="56">
        <v>2536.5</v>
      </c>
      <c r="E14" s="57" t="s">
        <v>725</v>
      </c>
      <c r="Q14" s="430">
        <v>1000</v>
      </c>
      <c r="R14" s="431">
        <v>0.52</v>
      </c>
      <c r="S14" s="428">
        <v>0.05</v>
      </c>
    </row>
    <row r="15" spans="2:19" ht="15.75">
      <c r="B15" s="63" t="s">
        <v>274</v>
      </c>
      <c r="C15" s="56"/>
      <c r="D15" s="56"/>
      <c r="E15" s="57"/>
      <c r="Q15" s="430"/>
      <c r="R15" s="431"/>
      <c r="S15" s="428"/>
    </row>
    <row r="16" spans="2:19" ht="15.75">
      <c r="B16" s="55" t="s">
        <v>475</v>
      </c>
      <c r="C16" s="56">
        <v>30</v>
      </c>
      <c r="D16" s="56">
        <v>190.9</v>
      </c>
      <c r="E16" s="57" t="s">
        <v>718</v>
      </c>
      <c r="Q16" s="430">
        <v>1500</v>
      </c>
      <c r="R16" s="431">
        <v>0.67</v>
      </c>
      <c r="S16" s="428">
        <v>0.05</v>
      </c>
    </row>
    <row r="17" spans="2:19" ht="15.75">
      <c r="B17" s="55" t="s">
        <v>476</v>
      </c>
      <c r="C17" s="56">
        <v>50</v>
      </c>
      <c r="D17" s="56">
        <v>339.7</v>
      </c>
      <c r="E17" s="57" t="s">
        <v>719</v>
      </c>
      <c r="Q17" s="430">
        <v>1500</v>
      </c>
      <c r="R17" s="431">
        <v>0.67</v>
      </c>
      <c r="S17" s="428">
        <v>0.05</v>
      </c>
    </row>
    <row r="18" spans="2:19" ht="15.75">
      <c r="B18" s="55" t="s">
        <v>477</v>
      </c>
      <c r="C18" s="56">
        <v>80</v>
      </c>
      <c r="D18" s="56">
        <v>805</v>
      </c>
      <c r="E18" s="57" t="s">
        <v>722</v>
      </c>
      <c r="Q18" s="430">
        <v>1500</v>
      </c>
      <c r="R18" s="431">
        <v>0.67</v>
      </c>
      <c r="S18" s="428">
        <v>0.05</v>
      </c>
    </row>
    <row r="19" spans="2:19" ht="15.75">
      <c r="B19" s="55" t="s">
        <v>478</v>
      </c>
      <c r="C19" s="56">
        <v>100</v>
      </c>
      <c r="D19" s="56">
        <v>857.5</v>
      </c>
      <c r="E19" s="57" t="s">
        <v>723</v>
      </c>
      <c r="Q19" s="430">
        <v>1200</v>
      </c>
      <c r="R19" s="431">
        <v>0.67</v>
      </c>
      <c r="S19" s="428">
        <v>0.05</v>
      </c>
    </row>
    <row r="20" spans="2:19" ht="15.75">
      <c r="B20" s="55" t="s">
        <v>479</v>
      </c>
      <c r="C20" s="56">
        <v>120</v>
      </c>
      <c r="D20" s="56">
        <v>1599.6</v>
      </c>
      <c r="E20" s="57" t="s">
        <v>724</v>
      </c>
      <c r="Q20" s="430">
        <v>1200</v>
      </c>
      <c r="R20" s="431">
        <v>0.52</v>
      </c>
      <c r="S20" s="428">
        <v>0.05</v>
      </c>
    </row>
    <row r="21" spans="2:19" ht="15.75">
      <c r="B21" s="55" t="s">
        <v>480</v>
      </c>
      <c r="C21" s="56">
        <v>150</v>
      </c>
      <c r="D21" s="56">
        <v>2171.2</v>
      </c>
      <c r="E21" s="57" t="s">
        <v>725</v>
      </c>
      <c r="Q21" s="430">
        <v>1200</v>
      </c>
      <c r="R21" s="431">
        <v>0.52</v>
      </c>
      <c r="S21" s="428">
        <v>0.05</v>
      </c>
    </row>
    <row r="22" spans="2:19" ht="15.75">
      <c r="B22" s="55" t="s">
        <v>481</v>
      </c>
      <c r="C22" s="56">
        <v>200</v>
      </c>
      <c r="D22" s="56">
        <v>3096</v>
      </c>
      <c r="E22" s="57" t="s">
        <v>266</v>
      </c>
      <c r="Q22" s="430">
        <v>1000</v>
      </c>
      <c r="R22" s="431">
        <v>0.52</v>
      </c>
      <c r="S22" s="428">
        <v>0.05</v>
      </c>
    </row>
    <row r="23" spans="2:19" ht="15.75">
      <c r="B23" s="55" t="s">
        <v>482</v>
      </c>
      <c r="C23" s="56">
        <v>300</v>
      </c>
      <c r="D23" s="56">
        <v>5073</v>
      </c>
      <c r="E23" s="57" t="s">
        <v>267</v>
      </c>
      <c r="Q23" s="430">
        <v>1000</v>
      </c>
      <c r="R23" s="431">
        <v>0.52</v>
      </c>
      <c r="S23" s="428">
        <v>0.05</v>
      </c>
    </row>
    <row r="24" spans="2:19" ht="15.75">
      <c r="B24" s="63" t="s">
        <v>274</v>
      </c>
      <c r="C24" s="56"/>
      <c r="D24" s="56"/>
      <c r="E24" s="57"/>
      <c r="Q24" s="430"/>
      <c r="R24" s="431"/>
      <c r="S24" s="428"/>
    </row>
    <row r="25" spans="2:19" ht="15.75">
      <c r="B25" s="55" t="s">
        <v>483</v>
      </c>
      <c r="C25" s="56">
        <v>45</v>
      </c>
      <c r="D25" s="56">
        <v>286.35</v>
      </c>
      <c r="E25" s="57" t="s">
        <v>718</v>
      </c>
      <c r="Q25" s="430">
        <v>1500</v>
      </c>
      <c r="R25" s="431">
        <v>0.67</v>
      </c>
      <c r="S25" s="428">
        <v>0.05</v>
      </c>
    </row>
    <row r="26" spans="2:19" ht="15.75">
      <c r="B26" s="55" t="s">
        <v>484</v>
      </c>
      <c r="C26" s="56">
        <v>75</v>
      </c>
      <c r="D26" s="56">
        <v>509.55</v>
      </c>
      <c r="E26" s="57" t="s">
        <v>721</v>
      </c>
      <c r="Q26" s="430">
        <v>1500</v>
      </c>
      <c r="R26" s="431">
        <v>0.67</v>
      </c>
      <c r="S26" s="428">
        <v>0.05</v>
      </c>
    </row>
    <row r="27" spans="2:19" ht="15.75">
      <c r="B27" s="55" t="s">
        <v>485</v>
      </c>
      <c r="C27" s="56">
        <v>120</v>
      </c>
      <c r="D27" s="56">
        <v>1207.5</v>
      </c>
      <c r="E27" s="57" t="s">
        <v>724</v>
      </c>
      <c r="Q27" s="430">
        <v>1500</v>
      </c>
      <c r="R27" s="431">
        <v>0.67</v>
      </c>
      <c r="S27" s="428">
        <v>0.05</v>
      </c>
    </row>
    <row r="28" spans="2:19" ht="15.75">
      <c r="B28" s="55" t="s">
        <v>1228</v>
      </c>
      <c r="C28" s="56">
        <v>150</v>
      </c>
      <c r="D28" s="56">
        <v>1286.25</v>
      </c>
      <c r="E28" s="57" t="s">
        <v>725</v>
      </c>
      <c r="Q28" s="430">
        <v>1200</v>
      </c>
      <c r="R28" s="431">
        <v>0.67</v>
      </c>
      <c r="S28" s="428">
        <v>0.05</v>
      </c>
    </row>
    <row r="29" spans="2:19" ht="15.75">
      <c r="B29" s="55" t="s">
        <v>1338</v>
      </c>
      <c r="C29" s="56">
        <v>180</v>
      </c>
      <c r="D29" s="56">
        <v>2399.4</v>
      </c>
      <c r="E29" s="57" t="s">
        <v>725</v>
      </c>
      <c r="Q29" s="430">
        <v>1200</v>
      </c>
      <c r="R29" s="431">
        <v>0.52</v>
      </c>
      <c r="S29" s="428">
        <v>0.05</v>
      </c>
    </row>
    <row r="30" spans="2:19" ht="15.75">
      <c r="B30" s="55" t="s">
        <v>1339</v>
      </c>
      <c r="C30" s="56">
        <v>225</v>
      </c>
      <c r="D30" s="56">
        <v>3256.8</v>
      </c>
      <c r="E30" s="57" t="s">
        <v>266</v>
      </c>
      <c r="Q30" s="430">
        <v>1200</v>
      </c>
      <c r="R30" s="431">
        <v>0.52</v>
      </c>
      <c r="S30" s="428">
        <v>0.05</v>
      </c>
    </row>
    <row r="31" spans="2:19" ht="15.75">
      <c r="B31" s="55" t="s">
        <v>1340</v>
      </c>
      <c r="C31" s="56">
        <v>300</v>
      </c>
      <c r="D31" s="56">
        <v>4644</v>
      </c>
      <c r="E31" s="57" t="s">
        <v>267</v>
      </c>
      <c r="Q31" s="430">
        <v>1000</v>
      </c>
      <c r="R31" s="431">
        <v>0.52</v>
      </c>
      <c r="S31" s="428">
        <v>0.05</v>
      </c>
    </row>
    <row r="32" spans="2:19" ht="15.75">
      <c r="B32" s="63" t="s">
        <v>274</v>
      </c>
      <c r="C32" s="56"/>
      <c r="D32" s="56"/>
      <c r="E32" s="57"/>
      <c r="Q32" s="430"/>
      <c r="R32" s="431"/>
      <c r="S32" s="428"/>
    </row>
    <row r="33" spans="2:19" ht="15.75">
      <c r="B33" s="55" t="s">
        <v>689</v>
      </c>
      <c r="C33" s="56">
        <f>C9*4</f>
        <v>160</v>
      </c>
      <c r="D33" s="56">
        <f>D9*4</f>
        <v>1610</v>
      </c>
      <c r="E33" s="57" t="s">
        <v>266</v>
      </c>
      <c r="Q33" s="430">
        <v>1500</v>
      </c>
      <c r="R33" s="431">
        <v>0.67</v>
      </c>
      <c r="S33" s="428">
        <v>0.05</v>
      </c>
    </row>
    <row r="34" spans="2:19" ht="15.75">
      <c r="B34" s="55" t="s">
        <v>1341</v>
      </c>
      <c r="C34" s="56">
        <f aca="true" t="shared" si="0" ref="C34:D36">C11*4</f>
        <v>240</v>
      </c>
      <c r="D34" s="56">
        <f t="shared" si="0"/>
        <v>3199.2</v>
      </c>
      <c r="E34" s="57" t="s">
        <v>266</v>
      </c>
      <c r="Q34" s="430">
        <v>1200</v>
      </c>
      <c r="R34" s="431">
        <v>0.67</v>
      </c>
      <c r="S34" s="428">
        <v>0.05</v>
      </c>
    </row>
    <row r="35" spans="2:19" ht="15.75">
      <c r="B35" s="55" t="s">
        <v>655</v>
      </c>
      <c r="C35" s="56">
        <f t="shared" si="0"/>
        <v>300</v>
      </c>
      <c r="D35" s="56">
        <f t="shared" si="0"/>
        <v>4342.4</v>
      </c>
      <c r="E35" s="57" t="s">
        <v>266</v>
      </c>
      <c r="Q35" s="430">
        <v>1200</v>
      </c>
      <c r="R35" s="431">
        <v>0.52</v>
      </c>
      <c r="S35" s="428">
        <v>0.05</v>
      </c>
    </row>
    <row r="36" spans="2:19" ht="15.75">
      <c r="B36" s="55" t="s">
        <v>656</v>
      </c>
      <c r="C36" s="56">
        <f t="shared" si="0"/>
        <v>400</v>
      </c>
      <c r="D36" s="56">
        <f t="shared" si="0"/>
        <v>6192</v>
      </c>
      <c r="E36" s="57" t="s">
        <v>266</v>
      </c>
      <c r="Q36" s="430">
        <v>1200</v>
      </c>
      <c r="R36" s="431">
        <v>0.52</v>
      </c>
      <c r="S36" s="428">
        <v>0.05</v>
      </c>
    </row>
    <row r="37" spans="2:19" ht="15.75">
      <c r="B37" s="63" t="s">
        <v>274</v>
      </c>
      <c r="C37" s="56"/>
      <c r="D37" s="56"/>
      <c r="E37" s="57"/>
      <c r="Q37" s="430"/>
      <c r="R37" s="431"/>
      <c r="S37" s="428"/>
    </row>
    <row r="38" spans="2:19" ht="15.75">
      <c r="B38" s="55" t="s">
        <v>1342</v>
      </c>
      <c r="C38" s="56">
        <v>75</v>
      </c>
      <c r="D38" s="56">
        <v>801</v>
      </c>
      <c r="E38" s="57" t="s">
        <v>721</v>
      </c>
      <c r="Q38" s="430">
        <v>2000</v>
      </c>
      <c r="R38" s="431">
        <v>7</v>
      </c>
      <c r="S38" s="428">
        <v>0.09</v>
      </c>
    </row>
    <row r="39" spans="2:19" ht="15.75">
      <c r="B39" s="55" t="s">
        <v>1343</v>
      </c>
      <c r="C39" s="56">
        <v>90</v>
      </c>
      <c r="D39" s="56">
        <v>1071</v>
      </c>
      <c r="E39" s="57" t="s">
        <v>722</v>
      </c>
      <c r="Q39" s="430">
        <v>2000</v>
      </c>
      <c r="R39" s="431">
        <v>7</v>
      </c>
      <c r="S39" s="428">
        <v>0.09</v>
      </c>
    </row>
    <row r="40" spans="2:19" ht="15.75">
      <c r="B40" s="55" t="s">
        <v>1344</v>
      </c>
      <c r="C40" s="56">
        <v>100</v>
      </c>
      <c r="D40" s="56">
        <v>1071</v>
      </c>
      <c r="E40" s="57" t="s">
        <v>723</v>
      </c>
      <c r="Q40" s="430">
        <v>2000</v>
      </c>
      <c r="R40" s="431">
        <v>7</v>
      </c>
      <c r="S40" s="428">
        <v>0.09</v>
      </c>
    </row>
    <row r="41" spans="2:19" ht="15.75">
      <c r="B41" s="55" t="s">
        <v>1345</v>
      </c>
      <c r="C41" s="56">
        <v>120</v>
      </c>
      <c r="D41" s="56">
        <v>1440</v>
      </c>
      <c r="E41" s="57" t="s">
        <v>724</v>
      </c>
      <c r="Q41" s="430">
        <v>2000</v>
      </c>
      <c r="R41" s="431">
        <v>7</v>
      </c>
      <c r="S41" s="428">
        <v>0.09</v>
      </c>
    </row>
    <row r="42" spans="2:19" ht="15.75">
      <c r="B42" s="55" t="s">
        <v>1346</v>
      </c>
      <c r="C42" s="56">
        <v>150</v>
      </c>
      <c r="D42" s="56">
        <v>1710</v>
      </c>
      <c r="E42" s="57" t="s">
        <v>1193</v>
      </c>
      <c r="Q42" s="430">
        <v>2000</v>
      </c>
      <c r="R42" s="431">
        <v>7</v>
      </c>
      <c r="S42" s="428">
        <v>0.09</v>
      </c>
    </row>
    <row r="43" spans="2:19" ht="15.75">
      <c r="B43" s="63" t="s">
        <v>274</v>
      </c>
      <c r="C43" s="56"/>
      <c r="D43" s="56"/>
      <c r="E43" s="57"/>
      <c r="Q43" s="430"/>
      <c r="R43" s="431"/>
      <c r="S43" s="428"/>
    </row>
    <row r="44" spans="2:19" ht="15.75">
      <c r="B44" s="55" t="s">
        <v>1347</v>
      </c>
      <c r="C44" s="56">
        <v>65</v>
      </c>
      <c r="D44" s="56">
        <v>607.5</v>
      </c>
      <c r="E44" s="57" t="s">
        <v>720</v>
      </c>
      <c r="Q44" s="430">
        <v>2000</v>
      </c>
      <c r="R44" s="431">
        <v>4</v>
      </c>
      <c r="S44" s="428">
        <v>0.09</v>
      </c>
    </row>
    <row r="45" spans="2:19" ht="15.75">
      <c r="B45" s="55" t="s">
        <v>1348</v>
      </c>
      <c r="C45" s="56">
        <v>75</v>
      </c>
      <c r="D45" s="56">
        <v>688.5</v>
      </c>
      <c r="E45" s="57" t="s">
        <v>721</v>
      </c>
      <c r="Q45" s="430">
        <v>2000</v>
      </c>
      <c r="R45" s="431">
        <v>4</v>
      </c>
      <c r="S45" s="428">
        <v>0.09</v>
      </c>
    </row>
    <row r="46" spans="2:19" ht="15.75">
      <c r="B46" s="55" t="s">
        <v>1349</v>
      </c>
      <c r="C46" s="56">
        <v>85</v>
      </c>
      <c r="D46" s="56">
        <v>837</v>
      </c>
      <c r="E46" s="57" t="s">
        <v>722</v>
      </c>
      <c r="Q46" s="430">
        <v>2000</v>
      </c>
      <c r="R46" s="431">
        <v>4</v>
      </c>
      <c r="S46" s="428">
        <v>0.09</v>
      </c>
    </row>
    <row r="47" spans="2:19" ht="15.75">
      <c r="B47" s="55" t="s">
        <v>1350</v>
      </c>
      <c r="C47" s="56">
        <v>100</v>
      </c>
      <c r="D47" s="56">
        <v>1260</v>
      </c>
      <c r="E47" s="57" t="s">
        <v>723</v>
      </c>
      <c r="Q47" s="430">
        <v>2000</v>
      </c>
      <c r="R47" s="431">
        <v>4</v>
      </c>
      <c r="S47" s="428">
        <v>0.09</v>
      </c>
    </row>
    <row r="48" spans="2:19" ht="15.75">
      <c r="B48" s="55" t="s">
        <v>1351</v>
      </c>
      <c r="C48" s="56">
        <v>150</v>
      </c>
      <c r="D48" s="56">
        <v>1566</v>
      </c>
      <c r="E48" s="57" t="s">
        <v>1193</v>
      </c>
      <c r="Q48" s="430">
        <v>2000</v>
      </c>
      <c r="R48" s="431">
        <v>4</v>
      </c>
      <c r="S48" s="428">
        <v>0.09</v>
      </c>
    </row>
    <row r="49" spans="2:19" ht="15.75">
      <c r="B49" s="55" t="s">
        <v>1352</v>
      </c>
      <c r="C49" s="56">
        <v>300</v>
      </c>
      <c r="D49" s="56">
        <v>3132</v>
      </c>
      <c r="E49" s="57" t="s">
        <v>267</v>
      </c>
      <c r="Q49" s="430">
        <v>2000</v>
      </c>
      <c r="R49" s="431">
        <v>4</v>
      </c>
      <c r="S49" s="428">
        <v>0.09</v>
      </c>
    </row>
    <row r="50" spans="2:19" ht="15.75">
      <c r="B50" s="63" t="s">
        <v>274</v>
      </c>
      <c r="C50" s="56"/>
      <c r="D50" s="56"/>
      <c r="E50" s="57"/>
      <c r="Q50" s="430"/>
      <c r="R50" s="431"/>
      <c r="S50" s="428"/>
    </row>
    <row r="51" spans="2:19" ht="15.75">
      <c r="B51" s="55" t="s">
        <v>1353</v>
      </c>
      <c r="C51" s="56">
        <v>200</v>
      </c>
      <c r="D51" s="56">
        <v>3153.5</v>
      </c>
      <c r="E51" s="57" t="s">
        <v>266</v>
      </c>
      <c r="Q51" s="430">
        <v>750</v>
      </c>
      <c r="R51" s="431">
        <v>4.29</v>
      </c>
      <c r="S51" s="428">
        <v>0.09</v>
      </c>
    </row>
    <row r="52" spans="2:19" ht="15.75">
      <c r="B52" s="55" t="s">
        <v>576</v>
      </c>
      <c r="C52" s="56">
        <v>300</v>
      </c>
      <c r="D52" s="56">
        <v>4801.5</v>
      </c>
      <c r="E52" s="57" t="s">
        <v>267</v>
      </c>
      <c r="Q52" s="430">
        <v>750</v>
      </c>
      <c r="R52" s="431">
        <v>4.92</v>
      </c>
      <c r="S52" s="428">
        <v>0.09</v>
      </c>
    </row>
    <row r="53" spans="2:19" ht="15.75">
      <c r="B53" s="55" t="s">
        <v>1354</v>
      </c>
      <c r="C53" s="56">
        <v>500</v>
      </c>
      <c r="D53" s="56">
        <v>8811</v>
      </c>
      <c r="E53" s="57" t="s">
        <v>1192</v>
      </c>
      <c r="Q53" s="430">
        <v>750</v>
      </c>
      <c r="R53" s="431">
        <v>10.84</v>
      </c>
      <c r="S53" s="428">
        <v>0.09</v>
      </c>
    </row>
    <row r="54" spans="2:19" ht="15.75">
      <c r="B54" s="55" t="s">
        <v>577</v>
      </c>
      <c r="C54" s="56">
        <v>620</v>
      </c>
      <c r="D54" s="56">
        <v>9350</v>
      </c>
      <c r="E54" s="57" t="s">
        <v>1192</v>
      </c>
      <c r="Q54" s="430">
        <v>750</v>
      </c>
      <c r="R54" s="431">
        <v>15.36</v>
      </c>
      <c r="S54" s="428">
        <v>0.09</v>
      </c>
    </row>
    <row r="55" spans="2:19" ht="15.75">
      <c r="B55" s="63" t="s">
        <v>274</v>
      </c>
      <c r="C55" s="56"/>
      <c r="D55" s="56"/>
      <c r="E55" s="61"/>
      <c r="H55" s="67"/>
      <c r="L55" s="74"/>
      <c r="M55" s="74"/>
      <c r="Q55" s="430"/>
      <c r="R55" s="431"/>
      <c r="S55" s="428"/>
    </row>
    <row r="56" spans="2:19" ht="15.75">
      <c r="B56" s="55" t="s">
        <v>149</v>
      </c>
      <c r="C56" s="56">
        <v>20</v>
      </c>
      <c r="D56" s="56">
        <v>240</v>
      </c>
      <c r="E56" s="57" t="s">
        <v>579</v>
      </c>
      <c r="Q56" s="430" t="s">
        <v>1263</v>
      </c>
      <c r="R56" s="430" t="s">
        <v>1263</v>
      </c>
      <c r="S56" s="430" t="s">
        <v>1263</v>
      </c>
    </row>
    <row r="57" spans="2:19" ht="15.75">
      <c r="B57" s="55" t="s">
        <v>150</v>
      </c>
      <c r="C57" s="56">
        <v>35</v>
      </c>
      <c r="D57" s="56">
        <v>490</v>
      </c>
      <c r="E57" s="57" t="s">
        <v>579</v>
      </c>
      <c r="Q57" s="430" t="s">
        <v>1263</v>
      </c>
      <c r="R57" s="430" t="s">
        <v>1263</v>
      </c>
      <c r="S57" s="430" t="s">
        <v>1263</v>
      </c>
    </row>
    <row r="58" spans="2:19" ht="15.75">
      <c r="B58" s="55" t="s">
        <v>151</v>
      </c>
      <c r="C58" s="56">
        <v>40</v>
      </c>
      <c r="D58" s="56">
        <v>600</v>
      </c>
      <c r="E58" s="57" t="s">
        <v>580</v>
      </c>
      <c r="Q58" s="430" t="s">
        <v>1263</v>
      </c>
      <c r="R58" s="430" t="s">
        <v>1263</v>
      </c>
      <c r="S58" s="430" t="s">
        <v>1263</v>
      </c>
    </row>
    <row r="59" spans="2:19" ht="15.75">
      <c r="B59" s="55" t="s">
        <v>152</v>
      </c>
      <c r="C59" s="56">
        <v>50</v>
      </c>
      <c r="D59" s="56">
        <v>790</v>
      </c>
      <c r="E59" s="57" t="s">
        <v>582</v>
      </c>
      <c r="Q59" s="430" t="s">
        <v>1263</v>
      </c>
      <c r="R59" s="430" t="s">
        <v>1263</v>
      </c>
      <c r="S59" s="430" t="s">
        <v>1263</v>
      </c>
    </row>
    <row r="60" spans="2:19" ht="15.75">
      <c r="B60" s="55" t="s">
        <v>153</v>
      </c>
      <c r="C60" s="56">
        <v>75</v>
      </c>
      <c r="D60" s="56">
        <v>1320</v>
      </c>
      <c r="E60" s="57" t="s">
        <v>581</v>
      </c>
      <c r="Q60" s="430" t="s">
        <v>1263</v>
      </c>
      <c r="R60" s="430" t="s">
        <v>1263</v>
      </c>
      <c r="S60" s="430" t="s">
        <v>1263</v>
      </c>
    </row>
    <row r="61" spans="2:19" ht="15.75">
      <c r="B61" s="63" t="s">
        <v>274</v>
      </c>
      <c r="C61" s="56"/>
      <c r="D61" s="56"/>
      <c r="E61" s="57"/>
      <c r="Q61" s="430"/>
      <c r="R61" s="431"/>
      <c r="S61" s="428"/>
    </row>
    <row r="62" spans="2:19" ht="15.75">
      <c r="B62" s="55" t="s">
        <v>1144</v>
      </c>
      <c r="C62" s="56">
        <v>100</v>
      </c>
      <c r="D62" s="56">
        <v>1440</v>
      </c>
      <c r="E62" s="57" t="s">
        <v>579</v>
      </c>
      <c r="Q62" s="430">
        <v>1500</v>
      </c>
      <c r="R62" s="431">
        <v>5.99</v>
      </c>
      <c r="S62" s="428">
        <v>0.09</v>
      </c>
    </row>
    <row r="63" spans="2:19" ht="15.75">
      <c r="B63" s="55" t="s">
        <v>1145</v>
      </c>
      <c r="C63" s="56">
        <v>150</v>
      </c>
      <c r="D63" s="56">
        <v>2160</v>
      </c>
      <c r="E63" s="57" t="s">
        <v>579</v>
      </c>
      <c r="Q63" s="430">
        <v>1500</v>
      </c>
      <c r="R63" s="431">
        <v>5.99</v>
      </c>
      <c r="S63" s="428">
        <v>0.09</v>
      </c>
    </row>
    <row r="64" spans="2:19" ht="15.75">
      <c r="B64" s="55" t="s">
        <v>1146</v>
      </c>
      <c r="C64" s="56">
        <v>250</v>
      </c>
      <c r="D64" s="56">
        <v>3600</v>
      </c>
      <c r="E64" s="57" t="s">
        <v>580</v>
      </c>
      <c r="Q64" s="430">
        <v>1500</v>
      </c>
      <c r="R64" s="431">
        <v>6.55</v>
      </c>
      <c r="S64" s="428">
        <v>0.09</v>
      </c>
    </row>
    <row r="65" spans="2:19" ht="15.75">
      <c r="B65" s="55" t="s">
        <v>1147</v>
      </c>
      <c r="C65" s="56">
        <v>300</v>
      </c>
      <c r="D65" s="56">
        <v>4680</v>
      </c>
      <c r="E65" s="57" t="s">
        <v>582</v>
      </c>
      <c r="Q65" s="430">
        <v>1500</v>
      </c>
      <c r="R65" s="431">
        <v>7.05</v>
      </c>
      <c r="S65" s="428">
        <v>0.09</v>
      </c>
    </row>
    <row r="66" spans="2:19" ht="15.75">
      <c r="B66" s="55" t="s">
        <v>1148</v>
      </c>
      <c r="C66" s="56">
        <v>500</v>
      </c>
      <c r="D66" s="56">
        <v>8550</v>
      </c>
      <c r="E66" s="57" t="s">
        <v>581</v>
      </c>
      <c r="Q66" s="430">
        <v>1500</v>
      </c>
      <c r="R66" s="431">
        <v>6.98</v>
      </c>
      <c r="S66" s="428">
        <v>0.09</v>
      </c>
    </row>
    <row r="67" spans="2:19" ht="15.75">
      <c r="B67" s="55" t="s">
        <v>1149</v>
      </c>
      <c r="C67" s="56">
        <v>750</v>
      </c>
      <c r="D67" s="56">
        <v>13500</v>
      </c>
      <c r="E67" s="57" t="s">
        <v>583</v>
      </c>
      <c r="Q67" s="430">
        <v>1500</v>
      </c>
      <c r="R67" s="431">
        <v>14</v>
      </c>
      <c r="S67" s="428">
        <v>0.09</v>
      </c>
    </row>
    <row r="68" spans="2:19" ht="15.75">
      <c r="B68" s="55" t="s">
        <v>1150</v>
      </c>
      <c r="C68" s="56">
        <v>1000</v>
      </c>
      <c r="D68" s="56">
        <v>18900</v>
      </c>
      <c r="E68" s="57" t="s">
        <v>584</v>
      </c>
      <c r="Q68" s="430">
        <v>1500</v>
      </c>
      <c r="R68" s="431">
        <v>14</v>
      </c>
      <c r="S68" s="428">
        <v>0.09</v>
      </c>
    </row>
    <row r="69" spans="2:19" ht="15.75">
      <c r="B69" s="55" t="s">
        <v>1151</v>
      </c>
      <c r="C69" s="56">
        <v>1500</v>
      </c>
      <c r="D69" s="56">
        <v>29700</v>
      </c>
      <c r="E69" s="57" t="s">
        <v>585</v>
      </c>
      <c r="Q69" s="430">
        <v>1500</v>
      </c>
      <c r="R69" s="431">
        <v>14</v>
      </c>
      <c r="S69" s="428">
        <v>0.09</v>
      </c>
    </row>
    <row r="70" spans="2:19" ht="15.75">
      <c r="B70" s="63" t="s">
        <v>275</v>
      </c>
      <c r="C70" s="56"/>
      <c r="D70" s="56"/>
      <c r="E70" s="57"/>
      <c r="Q70" s="430"/>
      <c r="R70" s="431"/>
      <c r="S70" s="428"/>
    </row>
    <row r="71" spans="2:19" ht="15.75">
      <c r="B71" s="55" t="s">
        <v>1336</v>
      </c>
      <c r="C71" s="56">
        <v>24</v>
      </c>
      <c r="D71" s="56">
        <v>960</v>
      </c>
      <c r="E71" s="57" t="s">
        <v>318</v>
      </c>
      <c r="Q71" s="430">
        <v>7500</v>
      </c>
      <c r="R71" s="431">
        <v>2.17</v>
      </c>
      <c r="S71" s="428">
        <v>0.09</v>
      </c>
    </row>
    <row r="72" spans="2:19" ht="15.75">
      <c r="B72" s="55" t="s">
        <v>1337</v>
      </c>
      <c r="C72" s="56">
        <v>36</v>
      </c>
      <c r="D72" s="56">
        <v>1630</v>
      </c>
      <c r="E72" s="57" t="s">
        <v>319</v>
      </c>
      <c r="Q72" s="430">
        <v>18000</v>
      </c>
      <c r="R72" s="431">
        <v>3.29</v>
      </c>
      <c r="S72" s="428">
        <v>0.09</v>
      </c>
    </row>
    <row r="73" spans="2:19" ht="15.75">
      <c r="B73" s="55" t="s">
        <v>315</v>
      </c>
      <c r="C73" s="56">
        <v>48</v>
      </c>
      <c r="D73" s="56">
        <v>2775</v>
      </c>
      <c r="E73" s="57" t="s">
        <v>320</v>
      </c>
      <c r="Q73" s="430">
        <v>20000</v>
      </c>
      <c r="R73" s="431">
        <v>4.8</v>
      </c>
      <c r="S73" s="428">
        <v>0.09</v>
      </c>
    </row>
    <row r="74" spans="2:19" ht="15.75">
      <c r="B74" s="55" t="s">
        <v>316</v>
      </c>
      <c r="C74" s="56">
        <v>86</v>
      </c>
      <c r="D74" s="56">
        <v>5550</v>
      </c>
      <c r="E74" s="57" t="s">
        <v>321</v>
      </c>
      <c r="Q74" s="430">
        <v>20000</v>
      </c>
      <c r="R74" s="431">
        <v>4.8</v>
      </c>
      <c r="S74" s="428">
        <v>0.09</v>
      </c>
    </row>
    <row r="75" spans="2:19" ht="15.75">
      <c r="B75" s="55" t="s">
        <v>317</v>
      </c>
      <c r="C75" s="56">
        <v>65</v>
      </c>
      <c r="D75" s="56">
        <v>4000</v>
      </c>
      <c r="E75" s="57" t="s">
        <v>269</v>
      </c>
      <c r="Q75" s="430">
        <v>12000</v>
      </c>
      <c r="R75" s="431">
        <v>4.28</v>
      </c>
      <c r="S75" s="428">
        <v>0.09</v>
      </c>
    </row>
    <row r="76" spans="2:19" ht="15.75">
      <c r="B76" s="63" t="s">
        <v>274</v>
      </c>
      <c r="C76" s="56"/>
      <c r="D76" s="56"/>
      <c r="E76" s="57"/>
      <c r="Q76" s="430"/>
      <c r="R76" s="431"/>
      <c r="S76" s="428"/>
    </row>
    <row r="77" spans="2:19" ht="15.75">
      <c r="B77" s="55" t="s">
        <v>221</v>
      </c>
      <c r="C77" s="56">
        <v>43</v>
      </c>
      <c r="D77" s="56">
        <v>1890.51</v>
      </c>
      <c r="E77" s="57" t="s">
        <v>268</v>
      </c>
      <c r="Q77" s="430">
        <v>20000</v>
      </c>
      <c r="R77" s="431">
        <v>1.12</v>
      </c>
      <c r="S77" s="428">
        <v>0.09</v>
      </c>
    </row>
    <row r="78" spans="2:19" ht="15.75">
      <c r="B78" s="55" t="s">
        <v>222</v>
      </c>
      <c r="C78" s="56">
        <v>46</v>
      </c>
      <c r="D78" s="56">
        <v>2433.9</v>
      </c>
      <c r="E78" s="57" t="s">
        <v>269</v>
      </c>
      <c r="Q78" s="430">
        <v>20000</v>
      </c>
      <c r="R78" s="431">
        <v>1.12</v>
      </c>
      <c r="S78" s="428">
        <v>0.09</v>
      </c>
    </row>
    <row r="79" spans="2:19" ht="15.75">
      <c r="B79" s="55" t="s">
        <v>223</v>
      </c>
      <c r="C79" s="56">
        <v>48</v>
      </c>
      <c r="D79" s="56">
        <v>1933.97</v>
      </c>
      <c r="E79" s="57" t="s">
        <v>268</v>
      </c>
      <c r="Q79" s="430">
        <v>20000</v>
      </c>
      <c r="R79" s="431">
        <v>1.12</v>
      </c>
      <c r="S79" s="428">
        <v>0.09</v>
      </c>
    </row>
    <row r="80" spans="2:19" ht="15.75">
      <c r="B80" s="55" t="s">
        <v>666</v>
      </c>
      <c r="C80" s="56">
        <v>52</v>
      </c>
      <c r="D80" s="56">
        <v>2433.9</v>
      </c>
      <c r="E80" s="57" t="s">
        <v>269</v>
      </c>
      <c r="Q80" s="430">
        <v>20000</v>
      </c>
      <c r="R80" s="431">
        <v>1.12</v>
      </c>
      <c r="S80" s="428">
        <v>0.09</v>
      </c>
    </row>
    <row r="81" spans="2:19" ht="15.75">
      <c r="B81" s="63" t="s">
        <v>274</v>
      </c>
      <c r="C81" s="56"/>
      <c r="D81" s="56"/>
      <c r="E81" s="57"/>
      <c r="Q81" s="430"/>
      <c r="R81" s="431"/>
      <c r="S81" s="428"/>
    </row>
    <row r="82" spans="2:19" ht="15.75">
      <c r="B82" s="55" t="s">
        <v>667</v>
      </c>
      <c r="C82" s="56">
        <v>72</v>
      </c>
      <c r="D82" s="56">
        <v>3781.02</v>
      </c>
      <c r="E82" s="57" t="s">
        <v>706</v>
      </c>
      <c r="Q82" s="430">
        <v>20000</v>
      </c>
      <c r="R82" s="431">
        <v>1.12</v>
      </c>
      <c r="S82" s="428">
        <v>0.09</v>
      </c>
    </row>
    <row r="83" spans="2:19" ht="15.75">
      <c r="B83" s="55" t="s">
        <v>668</v>
      </c>
      <c r="C83" s="56">
        <v>82</v>
      </c>
      <c r="D83" s="56">
        <v>3867.94</v>
      </c>
      <c r="E83" s="57" t="s">
        <v>706</v>
      </c>
      <c r="Q83" s="430">
        <v>20000</v>
      </c>
      <c r="R83" s="431">
        <v>1.12</v>
      </c>
      <c r="S83" s="428">
        <v>0.09</v>
      </c>
    </row>
    <row r="84" spans="2:19" ht="15.75">
      <c r="B84" s="55" t="s">
        <v>669</v>
      </c>
      <c r="C84" s="56">
        <v>88</v>
      </c>
      <c r="D84" s="56">
        <v>4867.8</v>
      </c>
      <c r="E84" s="57" t="s">
        <v>706</v>
      </c>
      <c r="Q84" s="430">
        <v>20000</v>
      </c>
      <c r="R84" s="431">
        <v>1.12</v>
      </c>
      <c r="S84" s="428">
        <v>0.09</v>
      </c>
    </row>
    <row r="85" spans="2:19" ht="15.75">
      <c r="B85" s="55" t="s">
        <v>670</v>
      </c>
      <c r="C85" s="56">
        <v>96</v>
      </c>
      <c r="D85" s="56">
        <v>4867.8</v>
      </c>
      <c r="E85" s="57" t="s">
        <v>706</v>
      </c>
      <c r="Q85" s="430">
        <v>20000</v>
      </c>
      <c r="R85" s="431">
        <v>1.12</v>
      </c>
      <c r="S85" s="428">
        <v>0.09</v>
      </c>
    </row>
    <row r="86" spans="2:19" ht="15.75">
      <c r="B86" s="63" t="s">
        <v>274</v>
      </c>
      <c r="C86" s="56"/>
      <c r="D86" s="56"/>
      <c r="E86" s="57"/>
      <c r="Q86" s="430"/>
      <c r="R86" s="431"/>
      <c r="S86" s="428"/>
    </row>
    <row r="87" spans="2:19" ht="15.75">
      <c r="B87" s="55" t="s">
        <v>671</v>
      </c>
      <c r="C87" s="56">
        <v>106</v>
      </c>
      <c r="D87" s="56">
        <v>5671.53</v>
      </c>
      <c r="E87" s="57" t="s">
        <v>707</v>
      </c>
      <c r="Q87" s="430">
        <v>20000</v>
      </c>
      <c r="R87" s="431">
        <v>1.12</v>
      </c>
      <c r="S87" s="428">
        <v>0.09</v>
      </c>
    </row>
    <row r="88" spans="2:19" ht="15.75">
      <c r="B88" s="55" t="s">
        <v>671</v>
      </c>
      <c r="C88" s="56">
        <v>112</v>
      </c>
      <c r="D88" s="56">
        <v>5671.53</v>
      </c>
      <c r="E88" s="57" t="s">
        <v>707</v>
      </c>
      <c r="Q88" s="430">
        <v>20000</v>
      </c>
      <c r="R88" s="431">
        <v>1.12</v>
      </c>
      <c r="S88" s="428">
        <v>0.09</v>
      </c>
    </row>
    <row r="89" spans="2:19" ht="15.75">
      <c r="B89" s="55" t="s">
        <v>672</v>
      </c>
      <c r="C89" s="56">
        <v>126</v>
      </c>
      <c r="D89" s="56">
        <v>7301.7</v>
      </c>
      <c r="E89" s="57" t="s">
        <v>708</v>
      </c>
      <c r="Q89" s="430">
        <v>20000</v>
      </c>
      <c r="R89" s="431">
        <v>1.12</v>
      </c>
      <c r="S89" s="428">
        <v>0.09</v>
      </c>
    </row>
    <row r="90" spans="2:19" ht="15.75">
      <c r="B90" s="55" t="s">
        <v>673</v>
      </c>
      <c r="C90" s="56">
        <v>130</v>
      </c>
      <c r="D90" s="56">
        <v>5801.91</v>
      </c>
      <c r="E90" s="57" t="s">
        <v>707</v>
      </c>
      <c r="Q90" s="430">
        <v>20000</v>
      </c>
      <c r="R90" s="431">
        <v>1.12</v>
      </c>
      <c r="S90" s="428">
        <v>0.09</v>
      </c>
    </row>
    <row r="91" spans="2:19" ht="15.75">
      <c r="B91" s="55" t="s">
        <v>672</v>
      </c>
      <c r="C91" s="56">
        <v>134</v>
      </c>
      <c r="D91" s="56">
        <v>7301.7</v>
      </c>
      <c r="E91" s="57" t="s">
        <v>708</v>
      </c>
      <c r="Q91" s="430">
        <v>20000</v>
      </c>
      <c r="R91" s="431">
        <v>1.12</v>
      </c>
      <c r="S91" s="428">
        <v>0.09</v>
      </c>
    </row>
    <row r="92" spans="2:19" ht="15.75">
      <c r="B92" s="55" t="s">
        <v>674</v>
      </c>
      <c r="C92" s="56">
        <v>148</v>
      </c>
      <c r="D92" s="56">
        <v>7301.7</v>
      </c>
      <c r="E92" s="57" t="s">
        <v>708</v>
      </c>
      <c r="Q92" s="430">
        <v>20000</v>
      </c>
      <c r="R92" s="431">
        <v>1.12</v>
      </c>
      <c r="S92" s="428">
        <v>0.09</v>
      </c>
    </row>
    <row r="93" spans="2:19" ht="15.75">
      <c r="B93" s="63" t="s">
        <v>274</v>
      </c>
      <c r="C93" s="56"/>
      <c r="D93" s="56"/>
      <c r="E93" s="57"/>
      <c r="Q93" s="430"/>
      <c r="R93" s="431"/>
      <c r="S93" s="428"/>
    </row>
    <row r="94" spans="2:19" ht="15.75">
      <c r="B94" s="55" t="s">
        <v>675</v>
      </c>
      <c r="C94" s="56">
        <v>144</v>
      </c>
      <c r="D94" s="56">
        <v>7562.04</v>
      </c>
      <c r="E94" s="57" t="s">
        <v>709</v>
      </c>
      <c r="Q94" s="430">
        <v>20000</v>
      </c>
      <c r="R94" s="431">
        <v>1.12</v>
      </c>
      <c r="S94" s="428">
        <v>0.09</v>
      </c>
    </row>
    <row r="95" spans="2:19" ht="15.75">
      <c r="B95" s="55" t="s">
        <v>676</v>
      </c>
      <c r="C95" s="56">
        <v>164</v>
      </c>
      <c r="D95" s="56">
        <v>7735.88</v>
      </c>
      <c r="E95" s="57" t="s">
        <v>709</v>
      </c>
      <c r="Q95" s="430">
        <v>20000</v>
      </c>
      <c r="R95" s="431">
        <v>1.12</v>
      </c>
      <c r="S95" s="428">
        <v>0.09</v>
      </c>
    </row>
    <row r="96" spans="2:19" ht="15.75">
      <c r="B96" s="55" t="s">
        <v>677</v>
      </c>
      <c r="C96" s="56">
        <v>176</v>
      </c>
      <c r="D96" s="56">
        <v>9735.6</v>
      </c>
      <c r="E96" s="57" t="s">
        <v>710</v>
      </c>
      <c r="Q96" s="430">
        <v>20000</v>
      </c>
      <c r="R96" s="431">
        <v>1.12</v>
      </c>
      <c r="S96" s="428">
        <v>0.09</v>
      </c>
    </row>
    <row r="97" spans="2:19" ht="15.75">
      <c r="B97" s="55" t="s">
        <v>647</v>
      </c>
      <c r="C97" s="56">
        <v>192</v>
      </c>
      <c r="D97" s="56">
        <v>9735.6</v>
      </c>
      <c r="E97" s="57" t="s">
        <v>710</v>
      </c>
      <c r="Q97" s="430">
        <v>20000</v>
      </c>
      <c r="R97" s="431">
        <v>1.12</v>
      </c>
      <c r="S97" s="428">
        <v>0.09</v>
      </c>
    </row>
    <row r="98" spans="2:19" ht="15.75">
      <c r="B98" s="63" t="s">
        <v>275</v>
      </c>
      <c r="C98" s="56"/>
      <c r="D98" s="56"/>
      <c r="E98" s="57"/>
      <c r="Q98" s="430"/>
      <c r="R98" s="431"/>
      <c r="S98" s="428"/>
    </row>
    <row r="99" spans="2:19" ht="15.75">
      <c r="B99" s="55" t="s">
        <v>974</v>
      </c>
      <c r="C99" s="56">
        <v>83</v>
      </c>
      <c r="D99" s="56">
        <v>4258.65</v>
      </c>
      <c r="E99" s="57" t="s">
        <v>706</v>
      </c>
      <c r="Q99" s="430">
        <v>12000</v>
      </c>
      <c r="R99" s="431">
        <v>6</v>
      </c>
      <c r="S99" s="428">
        <v>0.09</v>
      </c>
    </row>
    <row r="100" spans="2:19" ht="15.75">
      <c r="B100" s="55" t="s">
        <v>975</v>
      </c>
      <c r="C100" s="56">
        <v>100</v>
      </c>
      <c r="D100" s="56">
        <v>5145.09</v>
      </c>
      <c r="E100" s="57" t="s">
        <v>707</v>
      </c>
      <c r="Q100" s="430">
        <v>12000</v>
      </c>
      <c r="R100" s="431">
        <v>7.02</v>
      </c>
      <c r="S100" s="428">
        <v>0.09</v>
      </c>
    </row>
    <row r="101" spans="2:19" ht="15.75">
      <c r="B101" s="55" t="s">
        <v>976</v>
      </c>
      <c r="C101" s="56">
        <v>125</v>
      </c>
      <c r="D101" s="56">
        <v>5728.8</v>
      </c>
      <c r="E101" s="57" t="s">
        <v>707</v>
      </c>
      <c r="Q101" s="430">
        <v>12000</v>
      </c>
      <c r="R101" s="431">
        <v>7.63</v>
      </c>
      <c r="S101" s="428">
        <v>0.09</v>
      </c>
    </row>
    <row r="102" spans="2:19" ht="15.75">
      <c r="B102" s="55" t="s">
        <v>977</v>
      </c>
      <c r="C102" s="56">
        <v>140</v>
      </c>
      <c r="D102" s="56">
        <v>6715.94</v>
      </c>
      <c r="E102" s="57" t="s">
        <v>711</v>
      </c>
      <c r="Q102" s="430">
        <v>12000</v>
      </c>
      <c r="R102" s="431">
        <v>7.02</v>
      </c>
      <c r="S102" s="428">
        <v>0.09</v>
      </c>
    </row>
    <row r="103" spans="2:19" ht="15.75">
      <c r="B103" s="55" t="s">
        <v>1327</v>
      </c>
      <c r="C103" s="56">
        <v>200</v>
      </c>
      <c r="D103" s="56">
        <v>8370</v>
      </c>
      <c r="E103" s="57" t="s">
        <v>712</v>
      </c>
      <c r="Q103" s="430">
        <v>12000</v>
      </c>
      <c r="R103" s="22">
        <v>12.58</v>
      </c>
      <c r="S103" s="428">
        <v>0.09</v>
      </c>
    </row>
    <row r="104" spans="2:19" ht="15.75">
      <c r="B104" s="55" t="s">
        <v>1328</v>
      </c>
      <c r="C104" s="56">
        <v>230</v>
      </c>
      <c r="D104" s="56">
        <v>9525.6</v>
      </c>
      <c r="E104" s="57" t="s">
        <v>712</v>
      </c>
      <c r="Q104" s="430">
        <v>12000</v>
      </c>
      <c r="R104" s="431">
        <v>11.58</v>
      </c>
      <c r="S104" s="428">
        <v>0.09</v>
      </c>
    </row>
    <row r="105" spans="2:19" ht="15.75">
      <c r="B105" s="63" t="s">
        <v>274</v>
      </c>
      <c r="C105" s="56"/>
      <c r="D105" s="56"/>
      <c r="E105" s="57"/>
      <c r="Q105" s="430"/>
      <c r="R105" s="431"/>
      <c r="S105" s="428"/>
    </row>
    <row r="106" spans="2:19" ht="15.75">
      <c r="B106" s="55" t="s">
        <v>1329</v>
      </c>
      <c r="C106" s="56">
        <v>123</v>
      </c>
      <c r="D106" s="56">
        <v>8321.5</v>
      </c>
      <c r="E106" s="57" t="s">
        <v>713</v>
      </c>
      <c r="Q106" s="430">
        <v>12000</v>
      </c>
      <c r="R106" s="431">
        <v>6</v>
      </c>
      <c r="S106" s="428">
        <v>0.09</v>
      </c>
    </row>
    <row r="107" spans="2:19" ht="15.75">
      <c r="B107" s="55" t="s">
        <v>322</v>
      </c>
      <c r="C107" s="56">
        <v>138</v>
      </c>
      <c r="D107" s="56">
        <v>8517.3</v>
      </c>
      <c r="E107" s="57" t="s">
        <v>713</v>
      </c>
      <c r="Q107" s="430">
        <v>12000</v>
      </c>
      <c r="R107" s="431">
        <v>6</v>
      </c>
      <c r="S107" s="428">
        <v>0.09</v>
      </c>
    </row>
    <row r="108" spans="2:19" ht="15.75">
      <c r="B108" s="55" t="s">
        <v>324</v>
      </c>
      <c r="C108" s="56">
        <v>158</v>
      </c>
      <c r="D108" s="56">
        <v>10180.71</v>
      </c>
      <c r="E108" s="57" t="s">
        <v>713</v>
      </c>
      <c r="Q108" s="430">
        <v>12000</v>
      </c>
      <c r="R108" s="431">
        <v>7.02</v>
      </c>
      <c r="S108" s="428">
        <v>0.09</v>
      </c>
    </row>
    <row r="109" spans="2:19" ht="15.75">
      <c r="B109" s="55" t="s">
        <v>325</v>
      </c>
      <c r="C109" s="56">
        <v>173</v>
      </c>
      <c r="D109" s="56">
        <v>10290.18</v>
      </c>
      <c r="E109" s="57" t="s">
        <v>713</v>
      </c>
      <c r="Q109" s="430">
        <v>12000</v>
      </c>
      <c r="R109" s="431">
        <v>7.02</v>
      </c>
      <c r="S109" s="428">
        <v>0.09</v>
      </c>
    </row>
    <row r="110" spans="2:19" ht="15.75">
      <c r="B110" s="55" t="s">
        <v>326</v>
      </c>
      <c r="C110" s="56">
        <v>227</v>
      </c>
      <c r="D110" s="56">
        <v>11457.6</v>
      </c>
      <c r="E110" s="57" t="s">
        <v>714</v>
      </c>
      <c r="Q110" s="430">
        <v>12000</v>
      </c>
      <c r="R110" s="431">
        <v>7.63</v>
      </c>
      <c r="S110" s="428">
        <v>0.09</v>
      </c>
    </row>
    <row r="111" spans="2:19" ht="15.75">
      <c r="B111" s="55" t="s">
        <v>327</v>
      </c>
      <c r="C111" s="56">
        <v>237</v>
      </c>
      <c r="D111" s="56">
        <v>13431.88</v>
      </c>
      <c r="E111" s="57" t="s">
        <v>714</v>
      </c>
      <c r="Q111" s="430">
        <v>12000</v>
      </c>
      <c r="R111" s="431">
        <v>7.02</v>
      </c>
      <c r="S111" s="428">
        <v>0.09</v>
      </c>
    </row>
    <row r="112" spans="2:19" ht="15.75">
      <c r="B112" s="55" t="s">
        <v>328</v>
      </c>
      <c r="C112" s="56">
        <v>252</v>
      </c>
      <c r="D112" s="56">
        <v>13431.88</v>
      </c>
      <c r="E112" s="57" t="s">
        <v>714</v>
      </c>
      <c r="Q112" s="430">
        <v>12000</v>
      </c>
      <c r="R112" s="431">
        <v>7.02</v>
      </c>
      <c r="S112" s="428">
        <v>0.09</v>
      </c>
    </row>
    <row r="113" spans="2:19" ht="15.75">
      <c r="B113" s="55" t="s">
        <v>329</v>
      </c>
      <c r="C113" s="56">
        <v>325</v>
      </c>
      <c r="D113" s="56">
        <v>16740</v>
      </c>
      <c r="E113" s="57" t="s">
        <v>715</v>
      </c>
      <c r="Q113" s="430">
        <v>12000</v>
      </c>
      <c r="R113" s="22">
        <v>12.58</v>
      </c>
      <c r="S113" s="428">
        <v>0.09</v>
      </c>
    </row>
    <row r="114" spans="2:19" ht="15.75">
      <c r="B114" s="55" t="s">
        <v>330</v>
      </c>
      <c r="C114" s="56">
        <v>440</v>
      </c>
      <c r="D114" s="56">
        <v>19051.2</v>
      </c>
      <c r="E114" s="57" t="s">
        <v>715</v>
      </c>
      <c r="Q114" s="430">
        <v>12000</v>
      </c>
      <c r="R114" s="431">
        <v>11.58</v>
      </c>
      <c r="S114" s="428">
        <v>0.09</v>
      </c>
    </row>
    <row r="115" spans="2:19" ht="15.75">
      <c r="B115" s="63" t="s">
        <v>274</v>
      </c>
      <c r="C115" s="53"/>
      <c r="D115" s="53"/>
      <c r="E115" s="54"/>
      <c r="Q115" s="430"/>
      <c r="R115" s="431"/>
      <c r="S115" s="428"/>
    </row>
    <row r="116" spans="2:19" ht="15.75">
      <c r="B116" s="52" t="s">
        <v>331</v>
      </c>
      <c r="C116" s="53">
        <v>220</v>
      </c>
      <c r="D116" s="53">
        <v>12775.95</v>
      </c>
      <c r="E116" s="54" t="s">
        <v>715</v>
      </c>
      <c r="Q116" s="430">
        <v>12000</v>
      </c>
      <c r="R116" s="431">
        <v>6</v>
      </c>
      <c r="S116" s="428">
        <v>0.09</v>
      </c>
    </row>
    <row r="117" spans="2:19" ht="15.75">
      <c r="B117" s="55" t="s">
        <v>332</v>
      </c>
      <c r="C117" s="56">
        <v>274</v>
      </c>
      <c r="D117" s="56">
        <v>15435.27</v>
      </c>
      <c r="E117" s="57" t="s">
        <v>716</v>
      </c>
      <c r="Q117" s="430">
        <v>12000</v>
      </c>
      <c r="R117" s="431">
        <v>7.02</v>
      </c>
      <c r="S117" s="428">
        <v>0.09</v>
      </c>
    </row>
    <row r="118" spans="2:19" ht="15.75">
      <c r="B118" s="55" t="s">
        <v>333</v>
      </c>
      <c r="C118" s="56">
        <v>352</v>
      </c>
      <c r="D118" s="56">
        <v>17186.4</v>
      </c>
      <c r="E118" s="57" t="s">
        <v>717</v>
      </c>
      <c r="Q118" s="430">
        <v>12000</v>
      </c>
      <c r="R118" s="431">
        <v>7.63</v>
      </c>
      <c r="S118" s="428">
        <v>0.09</v>
      </c>
    </row>
    <row r="119" spans="2:19" ht="15.75">
      <c r="B119" s="55" t="s">
        <v>240</v>
      </c>
      <c r="C119" s="56">
        <v>392</v>
      </c>
      <c r="D119" s="56">
        <v>20147.82</v>
      </c>
      <c r="E119" s="57" t="s">
        <v>717</v>
      </c>
      <c r="Q119" s="430">
        <v>12000</v>
      </c>
      <c r="R119" s="431">
        <v>7.02</v>
      </c>
      <c r="S119" s="428">
        <v>0.09</v>
      </c>
    </row>
    <row r="120" spans="2:19" ht="15.75">
      <c r="B120" s="63" t="s">
        <v>274</v>
      </c>
      <c r="C120" s="56"/>
      <c r="D120" s="56"/>
      <c r="E120" s="57"/>
      <c r="Q120" s="430"/>
      <c r="R120" s="431"/>
      <c r="S120" s="428"/>
    </row>
    <row r="121" spans="2:19" ht="15.75">
      <c r="B121" s="55" t="s">
        <v>241</v>
      </c>
      <c r="C121" s="56">
        <v>246</v>
      </c>
      <c r="D121" s="56">
        <v>16643</v>
      </c>
      <c r="E121" s="57" t="s">
        <v>714</v>
      </c>
      <c r="Q121" s="430">
        <v>12000</v>
      </c>
      <c r="R121" s="431">
        <v>6</v>
      </c>
      <c r="S121" s="428">
        <v>0.09</v>
      </c>
    </row>
    <row r="122" spans="2:19" ht="15.75">
      <c r="B122" s="55" t="s">
        <v>242</v>
      </c>
      <c r="C122" s="56">
        <v>276</v>
      </c>
      <c r="D122" s="56">
        <v>17034.6</v>
      </c>
      <c r="E122" s="57" t="s">
        <v>714</v>
      </c>
      <c r="Q122" s="430">
        <v>12000</v>
      </c>
      <c r="R122" s="431">
        <v>6</v>
      </c>
      <c r="S122" s="428">
        <v>0.09</v>
      </c>
    </row>
    <row r="123" spans="2:19" ht="15.75">
      <c r="B123" s="55" t="s">
        <v>243</v>
      </c>
      <c r="C123" s="56">
        <v>316</v>
      </c>
      <c r="D123" s="56">
        <v>20361.42</v>
      </c>
      <c r="E123" s="57" t="s">
        <v>257</v>
      </c>
      <c r="Q123" s="430">
        <v>12000</v>
      </c>
      <c r="R123" s="431">
        <v>7.02</v>
      </c>
      <c r="S123" s="428">
        <v>0.09</v>
      </c>
    </row>
    <row r="124" spans="2:19" ht="15.75">
      <c r="B124" s="55" t="s">
        <v>244</v>
      </c>
      <c r="C124" s="56">
        <v>346</v>
      </c>
      <c r="D124" s="56">
        <v>20580.36</v>
      </c>
      <c r="E124" s="57" t="s">
        <v>257</v>
      </c>
      <c r="Q124" s="430">
        <v>12000</v>
      </c>
      <c r="R124" s="431">
        <v>7.02</v>
      </c>
      <c r="S124" s="428">
        <v>0.09</v>
      </c>
    </row>
    <row r="125" spans="2:19" ht="15.75">
      <c r="B125" s="55" t="s">
        <v>837</v>
      </c>
      <c r="C125" s="56">
        <v>416</v>
      </c>
      <c r="D125" s="56">
        <v>22915.2</v>
      </c>
      <c r="E125" s="57" t="s">
        <v>257</v>
      </c>
      <c r="Q125" s="430">
        <v>12000</v>
      </c>
      <c r="R125" s="431">
        <v>7.63</v>
      </c>
      <c r="S125" s="428">
        <v>0.09</v>
      </c>
    </row>
    <row r="126" spans="2:19" ht="15.75">
      <c r="B126" s="55" t="s">
        <v>838</v>
      </c>
      <c r="C126" s="56">
        <v>454</v>
      </c>
      <c r="D126" s="56">
        <v>22915.2</v>
      </c>
      <c r="E126" s="57" t="s">
        <v>257</v>
      </c>
      <c r="Q126" s="430">
        <v>12000</v>
      </c>
      <c r="R126" s="431">
        <v>7.02</v>
      </c>
      <c r="S126" s="428">
        <v>0.09</v>
      </c>
    </row>
    <row r="127" spans="2:19" ht="15.75">
      <c r="B127" s="55" t="s">
        <v>839</v>
      </c>
      <c r="C127" s="56">
        <v>474</v>
      </c>
      <c r="D127" s="56">
        <v>26863.76</v>
      </c>
      <c r="E127" s="57" t="s">
        <v>257</v>
      </c>
      <c r="Q127" s="430">
        <v>12000</v>
      </c>
      <c r="R127" s="431">
        <v>7.02</v>
      </c>
      <c r="S127" s="428">
        <v>0.09</v>
      </c>
    </row>
    <row r="128" spans="2:19" ht="15.75">
      <c r="B128" s="55" t="s">
        <v>840</v>
      </c>
      <c r="C128" s="56">
        <v>504</v>
      </c>
      <c r="D128" s="56">
        <v>26863.76</v>
      </c>
      <c r="E128" s="57" t="s">
        <v>257</v>
      </c>
      <c r="Q128" s="430">
        <v>12000</v>
      </c>
      <c r="R128" s="431">
        <v>7.02</v>
      </c>
      <c r="S128" s="428">
        <v>0.09</v>
      </c>
    </row>
    <row r="129" spans="2:19" ht="15.75">
      <c r="B129" s="55" t="s">
        <v>841</v>
      </c>
      <c r="C129" s="56">
        <v>650</v>
      </c>
      <c r="D129" s="56">
        <v>33480</v>
      </c>
      <c r="E129" s="57" t="s">
        <v>257</v>
      </c>
      <c r="Q129" s="430">
        <v>12000</v>
      </c>
      <c r="R129" s="22">
        <v>12.58</v>
      </c>
      <c r="S129" s="428">
        <v>0.09</v>
      </c>
    </row>
    <row r="130" spans="2:19" ht="15.75">
      <c r="B130" s="55" t="s">
        <v>842</v>
      </c>
      <c r="C130" s="56">
        <v>880</v>
      </c>
      <c r="D130" s="56">
        <v>38102.4</v>
      </c>
      <c r="E130" s="57" t="s">
        <v>257</v>
      </c>
      <c r="Q130" s="430">
        <v>12000</v>
      </c>
      <c r="R130" s="431">
        <v>11.58</v>
      </c>
      <c r="S130" s="428">
        <v>0.09</v>
      </c>
    </row>
    <row r="131" spans="2:19" ht="15.75">
      <c r="B131" s="63" t="s">
        <v>275</v>
      </c>
      <c r="C131" s="56"/>
      <c r="D131" s="56"/>
      <c r="E131" s="57"/>
      <c r="Q131" s="430"/>
      <c r="R131" s="431"/>
      <c r="S131" s="428"/>
    </row>
    <row r="132" spans="2:19" ht="15.75">
      <c r="B132" s="55" t="s">
        <v>245</v>
      </c>
      <c r="C132" s="56">
        <v>8</v>
      </c>
      <c r="D132" s="56">
        <v>81.405</v>
      </c>
      <c r="E132" s="57" t="s">
        <v>662</v>
      </c>
      <c r="Q132" s="430">
        <v>6000</v>
      </c>
      <c r="R132" s="431">
        <v>4.92</v>
      </c>
      <c r="S132" s="428">
        <v>0.09</v>
      </c>
    </row>
    <row r="133" spans="2:19" ht="15.75">
      <c r="B133" s="55" t="s">
        <v>246</v>
      </c>
      <c r="C133" s="56">
        <v>10</v>
      </c>
      <c r="D133" s="56">
        <v>177.885</v>
      </c>
      <c r="E133" s="57" t="s">
        <v>662</v>
      </c>
      <c r="Q133" s="430">
        <v>7500</v>
      </c>
      <c r="R133" s="431">
        <v>2.93</v>
      </c>
      <c r="S133" s="428">
        <v>0.09</v>
      </c>
    </row>
    <row r="134" spans="2:19" ht="15.75">
      <c r="B134" s="55" t="s">
        <v>247</v>
      </c>
      <c r="C134" s="56">
        <v>12</v>
      </c>
      <c r="D134" s="56">
        <v>270</v>
      </c>
      <c r="E134" s="57" t="s">
        <v>662</v>
      </c>
      <c r="Q134" s="430">
        <v>7500</v>
      </c>
      <c r="R134" s="431">
        <v>6.46</v>
      </c>
      <c r="S134" s="428">
        <v>0.09</v>
      </c>
    </row>
    <row r="135" spans="2:19" ht="15.75">
      <c r="B135" s="55" t="s">
        <v>248</v>
      </c>
      <c r="C135" s="56">
        <v>19</v>
      </c>
      <c r="D135" s="56">
        <v>554.04</v>
      </c>
      <c r="E135" s="57" t="s">
        <v>662</v>
      </c>
      <c r="Q135" s="430">
        <v>7500</v>
      </c>
      <c r="R135" s="431">
        <v>7.32</v>
      </c>
      <c r="S135" s="428">
        <v>0.09</v>
      </c>
    </row>
    <row r="136" spans="2:19" ht="15.75">
      <c r="B136" s="55" t="s">
        <v>249</v>
      </c>
      <c r="C136" s="56">
        <v>19</v>
      </c>
      <c r="D136" s="56">
        <v>586.575</v>
      </c>
      <c r="E136" s="57" t="s">
        <v>662</v>
      </c>
      <c r="Q136" s="430">
        <v>7500</v>
      </c>
      <c r="R136" s="431">
        <v>2.47</v>
      </c>
      <c r="S136" s="428">
        <v>0.09</v>
      </c>
    </row>
    <row r="137" spans="2:19" ht="15.75">
      <c r="B137" s="55" t="s">
        <v>250</v>
      </c>
      <c r="C137" s="56">
        <v>25</v>
      </c>
      <c r="D137" s="56">
        <v>943.5</v>
      </c>
      <c r="E137" s="57" t="s">
        <v>662</v>
      </c>
      <c r="Q137" s="430">
        <v>9000</v>
      </c>
      <c r="R137" s="431">
        <v>2.17</v>
      </c>
      <c r="S137" s="428">
        <v>0.09</v>
      </c>
    </row>
    <row r="138" spans="2:19" ht="15.75">
      <c r="B138" s="55" t="s">
        <v>843</v>
      </c>
      <c r="C138" s="56">
        <v>25</v>
      </c>
      <c r="D138" s="56">
        <v>504</v>
      </c>
      <c r="E138" s="57" t="s">
        <v>662</v>
      </c>
      <c r="Q138" s="430">
        <v>10000</v>
      </c>
      <c r="R138" s="431">
        <v>4.55</v>
      </c>
      <c r="S138" s="428">
        <v>0.09</v>
      </c>
    </row>
    <row r="139" spans="2:19" ht="15.75">
      <c r="B139" s="55" t="s">
        <v>844</v>
      </c>
      <c r="C139" s="56">
        <v>27</v>
      </c>
      <c r="D139" s="56">
        <v>675</v>
      </c>
      <c r="E139" s="57" t="s">
        <v>662</v>
      </c>
      <c r="Q139" s="430">
        <v>10000</v>
      </c>
      <c r="R139" s="431">
        <v>4.55</v>
      </c>
      <c r="S139" s="428">
        <v>0.09</v>
      </c>
    </row>
    <row r="140" spans="2:19" ht="15.75">
      <c r="B140" s="55" t="s">
        <v>211</v>
      </c>
      <c r="C140" s="56">
        <v>42</v>
      </c>
      <c r="D140" s="56">
        <v>1513.53125</v>
      </c>
      <c r="E140" s="57" t="s">
        <v>662</v>
      </c>
      <c r="Q140" s="430">
        <v>18000</v>
      </c>
      <c r="R140" s="431">
        <v>3.89</v>
      </c>
      <c r="S140" s="428">
        <v>0.09</v>
      </c>
    </row>
    <row r="141" spans="2:19" ht="15.75">
      <c r="B141" s="55" t="s">
        <v>212</v>
      </c>
      <c r="C141" s="56">
        <v>45</v>
      </c>
      <c r="D141" s="56">
        <v>1231.875</v>
      </c>
      <c r="E141" s="57" t="s">
        <v>662</v>
      </c>
      <c r="Q141" s="430">
        <v>10000</v>
      </c>
      <c r="R141" s="431">
        <v>4.55</v>
      </c>
      <c r="S141" s="428">
        <v>0.09</v>
      </c>
    </row>
    <row r="142" spans="2:19" ht="15.75">
      <c r="B142" s="55" t="s">
        <v>213</v>
      </c>
      <c r="C142" s="56">
        <v>46</v>
      </c>
      <c r="D142" s="56">
        <v>1790.5687500000001</v>
      </c>
      <c r="E142" s="57" t="s">
        <v>662</v>
      </c>
      <c r="Q142" s="430">
        <v>18000</v>
      </c>
      <c r="R142" s="431">
        <v>3.29</v>
      </c>
      <c r="S142" s="428">
        <v>0.09</v>
      </c>
    </row>
    <row r="143" spans="2:19" ht="15.75">
      <c r="B143" s="55" t="s">
        <v>251</v>
      </c>
      <c r="C143" s="56">
        <v>46</v>
      </c>
      <c r="D143" s="56">
        <v>1667.0812500000002</v>
      </c>
      <c r="E143" s="57" t="s">
        <v>662</v>
      </c>
      <c r="Q143" s="430">
        <v>18000</v>
      </c>
      <c r="R143" s="431">
        <v>3.29</v>
      </c>
      <c r="S143" s="428">
        <v>0.09</v>
      </c>
    </row>
    <row r="144" spans="2:19" ht="15.75">
      <c r="B144" s="55" t="s">
        <v>252</v>
      </c>
      <c r="C144" s="56">
        <v>46</v>
      </c>
      <c r="D144" s="56">
        <v>1589.3812500000004</v>
      </c>
      <c r="E144" s="57" t="s">
        <v>662</v>
      </c>
      <c r="Q144" s="430">
        <v>7500</v>
      </c>
      <c r="R144" s="431">
        <v>3.85</v>
      </c>
      <c r="S144" s="428">
        <v>0.09</v>
      </c>
    </row>
    <row r="145" spans="2:19" ht="15.75">
      <c r="B145" s="55" t="s">
        <v>214</v>
      </c>
      <c r="C145" s="56">
        <v>48</v>
      </c>
      <c r="D145" s="56">
        <v>2234.4</v>
      </c>
      <c r="E145" s="57" t="s">
        <v>662</v>
      </c>
      <c r="Q145" s="430">
        <v>18000</v>
      </c>
      <c r="R145" s="431">
        <v>5.09</v>
      </c>
      <c r="S145" s="428">
        <v>0.09</v>
      </c>
    </row>
    <row r="146" spans="2:19" ht="15.75">
      <c r="B146" s="55" t="s">
        <v>215</v>
      </c>
      <c r="C146" s="56">
        <v>57</v>
      </c>
      <c r="D146" s="56">
        <v>1822.5</v>
      </c>
      <c r="E146" s="57" t="s">
        <v>662</v>
      </c>
      <c r="Q146" s="430">
        <v>10000</v>
      </c>
      <c r="R146" s="431">
        <v>4.55</v>
      </c>
      <c r="S146" s="428">
        <v>0.09</v>
      </c>
    </row>
    <row r="147" spans="2:19" ht="15.75">
      <c r="B147" s="63" t="s">
        <v>274</v>
      </c>
      <c r="C147" s="56"/>
      <c r="D147" s="56"/>
      <c r="E147" s="57"/>
      <c r="Q147" s="430"/>
      <c r="R147" s="431"/>
      <c r="S147" s="428"/>
    </row>
    <row r="148" spans="2:19" ht="15.75">
      <c r="B148" s="55" t="s">
        <v>253</v>
      </c>
      <c r="C148" s="56">
        <v>50</v>
      </c>
      <c r="D148" s="56">
        <v>1887</v>
      </c>
      <c r="E148" s="57" t="s">
        <v>662</v>
      </c>
      <c r="Q148" s="430">
        <v>9000</v>
      </c>
      <c r="R148" s="431">
        <v>2.17</v>
      </c>
      <c r="S148" s="428">
        <v>0.09</v>
      </c>
    </row>
    <row r="149" spans="2:19" ht="15.75">
      <c r="B149" s="55" t="s">
        <v>216</v>
      </c>
      <c r="C149" s="56">
        <v>66</v>
      </c>
      <c r="D149" s="56">
        <v>3027.0625</v>
      </c>
      <c r="E149" s="57" t="s">
        <v>662</v>
      </c>
      <c r="Q149" s="430">
        <v>18000</v>
      </c>
      <c r="R149" s="431">
        <v>3.89</v>
      </c>
      <c r="S149" s="428">
        <v>0.09</v>
      </c>
    </row>
    <row r="150" spans="2:19" ht="15.75">
      <c r="B150" s="55" t="s">
        <v>254</v>
      </c>
      <c r="C150" s="56">
        <v>74</v>
      </c>
      <c r="D150" s="56">
        <v>3581.1375000000003</v>
      </c>
      <c r="E150" s="57" t="s">
        <v>662</v>
      </c>
      <c r="Q150" s="430">
        <v>18000</v>
      </c>
      <c r="R150" s="431">
        <v>3.29</v>
      </c>
      <c r="S150" s="428">
        <v>0.09</v>
      </c>
    </row>
    <row r="151" spans="2:19" ht="15.75">
      <c r="B151" s="55" t="s">
        <v>218</v>
      </c>
      <c r="C151" s="56">
        <v>74</v>
      </c>
      <c r="D151" s="56">
        <v>3027.0625</v>
      </c>
      <c r="E151" s="57" t="s">
        <v>662</v>
      </c>
      <c r="Q151" s="430">
        <v>18000</v>
      </c>
      <c r="R151" s="431">
        <v>3.89</v>
      </c>
      <c r="S151" s="428">
        <v>0.09</v>
      </c>
    </row>
    <row r="152" spans="2:19" ht="15.75">
      <c r="B152" s="55" t="s">
        <v>219</v>
      </c>
      <c r="C152" s="56">
        <v>79</v>
      </c>
      <c r="D152" s="56">
        <v>3334.1625000000004</v>
      </c>
      <c r="E152" s="57" t="s">
        <v>662</v>
      </c>
      <c r="Q152" s="430">
        <v>18000</v>
      </c>
      <c r="R152" s="431">
        <v>3.29</v>
      </c>
      <c r="S152" s="428">
        <v>0.09</v>
      </c>
    </row>
    <row r="153" spans="2:19" ht="15.75">
      <c r="B153" s="55" t="s">
        <v>255</v>
      </c>
      <c r="C153" s="56">
        <v>79</v>
      </c>
      <c r="D153" s="56">
        <v>3334.1625000000004</v>
      </c>
      <c r="E153" s="57" t="s">
        <v>662</v>
      </c>
      <c r="Q153" s="430">
        <v>18000</v>
      </c>
      <c r="R153" s="431">
        <v>3.29</v>
      </c>
      <c r="S153" s="428">
        <v>0.09</v>
      </c>
    </row>
    <row r="154" spans="2:19" ht="15.75">
      <c r="B154" s="55" t="s">
        <v>256</v>
      </c>
      <c r="C154" s="56">
        <v>79</v>
      </c>
      <c r="D154" s="56">
        <v>3178.7625000000007</v>
      </c>
      <c r="E154" s="57" t="s">
        <v>662</v>
      </c>
      <c r="Q154" s="430">
        <v>7500</v>
      </c>
      <c r="R154" s="431">
        <v>3.85</v>
      </c>
      <c r="S154" s="428">
        <v>0.09</v>
      </c>
    </row>
    <row r="155" spans="2:19" ht="15.75">
      <c r="B155" s="55" t="s">
        <v>220</v>
      </c>
      <c r="C155" s="56">
        <v>86</v>
      </c>
      <c r="D155" s="56">
        <v>4468.8</v>
      </c>
      <c r="E155" s="57" t="s">
        <v>662</v>
      </c>
      <c r="Q155" s="430">
        <v>18000</v>
      </c>
      <c r="R155" s="431">
        <v>5.09</v>
      </c>
      <c r="S155" s="428">
        <v>0.09</v>
      </c>
    </row>
    <row r="156" spans="2:19" ht="15.75">
      <c r="B156" s="63" t="s">
        <v>275</v>
      </c>
      <c r="C156" s="56"/>
      <c r="D156" s="56"/>
      <c r="E156" s="57"/>
      <c r="Q156" s="430"/>
      <c r="R156" s="431"/>
      <c r="S156" s="428"/>
    </row>
    <row r="157" spans="2:19" ht="15.75">
      <c r="B157" s="55" t="s">
        <v>119</v>
      </c>
      <c r="C157" s="56">
        <v>45</v>
      </c>
      <c r="D157" s="56">
        <v>1845</v>
      </c>
      <c r="E157" s="57" t="s">
        <v>662</v>
      </c>
      <c r="Q157" s="430">
        <v>24000</v>
      </c>
      <c r="R157" s="431">
        <v>15.72</v>
      </c>
      <c r="S157" s="428">
        <v>0.4</v>
      </c>
    </row>
    <row r="158" spans="2:19" ht="15.75">
      <c r="B158" s="55" t="s">
        <v>120</v>
      </c>
      <c r="C158" s="56">
        <v>68</v>
      </c>
      <c r="D158" s="56">
        <v>3280</v>
      </c>
      <c r="E158" s="57" t="s">
        <v>662</v>
      </c>
      <c r="Q158" s="430">
        <v>24000</v>
      </c>
      <c r="R158" s="431">
        <v>15.72</v>
      </c>
      <c r="S158" s="428">
        <v>0.4</v>
      </c>
    </row>
    <row r="159" spans="2:19" ht="15.75">
      <c r="B159" s="55" t="s">
        <v>121</v>
      </c>
      <c r="C159" s="56">
        <v>86</v>
      </c>
      <c r="D159" s="56">
        <v>5166</v>
      </c>
      <c r="E159" s="57" t="s">
        <v>662</v>
      </c>
      <c r="Q159" s="430">
        <v>24000</v>
      </c>
      <c r="R159" s="431">
        <v>15.72</v>
      </c>
      <c r="S159" s="428">
        <v>0.4</v>
      </c>
    </row>
    <row r="160" spans="2:19" ht="15.75">
      <c r="B160" s="55" t="s">
        <v>122</v>
      </c>
      <c r="C160" s="56">
        <v>120</v>
      </c>
      <c r="D160" s="56">
        <v>7790</v>
      </c>
      <c r="E160" s="57" t="s">
        <v>662</v>
      </c>
      <c r="Q160" s="430">
        <v>24000</v>
      </c>
      <c r="R160" s="431">
        <v>15.72</v>
      </c>
      <c r="S160" s="428">
        <v>0.4</v>
      </c>
    </row>
    <row r="161" spans="2:19" ht="15.75">
      <c r="B161" s="55" t="s">
        <v>123</v>
      </c>
      <c r="C161" s="56">
        <v>170</v>
      </c>
      <c r="D161" s="56">
        <v>13120</v>
      </c>
      <c r="E161" s="57" t="s">
        <v>662</v>
      </c>
      <c r="Q161" s="430">
        <v>24000</v>
      </c>
      <c r="R161" s="431">
        <v>15.72</v>
      </c>
      <c r="S161" s="428">
        <v>0.4</v>
      </c>
    </row>
    <row r="162" spans="2:19" ht="15.75">
      <c r="B162" s="55" t="s">
        <v>124</v>
      </c>
      <c r="C162" s="56">
        <v>245</v>
      </c>
      <c r="D162" s="56">
        <v>18040</v>
      </c>
      <c r="E162" s="57" t="s">
        <v>662</v>
      </c>
      <c r="Q162" s="430">
        <v>24000</v>
      </c>
      <c r="R162" s="431">
        <v>15.72</v>
      </c>
      <c r="S162" s="428">
        <v>0.4</v>
      </c>
    </row>
    <row r="163" spans="2:19" ht="15.75">
      <c r="B163" s="55" t="s">
        <v>125</v>
      </c>
      <c r="C163" s="56">
        <v>295</v>
      </c>
      <c r="D163" s="56">
        <v>22550</v>
      </c>
      <c r="E163" s="57" t="s">
        <v>662</v>
      </c>
      <c r="Q163" s="430">
        <v>24000</v>
      </c>
      <c r="R163" s="431">
        <v>15.72</v>
      </c>
      <c r="S163" s="428">
        <v>0.4</v>
      </c>
    </row>
    <row r="164" spans="2:19" ht="15.75">
      <c r="B164" s="55" t="s">
        <v>126</v>
      </c>
      <c r="C164" s="56">
        <v>365</v>
      </c>
      <c r="D164" s="56">
        <v>30340</v>
      </c>
      <c r="E164" s="57" t="s">
        <v>662</v>
      </c>
      <c r="Q164" s="430">
        <v>24000</v>
      </c>
      <c r="R164" s="431">
        <v>15.72</v>
      </c>
      <c r="S164" s="428">
        <v>0.4</v>
      </c>
    </row>
    <row r="165" spans="2:19" ht="15.75">
      <c r="B165" s="55" t="s">
        <v>127</v>
      </c>
      <c r="C165" s="56">
        <v>457</v>
      </c>
      <c r="D165" s="56">
        <v>41000</v>
      </c>
      <c r="E165" s="57" t="s">
        <v>662</v>
      </c>
      <c r="Q165" s="430">
        <v>24000</v>
      </c>
      <c r="R165" s="431">
        <v>15.72</v>
      </c>
      <c r="S165" s="428">
        <v>0.4</v>
      </c>
    </row>
    <row r="166" spans="2:19" ht="15.75">
      <c r="B166" s="55" t="s">
        <v>128</v>
      </c>
      <c r="C166" s="56">
        <v>1100</v>
      </c>
      <c r="D166" s="56">
        <v>114800</v>
      </c>
      <c r="E166" s="57" t="s">
        <v>662</v>
      </c>
      <c r="Q166" s="430">
        <v>24000</v>
      </c>
      <c r="R166" s="431">
        <v>47.92</v>
      </c>
      <c r="S166" s="428">
        <v>0.4</v>
      </c>
    </row>
    <row r="167" spans="2:19" ht="15.75">
      <c r="B167" s="63" t="s">
        <v>275</v>
      </c>
      <c r="C167" s="56"/>
      <c r="D167" s="56"/>
      <c r="E167" s="57"/>
      <c r="Q167" s="430"/>
      <c r="R167" s="431"/>
      <c r="S167" s="428"/>
    </row>
    <row r="168" spans="2:19" ht="15.75">
      <c r="B168" s="55" t="s">
        <v>129</v>
      </c>
      <c r="C168" s="56">
        <v>125</v>
      </c>
      <c r="D168" s="56">
        <v>3400</v>
      </c>
      <c r="E168" s="57" t="s">
        <v>258</v>
      </c>
      <c r="Q168" s="430">
        <v>24000</v>
      </c>
      <c r="R168" s="431">
        <v>12.35</v>
      </c>
      <c r="S168" s="428">
        <v>0.4</v>
      </c>
    </row>
    <row r="169" spans="2:19" ht="15.75">
      <c r="B169" s="55" t="s">
        <v>130</v>
      </c>
      <c r="C169" s="56">
        <v>205</v>
      </c>
      <c r="D169" s="56">
        <v>7600</v>
      </c>
      <c r="E169" s="57" t="s">
        <v>259</v>
      </c>
      <c r="Q169" s="430">
        <v>24000</v>
      </c>
      <c r="R169" s="431">
        <v>12.35</v>
      </c>
      <c r="S169" s="428">
        <v>0.4</v>
      </c>
    </row>
    <row r="170" spans="2:19" ht="15.75">
      <c r="B170" s="55" t="s">
        <v>131</v>
      </c>
      <c r="C170" s="56">
        <v>285</v>
      </c>
      <c r="D170" s="56">
        <v>10700</v>
      </c>
      <c r="E170" s="57" t="s">
        <v>260</v>
      </c>
      <c r="Q170" s="430">
        <v>24000</v>
      </c>
      <c r="R170" s="431">
        <v>13.85</v>
      </c>
      <c r="S170" s="428">
        <v>0.4</v>
      </c>
    </row>
    <row r="171" spans="2:19" ht="15.75">
      <c r="B171" s="55" t="s">
        <v>132</v>
      </c>
      <c r="C171" s="56">
        <v>454</v>
      </c>
      <c r="D171" s="56">
        <v>19100</v>
      </c>
      <c r="E171" s="57" t="s">
        <v>257</v>
      </c>
      <c r="Q171" s="430">
        <v>24000</v>
      </c>
      <c r="R171" s="431">
        <v>18.34</v>
      </c>
      <c r="S171" s="428">
        <v>0.4</v>
      </c>
    </row>
    <row r="172" spans="2:19" ht="15.75">
      <c r="B172" s="55" t="s">
        <v>133</v>
      </c>
      <c r="C172" s="56">
        <v>1080</v>
      </c>
      <c r="D172" s="56">
        <v>45000</v>
      </c>
      <c r="E172" s="57" t="s">
        <v>1191</v>
      </c>
      <c r="Q172" s="430">
        <v>24000</v>
      </c>
      <c r="R172" s="431">
        <v>64.08</v>
      </c>
      <c r="S172" s="428">
        <v>0.4</v>
      </c>
    </row>
    <row r="173" spans="2:19" ht="15.75">
      <c r="B173" s="63" t="s">
        <v>275</v>
      </c>
      <c r="C173" s="56"/>
      <c r="D173" s="56"/>
      <c r="E173" s="57"/>
      <c r="Q173" s="430"/>
      <c r="R173" s="431"/>
      <c r="S173" s="428"/>
    </row>
    <row r="174" spans="2:19" ht="15.75">
      <c r="B174" s="55" t="s">
        <v>134</v>
      </c>
      <c r="C174" s="56">
        <v>62</v>
      </c>
      <c r="D174" s="56">
        <v>2006</v>
      </c>
      <c r="E174" s="57" t="s">
        <v>261</v>
      </c>
      <c r="Q174" s="430">
        <v>10000</v>
      </c>
      <c r="R174" s="431">
        <v>23.01</v>
      </c>
      <c r="S174" s="428">
        <v>0.4</v>
      </c>
    </row>
    <row r="175" spans="2:19" ht="15.75">
      <c r="B175" s="55" t="s">
        <v>135</v>
      </c>
      <c r="C175" s="56">
        <v>90</v>
      </c>
      <c r="D175" s="56">
        <v>2950</v>
      </c>
      <c r="E175" s="57" t="s">
        <v>262</v>
      </c>
      <c r="Q175" s="430">
        <v>10000</v>
      </c>
      <c r="R175" s="431">
        <v>23.01</v>
      </c>
      <c r="S175" s="428">
        <v>0.4</v>
      </c>
    </row>
    <row r="176" spans="2:19" ht="15.75">
      <c r="B176" s="55" t="s">
        <v>136</v>
      </c>
      <c r="C176" s="56">
        <v>129</v>
      </c>
      <c r="D176" s="56">
        <v>5440</v>
      </c>
      <c r="E176" s="57" t="s">
        <v>263</v>
      </c>
      <c r="Q176" s="430">
        <v>10000</v>
      </c>
      <c r="R176" s="431">
        <v>18.4</v>
      </c>
      <c r="S176" s="428">
        <v>0.4</v>
      </c>
    </row>
    <row r="177" spans="2:19" ht="15.75">
      <c r="B177" s="55" t="s">
        <v>137</v>
      </c>
      <c r="C177" s="56">
        <v>185</v>
      </c>
      <c r="D177" s="56">
        <v>8640</v>
      </c>
      <c r="E177" s="57" t="s">
        <v>264</v>
      </c>
      <c r="Q177" s="430">
        <v>10000</v>
      </c>
      <c r="R177" s="431">
        <v>18.4</v>
      </c>
      <c r="S177" s="428">
        <v>0.4</v>
      </c>
    </row>
    <row r="178" spans="2:19" ht="15.75">
      <c r="B178" s="55" t="s">
        <v>138</v>
      </c>
      <c r="C178" s="56">
        <v>210</v>
      </c>
      <c r="D178" s="56">
        <v>9400</v>
      </c>
      <c r="E178" s="57" t="s">
        <v>260</v>
      </c>
      <c r="Q178" s="430">
        <v>10000</v>
      </c>
      <c r="R178" s="431">
        <v>18.4</v>
      </c>
      <c r="S178" s="428">
        <v>0.4</v>
      </c>
    </row>
    <row r="179" spans="2:19" ht="15.75">
      <c r="B179" s="55" t="s">
        <v>139</v>
      </c>
      <c r="C179" s="56">
        <v>295</v>
      </c>
      <c r="D179" s="56">
        <v>11300</v>
      </c>
      <c r="E179" s="57" t="s">
        <v>265</v>
      </c>
      <c r="Q179" s="430">
        <v>10000</v>
      </c>
      <c r="R179" s="431">
        <v>18.4</v>
      </c>
      <c r="S179" s="428">
        <v>0.4</v>
      </c>
    </row>
    <row r="180" spans="2:19" ht="15.75">
      <c r="B180" s="55" t="s">
        <v>140</v>
      </c>
      <c r="C180" s="56">
        <v>458</v>
      </c>
      <c r="D180" s="56">
        <v>26000</v>
      </c>
      <c r="E180" s="57" t="s">
        <v>257</v>
      </c>
      <c r="Q180" s="430">
        <v>10000</v>
      </c>
      <c r="R180" s="431">
        <v>18.4</v>
      </c>
      <c r="S180" s="428">
        <v>0.4</v>
      </c>
    </row>
    <row r="181" spans="2:19" ht="15.75">
      <c r="B181" s="55" t="s">
        <v>834</v>
      </c>
      <c r="C181" s="56">
        <v>1080</v>
      </c>
      <c r="D181" s="56">
        <v>78000</v>
      </c>
      <c r="E181" s="58" t="s">
        <v>835</v>
      </c>
      <c r="Q181" s="430">
        <v>10000</v>
      </c>
      <c r="R181" s="431">
        <v>41.41</v>
      </c>
      <c r="S181" s="428">
        <v>0.4</v>
      </c>
    </row>
    <row r="182" spans="2:19" ht="15.75">
      <c r="B182" s="55" t="s">
        <v>118</v>
      </c>
      <c r="C182" s="56">
        <v>1605</v>
      </c>
      <c r="D182" s="56">
        <v>132000</v>
      </c>
      <c r="E182" s="58" t="s">
        <v>836</v>
      </c>
      <c r="Q182" s="430">
        <v>10000</v>
      </c>
      <c r="R182" s="431">
        <v>47.41</v>
      </c>
      <c r="S182" s="428">
        <v>0.4</v>
      </c>
    </row>
    <row r="183" spans="2:19" ht="15.75">
      <c r="B183" s="63" t="s">
        <v>275</v>
      </c>
      <c r="C183" s="56"/>
      <c r="D183" s="56"/>
      <c r="E183" s="58"/>
      <c r="Q183" s="430"/>
      <c r="R183" s="431"/>
      <c r="S183" s="428"/>
    </row>
    <row r="184" spans="2:19" ht="15.75">
      <c r="B184" s="55" t="s">
        <v>1330</v>
      </c>
      <c r="C184" s="56">
        <v>10</v>
      </c>
      <c r="D184" s="56">
        <v>2</v>
      </c>
      <c r="E184" s="57" t="s">
        <v>1335</v>
      </c>
      <c r="Q184" s="430">
        <v>10000</v>
      </c>
      <c r="R184" s="431">
        <v>2.31</v>
      </c>
      <c r="S184" s="428">
        <v>0.1</v>
      </c>
    </row>
    <row r="185" spans="2:19" ht="15.75">
      <c r="B185" s="55" t="s">
        <v>1331</v>
      </c>
      <c r="C185" s="56">
        <v>16</v>
      </c>
      <c r="D185" s="56">
        <v>2</v>
      </c>
      <c r="E185" s="57" t="s">
        <v>1335</v>
      </c>
      <c r="Q185" s="430">
        <v>10000</v>
      </c>
      <c r="R185" s="431">
        <v>2.31</v>
      </c>
      <c r="S185" s="428">
        <v>0.1</v>
      </c>
    </row>
    <row r="186" spans="2:19" ht="15.75">
      <c r="B186" s="55" t="s">
        <v>1332</v>
      </c>
      <c r="C186" s="56">
        <v>20</v>
      </c>
      <c r="D186" s="56">
        <v>2</v>
      </c>
      <c r="E186" s="57" t="s">
        <v>1335</v>
      </c>
      <c r="Q186" s="430">
        <v>10000</v>
      </c>
      <c r="R186" s="431">
        <v>2.31</v>
      </c>
      <c r="S186" s="428">
        <v>0.1</v>
      </c>
    </row>
    <row r="187" spans="2:19" ht="15.75">
      <c r="B187" s="55" t="s">
        <v>1355</v>
      </c>
      <c r="C187" s="56">
        <v>22</v>
      </c>
      <c r="D187" s="56">
        <v>2</v>
      </c>
      <c r="E187" s="57" t="s">
        <v>1335</v>
      </c>
      <c r="Q187" s="430">
        <v>10000</v>
      </c>
      <c r="R187" s="431">
        <v>2.31</v>
      </c>
      <c r="S187" s="428">
        <v>0.1</v>
      </c>
    </row>
    <row r="188" spans="2:19" ht="15.75">
      <c r="B188" s="55" t="s">
        <v>141</v>
      </c>
      <c r="C188" s="56">
        <v>30</v>
      </c>
      <c r="D188" s="56">
        <v>2</v>
      </c>
      <c r="E188" s="57" t="s">
        <v>1335</v>
      </c>
      <c r="Q188" s="430">
        <v>10000</v>
      </c>
      <c r="R188" s="431">
        <v>2.31</v>
      </c>
      <c r="S188" s="428">
        <v>0.1</v>
      </c>
    </row>
    <row r="189" spans="2:19" ht="15.75">
      <c r="B189" s="55" t="s">
        <v>142</v>
      </c>
      <c r="C189" s="56">
        <v>40</v>
      </c>
      <c r="D189" s="56">
        <v>2</v>
      </c>
      <c r="E189" s="57" t="s">
        <v>1335</v>
      </c>
      <c r="Q189" s="430">
        <v>10000</v>
      </c>
      <c r="R189" s="431">
        <v>2.31</v>
      </c>
      <c r="S189" s="428">
        <v>0.1</v>
      </c>
    </row>
    <row r="190" spans="2:19" ht="15.75">
      <c r="B190" s="55" t="s">
        <v>1333</v>
      </c>
      <c r="C190" s="56">
        <v>50</v>
      </c>
      <c r="D190" s="56">
        <v>2</v>
      </c>
      <c r="E190" s="57" t="s">
        <v>1335</v>
      </c>
      <c r="Q190" s="430">
        <v>10000</v>
      </c>
      <c r="R190" s="431">
        <v>2.31</v>
      </c>
      <c r="S190" s="428">
        <v>0.1</v>
      </c>
    </row>
    <row r="191" spans="2:19" ht="15.75">
      <c r="B191" s="55" t="s">
        <v>1334</v>
      </c>
      <c r="C191" s="56">
        <v>80</v>
      </c>
      <c r="D191" s="56">
        <v>2</v>
      </c>
      <c r="E191" s="57" t="s">
        <v>1335</v>
      </c>
      <c r="Q191" s="430">
        <v>10000</v>
      </c>
      <c r="R191" s="431">
        <v>2.31</v>
      </c>
      <c r="S191" s="428">
        <v>0.1</v>
      </c>
    </row>
    <row r="192" spans="2:19" ht="15.75">
      <c r="B192" s="63" t="s">
        <v>275</v>
      </c>
      <c r="C192" s="56"/>
      <c r="D192" s="56"/>
      <c r="E192" s="58"/>
      <c r="Q192" s="430"/>
      <c r="R192" s="431"/>
      <c r="S192" s="428"/>
    </row>
    <row r="193" spans="2:19" ht="15.75">
      <c r="B193" s="55"/>
      <c r="C193" s="56"/>
      <c r="D193" s="56"/>
      <c r="E193" s="57"/>
      <c r="Q193" s="521"/>
      <c r="R193" s="522"/>
      <c r="S193" s="523"/>
    </row>
    <row r="194" spans="2:19" ht="15.75">
      <c r="B194" s="63"/>
      <c r="C194" s="56"/>
      <c r="D194" s="56"/>
      <c r="E194" s="57"/>
      <c r="Q194" s="521"/>
      <c r="R194" s="522"/>
      <c r="S194" s="523"/>
    </row>
    <row r="195" spans="2:19" ht="15.75">
      <c r="B195" s="41"/>
      <c r="C195" s="37"/>
      <c r="D195" s="37"/>
      <c r="E195" s="35"/>
      <c r="Q195" s="524"/>
      <c r="R195" s="524"/>
      <c r="S195" s="524"/>
    </row>
    <row r="196" spans="2:19" ht="15.75">
      <c r="B196" s="41"/>
      <c r="C196" s="37"/>
      <c r="D196" s="37"/>
      <c r="E196" s="35"/>
      <c r="Q196" s="524"/>
      <c r="R196" s="524"/>
      <c r="S196" s="524"/>
    </row>
    <row r="197" spans="2:19" ht="15.75">
      <c r="B197" s="41"/>
      <c r="C197" s="37"/>
      <c r="D197" s="37"/>
      <c r="E197" s="35"/>
      <c r="Q197" s="524"/>
      <c r="R197" s="524"/>
      <c r="S197" s="524"/>
    </row>
    <row r="198" spans="2:19" ht="15.75">
      <c r="B198" s="41"/>
      <c r="C198" s="37"/>
      <c r="D198" s="37"/>
      <c r="E198" s="35"/>
      <c r="Q198" s="524"/>
      <c r="R198" s="524"/>
      <c r="S198" s="524"/>
    </row>
    <row r="199" spans="2:19" ht="15.75">
      <c r="B199" s="41"/>
      <c r="C199" s="37"/>
      <c r="D199" s="37"/>
      <c r="E199" s="35"/>
      <c r="Q199" s="524"/>
      <c r="R199" s="524"/>
      <c r="S199" s="524"/>
    </row>
    <row r="200" spans="2:19" ht="15.75">
      <c r="B200" s="41"/>
      <c r="C200" s="37"/>
      <c r="D200" s="37"/>
      <c r="E200" s="35"/>
      <c r="Q200" s="524"/>
      <c r="R200" s="524"/>
      <c r="S200" s="524"/>
    </row>
    <row r="201" spans="2:19" ht="15.75">
      <c r="B201" s="41"/>
      <c r="C201" s="37"/>
      <c r="D201" s="37"/>
      <c r="E201" s="35"/>
      <c r="Q201" s="524"/>
      <c r="R201" s="524"/>
      <c r="S201" s="524"/>
    </row>
    <row r="202" spans="2:19" ht="15.75">
      <c r="B202" s="41"/>
      <c r="C202" s="37"/>
      <c r="D202" s="37"/>
      <c r="E202" s="35"/>
      <c r="Q202" s="524"/>
      <c r="R202" s="524"/>
      <c r="S202" s="524"/>
    </row>
    <row r="203" spans="2:19" ht="15.75">
      <c r="B203" s="41"/>
      <c r="C203" s="37"/>
      <c r="D203" s="37"/>
      <c r="E203" s="35"/>
      <c r="Q203" s="524"/>
      <c r="R203" s="524"/>
      <c r="S203" s="524"/>
    </row>
    <row r="204" spans="2:19" ht="15.75">
      <c r="B204" s="41"/>
      <c r="C204" s="37"/>
      <c r="D204" s="37"/>
      <c r="E204" s="35"/>
      <c r="Q204" s="524"/>
      <c r="R204" s="524"/>
      <c r="S204" s="524"/>
    </row>
    <row r="205" spans="2:19" ht="15.75">
      <c r="B205" s="41"/>
      <c r="C205" s="37"/>
      <c r="D205" s="37"/>
      <c r="E205" s="35"/>
      <c r="Q205" s="524"/>
      <c r="R205" s="524"/>
      <c r="S205" s="524"/>
    </row>
    <row r="206" spans="2:19" ht="15.75">
      <c r="B206" s="41"/>
      <c r="C206" s="37"/>
      <c r="D206" s="37"/>
      <c r="E206" s="35"/>
      <c r="Q206" s="524"/>
      <c r="R206" s="524"/>
      <c r="S206" s="524"/>
    </row>
    <row r="207" spans="2:19" ht="15.75">
      <c r="B207" s="41"/>
      <c r="C207" s="37"/>
      <c r="D207" s="37"/>
      <c r="E207" s="35"/>
      <c r="Q207" s="524"/>
      <c r="R207" s="524"/>
      <c r="S207" s="524"/>
    </row>
    <row r="208" spans="2:19" ht="15.75">
      <c r="B208" s="41"/>
      <c r="C208" s="37"/>
      <c r="D208" s="37"/>
      <c r="E208" s="35"/>
      <c r="Q208" s="524"/>
      <c r="R208" s="524"/>
      <c r="S208" s="524"/>
    </row>
    <row r="209" spans="2:19" ht="15.75">
      <c r="B209" s="41"/>
      <c r="C209" s="37"/>
      <c r="D209" s="37"/>
      <c r="E209" s="35"/>
      <c r="Q209" s="524"/>
      <c r="R209" s="524"/>
      <c r="S209" s="524"/>
    </row>
    <row r="210" spans="2:19" ht="15.75">
      <c r="B210" s="41"/>
      <c r="C210" s="37"/>
      <c r="D210" s="37"/>
      <c r="E210" s="35"/>
      <c r="Q210" s="524"/>
      <c r="R210" s="524"/>
      <c r="S210" s="524"/>
    </row>
    <row r="211" spans="2:19" ht="15.75">
      <c r="B211" s="41"/>
      <c r="C211" s="37"/>
      <c r="D211" s="37"/>
      <c r="E211" s="35"/>
      <c r="Q211" s="524"/>
      <c r="R211" s="524"/>
      <c r="S211" s="524"/>
    </row>
    <row r="212" spans="2:19" ht="15.75">
      <c r="B212" s="41"/>
      <c r="C212" s="37"/>
      <c r="D212" s="37"/>
      <c r="E212" s="35"/>
      <c r="Q212" s="524"/>
      <c r="R212" s="524"/>
      <c r="S212" s="524"/>
    </row>
    <row r="213" spans="2:19" ht="15.75">
      <c r="B213" s="41"/>
      <c r="C213" s="37"/>
      <c r="D213" s="37"/>
      <c r="E213" s="35"/>
      <c r="Q213" s="524"/>
      <c r="R213" s="524"/>
      <c r="S213" s="524"/>
    </row>
    <row r="214" spans="2:19" ht="15.75">
      <c r="B214" s="41"/>
      <c r="C214" s="37"/>
      <c r="D214" s="37"/>
      <c r="E214" s="35"/>
      <c r="Q214" s="524"/>
      <c r="R214" s="524"/>
      <c r="S214" s="524"/>
    </row>
    <row r="215" spans="2:19" ht="15.75">
      <c r="B215" s="41"/>
      <c r="C215" s="37"/>
      <c r="D215" s="37"/>
      <c r="E215" s="35"/>
      <c r="Q215" s="524"/>
      <c r="R215" s="524"/>
      <c r="S215" s="524"/>
    </row>
    <row r="216" spans="2:19" ht="15.75">
      <c r="B216" s="41"/>
      <c r="C216" s="37"/>
      <c r="D216" s="37"/>
      <c r="E216" s="35"/>
      <c r="Q216" s="524"/>
      <c r="R216" s="524"/>
      <c r="S216" s="524"/>
    </row>
    <row r="217" spans="2:19" ht="15.75">
      <c r="B217" s="41"/>
      <c r="C217" s="37"/>
      <c r="D217" s="37"/>
      <c r="E217" s="35"/>
      <c r="Q217" s="524"/>
      <c r="R217" s="524"/>
      <c r="S217" s="524"/>
    </row>
    <row r="218" spans="2:19" ht="15.75">
      <c r="B218" s="41"/>
      <c r="C218" s="37"/>
      <c r="D218" s="37"/>
      <c r="E218" s="35"/>
      <c r="Q218" s="524"/>
      <c r="R218" s="524"/>
      <c r="S218" s="524"/>
    </row>
    <row r="219" spans="2:19" ht="15.75">
      <c r="B219" s="41"/>
      <c r="C219" s="37"/>
      <c r="D219" s="37"/>
      <c r="E219" s="35"/>
      <c r="Q219" s="524"/>
      <c r="R219" s="524"/>
      <c r="S219" s="524"/>
    </row>
    <row r="220" spans="2:19" ht="15.75">
      <c r="B220" s="41"/>
      <c r="C220" s="37"/>
      <c r="D220" s="37"/>
      <c r="E220" s="35"/>
      <c r="Q220" s="524"/>
      <c r="R220" s="524"/>
      <c r="S220" s="524"/>
    </row>
    <row r="221" spans="2:19" ht="15.75">
      <c r="B221" s="41"/>
      <c r="C221" s="37"/>
      <c r="D221" s="37"/>
      <c r="E221" s="35"/>
      <c r="Q221" s="524"/>
      <c r="R221" s="524"/>
      <c r="S221" s="524"/>
    </row>
    <row r="222" spans="2:19" ht="15.75">
      <c r="B222" s="41"/>
      <c r="C222" s="37"/>
      <c r="D222" s="37"/>
      <c r="E222" s="35"/>
      <c r="Q222" s="524"/>
      <c r="R222" s="524"/>
      <c r="S222" s="524"/>
    </row>
    <row r="223" spans="2:19" ht="15.75">
      <c r="B223" s="41"/>
      <c r="C223" s="37"/>
      <c r="D223" s="37"/>
      <c r="E223" s="35"/>
      <c r="Q223" s="524"/>
      <c r="R223" s="524"/>
      <c r="S223" s="524"/>
    </row>
    <row r="224" spans="2:19" ht="15.75">
      <c r="B224" s="41"/>
      <c r="C224" s="37"/>
      <c r="D224" s="37"/>
      <c r="E224" s="35"/>
      <c r="Q224" s="524"/>
      <c r="R224" s="524"/>
      <c r="S224" s="524"/>
    </row>
    <row r="225" spans="2:19" ht="15.75">
      <c r="B225" s="41"/>
      <c r="C225" s="41"/>
      <c r="D225" s="41"/>
      <c r="E225" s="35"/>
      <c r="Q225" s="524"/>
      <c r="R225" s="524"/>
      <c r="S225" s="524"/>
    </row>
    <row r="226" spans="2:19" ht="15.75">
      <c r="B226" s="41"/>
      <c r="C226" s="41"/>
      <c r="D226" s="41"/>
      <c r="E226" s="35"/>
      <c r="Q226" s="524"/>
      <c r="R226" s="524"/>
      <c r="S226" s="524"/>
    </row>
    <row r="227" spans="2:19" ht="15.75">
      <c r="B227" s="41"/>
      <c r="C227" s="41"/>
      <c r="D227" s="41"/>
      <c r="E227" s="35"/>
      <c r="Q227" s="524"/>
      <c r="R227" s="524"/>
      <c r="S227" s="524"/>
    </row>
    <row r="228" spans="2:19" ht="15.75">
      <c r="B228" s="41"/>
      <c r="C228" s="41"/>
      <c r="D228" s="41"/>
      <c r="E228" s="35"/>
      <c r="Q228" s="524"/>
      <c r="R228" s="524"/>
      <c r="S228" s="524"/>
    </row>
    <row r="229" spans="2:19" ht="15.75">
      <c r="B229" s="41"/>
      <c r="C229" s="41"/>
      <c r="D229" s="41"/>
      <c r="E229" s="35"/>
      <c r="Q229" s="524"/>
      <c r="R229" s="524"/>
      <c r="S229" s="524"/>
    </row>
    <row r="230" spans="2:19" ht="15.75">
      <c r="B230" s="41"/>
      <c r="C230" s="41"/>
      <c r="D230" s="41"/>
      <c r="E230" s="35"/>
      <c r="Q230" s="524"/>
      <c r="R230" s="524"/>
      <c r="S230" s="524"/>
    </row>
    <row r="231" spans="2:19" ht="15.75">
      <c r="B231" s="41"/>
      <c r="C231" s="41"/>
      <c r="D231" s="41"/>
      <c r="E231" s="35"/>
      <c r="Q231" s="524"/>
      <c r="R231" s="524"/>
      <c r="S231" s="524"/>
    </row>
    <row r="232" spans="2:19" ht="15.75">
      <c r="B232" s="41"/>
      <c r="C232" s="41"/>
      <c r="D232" s="41"/>
      <c r="E232" s="35"/>
      <c r="Q232" s="524"/>
      <c r="R232" s="524"/>
      <c r="S232" s="524"/>
    </row>
    <row r="233" spans="2:19" ht="15.75">
      <c r="B233" s="41"/>
      <c r="C233" s="41"/>
      <c r="D233" s="41"/>
      <c r="E233" s="35"/>
      <c r="Q233" s="524"/>
      <c r="R233" s="524"/>
      <c r="S233" s="524"/>
    </row>
    <row r="234" spans="2:19" ht="15.75">
      <c r="B234" s="41"/>
      <c r="C234" s="41"/>
      <c r="D234" s="41"/>
      <c r="E234" s="35"/>
      <c r="Q234" s="524"/>
      <c r="R234" s="524"/>
      <c r="S234" s="524"/>
    </row>
    <row r="235" spans="2:19" ht="15.75">
      <c r="B235" s="41"/>
      <c r="C235" s="41"/>
      <c r="D235" s="41"/>
      <c r="E235" s="35"/>
      <c r="Q235" s="524"/>
      <c r="R235" s="524"/>
      <c r="S235" s="524"/>
    </row>
    <row r="236" spans="2:19" ht="15.75">
      <c r="B236" s="41"/>
      <c r="C236" s="41"/>
      <c r="D236" s="41"/>
      <c r="E236" s="35"/>
      <c r="Q236" s="524"/>
      <c r="R236" s="524"/>
      <c r="S236" s="524"/>
    </row>
    <row r="237" spans="2:19" ht="15.75">
      <c r="B237" s="41"/>
      <c r="C237" s="41"/>
      <c r="D237" s="41"/>
      <c r="E237" s="35"/>
      <c r="Q237" s="524"/>
      <c r="R237" s="524"/>
      <c r="S237" s="524"/>
    </row>
    <row r="238" spans="2:19" ht="15.75">
      <c r="B238" s="41"/>
      <c r="C238" s="41"/>
      <c r="D238" s="41"/>
      <c r="E238" s="35"/>
      <c r="Q238" s="524"/>
      <c r="R238" s="524"/>
      <c r="S238" s="524"/>
    </row>
    <row r="239" spans="2:19" ht="15.75">
      <c r="B239" s="41"/>
      <c r="C239" s="41"/>
      <c r="D239" s="41"/>
      <c r="E239" s="35"/>
      <c r="Q239" s="524"/>
      <c r="R239" s="524"/>
      <c r="S239" s="524"/>
    </row>
    <row r="240" spans="2:19" ht="15.75">
      <c r="B240" s="41"/>
      <c r="C240" s="41"/>
      <c r="D240" s="41"/>
      <c r="E240" s="35"/>
      <c r="Q240" s="524"/>
      <c r="R240" s="524"/>
      <c r="S240" s="524"/>
    </row>
    <row r="241" spans="2:19" ht="15.75">
      <c r="B241" s="41"/>
      <c r="C241" s="41"/>
      <c r="D241" s="41"/>
      <c r="E241" s="35"/>
      <c r="Q241" s="524"/>
      <c r="R241" s="524"/>
      <c r="S241" s="524"/>
    </row>
    <row r="242" spans="2:19" ht="15.75">
      <c r="B242" s="41"/>
      <c r="C242" s="41"/>
      <c r="D242" s="41"/>
      <c r="E242" s="35"/>
      <c r="Q242" s="524"/>
      <c r="R242" s="524"/>
      <c r="S242" s="524"/>
    </row>
    <row r="243" spans="2:19" ht="15.75">
      <c r="B243" s="41"/>
      <c r="C243" s="41"/>
      <c r="D243" s="41"/>
      <c r="E243" s="35"/>
      <c r="Q243" s="524"/>
      <c r="R243" s="524"/>
      <c r="S243" s="524"/>
    </row>
    <row r="244" spans="2:19" ht="15.75">
      <c r="B244" s="41"/>
      <c r="C244" s="41"/>
      <c r="D244" s="41"/>
      <c r="E244" s="35"/>
      <c r="Q244" s="524"/>
      <c r="R244" s="524"/>
      <c r="S244" s="524"/>
    </row>
    <row r="245" spans="2:19" ht="15.75">
      <c r="B245" s="41"/>
      <c r="C245" s="41"/>
      <c r="D245" s="41"/>
      <c r="E245" s="35"/>
      <c r="Q245" s="524"/>
      <c r="R245" s="524"/>
      <c r="S245" s="524"/>
    </row>
    <row r="246" spans="2:19" ht="15.75">
      <c r="B246" s="41"/>
      <c r="C246" s="41"/>
      <c r="D246" s="41"/>
      <c r="E246" s="35"/>
      <c r="Q246" s="524"/>
      <c r="R246" s="524"/>
      <c r="S246" s="524"/>
    </row>
    <row r="247" spans="2:19" ht="15.75">
      <c r="B247" s="41"/>
      <c r="C247" s="41"/>
      <c r="D247" s="41"/>
      <c r="E247" s="35"/>
      <c r="Q247" s="524"/>
      <c r="R247" s="524"/>
      <c r="S247" s="524"/>
    </row>
    <row r="248" spans="2:19" ht="15.75">
      <c r="B248" s="41"/>
      <c r="C248" s="41"/>
      <c r="D248" s="41"/>
      <c r="E248" s="35"/>
      <c r="Q248" s="524"/>
      <c r="R248" s="524"/>
      <c r="S248" s="524"/>
    </row>
    <row r="249" spans="2:19" ht="15.75">
      <c r="B249" s="41"/>
      <c r="C249" s="41"/>
      <c r="D249" s="41"/>
      <c r="E249" s="35"/>
      <c r="Q249" s="524"/>
      <c r="R249" s="524"/>
      <c r="S249" s="524"/>
    </row>
    <row r="250" spans="2:19" ht="15.75">
      <c r="B250" s="41"/>
      <c r="C250" s="41"/>
      <c r="D250" s="41"/>
      <c r="E250" s="35"/>
      <c r="Q250" s="524"/>
      <c r="R250" s="524"/>
      <c r="S250" s="524"/>
    </row>
    <row r="251" spans="2:19" ht="15.75">
      <c r="B251" s="41"/>
      <c r="C251" s="41"/>
      <c r="D251" s="41"/>
      <c r="E251" s="35"/>
      <c r="Q251" s="524"/>
      <c r="R251" s="524"/>
      <c r="S251" s="524"/>
    </row>
    <row r="252" spans="2:19" ht="15.75">
      <c r="B252" s="41"/>
      <c r="C252" s="41"/>
      <c r="D252" s="41"/>
      <c r="E252" s="35"/>
      <c r="Q252" s="524"/>
      <c r="R252" s="524"/>
      <c r="S252" s="524"/>
    </row>
    <row r="253" spans="17:19" ht="15.75">
      <c r="Q253" s="524"/>
      <c r="R253" s="524"/>
      <c r="S253" s="524"/>
    </row>
    <row r="254" spans="17:19" ht="15.75">
      <c r="Q254" s="524"/>
      <c r="R254" s="524"/>
      <c r="S254" s="524"/>
    </row>
    <row r="255" spans="17:19" ht="15.75">
      <c r="Q255" s="524"/>
      <c r="R255" s="524"/>
      <c r="S255" s="524"/>
    </row>
    <row r="256" spans="17:19" ht="15.75">
      <c r="Q256" s="524"/>
      <c r="R256" s="524"/>
      <c r="S256" s="524"/>
    </row>
    <row r="257" spans="17:19" ht="15.75">
      <c r="Q257" s="524"/>
      <c r="R257" s="524"/>
      <c r="S257" s="524"/>
    </row>
    <row r="258" spans="17:19" ht="15.75">
      <c r="Q258" s="524"/>
      <c r="R258" s="524"/>
      <c r="S258" s="524"/>
    </row>
    <row r="259" spans="17:19" ht="15.75">
      <c r="Q259" s="524"/>
      <c r="R259" s="524"/>
      <c r="S259" s="524"/>
    </row>
    <row r="260" spans="17:19" ht="15.75">
      <c r="Q260" s="524"/>
      <c r="R260" s="524"/>
      <c r="S260" s="524"/>
    </row>
    <row r="261" spans="17:19" ht="15.75">
      <c r="Q261" s="524"/>
      <c r="R261" s="524"/>
      <c r="S261" s="524"/>
    </row>
    <row r="262" spans="17:19" ht="15.75">
      <c r="Q262" s="524"/>
      <c r="R262" s="524"/>
      <c r="S262" s="524"/>
    </row>
    <row r="263" spans="17:19" ht="15.75">
      <c r="Q263" s="524"/>
      <c r="R263" s="524"/>
      <c r="S263" s="524"/>
    </row>
    <row r="264" spans="17:19" ht="15.75">
      <c r="Q264" s="524"/>
      <c r="R264" s="524"/>
      <c r="S264" s="524"/>
    </row>
    <row r="265" spans="17:19" ht="15.75">
      <c r="Q265" s="524"/>
      <c r="R265" s="524"/>
      <c r="S265" s="524"/>
    </row>
    <row r="266" spans="17:19" ht="15.75">
      <c r="Q266" s="524"/>
      <c r="R266" s="524"/>
      <c r="S266" s="524"/>
    </row>
    <row r="267" spans="17:19" ht="15.75">
      <c r="Q267" s="524"/>
      <c r="R267" s="524"/>
      <c r="S267" s="524"/>
    </row>
    <row r="268" spans="17:19" ht="15.75">
      <c r="Q268" s="524"/>
      <c r="R268" s="524"/>
      <c r="S268" s="524"/>
    </row>
    <row r="269" spans="17:19" ht="15.75">
      <c r="Q269" s="524"/>
      <c r="R269" s="524"/>
      <c r="S269" s="524"/>
    </row>
    <row r="270" spans="17:19" ht="15.75">
      <c r="Q270" s="524"/>
      <c r="R270" s="524"/>
      <c r="S270" s="524"/>
    </row>
    <row r="271" spans="17:19" ht="15.75">
      <c r="Q271" s="524"/>
      <c r="R271" s="524"/>
      <c r="S271" s="524"/>
    </row>
    <row r="272" spans="17:19" ht="15.75">
      <c r="Q272" s="524"/>
      <c r="R272" s="524"/>
      <c r="S272" s="524"/>
    </row>
    <row r="273" spans="17:19" ht="15.75">
      <c r="Q273" s="524"/>
      <c r="R273" s="524"/>
      <c r="S273" s="524"/>
    </row>
    <row r="274" spans="17:19" ht="15.75">
      <c r="Q274" s="524"/>
      <c r="R274" s="524"/>
      <c r="S274" s="524"/>
    </row>
    <row r="275" spans="17:19" ht="15.75">
      <c r="Q275" s="524"/>
      <c r="R275" s="524"/>
      <c r="S275" s="524"/>
    </row>
    <row r="276" spans="17:19" ht="15.75">
      <c r="Q276" s="524"/>
      <c r="R276" s="524"/>
      <c r="S276" s="524"/>
    </row>
    <row r="277" spans="17:19" ht="15.75">
      <c r="Q277" s="524"/>
      <c r="R277" s="524"/>
      <c r="S277" s="524"/>
    </row>
    <row r="278" spans="17:19" ht="15.75">
      <c r="Q278" s="524"/>
      <c r="R278" s="524"/>
      <c r="S278" s="524"/>
    </row>
    <row r="279" spans="17:19" ht="15.75">
      <c r="Q279" s="524"/>
      <c r="R279" s="524"/>
      <c r="S279" s="524"/>
    </row>
    <row r="280" spans="17:19" ht="15.75">
      <c r="Q280" s="524"/>
      <c r="R280" s="524"/>
      <c r="S280" s="524"/>
    </row>
    <row r="281" spans="17:19" ht="15.75">
      <c r="Q281" s="524"/>
      <c r="R281" s="524"/>
      <c r="S281" s="524"/>
    </row>
    <row r="282" spans="17:19" ht="15.75">
      <c r="Q282" s="524"/>
      <c r="R282" s="524"/>
      <c r="S282" s="524"/>
    </row>
    <row r="283" spans="17:19" ht="15.75">
      <c r="Q283" s="524"/>
      <c r="R283" s="524"/>
      <c r="S283" s="524"/>
    </row>
    <row r="284" spans="17:19" ht="15.75">
      <c r="Q284" s="524"/>
      <c r="R284" s="524"/>
      <c r="S284" s="524"/>
    </row>
    <row r="285" spans="17:19" ht="15.75">
      <c r="Q285" s="524"/>
      <c r="R285" s="524"/>
      <c r="S285" s="524"/>
    </row>
    <row r="286" spans="17:19" ht="15.75">
      <c r="Q286" s="524"/>
      <c r="R286" s="524"/>
      <c r="S286" s="524"/>
    </row>
    <row r="287" spans="17:19" ht="15.75">
      <c r="Q287" s="524"/>
      <c r="R287" s="524"/>
      <c r="S287" s="524"/>
    </row>
    <row r="288" spans="17:19" ht="15.75">
      <c r="Q288" s="524"/>
      <c r="R288" s="524"/>
      <c r="S288" s="524"/>
    </row>
    <row r="289" spans="17:19" ht="15.75">
      <c r="Q289" s="524"/>
      <c r="R289" s="524"/>
      <c r="S289" s="524"/>
    </row>
    <row r="290" spans="17:19" ht="15.75">
      <c r="Q290" s="524"/>
      <c r="R290" s="524"/>
      <c r="S290" s="524"/>
    </row>
    <row r="291" spans="17:19" ht="15.75">
      <c r="Q291" s="524"/>
      <c r="R291" s="524"/>
      <c r="S291" s="524"/>
    </row>
    <row r="292" spans="17:19" ht="15.75">
      <c r="Q292" s="524"/>
      <c r="R292" s="524"/>
      <c r="S292" s="524"/>
    </row>
    <row r="293" spans="17:19" ht="15.75">
      <c r="Q293" s="524"/>
      <c r="R293" s="524"/>
      <c r="S293" s="524"/>
    </row>
    <row r="294" spans="17:19" ht="15.75">
      <c r="Q294" s="524"/>
      <c r="R294" s="524"/>
      <c r="S294" s="524"/>
    </row>
    <row r="295" spans="17:19" ht="15.75">
      <c r="Q295" s="524"/>
      <c r="R295" s="524"/>
      <c r="S295" s="524"/>
    </row>
    <row r="296" spans="17:19" ht="15.75">
      <c r="Q296" s="524"/>
      <c r="R296" s="524"/>
      <c r="S296" s="524"/>
    </row>
    <row r="297" spans="17:19" ht="15.75">
      <c r="Q297" s="524"/>
      <c r="R297" s="524"/>
      <c r="S297" s="524"/>
    </row>
    <row r="298" spans="17:19" ht="15.75">
      <c r="Q298" s="524"/>
      <c r="R298" s="524"/>
      <c r="S298" s="524"/>
    </row>
    <row r="299" spans="17:19" ht="15.75">
      <c r="Q299" s="524"/>
      <c r="R299" s="524"/>
      <c r="S299" s="524"/>
    </row>
    <row r="300" spans="17:19" ht="15.75">
      <c r="Q300" s="524"/>
      <c r="R300" s="524"/>
      <c r="S300" s="524"/>
    </row>
    <row r="301" spans="17:19" ht="15.75">
      <c r="Q301" s="524"/>
      <c r="R301" s="524"/>
      <c r="S301" s="524"/>
    </row>
    <row r="302" spans="17:19" ht="15.75">
      <c r="Q302" s="524"/>
      <c r="R302" s="524"/>
      <c r="S302" s="524"/>
    </row>
    <row r="303" spans="17:19" ht="15.75">
      <c r="Q303" s="524"/>
      <c r="R303" s="524"/>
      <c r="S303" s="524"/>
    </row>
    <row r="304" spans="17:19" ht="15.75">
      <c r="Q304" s="524"/>
      <c r="R304" s="524"/>
      <c r="S304" s="524"/>
    </row>
    <row r="305" spans="17:19" ht="15.75">
      <c r="Q305" s="524"/>
      <c r="R305" s="524"/>
      <c r="S305" s="524"/>
    </row>
    <row r="306" spans="17:19" ht="15.75">
      <c r="Q306" s="524"/>
      <c r="R306" s="524"/>
      <c r="S306" s="524"/>
    </row>
    <row r="307" spans="17:19" ht="15.75">
      <c r="Q307" s="524"/>
      <c r="R307" s="524"/>
      <c r="S307" s="524"/>
    </row>
    <row r="308" spans="17:19" ht="15.75">
      <c r="Q308" s="524"/>
      <c r="R308" s="524"/>
      <c r="S308" s="524"/>
    </row>
    <row r="309" spans="17:19" ht="15.75">
      <c r="Q309" s="524"/>
      <c r="R309" s="524"/>
      <c r="S309" s="524"/>
    </row>
    <row r="310" spans="17:19" ht="15.75">
      <c r="Q310" s="524"/>
      <c r="R310" s="524"/>
      <c r="S310" s="524"/>
    </row>
    <row r="311" spans="17:19" ht="15.75">
      <c r="Q311" s="524"/>
      <c r="R311" s="524"/>
      <c r="S311" s="524"/>
    </row>
    <row r="312" spans="17:19" ht="15.75">
      <c r="Q312" s="524"/>
      <c r="R312" s="524"/>
      <c r="S312" s="524"/>
    </row>
    <row r="313" spans="17:19" ht="15.75">
      <c r="Q313" s="524"/>
      <c r="R313" s="524"/>
      <c r="S313" s="524"/>
    </row>
    <row r="314" spans="17:19" ht="15.75">
      <c r="Q314" s="524"/>
      <c r="R314" s="524"/>
      <c r="S314" s="524"/>
    </row>
    <row r="315" spans="17:19" ht="15.75">
      <c r="Q315" s="524"/>
      <c r="R315" s="524"/>
      <c r="S315" s="524"/>
    </row>
    <row r="316" spans="17:19" ht="15.75">
      <c r="Q316" s="524"/>
      <c r="R316" s="524"/>
      <c r="S316" s="524"/>
    </row>
    <row r="317" spans="17:19" ht="15.75">
      <c r="Q317" s="524"/>
      <c r="R317" s="524"/>
      <c r="S317" s="524"/>
    </row>
    <row r="318" spans="17:19" ht="15.75">
      <c r="Q318" s="524"/>
      <c r="R318" s="524"/>
      <c r="S318" s="524"/>
    </row>
    <row r="319" spans="17:19" ht="15.75">
      <c r="Q319" s="524"/>
      <c r="R319" s="524"/>
      <c r="S319" s="524"/>
    </row>
    <row r="320" spans="17:19" ht="15.75">
      <c r="Q320" s="524"/>
      <c r="R320" s="524"/>
      <c r="S320" s="524"/>
    </row>
    <row r="321" spans="17:19" ht="15.75">
      <c r="Q321" s="524"/>
      <c r="R321" s="524"/>
      <c r="S321" s="524"/>
    </row>
    <row r="322" spans="17:19" ht="15.75">
      <c r="Q322" s="524"/>
      <c r="R322" s="524"/>
      <c r="S322" s="524"/>
    </row>
    <row r="323" spans="17:19" ht="15.75">
      <c r="Q323" s="524"/>
      <c r="R323" s="524"/>
      <c r="S323" s="524"/>
    </row>
    <row r="324" spans="17:19" ht="15.75">
      <c r="Q324" s="524"/>
      <c r="R324" s="524"/>
      <c r="S324" s="524"/>
    </row>
    <row r="325" spans="17:19" ht="15.75">
      <c r="Q325" s="524"/>
      <c r="R325" s="524"/>
      <c r="S325" s="524"/>
    </row>
    <row r="326" spans="17:19" ht="15.75">
      <c r="Q326" s="524"/>
      <c r="R326" s="524"/>
      <c r="S326" s="524"/>
    </row>
    <row r="327" spans="17:19" ht="15.75">
      <c r="Q327" s="524"/>
      <c r="R327" s="524"/>
      <c r="S327" s="524"/>
    </row>
    <row r="328" spans="17:19" ht="15.75">
      <c r="Q328" s="524"/>
      <c r="R328" s="524"/>
      <c r="S328" s="524"/>
    </row>
    <row r="329" spans="17:19" ht="15.75">
      <c r="Q329" s="524"/>
      <c r="R329" s="524"/>
      <c r="S329" s="524"/>
    </row>
    <row r="330" spans="17:19" ht="15.75">
      <c r="Q330" s="524"/>
      <c r="R330" s="524"/>
      <c r="S330" s="524"/>
    </row>
    <row r="331" spans="17:19" ht="15.75">
      <c r="Q331" s="524"/>
      <c r="R331" s="524"/>
      <c r="S331" s="524"/>
    </row>
    <row r="332" spans="17:19" ht="15.75">
      <c r="Q332" s="524"/>
      <c r="R332" s="524"/>
      <c r="S332" s="524"/>
    </row>
    <row r="333" spans="17:19" ht="15.75">
      <c r="Q333" s="524"/>
      <c r="R333" s="524"/>
      <c r="S333" s="524"/>
    </row>
    <row r="334" spans="17:19" ht="15.75">
      <c r="Q334" s="524"/>
      <c r="R334" s="524"/>
      <c r="S334" s="524"/>
    </row>
    <row r="335" spans="17:19" ht="15.75">
      <c r="Q335" s="524"/>
      <c r="R335" s="524"/>
      <c r="S335" s="524"/>
    </row>
    <row r="336" spans="17:19" ht="15.75">
      <c r="Q336" s="524"/>
      <c r="R336" s="524"/>
      <c r="S336" s="524"/>
    </row>
    <row r="337" spans="17:19" ht="15.75">
      <c r="Q337" s="524"/>
      <c r="R337" s="524"/>
      <c r="S337" s="524"/>
    </row>
    <row r="338" spans="17:19" ht="15.75">
      <c r="Q338" s="524"/>
      <c r="R338" s="524"/>
      <c r="S338" s="524"/>
    </row>
    <row r="339" spans="17:19" ht="15.75">
      <c r="Q339" s="524"/>
      <c r="R339" s="524"/>
      <c r="S339" s="524"/>
    </row>
    <row r="340" spans="17:19" ht="15.75">
      <c r="Q340" s="524"/>
      <c r="R340" s="524"/>
      <c r="S340" s="524"/>
    </row>
    <row r="341" spans="17:19" ht="15.75">
      <c r="Q341" s="524"/>
      <c r="R341" s="524"/>
      <c r="S341" s="524"/>
    </row>
    <row r="342" spans="17:19" ht="15.75">
      <c r="Q342" s="524"/>
      <c r="R342" s="524"/>
      <c r="S342" s="524"/>
    </row>
    <row r="343" spans="17:19" ht="15.75">
      <c r="Q343" s="524"/>
      <c r="R343" s="524"/>
      <c r="S343" s="524"/>
    </row>
    <row r="344" spans="17:19" ht="15.75">
      <c r="Q344" s="524"/>
      <c r="R344" s="524"/>
      <c r="S344" s="524"/>
    </row>
    <row r="345" spans="17:19" ht="15.75">
      <c r="Q345" s="524"/>
      <c r="R345" s="524"/>
      <c r="S345" s="524"/>
    </row>
    <row r="346" spans="17:19" ht="15.75">
      <c r="Q346" s="524"/>
      <c r="R346" s="524"/>
      <c r="S346" s="524"/>
    </row>
    <row r="347" spans="17:19" ht="15.75">
      <c r="Q347" s="524"/>
      <c r="R347" s="524"/>
      <c r="S347" s="524"/>
    </row>
    <row r="348" spans="17:19" ht="15.75">
      <c r="Q348" s="524"/>
      <c r="R348" s="524"/>
      <c r="S348" s="524"/>
    </row>
    <row r="349" spans="17:19" ht="15.75">
      <c r="Q349" s="524"/>
      <c r="R349" s="524"/>
      <c r="S349" s="524"/>
    </row>
    <row r="350" spans="17:19" ht="15.75">
      <c r="Q350" s="524"/>
      <c r="R350" s="524"/>
      <c r="S350" s="524"/>
    </row>
    <row r="351" spans="17:19" ht="15.75">
      <c r="Q351" s="524"/>
      <c r="R351" s="524"/>
      <c r="S351" s="524"/>
    </row>
    <row r="352" spans="17:19" ht="15.75">
      <c r="Q352" s="524"/>
      <c r="R352" s="524"/>
      <c r="S352" s="524"/>
    </row>
    <row r="353" spans="17:19" ht="15.75">
      <c r="Q353" s="524"/>
      <c r="R353" s="524"/>
      <c r="S353" s="524"/>
    </row>
    <row r="354" spans="17:19" ht="15.75">
      <c r="Q354" s="524"/>
      <c r="R354" s="524"/>
      <c r="S354" s="524"/>
    </row>
    <row r="355" spans="17:19" ht="15.75">
      <c r="Q355" s="524"/>
      <c r="R355" s="524"/>
      <c r="S355" s="524"/>
    </row>
    <row r="356" spans="17:19" ht="15.75">
      <c r="Q356" s="524"/>
      <c r="R356" s="524"/>
      <c r="S356" s="524"/>
    </row>
    <row r="357" spans="17:19" ht="15.75">
      <c r="Q357" s="524"/>
      <c r="R357" s="524"/>
      <c r="S357" s="524"/>
    </row>
    <row r="358" spans="17:19" ht="15.75">
      <c r="Q358" s="524"/>
      <c r="R358" s="524"/>
      <c r="S358" s="524"/>
    </row>
    <row r="359" spans="17:19" ht="15.75">
      <c r="Q359" s="524"/>
      <c r="R359" s="524"/>
      <c r="S359" s="524"/>
    </row>
    <row r="360" spans="17:19" ht="15.75">
      <c r="Q360" s="524"/>
      <c r="R360" s="524"/>
      <c r="S360" s="524"/>
    </row>
    <row r="361" spans="17:19" ht="15.75">
      <c r="Q361" s="524"/>
      <c r="R361" s="524"/>
      <c r="S361" s="524"/>
    </row>
    <row r="362" spans="17:19" ht="15.75">
      <c r="Q362" s="524"/>
      <c r="R362" s="524"/>
      <c r="S362" s="524"/>
    </row>
    <row r="363" spans="17:19" ht="15.75">
      <c r="Q363" s="524"/>
      <c r="R363" s="524"/>
      <c r="S363" s="524"/>
    </row>
    <row r="364" spans="17:19" ht="15.75">
      <c r="Q364" s="524"/>
      <c r="R364" s="524"/>
      <c r="S364" s="524"/>
    </row>
    <row r="365" spans="17:19" ht="15.75">
      <c r="Q365" s="524"/>
      <c r="R365" s="524"/>
      <c r="S365" s="524"/>
    </row>
    <row r="366" spans="17:19" ht="15.75">
      <c r="Q366" s="524"/>
      <c r="R366" s="524"/>
      <c r="S366" s="524"/>
    </row>
    <row r="367" spans="17:19" ht="15.75">
      <c r="Q367" s="524"/>
      <c r="R367" s="524"/>
      <c r="S367" s="524"/>
    </row>
    <row r="368" spans="17:19" ht="15.75">
      <c r="Q368" s="524"/>
      <c r="R368" s="524"/>
      <c r="S368" s="524"/>
    </row>
    <row r="369" spans="17:19" ht="15.75">
      <c r="Q369" s="524"/>
      <c r="R369" s="524"/>
      <c r="S369" s="524"/>
    </row>
    <row r="370" spans="17:19" ht="15.75">
      <c r="Q370" s="524"/>
      <c r="R370" s="524"/>
      <c r="S370" s="524"/>
    </row>
    <row r="371" spans="17:19" ht="15.75">
      <c r="Q371" s="524"/>
      <c r="R371" s="524"/>
      <c r="S371" s="524"/>
    </row>
    <row r="372" spans="17:19" ht="15.75">
      <c r="Q372" s="524"/>
      <c r="R372" s="524"/>
      <c r="S372" s="524"/>
    </row>
    <row r="373" spans="17:19" ht="15.75">
      <c r="Q373" s="524"/>
      <c r="R373" s="524"/>
      <c r="S373" s="524"/>
    </row>
    <row r="374" spans="17:19" ht="15.75">
      <c r="Q374" s="524"/>
      <c r="R374" s="524"/>
      <c r="S374" s="524"/>
    </row>
    <row r="375" spans="17:19" ht="15.75">
      <c r="Q375" s="524"/>
      <c r="R375" s="524"/>
      <c r="S375" s="524"/>
    </row>
    <row r="376" spans="17:19" ht="15.75">
      <c r="Q376" s="524"/>
      <c r="R376" s="524"/>
      <c r="S376" s="524"/>
    </row>
    <row r="377" spans="17:19" ht="15.75">
      <c r="Q377" s="524"/>
      <c r="R377" s="524"/>
      <c r="S377" s="524"/>
    </row>
    <row r="378" spans="17:19" ht="15.75">
      <c r="Q378" s="524"/>
      <c r="R378" s="524"/>
      <c r="S378" s="524"/>
    </row>
    <row r="379" spans="17:19" ht="15.75">
      <c r="Q379" s="524"/>
      <c r="R379" s="524"/>
      <c r="S379" s="524"/>
    </row>
    <row r="380" spans="17:19" ht="15.75">
      <c r="Q380" s="524"/>
      <c r="R380" s="524"/>
      <c r="S380" s="524"/>
    </row>
    <row r="381" spans="17:19" ht="15.75">
      <c r="Q381" s="524"/>
      <c r="R381" s="524"/>
      <c r="S381" s="524"/>
    </row>
    <row r="382" spans="17:19" ht="15.75">
      <c r="Q382" s="524"/>
      <c r="R382" s="524"/>
      <c r="S382" s="524"/>
    </row>
    <row r="383" spans="17:19" ht="15.75">
      <c r="Q383" s="524"/>
      <c r="R383" s="524"/>
      <c r="S383" s="524"/>
    </row>
    <row r="384" spans="17:19" ht="15.75">
      <c r="Q384" s="524"/>
      <c r="R384" s="524"/>
      <c r="S384" s="524"/>
    </row>
    <row r="385" spans="17:19" ht="15.75">
      <c r="Q385" s="524"/>
      <c r="R385" s="524"/>
      <c r="S385" s="524"/>
    </row>
    <row r="386" spans="17:19" ht="15.75">
      <c r="Q386" s="524"/>
      <c r="R386" s="524"/>
      <c r="S386" s="524"/>
    </row>
    <row r="387" spans="17:19" ht="15.75">
      <c r="Q387" s="524"/>
      <c r="R387" s="524"/>
      <c r="S387" s="524"/>
    </row>
    <row r="388" spans="17:19" ht="15.75">
      <c r="Q388" s="524"/>
      <c r="R388" s="524"/>
      <c r="S388" s="524"/>
    </row>
    <row r="389" spans="17:19" ht="15.75">
      <c r="Q389" s="524"/>
      <c r="R389" s="524"/>
      <c r="S389" s="524"/>
    </row>
    <row r="390" spans="17:19" ht="15.75">
      <c r="Q390" s="524"/>
      <c r="R390" s="524"/>
      <c r="S390" s="524"/>
    </row>
    <row r="391" spans="17:19" ht="15.75">
      <c r="Q391" s="524"/>
      <c r="R391" s="524"/>
      <c r="S391" s="524"/>
    </row>
    <row r="392" spans="17:19" ht="15.75">
      <c r="Q392" s="524"/>
      <c r="R392" s="524"/>
      <c r="S392" s="524"/>
    </row>
    <row r="393" spans="17:19" ht="15.75">
      <c r="Q393" s="524"/>
      <c r="R393" s="524"/>
      <c r="S393" s="524"/>
    </row>
    <row r="394" spans="17:19" ht="15.75">
      <c r="Q394" s="524"/>
      <c r="R394" s="524"/>
      <c r="S394" s="524"/>
    </row>
    <row r="395" spans="17:19" ht="15.75">
      <c r="Q395" s="524"/>
      <c r="R395" s="524"/>
      <c r="S395" s="524"/>
    </row>
    <row r="396" spans="17:19" ht="15.75">
      <c r="Q396" s="524"/>
      <c r="R396" s="524"/>
      <c r="S396" s="524"/>
    </row>
    <row r="397" spans="17:19" ht="15.75">
      <c r="Q397" s="524"/>
      <c r="R397" s="524"/>
      <c r="S397" s="524"/>
    </row>
    <row r="398" spans="17:19" ht="15.75">
      <c r="Q398" s="524"/>
      <c r="R398" s="524"/>
      <c r="S398" s="524"/>
    </row>
    <row r="399" spans="17:19" ht="15.75">
      <c r="Q399" s="524"/>
      <c r="R399" s="524"/>
      <c r="S399" s="524"/>
    </row>
    <row r="400" spans="17:19" ht="15.75">
      <c r="Q400" s="524"/>
      <c r="R400" s="524"/>
      <c r="S400" s="524"/>
    </row>
    <row r="401" spans="17:19" ht="15.75">
      <c r="Q401" s="524"/>
      <c r="R401" s="524"/>
      <c r="S401" s="524"/>
    </row>
    <row r="402" spans="17:19" ht="15.75">
      <c r="Q402" s="524"/>
      <c r="R402" s="524"/>
      <c r="S402" s="524"/>
    </row>
    <row r="403" spans="17:19" ht="15.75">
      <c r="Q403" s="524"/>
      <c r="R403" s="524"/>
      <c r="S403" s="524"/>
    </row>
    <row r="404" spans="17:19" ht="15.75">
      <c r="Q404" s="524"/>
      <c r="R404" s="524"/>
      <c r="S404" s="524"/>
    </row>
    <row r="405" spans="17:19" ht="15.75">
      <c r="Q405" s="524"/>
      <c r="R405" s="524"/>
      <c r="S405" s="524"/>
    </row>
    <row r="406" spans="17:19" ht="15.75">
      <c r="Q406" s="524"/>
      <c r="R406" s="524"/>
      <c r="S406" s="524"/>
    </row>
    <row r="407" spans="17:19" ht="15.75">
      <c r="Q407" s="524"/>
      <c r="R407" s="524"/>
      <c r="S407" s="524"/>
    </row>
    <row r="408" spans="17:19" ht="15.75">
      <c r="Q408" s="524"/>
      <c r="R408" s="524"/>
      <c r="S408" s="524"/>
    </row>
    <row r="409" spans="17:19" ht="15.75">
      <c r="Q409" s="524"/>
      <c r="R409" s="524"/>
      <c r="S409" s="524"/>
    </row>
    <row r="410" spans="17:19" ht="15.75">
      <c r="Q410" s="524"/>
      <c r="R410" s="524"/>
      <c r="S410" s="524"/>
    </row>
    <row r="411" spans="17:19" ht="15.75">
      <c r="Q411" s="524"/>
      <c r="R411" s="524"/>
      <c r="S411" s="524"/>
    </row>
    <row r="412" spans="17:19" ht="15.75">
      <c r="Q412" s="524"/>
      <c r="R412" s="524"/>
      <c r="S412" s="524"/>
    </row>
    <row r="413" spans="17:19" ht="15.75">
      <c r="Q413" s="524"/>
      <c r="R413" s="524"/>
      <c r="S413" s="524"/>
    </row>
    <row r="414" spans="17:19" ht="15.75">
      <c r="Q414" s="524"/>
      <c r="R414" s="524"/>
      <c r="S414" s="524"/>
    </row>
    <row r="415" spans="17:19" ht="15.75">
      <c r="Q415" s="524"/>
      <c r="R415" s="524"/>
      <c r="S415" s="524"/>
    </row>
    <row r="416" spans="17:19" ht="15.75">
      <c r="Q416" s="524"/>
      <c r="R416" s="524"/>
      <c r="S416" s="524"/>
    </row>
    <row r="417" spans="17:19" ht="15.75">
      <c r="Q417" s="524"/>
      <c r="R417" s="524"/>
      <c r="S417" s="524"/>
    </row>
    <row r="418" spans="17:19" ht="15.75">
      <c r="Q418" s="524"/>
      <c r="R418" s="524"/>
      <c r="S418" s="524"/>
    </row>
    <row r="419" spans="17:19" ht="15.75">
      <c r="Q419" s="524"/>
      <c r="R419" s="524"/>
      <c r="S419" s="524"/>
    </row>
    <row r="420" spans="17:19" ht="15.75">
      <c r="Q420" s="524"/>
      <c r="R420" s="524"/>
      <c r="S420" s="524"/>
    </row>
    <row r="421" spans="17:19" ht="15.75">
      <c r="Q421" s="524"/>
      <c r="R421" s="524"/>
      <c r="S421" s="524"/>
    </row>
    <row r="422" spans="17:19" ht="15.75">
      <c r="Q422" s="524"/>
      <c r="R422" s="524"/>
      <c r="S422" s="524"/>
    </row>
    <row r="423" spans="17:19" ht="15.75">
      <c r="Q423" s="524"/>
      <c r="R423" s="524"/>
      <c r="S423" s="524"/>
    </row>
    <row r="424" spans="17:19" ht="15.75">
      <c r="Q424" s="524"/>
      <c r="R424" s="524"/>
      <c r="S424" s="524"/>
    </row>
    <row r="425" spans="17:19" ht="15.75">
      <c r="Q425" s="524"/>
      <c r="R425" s="524"/>
      <c r="S425" s="524"/>
    </row>
    <row r="426" spans="17:19" ht="15.75">
      <c r="Q426" s="524"/>
      <c r="R426" s="524"/>
      <c r="S426" s="524"/>
    </row>
    <row r="427" spans="17:19" ht="15.75">
      <c r="Q427" s="524"/>
      <c r="R427" s="524"/>
      <c r="S427" s="524"/>
    </row>
    <row r="428" spans="17:19" ht="15.75">
      <c r="Q428" s="524"/>
      <c r="R428" s="524"/>
      <c r="S428" s="524"/>
    </row>
    <row r="429" spans="17:19" ht="15.75">
      <c r="Q429" s="524"/>
      <c r="R429" s="524"/>
      <c r="S429" s="524"/>
    </row>
    <row r="430" spans="17:19" ht="15.75">
      <c r="Q430" s="524"/>
      <c r="R430" s="524"/>
      <c r="S430" s="524"/>
    </row>
    <row r="431" spans="17:19" ht="15.75">
      <c r="Q431" s="524"/>
      <c r="R431" s="524"/>
      <c r="S431" s="524"/>
    </row>
    <row r="432" spans="17:19" ht="15.75">
      <c r="Q432" s="524"/>
      <c r="R432" s="524"/>
      <c r="S432" s="524"/>
    </row>
    <row r="433" spans="17:19" ht="15.75">
      <c r="Q433" s="524"/>
      <c r="R433" s="524"/>
      <c r="S433" s="524"/>
    </row>
    <row r="434" spans="17:19" ht="15.75">
      <c r="Q434" s="524"/>
      <c r="R434" s="524"/>
      <c r="S434" s="524"/>
    </row>
    <row r="435" spans="17:19" ht="15.75">
      <c r="Q435" s="524"/>
      <c r="R435" s="524"/>
      <c r="S435" s="524"/>
    </row>
    <row r="436" spans="17:19" ht="15.75">
      <c r="Q436" s="524"/>
      <c r="R436" s="524"/>
      <c r="S436" s="524"/>
    </row>
    <row r="437" spans="17:19" ht="15.75">
      <c r="Q437" s="524"/>
      <c r="R437" s="524"/>
      <c r="S437" s="524"/>
    </row>
    <row r="438" spans="17:19" ht="15.75">
      <c r="Q438" s="524"/>
      <c r="R438" s="524"/>
      <c r="S438" s="524"/>
    </row>
    <row r="439" spans="17:19" ht="15.75">
      <c r="Q439" s="524"/>
      <c r="R439" s="524"/>
      <c r="S439" s="524"/>
    </row>
    <row r="440" spans="17:19" ht="15.75">
      <c r="Q440" s="524"/>
      <c r="R440" s="524"/>
      <c r="S440" s="524"/>
    </row>
    <row r="441" spans="17:19" ht="15.75">
      <c r="Q441" s="524"/>
      <c r="R441" s="524"/>
      <c r="S441" s="524"/>
    </row>
    <row r="442" spans="17:19" ht="15.75">
      <c r="Q442" s="524"/>
      <c r="R442" s="524"/>
      <c r="S442" s="524"/>
    </row>
    <row r="443" spans="17:19" ht="15.75">
      <c r="Q443" s="524"/>
      <c r="R443" s="524"/>
      <c r="S443" s="524"/>
    </row>
    <row r="444" spans="17:19" ht="15.75">
      <c r="Q444" s="524"/>
      <c r="R444" s="524"/>
      <c r="S444" s="524"/>
    </row>
    <row r="445" spans="17:19" ht="15.75">
      <c r="Q445" s="524"/>
      <c r="R445" s="524"/>
      <c r="S445" s="524"/>
    </row>
    <row r="446" spans="17:19" ht="15.75">
      <c r="Q446" s="524"/>
      <c r="R446" s="524"/>
      <c r="S446" s="524"/>
    </row>
    <row r="447" spans="17:19" ht="15.75">
      <c r="Q447" s="524"/>
      <c r="R447" s="524"/>
      <c r="S447" s="524"/>
    </row>
    <row r="448" spans="17:19" ht="15.75">
      <c r="Q448" s="524"/>
      <c r="R448" s="524"/>
      <c r="S448" s="524"/>
    </row>
    <row r="449" spans="17:19" ht="15.75">
      <c r="Q449" s="524"/>
      <c r="R449" s="524"/>
      <c r="S449" s="524"/>
    </row>
    <row r="450" spans="17:19" ht="15.75">
      <c r="Q450" s="524"/>
      <c r="R450" s="524"/>
      <c r="S450" s="524"/>
    </row>
    <row r="451" spans="17:19" ht="15.75">
      <c r="Q451" s="524"/>
      <c r="R451" s="524"/>
      <c r="S451" s="524"/>
    </row>
    <row r="452" spans="17:19" ht="15.75">
      <c r="Q452" s="524"/>
      <c r="R452" s="524"/>
      <c r="S452" s="524"/>
    </row>
    <row r="453" spans="17:19" ht="15.75">
      <c r="Q453" s="524"/>
      <c r="R453" s="524"/>
      <c r="S453" s="524"/>
    </row>
    <row r="454" spans="17:19" ht="15.75">
      <c r="Q454" s="524"/>
      <c r="R454" s="524"/>
      <c r="S454" s="524"/>
    </row>
    <row r="455" spans="17:19" ht="15.75">
      <c r="Q455" s="524"/>
      <c r="R455" s="524"/>
      <c r="S455" s="524"/>
    </row>
    <row r="456" spans="17:19" ht="15.75">
      <c r="Q456" s="524"/>
      <c r="R456" s="524"/>
      <c r="S456" s="524"/>
    </row>
    <row r="457" spans="17:19" ht="15.75">
      <c r="Q457" s="524"/>
      <c r="R457" s="524"/>
      <c r="S457" s="524"/>
    </row>
    <row r="458" spans="17:19" ht="15.75">
      <c r="Q458" s="524"/>
      <c r="R458" s="524"/>
      <c r="S458" s="524"/>
    </row>
    <row r="459" spans="17:19" ht="15.75">
      <c r="Q459" s="524"/>
      <c r="R459" s="524"/>
      <c r="S459" s="524"/>
    </row>
    <row r="460" spans="17:19" ht="15.75">
      <c r="Q460" s="524"/>
      <c r="R460" s="524"/>
      <c r="S460" s="524"/>
    </row>
    <row r="461" spans="17:19" ht="15.75">
      <c r="Q461" s="524"/>
      <c r="R461" s="524"/>
      <c r="S461" s="524"/>
    </row>
    <row r="462" spans="17:19" ht="15.75">
      <c r="Q462" s="524"/>
      <c r="R462" s="524"/>
      <c r="S462" s="524"/>
    </row>
    <row r="463" spans="17:19" ht="15.75">
      <c r="Q463" s="524"/>
      <c r="R463" s="524"/>
      <c r="S463" s="524"/>
    </row>
    <row r="464" spans="17:19" ht="15.75">
      <c r="Q464" s="524"/>
      <c r="R464" s="524"/>
      <c r="S464" s="524"/>
    </row>
    <row r="465" spans="17:19" ht="15.75">
      <c r="Q465" s="524"/>
      <c r="R465" s="524"/>
      <c r="S465" s="524"/>
    </row>
    <row r="466" spans="17:19" ht="15.75">
      <c r="Q466" s="524"/>
      <c r="R466" s="524"/>
      <c r="S466" s="524"/>
    </row>
    <row r="467" spans="17:19" ht="15.75">
      <c r="Q467" s="524"/>
      <c r="R467" s="524"/>
      <c r="S467" s="524"/>
    </row>
    <row r="468" spans="17:19" ht="15.75">
      <c r="Q468" s="524"/>
      <c r="R468" s="524"/>
      <c r="S468" s="524"/>
    </row>
    <row r="469" spans="17:19" ht="15.75">
      <c r="Q469" s="524"/>
      <c r="R469" s="524"/>
      <c r="S469" s="524"/>
    </row>
    <row r="470" spans="17:19" ht="15.75">
      <c r="Q470" s="524"/>
      <c r="R470" s="524"/>
      <c r="S470" s="524"/>
    </row>
    <row r="471" spans="17:19" ht="15.75">
      <c r="Q471" s="524"/>
      <c r="R471" s="524"/>
      <c r="S471" s="524"/>
    </row>
    <row r="472" spans="17:19" ht="15.75">
      <c r="Q472" s="524"/>
      <c r="R472" s="524"/>
      <c r="S472" s="524"/>
    </row>
    <row r="473" spans="17:19" ht="15.75">
      <c r="Q473" s="524"/>
      <c r="R473" s="524"/>
      <c r="S473" s="524"/>
    </row>
    <row r="474" spans="17:19" ht="15.75">
      <c r="Q474" s="524"/>
      <c r="R474" s="524"/>
      <c r="S474" s="524"/>
    </row>
    <row r="475" spans="17:19" ht="15.75">
      <c r="Q475" s="524"/>
      <c r="R475" s="524"/>
      <c r="S475" s="524"/>
    </row>
    <row r="476" spans="17:19" ht="15.75">
      <c r="Q476" s="524"/>
      <c r="R476" s="524"/>
      <c r="S476" s="524"/>
    </row>
    <row r="477" spans="17:19" ht="15.75">
      <c r="Q477" s="524"/>
      <c r="R477" s="524"/>
      <c r="S477" s="524"/>
    </row>
    <row r="478" spans="17:19" ht="15.75">
      <c r="Q478" s="524"/>
      <c r="R478" s="524"/>
      <c r="S478" s="524"/>
    </row>
    <row r="479" spans="17:19" ht="15.75">
      <c r="Q479" s="524"/>
      <c r="R479" s="524"/>
      <c r="S479" s="524"/>
    </row>
    <row r="480" spans="17:19" ht="15.75">
      <c r="Q480" s="524"/>
      <c r="R480" s="524"/>
      <c r="S480" s="524"/>
    </row>
    <row r="481" spans="17:19" ht="15.75">
      <c r="Q481" s="524"/>
      <c r="R481" s="524"/>
      <c r="S481" s="524"/>
    </row>
    <row r="482" spans="17:19" ht="15.75">
      <c r="Q482" s="524"/>
      <c r="R482" s="524"/>
      <c r="S482" s="524"/>
    </row>
    <row r="483" spans="17:19" ht="15.75">
      <c r="Q483" s="524"/>
      <c r="R483" s="524"/>
      <c r="S483" s="524"/>
    </row>
    <row r="484" spans="17:19" ht="15.75">
      <c r="Q484" s="524"/>
      <c r="R484" s="524"/>
      <c r="S484" s="524"/>
    </row>
    <row r="485" spans="17:19" ht="15.75">
      <c r="Q485" s="524"/>
      <c r="R485" s="524"/>
      <c r="S485" s="524"/>
    </row>
    <row r="486" spans="17:19" ht="15.75">
      <c r="Q486" s="524"/>
      <c r="R486" s="524"/>
      <c r="S486" s="524"/>
    </row>
    <row r="487" spans="17:19" ht="15.75">
      <c r="Q487" s="524"/>
      <c r="R487" s="524"/>
      <c r="S487" s="524"/>
    </row>
    <row r="488" spans="17:19" ht="15.75">
      <c r="Q488" s="524"/>
      <c r="R488" s="524"/>
      <c r="S488" s="524"/>
    </row>
    <row r="489" spans="17:19" ht="15.75">
      <c r="Q489" s="524"/>
      <c r="R489" s="524"/>
      <c r="S489" s="524"/>
    </row>
    <row r="490" spans="17:19" ht="15.75">
      <c r="Q490" s="524"/>
      <c r="R490" s="524"/>
      <c r="S490" s="524"/>
    </row>
    <row r="491" spans="17:19" ht="15.75">
      <c r="Q491" s="524"/>
      <c r="R491" s="524"/>
      <c r="S491" s="524"/>
    </row>
    <row r="492" spans="17:19" ht="15.75">
      <c r="Q492" s="524"/>
      <c r="R492" s="524"/>
      <c r="S492" s="524"/>
    </row>
    <row r="493" spans="17:19" ht="15.75">
      <c r="Q493" s="524"/>
      <c r="R493" s="524"/>
      <c r="S493" s="524"/>
    </row>
    <row r="494" spans="17:19" ht="15.75">
      <c r="Q494" s="524"/>
      <c r="R494" s="524"/>
      <c r="S494" s="524"/>
    </row>
    <row r="495" spans="17:19" ht="15.75">
      <c r="Q495" s="524"/>
      <c r="R495" s="524"/>
      <c r="S495" s="524"/>
    </row>
    <row r="496" spans="17:19" ht="15.75">
      <c r="Q496" s="524"/>
      <c r="R496" s="524"/>
      <c r="S496" s="524"/>
    </row>
    <row r="497" spans="17:19" ht="15.75">
      <c r="Q497" s="524"/>
      <c r="R497" s="524"/>
      <c r="S497" s="524"/>
    </row>
    <row r="498" spans="17:19" ht="15.75">
      <c r="Q498" s="524"/>
      <c r="R498" s="524"/>
      <c r="S498" s="524"/>
    </row>
    <row r="499" spans="17:19" ht="15.75">
      <c r="Q499" s="524"/>
      <c r="R499" s="524"/>
      <c r="S499" s="524"/>
    </row>
    <row r="500" spans="17:19" ht="15.75">
      <c r="Q500" s="524"/>
      <c r="R500" s="524"/>
      <c r="S500" s="524"/>
    </row>
    <row r="501" spans="17:19" ht="15.75">
      <c r="Q501" s="524"/>
      <c r="R501" s="524"/>
      <c r="S501" s="524"/>
    </row>
    <row r="502" spans="17:19" ht="15.75">
      <c r="Q502" s="524"/>
      <c r="R502" s="524"/>
      <c r="S502" s="524"/>
    </row>
    <row r="503" spans="17:19" ht="15.75">
      <c r="Q503" s="524"/>
      <c r="R503" s="524"/>
      <c r="S503" s="524"/>
    </row>
    <row r="504" spans="17:19" ht="15.75">
      <c r="Q504" s="524"/>
      <c r="R504" s="524"/>
      <c r="S504" s="524"/>
    </row>
    <row r="505" spans="17:19" ht="15.75">
      <c r="Q505" s="524"/>
      <c r="R505" s="524"/>
      <c r="S505" s="524"/>
    </row>
    <row r="506" spans="17:19" ht="15.75">
      <c r="Q506" s="524"/>
      <c r="R506" s="524"/>
      <c r="S506" s="524"/>
    </row>
    <row r="507" spans="17:19" ht="15.75">
      <c r="Q507" s="524"/>
      <c r="R507" s="524"/>
      <c r="S507" s="524"/>
    </row>
    <row r="508" spans="17:19" ht="15.75">
      <c r="Q508" s="524"/>
      <c r="R508" s="524"/>
      <c r="S508" s="524"/>
    </row>
    <row r="509" spans="17:19" ht="15.75">
      <c r="Q509" s="524"/>
      <c r="R509" s="524"/>
      <c r="S509" s="524"/>
    </row>
    <row r="510" spans="17:19" ht="15.75">
      <c r="Q510" s="524"/>
      <c r="R510" s="524"/>
      <c r="S510" s="524"/>
    </row>
    <row r="511" spans="17:19" ht="15.75">
      <c r="Q511" s="524"/>
      <c r="R511" s="524"/>
      <c r="S511" s="524"/>
    </row>
    <row r="512" spans="17:19" ht="15.75">
      <c r="Q512" s="524"/>
      <c r="R512" s="524"/>
      <c r="S512" s="524"/>
    </row>
    <row r="513" spans="17:19" ht="15.75">
      <c r="Q513" s="524"/>
      <c r="R513" s="524"/>
      <c r="S513" s="524"/>
    </row>
    <row r="514" spans="17:19" ht="15.75">
      <c r="Q514" s="524"/>
      <c r="R514" s="524"/>
      <c r="S514" s="524"/>
    </row>
    <row r="515" spans="17:19" ht="15.75">
      <c r="Q515" s="524"/>
      <c r="R515" s="524"/>
      <c r="S515" s="524"/>
    </row>
    <row r="516" spans="17:19" ht="15.75">
      <c r="Q516" s="524"/>
      <c r="R516" s="524"/>
      <c r="S516" s="524"/>
    </row>
    <row r="517" spans="17:19" ht="15.75">
      <c r="Q517" s="524"/>
      <c r="R517" s="524"/>
      <c r="S517" s="524"/>
    </row>
    <row r="518" spans="17:19" ht="15.75">
      <c r="Q518" s="524"/>
      <c r="R518" s="524"/>
      <c r="S518" s="524"/>
    </row>
    <row r="519" spans="17:19" ht="15.75">
      <c r="Q519" s="524"/>
      <c r="R519" s="524"/>
      <c r="S519" s="524"/>
    </row>
    <row r="520" spans="17:19" ht="15.75">
      <c r="Q520" s="524"/>
      <c r="R520" s="524"/>
      <c r="S520" s="524"/>
    </row>
    <row r="521" spans="17:19" ht="15.75">
      <c r="Q521" s="524"/>
      <c r="R521" s="524"/>
      <c r="S521" s="524"/>
    </row>
    <row r="522" spans="17:19" ht="15.75">
      <c r="Q522" s="524"/>
      <c r="R522" s="524"/>
      <c r="S522" s="524"/>
    </row>
    <row r="523" spans="17:19" ht="15.75">
      <c r="Q523" s="524"/>
      <c r="R523" s="524"/>
      <c r="S523" s="524"/>
    </row>
    <row r="524" spans="17:19" ht="15.75">
      <c r="Q524" s="524"/>
      <c r="R524" s="524"/>
      <c r="S524" s="524"/>
    </row>
    <row r="525" spans="17:19" ht="15.75">
      <c r="Q525" s="524"/>
      <c r="R525" s="524"/>
      <c r="S525" s="524"/>
    </row>
    <row r="526" spans="17:19" ht="15.75">
      <c r="Q526" s="524"/>
      <c r="R526" s="524"/>
      <c r="S526" s="524"/>
    </row>
    <row r="527" spans="17:19" ht="15.75">
      <c r="Q527" s="524"/>
      <c r="R527" s="524"/>
      <c r="S527" s="524"/>
    </row>
    <row r="528" spans="17:19" ht="15.75">
      <c r="Q528" s="524"/>
      <c r="R528" s="524"/>
      <c r="S528" s="524"/>
    </row>
    <row r="529" spans="17:19" ht="15.75">
      <c r="Q529" s="524"/>
      <c r="R529" s="524"/>
      <c r="S529" s="524"/>
    </row>
    <row r="530" spans="17:19" ht="15.75">
      <c r="Q530" s="524"/>
      <c r="R530" s="524"/>
      <c r="S530" s="524"/>
    </row>
    <row r="531" spans="17:19" ht="15.75">
      <c r="Q531" s="524"/>
      <c r="R531" s="524"/>
      <c r="S531" s="524"/>
    </row>
    <row r="532" spans="17:19" ht="15.75">
      <c r="Q532" s="524"/>
      <c r="R532" s="524"/>
      <c r="S532" s="524"/>
    </row>
    <row r="533" spans="17:19" ht="15.75">
      <c r="Q533" s="524"/>
      <c r="R533" s="524"/>
      <c r="S533" s="524"/>
    </row>
    <row r="534" spans="17:19" ht="15.75">
      <c r="Q534" s="524"/>
      <c r="R534" s="524"/>
      <c r="S534" s="524"/>
    </row>
    <row r="535" spans="17:19" ht="15.75">
      <c r="Q535" s="524"/>
      <c r="R535" s="524"/>
      <c r="S535" s="524"/>
    </row>
    <row r="536" spans="17:19" ht="15.75">
      <c r="Q536" s="524"/>
      <c r="R536" s="524"/>
      <c r="S536" s="524"/>
    </row>
    <row r="537" spans="17:19" ht="15.75">
      <c r="Q537" s="524"/>
      <c r="R537" s="524"/>
      <c r="S537" s="524"/>
    </row>
    <row r="538" spans="17:19" ht="15.75">
      <c r="Q538" s="524"/>
      <c r="R538" s="524"/>
      <c r="S538" s="524"/>
    </row>
    <row r="539" spans="17:19" ht="15.75">
      <c r="Q539" s="524"/>
      <c r="R539" s="524"/>
      <c r="S539" s="524"/>
    </row>
    <row r="540" spans="17:19" ht="15.75">
      <c r="Q540" s="524"/>
      <c r="R540" s="524"/>
      <c r="S540" s="524"/>
    </row>
    <row r="541" spans="17:19" ht="15.75">
      <c r="Q541" s="524"/>
      <c r="R541" s="524"/>
      <c r="S541" s="524"/>
    </row>
    <row r="542" spans="17:19" ht="15.75">
      <c r="Q542" s="524"/>
      <c r="R542" s="524"/>
      <c r="S542" s="524"/>
    </row>
    <row r="543" spans="17:19" ht="15.75">
      <c r="Q543" s="524"/>
      <c r="R543" s="524"/>
      <c r="S543" s="524"/>
    </row>
    <row r="544" spans="17:19" ht="15.75">
      <c r="Q544" s="524"/>
      <c r="R544" s="524"/>
      <c r="S544" s="524"/>
    </row>
    <row r="545" spans="17:19" ht="15.75">
      <c r="Q545" s="524"/>
      <c r="R545" s="524"/>
      <c r="S545" s="524"/>
    </row>
    <row r="546" spans="17:19" ht="15.75">
      <c r="Q546" s="524"/>
      <c r="R546" s="524"/>
      <c r="S546" s="524"/>
    </row>
    <row r="547" spans="17:19" ht="15.75">
      <c r="Q547" s="524"/>
      <c r="R547" s="524"/>
      <c r="S547" s="524"/>
    </row>
    <row r="548" spans="17:19" ht="15.75">
      <c r="Q548" s="524"/>
      <c r="R548" s="524"/>
      <c r="S548" s="524"/>
    </row>
    <row r="549" spans="17:19" ht="15.75">
      <c r="Q549" s="524"/>
      <c r="R549" s="524"/>
      <c r="S549" s="524"/>
    </row>
    <row r="550" spans="17:19" ht="15.75">
      <c r="Q550" s="524"/>
      <c r="R550" s="524"/>
      <c r="S550" s="524"/>
    </row>
    <row r="551" spans="17:19" ht="15.75">
      <c r="Q551" s="524"/>
      <c r="R551" s="524"/>
      <c r="S551" s="524"/>
    </row>
    <row r="552" spans="17:19" ht="15.75">
      <c r="Q552" s="524"/>
      <c r="R552" s="524"/>
      <c r="S552" s="524"/>
    </row>
    <row r="553" spans="17:19" ht="15.75">
      <c r="Q553" s="524"/>
      <c r="R553" s="524"/>
      <c r="S553" s="524"/>
    </row>
    <row r="554" spans="17:19" ht="15.75">
      <c r="Q554" s="524"/>
      <c r="R554" s="524"/>
      <c r="S554" s="524"/>
    </row>
    <row r="555" spans="17:19" ht="15.75">
      <c r="Q555" s="524"/>
      <c r="R555" s="524"/>
      <c r="S555" s="524"/>
    </row>
    <row r="556" spans="17:19" ht="15.75">
      <c r="Q556" s="524"/>
      <c r="R556" s="524"/>
      <c r="S556" s="524"/>
    </row>
    <row r="557" spans="17:19" ht="15.75">
      <c r="Q557" s="524"/>
      <c r="R557" s="524"/>
      <c r="S557" s="524"/>
    </row>
    <row r="558" spans="17:19" ht="15.75">
      <c r="Q558" s="524"/>
      <c r="R558" s="524"/>
      <c r="S558" s="524"/>
    </row>
    <row r="559" spans="17:19" ht="15.75">
      <c r="Q559" s="524"/>
      <c r="R559" s="524"/>
      <c r="S559" s="524"/>
    </row>
    <row r="560" spans="17:19" ht="15.75">
      <c r="Q560" s="524"/>
      <c r="R560" s="524"/>
      <c r="S560" s="524"/>
    </row>
    <row r="561" spans="17:19" ht="15.75">
      <c r="Q561" s="524"/>
      <c r="R561" s="524"/>
      <c r="S561" s="524"/>
    </row>
    <row r="562" spans="17:19" ht="15.75">
      <c r="Q562" s="524"/>
      <c r="R562" s="524"/>
      <c r="S562" s="524"/>
    </row>
    <row r="563" spans="17:19" ht="15.75">
      <c r="Q563" s="524"/>
      <c r="R563" s="524"/>
      <c r="S563" s="524"/>
    </row>
    <row r="564" spans="17:19" ht="15.75">
      <c r="Q564" s="524"/>
      <c r="R564" s="524"/>
      <c r="S564" s="524"/>
    </row>
    <row r="565" spans="17:19" ht="15.75">
      <c r="Q565" s="524"/>
      <c r="R565" s="524"/>
      <c r="S565" s="524"/>
    </row>
    <row r="566" spans="17:19" ht="15.75">
      <c r="Q566" s="524"/>
      <c r="R566" s="524"/>
      <c r="S566" s="524"/>
    </row>
    <row r="567" spans="17:19" ht="15.75">
      <c r="Q567" s="524"/>
      <c r="R567" s="524"/>
      <c r="S567" s="524"/>
    </row>
    <row r="568" spans="17:19" ht="15.75">
      <c r="Q568" s="524"/>
      <c r="R568" s="524"/>
      <c r="S568" s="524"/>
    </row>
    <row r="569" spans="17:19" ht="15.75">
      <c r="Q569" s="524"/>
      <c r="R569" s="524"/>
      <c r="S569" s="524"/>
    </row>
    <row r="570" spans="17:19" ht="15.75">
      <c r="Q570" s="524"/>
      <c r="R570" s="524"/>
      <c r="S570" s="524"/>
    </row>
    <row r="571" spans="17:19" ht="15.75">
      <c r="Q571" s="524"/>
      <c r="R571" s="524"/>
      <c r="S571" s="524"/>
    </row>
    <row r="572" spans="17:19" ht="15.75">
      <c r="Q572" s="524"/>
      <c r="R572" s="524"/>
      <c r="S572" s="524"/>
    </row>
    <row r="573" spans="17:19" ht="15.75">
      <c r="Q573" s="524"/>
      <c r="R573" s="524"/>
      <c r="S573" s="524"/>
    </row>
    <row r="574" spans="17:19" ht="15.75">
      <c r="Q574" s="524"/>
      <c r="R574" s="524"/>
      <c r="S574" s="524"/>
    </row>
    <row r="575" spans="17:19" ht="15.75">
      <c r="Q575" s="524"/>
      <c r="R575" s="524"/>
      <c r="S575" s="524"/>
    </row>
    <row r="576" spans="17:19" ht="15.75">
      <c r="Q576" s="524"/>
      <c r="R576" s="524"/>
      <c r="S576" s="524"/>
    </row>
    <row r="577" spans="17:19" ht="15.75">
      <c r="Q577" s="524"/>
      <c r="R577" s="524"/>
      <c r="S577" s="524"/>
    </row>
    <row r="578" spans="17:19" ht="15.75">
      <c r="Q578" s="524"/>
      <c r="R578" s="524"/>
      <c r="S578" s="524"/>
    </row>
    <row r="579" spans="17:19" ht="15.75">
      <c r="Q579" s="524"/>
      <c r="R579" s="524"/>
      <c r="S579" s="524"/>
    </row>
    <row r="580" spans="17:19" ht="15.75">
      <c r="Q580" s="524"/>
      <c r="R580" s="524"/>
      <c r="S580" s="524"/>
    </row>
    <row r="581" spans="17:19" ht="15.75">
      <c r="Q581" s="524"/>
      <c r="R581" s="524"/>
      <c r="S581" s="524"/>
    </row>
    <row r="582" spans="17:19" ht="15.75">
      <c r="Q582" s="524"/>
      <c r="R582" s="524"/>
      <c r="S582" s="524"/>
    </row>
    <row r="583" spans="17:19" ht="15.75">
      <c r="Q583" s="524"/>
      <c r="R583" s="524"/>
      <c r="S583" s="524"/>
    </row>
    <row r="584" spans="17:19" ht="15.75">
      <c r="Q584" s="524"/>
      <c r="R584" s="524"/>
      <c r="S584" s="524"/>
    </row>
    <row r="585" spans="17:19" ht="15.75">
      <c r="Q585" s="524"/>
      <c r="R585" s="524"/>
      <c r="S585" s="524"/>
    </row>
    <row r="586" spans="17:19" ht="15.75">
      <c r="Q586" s="524"/>
      <c r="R586" s="524"/>
      <c r="S586" s="524"/>
    </row>
    <row r="587" spans="17:19" ht="15.75">
      <c r="Q587" s="524"/>
      <c r="R587" s="524"/>
      <c r="S587" s="524"/>
    </row>
    <row r="588" spans="17:19" ht="15.75">
      <c r="Q588" s="524"/>
      <c r="R588" s="524"/>
      <c r="S588" s="524"/>
    </row>
    <row r="589" spans="17:19" ht="15.75">
      <c r="Q589" s="524"/>
      <c r="R589" s="524"/>
      <c r="S589" s="524"/>
    </row>
    <row r="590" spans="17:19" ht="15.75">
      <c r="Q590" s="524"/>
      <c r="R590" s="524"/>
      <c r="S590" s="524"/>
    </row>
    <row r="591" spans="17:19" ht="15.75">
      <c r="Q591" s="524"/>
      <c r="R591" s="524"/>
      <c r="S591" s="524"/>
    </row>
    <row r="592" spans="17:19" ht="15.75">
      <c r="Q592" s="524"/>
      <c r="R592" s="524"/>
      <c r="S592" s="524"/>
    </row>
    <row r="593" spans="17:19" ht="15.75">
      <c r="Q593" s="524"/>
      <c r="R593" s="524"/>
      <c r="S593" s="524"/>
    </row>
    <row r="594" spans="17:19" ht="15.75">
      <c r="Q594" s="524"/>
      <c r="R594" s="524"/>
      <c r="S594" s="524"/>
    </row>
    <row r="595" spans="17:19" ht="15.75">
      <c r="Q595" s="524"/>
      <c r="R595" s="524"/>
      <c r="S595" s="524"/>
    </row>
    <row r="596" spans="17:19" ht="15.75">
      <c r="Q596" s="524"/>
      <c r="R596" s="524"/>
      <c r="S596" s="524"/>
    </row>
    <row r="597" spans="17:19" ht="15.75">
      <c r="Q597" s="524"/>
      <c r="R597" s="524"/>
      <c r="S597" s="524"/>
    </row>
    <row r="598" spans="17:19" ht="15.75">
      <c r="Q598" s="524"/>
      <c r="R598" s="524"/>
      <c r="S598" s="524"/>
    </row>
    <row r="599" spans="17:19" ht="15.75">
      <c r="Q599" s="524"/>
      <c r="R599" s="524"/>
      <c r="S599" s="524"/>
    </row>
    <row r="600" spans="17:19" ht="15.75">
      <c r="Q600" s="524"/>
      <c r="R600" s="524"/>
      <c r="S600" s="524"/>
    </row>
    <row r="601" spans="17:19" ht="15.75">
      <c r="Q601" s="524"/>
      <c r="R601" s="524"/>
      <c r="S601" s="524"/>
    </row>
    <row r="602" spans="17:19" ht="15.75">
      <c r="Q602" s="524"/>
      <c r="R602" s="524"/>
      <c r="S602" s="524"/>
    </row>
    <row r="603" spans="17:19" ht="15.75">
      <c r="Q603" s="524"/>
      <c r="R603" s="524"/>
      <c r="S603" s="524"/>
    </row>
    <row r="604" spans="17:19" ht="15.75">
      <c r="Q604" s="524"/>
      <c r="R604" s="524"/>
      <c r="S604" s="524"/>
    </row>
    <row r="605" spans="17:19" ht="15.75">
      <c r="Q605" s="524"/>
      <c r="R605" s="524"/>
      <c r="S605" s="524"/>
    </row>
    <row r="606" spans="17:19" ht="15.75">
      <c r="Q606" s="524"/>
      <c r="R606" s="524"/>
      <c r="S606" s="524"/>
    </row>
    <row r="607" spans="17:19" ht="15.75">
      <c r="Q607" s="524"/>
      <c r="R607" s="524"/>
      <c r="S607" s="524"/>
    </row>
    <row r="608" spans="17:19" ht="15.75">
      <c r="Q608" s="524"/>
      <c r="R608" s="524"/>
      <c r="S608" s="524"/>
    </row>
    <row r="609" spans="17:19" ht="15.75">
      <c r="Q609" s="524"/>
      <c r="R609" s="524"/>
      <c r="S609" s="524"/>
    </row>
    <row r="610" spans="17:19" ht="15.75">
      <c r="Q610" s="524"/>
      <c r="R610" s="524"/>
      <c r="S610" s="524"/>
    </row>
    <row r="611" spans="17:19" ht="15.75">
      <c r="Q611" s="524"/>
      <c r="R611" s="524"/>
      <c r="S611" s="524"/>
    </row>
    <row r="612" spans="17:19" ht="15.75">
      <c r="Q612" s="524"/>
      <c r="R612" s="524"/>
      <c r="S612" s="524"/>
    </row>
    <row r="613" spans="17:19" ht="15.75">
      <c r="Q613" s="524"/>
      <c r="R613" s="524"/>
      <c r="S613" s="524"/>
    </row>
    <row r="614" spans="17:19" ht="15.75">
      <c r="Q614" s="524"/>
      <c r="R614" s="524"/>
      <c r="S614" s="524"/>
    </row>
    <row r="615" spans="17:19" ht="15.75">
      <c r="Q615" s="524"/>
      <c r="R615" s="524"/>
      <c r="S615" s="524"/>
    </row>
    <row r="616" spans="17:19" ht="15.75">
      <c r="Q616" s="524"/>
      <c r="R616" s="524"/>
      <c r="S616" s="524"/>
    </row>
    <row r="617" spans="17:19" ht="15.75">
      <c r="Q617" s="524"/>
      <c r="R617" s="524"/>
      <c r="S617" s="524"/>
    </row>
    <row r="618" spans="17:19" ht="15.75">
      <c r="Q618" s="524"/>
      <c r="R618" s="524"/>
      <c r="S618" s="524"/>
    </row>
    <row r="619" spans="17:19" ht="15.75">
      <c r="Q619" s="524"/>
      <c r="R619" s="524"/>
      <c r="S619" s="524"/>
    </row>
    <row r="620" spans="17:19" ht="15.75">
      <c r="Q620" s="524"/>
      <c r="R620" s="524"/>
      <c r="S620" s="524"/>
    </row>
    <row r="621" spans="17:19" ht="15.75">
      <c r="Q621" s="524"/>
      <c r="R621" s="524"/>
      <c r="S621" s="524"/>
    </row>
    <row r="622" spans="17:19" ht="15.75">
      <c r="Q622" s="524"/>
      <c r="R622" s="524"/>
      <c r="S622" s="524"/>
    </row>
    <row r="623" spans="17:19" ht="15.75">
      <c r="Q623" s="524"/>
      <c r="R623" s="524"/>
      <c r="S623" s="524"/>
    </row>
    <row r="624" spans="17:19" ht="15.75">
      <c r="Q624" s="524"/>
      <c r="R624" s="524"/>
      <c r="S624" s="524"/>
    </row>
    <row r="625" spans="17:19" ht="15.75">
      <c r="Q625" s="524"/>
      <c r="R625" s="524"/>
      <c r="S625" s="524"/>
    </row>
    <row r="626" spans="17:19" ht="15.75">
      <c r="Q626" s="524"/>
      <c r="R626" s="524"/>
      <c r="S626" s="524"/>
    </row>
    <row r="627" spans="17:19" ht="15.75">
      <c r="Q627" s="524"/>
      <c r="R627" s="524"/>
      <c r="S627" s="524"/>
    </row>
    <row r="628" spans="17:19" ht="15.75">
      <c r="Q628" s="524"/>
      <c r="R628" s="524"/>
      <c r="S628" s="524"/>
    </row>
    <row r="629" spans="17:19" ht="15.75">
      <c r="Q629" s="524"/>
      <c r="R629" s="524"/>
      <c r="S629" s="524"/>
    </row>
    <row r="630" spans="17:19" ht="15.75">
      <c r="Q630" s="524"/>
      <c r="R630" s="524"/>
      <c r="S630" s="524"/>
    </row>
    <row r="631" spans="17:19" ht="15.75">
      <c r="Q631" s="524"/>
      <c r="R631" s="524"/>
      <c r="S631" s="524"/>
    </row>
    <row r="632" spans="17:19" ht="15.75">
      <c r="Q632" s="524"/>
      <c r="R632" s="524"/>
      <c r="S632" s="524"/>
    </row>
    <row r="633" spans="17:19" ht="15.75">
      <c r="Q633" s="524"/>
      <c r="R633" s="524"/>
      <c r="S633" s="524"/>
    </row>
    <row r="634" spans="17:19" ht="15.75">
      <c r="Q634" s="524"/>
      <c r="R634" s="524"/>
      <c r="S634" s="524"/>
    </row>
    <row r="635" spans="17:19" ht="15.75">
      <c r="Q635" s="524"/>
      <c r="R635" s="524"/>
      <c r="S635" s="524"/>
    </row>
    <row r="636" spans="17:19" ht="15.75">
      <c r="Q636" s="524"/>
      <c r="R636" s="524"/>
      <c r="S636" s="524"/>
    </row>
    <row r="637" spans="17:19" ht="15.75">
      <c r="Q637" s="524"/>
      <c r="R637" s="524"/>
      <c r="S637" s="524"/>
    </row>
    <row r="638" spans="17:19" ht="15.75">
      <c r="Q638" s="524"/>
      <c r="R638" s="524"/>
      <c r="S638" s="524"/>
    </row>
    <row r="639" spans="17:19" ht="15.75">
      <c r="Q639" s="524"/>
      <c r="R639" s="524"/>
      <c r="S639" s="524"/>
    </row>
    <row r="640" spans="17:19" ht="15.75">
      <c r="Q640" s="524"/>
      <c r="R640" s="524"/>
      <c r="S640" s="524"/>
    </row>
    <row r="641" spans="17:19" ht="15.75">
      <c r="Q641" s="524"/>
      <c r="R641" s="524"/>
      <c r="S641" s="524"/>
    </row>
    <row r="642" spans="17:19" ht="15.75">
      <c r="Q642" s="524"/>
      <c r="R642" s="524"/>
      <c r="S642" s="524"/>
    </row>
    <row r="643" spans="17:19" ht="15.75">
      <c r="Q643" s="524"/>
      <c r="R643" s="524"/>
      <c r="S643" s="524"/>
    </row>
    <row r="644" spans="17:19" ht="15.75">
      <c r="Q644" s="524"/>
      <c r="R644" s="524"/>
      <c r="S644" s="524"/>
    </row>
    <row r="645" spans="17:19" ht="15.75">
      <c r="Q645" s="524"/>
      <c r="R645" s="524"/>
      <c r="S645" s="524"/>
    </row>
    <row r="646" spans="17:19" ht="15.75">
      <c r="Q646" s="524"/>
      <c r="R646" s="524"/>
      <c r="S646" s="524"/>
    </row>
    <row r="647" spans="17:19" ht="15.75">
      <c r="Q647" s="524"/>
      <c r="R647" s="524"/>
      <c r="S647" s="524"/>
    </row>
    <row r="648" spans="17:19" ht="15.75">
      <c r="Q648" s="524"/>
      <c r="R648" s="524"/>
      <c r="S648" s="524"/>
    </row>
    <row r="649" spans="17:19" ht="15.75">
      <c r="Q649" s="524"/>
      <c r="R649" s="524"/>
      <c r="S649" s="524"/>
    </row>
    <row r="650" spans="17:19" ht="15.75">
      <c r="Q650" s="524"/>
      <c r="R650" s="524"/>
      <c r="S650" s="524"/>
    </row>
    <row r="651" spans="17:19" ht="15.75">
      <c r="Q651" s="524"/>
      <c r="R651" s="524"/>
      <c r="S651" s="524"/>
    </row>
    <row r="652" spans="17:19" ht="15.75">
      <c r="Q652" s="524"/>
      <c r="R652" s="524"/>
      <c r="S652" s="524"/>
    </row>
    <row r="653" spans="17:19" ht="15.75">
      <c r="Q653" s="524"/>
      <c r="R653" s="524"/>
      <c r="S653" s="524"/>
    </row>
    <row r="654" spans="17:19" ht="15.75">
      <c r="Q654" s="524"/>
      <c r="R654" s="524"/>
      <c r="S654" s="524"/>
    </row>
    <row r="655" spans="17:19" ht="15.75">
      <c r="Q655" s="524"/>
      <c r="R655" s="524"/>
      <c r="S655" s="524"/>
    </row>
    <row r="656" spans="17:19" ht="15.75">
      <c r="Q656" s="524"/>
      <c r="R656" s="524"/>
      <c r="S656" s="524"/>
    </row>
    <row r="657" spans="17:19" ht="15.75">
      <c r="Q657" s="524"/>
      <c r="R657" s="524"/>
      <c r="S657" s="524"/>
    </row>
    <row r="658" spans="17:19" ht="15.75">
      <c r="Q658" s="524"/>
      <c r="R658" s="524"/>
      <c r="S658" s="524"/>
    </row>
    <row r="659" spans="17:19" ht="15.75">
      <c r="Q659" s="524"/>
      <c r="R659" s="524"/>
      <c r="S659" s="524"/>
    </row>
    <row r="660" spans="17:19" ht="15.75">
      <c r="Q660" s="524"/>
      <c r="R660" s="524"/>
      <c r="S660" s="524"/>
    </row>
    <row r="661" spans="17:19" ht="15.75">
      <c r="Q661" s="524"/>
      <c r="R661" s="524"/>
      <c r="S661" s="524"/>
    </row>
    <row r="662" spans="17:19" ht="15.75">
      <c r="Q662" s="524"/>
      <c r="R662" s="524"/>
      <c r="S662" s="524"/>
    </row>
    <row r="663" spans="17:19" ht="15.75">
      <c r="Q663" s="524"/>
      <c r="R663" s="524"/>
      <c r="S663" s="524"/>
    </row>
    <row r="664" spans="17:19" ht="15.75">
      <c r="Q664" s="524"/>
      <c r="R664" s="524"/>
      <c r="S664" s="524"/>
    </row>
    <row r="665" spans="17:19" ht="15.75">
      <c r="Q665" s="524"/>
      <c r="R665" s="524"/>
      <c r="S665" s="524"/>
    </row>
    <row r="666" spans="17:19" ht="15.75">
      <c r="Q666" s="524"/>
      <c r="R666" s="524"/>
      <c r="S666" s="524"/>
    </row>
    <row r="667" spans="17:19" ht="15.75">
      <c r="Q667" s="524"/>
      <c r="R667" s="524"/>
      <c r="S667" s="524"/>
    </row>
    <row r="668" spans="17:19" ht="15.75">
      <c r="Q668" s="524"/>
      <c r="R668" s="524"/>
      <c r="S668" s="524"/>
    </row>
    <row r="669" spans="17:19" ht="15.75">
      <c r="Q669" s="524"/>
      <c r="R669" s="524"/>
      <c r="S669" s="524"/>
    </row>
    <row r="670" spans="17:19" ht="15.75">
      <c r="Q670" s="524"/>
      <c r="R670" s="524"/>
      <c r="S670" s="524"/>
    </row>
    <row r="671" spans="17:19" ht="15.75">
      <c r="Q671" s="524"/>
      <c r="R671" s="524"/>
      <c r="S671" s="524"/>
    </row>
    <row r="672" spans="17:19" ht="15.75">
      <c r="Q672" s="524"/>
      <c r="R672" s="524"/>
      <c r="S672" s="524"/>
    </row>
    <row r="673" spans="17:19" ht="15.75">
      <c r="Q673" s="524"/>
      <c r="R673" s="524"/>
      <c r="S673" s="524"/>
    </row>
    <row r="674" spans="17:19" ht="15.75">
      <c r="Q674" s="524"/>
      <c r="R674" s="524"/>
      <c r="S674" s="524"/>
    </row>
    <row r="675" spans="17:19" ht="15.75">
      <c r="Q675" s="524"/>
      <c r="R675" s="524"/>
      <c r="S675" s="524"/>
    </row>
    <row r="676" spans="17:19" ht="15.75">
      <c r="Q676" s="524"/>
      <c r="R676" s="524"/>
      <c r="S676" s="524"/>
    </row>
    <row r="677" spans="17:19" ht="15.75">
      <c r="Q677" s="524"/>
      <c r="R677" s="524"/>
      <c r="S677" s="524"/>
    </row>
    <row r="678" spans="17:19" ht="15.75">
      <c r="Q678" s="524"/>
      <c r="R678" s="524"/>
      <c r="S678" s="524"/>
    </row>
    <row r="679" spans="17:19" ht="15.75">
      <c r="Q679" s="524"/>
      <c r="R679" s="524"/>
      <c r="S679" s="524"/>
    </row>
    <row r="680" spans="17:19" ht="15.75">
      <c r="Q680" s="524"/>
      <c r="R680" s="524"/>
      <c r="S680" s="524"/>
    </row>
    <row r="681" spans="17:19" ht="15.75">
      <c r="Q681" s="524"/>
      <c r="R681" s="524"/>
      <c r="S681" s="524"/>
    </row>
    <row r="682" spans="17:19" ht="15.75">
      <c r="Q682" s="524"/>
      <c r="R682" s="524"/>
      <c r="S682" s="524"/>
    </row>
    <row r="683" spans="17:19" ht="15.75">
      <c r="Q683" s="524"/>
      <c r="R683" s="524"/>
      <c r="S683" s="524"/>
    </row>
    <row r="684" spans="17:19" ht="15.75">
      <c r="Q684" s="524"/>
      <c r="R684" s="524"/>
      <c r="S684" s="524"/>
    </row>
    <row r="685" spans="17:19" ht="15.75">
      <c r="Q685" s="524"/>
      <c r="R685" s="524"/>
      <c r="S685" s="524"/>
    </row>
    <row r="686" spans="17:19" ht="15.75">
      <c r="Q686" s="524"/>
      <c r="R686" s="524"/>
      <c r="S686" s="524"/>
    </row>
    <row r="687" spans="17:19" ht="15.75">
      <c r="Q687" s="524"/>
      <c r="R687" s="524"/>
      <c r="S687" s="524"/>
    </row>
    <row r="688" spans="17:19" ht="15.75">
      <c r="Q688" s="524"/>
      <c r="R688" s="524"/>
      <c r="S688" s="524"/>
    </row>
    <row r="689" spans="17:19" ht="15.75">
      <c r="Q689" s="524"/>
      <c r="R689" s="524"/>
      <c r="S689" s="524"/>
    </row>
    <row r="690" spans="17:19" ht="15.75">
      <c r="Q690" s="524"/>
      <c r="R690" s="524"/>
      <c r="S690" s="524"/>
    </row>
    <row r="691" spans="17:19" ht="15.75">
      <c r="Q691" s="524"/>
      <c r="R691" s="524"/>
      <c r="S691" s="524"/>
    </row>
    <row r="692" spans="17:19" ht="15.75">
      <c r="Q692" s="524"/>
      <c r="R692" s="524"/>
      <c r="S692" s="524"/>
    </row>
    <row r="693" spans="17:19" ht="15.75">
      <c r="Q693" s="524"/>
      <c r="R693" s="524"/>
      <c r="S693" s="524"/>
    </row>
    <row r="694" spans="17:19" ht="15.75">
      <c r="Q694" s="524"/>
      <c r="R694" s="524"/>
      <c r="S694" s="524"/>
    </row>
    <row r="695" spans="17:19" ht="15.75">
      <c r="Q695" s="524"/>
      <c r="R695" s="524"/>
      <c r="S695" s="524"/>
    </row>
    <row r="696" spans="17:19" ht="15.75">
      <c r="Q696" s="524"/>
      <c r="R696" s="524"/>
      <c r="S696" s="524"/>
    </row>
    <row r="697" spans="17:19" ht="15.75">
      <c r="Q697" s="524"/>
      <c r="R697" s="524"/>
      <c r="S697" s="524"/>
    </row>
    <row r="698" spans="17:19" ht="15.75">
      <c r="Q698" s="524"/>
      <c r="R698" s="524"/>
      <c r="S698" s="524"/>
    </row>
    <row r="699" spans="17:19" ht="15.75">
      <c r="Q699" s="524"/>
      <c r="R699" s="524"/>
      <c r="S699" s="524"/>
    </row>
    <row r="700" spans="17:19" ht="15.75">
      <c r="Q700" s="524"/>
      <c r="R700" s="524"/>
      <c r="S700" s="524"/>
    </row>
    <row r="701" spans="17:19" ht="15.75">
      <c r="Q701" s="524"/>
      <c r="R701" s="524"/>
      <c r="S701" s="524"/>
    </row>
    <row r="702" spans="17:19" ht="15.75">
      <c r="Q702" s="524"/>
      <c r="R702" s="524"/>
      <c r="S702" s="524"/>
    </row>
    <row r="703" spans="17:19" ht="15.75">
      <c r="Q703" s="524"/>
      <c r="R703" s="524"/>
      <c r="S703" s="524"/>
    </row>
    <row r="704" spans="17:19" ht="15.75">
      <c r="Q704" s="524"/>
      <c r="R704" s="524"/>
      <c r="S704" s="524"/>
    </row>
    <row r="705" spans="17:19" ht="15.75">
      <c r="Q705" s="524"/>
      <c r="R705" s="524"/>
      <c r="S705" s="524"/>
    </row>
    <row r="706" spans="17:19" ht="15.75">
      <c r="Q706" s="524"/>
      <c r="R706" s="524"/>
      <c r="S706" s="524"/>
    </row>
    <row r="707" spans="17:19" ht="15.75">
      <c r="Q707" s="524"/>
      <c r="R707" s="524"/>
      <c r="S707" s="524"/>
    </row>
    <row r="708" spans="17:19" ht="15.75">
      <c r="Q708" s="524"/>
      <c r="R708" s="524"/>
      <c r="S708" s="524"/>
    </row>
    <row r="709" spans="17:19" ht="15.75">
      <c r="Q709" s="524"/>
      <c r="R709" s="524"/>
      <c r="S709" s="524"/>
    </row>
    <row r="710" spans="17:19" ht="15.75">
      <c r="Q710" s="524"/>
      <c r="R710" s="524"/>
      <c r="S710" s="524"/>
    </row>
    <row r="711" spans="17:19" ht="15.75">
      <c r="Q711" s="524"/>
      <c r="R711" s="524"/>
      <c r="S711" s="524"/>
    </row>
    <row r="712" spans="17:19" ht="15.75">
      <c r="Q712" s="524"/>
      <c r="R712" s="524"/>
      <c r="S712" s="524"/>
    </row>
    <row r="713" spans="17:19" ht="15.75">
      <c r="Q713" s="524"/>
      <c r="R713" s="524"/>
      <c r="S713" s="524"/>
    </row>
    <row r="714" spans="17:19" ht="15.75">
      <c r="Q714" s="524"/>
      <c r="R714" s="524"/>
      <c r="S714" s="524"/>
    </row>
    <row r="715" spans="17:19" ht="15.75">
      <c r="Q715" s="524"/>
      <c r="R715" s="524"/>
      <c r="S715" s="524"/>
    </row>
    <row r="716" spans="17:19" ht="15.75">
      <c r="Q716" s="524"/>
      <c r="R716" s="524"/>
      <c r="S716" s="524"/>
    </row>
    <row r="717" spans="17:19" ht="15.75">
      <c r="Q717" s="524"/>
      <c r="R717" s="524"/>
      <c r="S717" s="524"/>
    </row>
    <row r="718" spans="17:19" ht="15.75">
      <c r="Q718" s="524"/>
      <c r="R718" s="524"/>
      <c r="S718" s="524"/>
    </row>
    <row r="719" spans="17:19" ht="15.75">
      <c r="Q719" s="524"/>
      <c r="R719" s="524"/>
      <c r="S719" s="524"/>
    </row>
    <row r="720" spans="17:19" ht="15.75">
      <c r="Q720" s="524"/>
      <c r="R720" s="524"/>
      <c r="S720" s="524"/>
    </row>
    <row r="721" spans="17:19" ht="15.75">
      <c r="Q721" s="524"/>
      <c r="R721" s="524"/>
      <c r="S721" s="524"/>
    </row>
    <row r="722" spans="17:19" ht="15.75">
      <c r="Q722" s="524"/>
      <c r="R722" s="524"/>
      <c r="S722" s="524"/>
    </row>
    <row r="723" spans="17:19" ht="15.75">
      <c r="Q723" s="524"/>
      <c r="R723" s="524"/>
      <c r="S723" s="524"/>
    </row>
    <row r="724" spans="17:19" ht="15.75">
      <c r="Q724" s="524"/>
      <c r="R724" s="524"/>
      <c r="S724" s="524"/>
    </row>
    <row r="725" spans="17:19" ht="15.75">
      <c r="Q725" s="524"/>
      <c r="R725" s="524"/>
      <c r="S725" s="524"/>
    </row>
    <row r="726" spans="17:19" ht="15.75">
      <c r="Q726" s="524"/>
      <c r="R726" s="524"/>
      <c r="S726" s="524"/>
    </row>
    <row r="727" spans="17:19" ht="15.75">
      <c r="Q727" s="524"/>
      <c r="R727" s="524"/>
      <c r="S727" s="524"/>
    </row>
    <row r="728" spans="17:19" ht="15.75">
      <c r="Q728" s="524"/>
      <c r="R728" s="524"/>
      <c r="S728" s="524"/>
    </row>
    <row r="729" spans="17:19" ht="15.75">
      <c r="Q729" s="524"/>
      <c r="R729" s="524"/>
      <c r="S729" s="524"/>
    </row>
    <row r="730" spans="17:19" ht="15.75">
      <c r="Q730" s="524"/>
      <c r="R730" s="524"/>
      <c r="S730" s="524"/>
    </row>
    <row r="731" spans="17:19" ht="15.75">
      <c r="Q731" s="524"/>
      <c r="R731" s="524"/>
      <c r="S731" s="524"/>
    </row>
    <row r="732" spans="17:19" ht="15.75">
      <c r="Q732" s="524"/>
      <c r="R732" s="524"/>
      <c r="S732" s="524"/>
    </row>
    <row r="733" spans="17:19" ht="15.75">
      <c r="Q733" s="524"/>
      <c r="R733" s="524"/>
      <c r="S733" s="524"/>
    </row>
    <row r="734" spans="17:19" ht="15.75">
      <c r="Q734" s="524"/>
      <c r="R734" s="524"/>
      <c r="S734" s="524"/>
    </row>
    <row r="735" spans="17:19" ht="15.75">
      <c r="Q735" s="524"/>
      <c r="R735" s="524"/>
      <c r="S735" s="524"/>
    </row>
    <row r="736" spans="17:19" ht="15.75">
      <c r="Q736" s="524"/>
      <c r="R736" s="524"/>
      <c r="S736" s="524"/>
    </row>
    <row r="737" spans="17:19" ht="15.75">
      <c r="Q737" s="524"/>
      <c r="R737" s="524"/>
      <c r="S737" s="524"/>
    </row>
    <row r="738" spans="17:19" ht="15.75">
      <c r="Q738" s="524"/>
      <c r="R738" s="524"/>
      <c r="S738" s="524"/>
    </row>
    <row r="739" spans="17:19" ht="15.75">
      <c r="Q739" s="524"/>
      <c r="R739" s="524"/>
      <c r="S739" s="524"/>
    </row>
    <row r="740" spans="17:19" ht="15.75">
      <c r="Q740" s="524"/>
      <c r="R740" s="524"/>
      <c r="S740" s="524"/>
    </row>
    <row r="741" spans="17:19" ht="15.75">
      <c r="Q741" s="524"/>
      <c r="R741" s="524"/>
      <c r="S741" s="524"/>
    </row>
    <row r="742" spans="17:19" ht="15.75">
      <c r="Q742" s="524"/>
      <c r="R742" s="524"/>
      <c r="S742" s="524"/>
    </row>
    <row r="743" spans="17:19" ht="15.75">
      <c r="Q743" s="524"/>
      <c r="R743" s="524"/>
      <c r="S743" s="524"/>
    </row>
    <row r="744" spans="17:19" ht="15.75">
      <c r="Q744" s="524"/>
      <c r="R744" s="524"/>
      <c r="S744" s="524"/>
    </row>
    <row r="745" spans="17:19" ht="15.75">
      <c r="Q745" s="524"/>
      <c r="R745" s="524"/>
      <c r="S745" s="524"/>
    </row>
    <row r="746" spans="17:19" ht="15.75">
      <c r="Q746" s="524"/>
      <c r="R746" s="524"/>
      <c r="S746" s="524"/>
    </row>
    <row r="747" spans="17:19" ht="15.75">
      <c r="Q747" s="524"/>
      <c r="R747" s="524"/>
      <c r="S747" s="524"/>
    </row>
    <row r="748" spans="17:19" ht="15.75">
      <c r="Q748" s="524"/>
      <c r="R748" s="524"/>
      <c r="S748" s="524"/>
    </row>
    <row r="749" spans="17:19" ht="15.75">
      <c r="Q749" s="524"/>
      <c r="R749" s="524"/>
      <c r="S749" s="524"/>
    </row>
    <row r="750" spans="17:19" ht="15.75">
      <c r="Q750" s="524"/>
      <c r="R750" s="524"/>
      <c r="S750" s="524"/>
    </row>
    <row r="751" spans="17:19" ht="15.75">
      <c r="Q751" s="524"/>
      <c r="R751" s="524"/>
      <c r="S751" s="524"/>
    </row>
    <row r="752" spans="17:19" ht="15.75">
      <c r="Q752" s="524"/>
      <c r="R752" s="524"/>
      <c r="S752" s="524"/>
    </row>
    <row r="753" spans="17:19" ht="15.75">
      <c r="Q753" s="524"/>
      <c r="R753" s="524"/>
      <c r="S753" s="524"/>
    </row>
    <row r="754" spans="17:19" ht="15.75">
      <c r="Q754" s="524"/>
      <c r="R754" s="524"/>
      <c r="S754" s="524"/>
    </row>
    <row r="755" spans="17:19" ht="15.75">
      <c r="Q755" s="524"/>
      <c r="R755" s="524"/>
      <c r="S755" s="524"/>
    </row>
    <row r="756" spans="17:19" ht="15.75">
      <c r="Q756" s="524"/>
      <c r="R756" s="524"/>
      <c r="S756" s="524"/>
    </row>
    <row r="757" spans="17:19" ht="15.75">
      <c r="Q757" s="524"/>
      <c r="R757" s="524"/>
      <c r="S757" s="524"/>
    </row>
    <row r="758" spans="17:19" ht="15.75">
      <c r="Q758" s="524"/>
      <c r="R758" s="524"/>
      <c r="S758" s="524"/>
    </row>
    <row r="759" spans="17:19" ht="15.75">
      <c r="Q759" s="524"/>
      <c r="R759" s="524"/>
      <c r="S759" s="524"/>
    </row>
    <row r="760" spans="17:19" ht="15.75">
      <c r="Q760" s="524"/>
      <c r="R760" s="524"/>
      <c r="S760" s="524"/>
    </row>
    <row r="761" spans="17:19" ht="15.75">
      <c r="Q761" s="524"/>
      <c r="R761" s="524"/>
      <c r="S761" s="524"/>
    </row>
    <row r="762" spans="17:19" ht="15.75">
      <c r="Q762" s="524"/>
      <c r="R762" s="524"/>
      <c r="S762" s="524"/>
    </row>
    <row r="763" spans="17:19" ht="15.75">
      <c r="Q763" s="524"/>
      <c r="R763" s="524"/>
      <c r="S763" s="524"/>
    </row>
    <row r="764" spans="17:19" ht="15.75">
      <c r="Q764" s="524"/>
      <c r="R764" s="524"/>
      <c r="S764" s="524"/>
    </row>
    <row r="765" spans="17:19" ht="15.75">
      <c r="Q765" s="524"/>
      <c r="R765" s="524"/>
      <c r="S765" s="524"/>
    </row>
    <row r="766" spans="17:19" ht="15.75">
      <c r="Q766" s="524"/>
      <c r="R766" s="524"/>
      <c r="S766" s="524"/>
    </row>
    <row r="767" spans="17:19" ht="15.75">
      <c r="Q767" s="524"/>
      <c r="R767" s="524"/>
      <c r="S767" s="524"/>
    </row>
    <row r="768" spans="17:19" ht="15.75">
      <c r="Q768" s="524"/>
      <c r="R768" s="524"/>
      <c r="S768" s="524"/>
    </row>
    <row r="769" spans="17:19" ht="15.75">
      <c r="Q769" s="524"/>
      <c r="R769" s="524"/>
      <c r="S769" s="524"/>
    </row>
    <row r="770" spans="17:19" ht="15.75">
      <c r="Q770" s="524"/>
      <c r="R770" s="524"/>
      <c r="S770" s="524"/>
    </row>
    <row r="771" spans="17:19" ht="15.75">
      <c r="Q771" s="524"/>
      <c r="R771" s="524"/>
      <c r="S771" s="524"/>
    </row>
    <row r="772" spans="17:19" ht="15.75">
      <c r="Q772" s="524"/>
      <c r="R772" s="524"/>
      <c r="S772" s="524"/>
    </row>
    <row r="773" spans="17:19" ht="15.75">
      <c r="Q773" s="524"/>
      <c r="R773" s="524"/>
      <c r="S773" s="524"/>
    </row>
    <row r="774" spans="17:19" ht="15.75">
      <c r="Q774" s="524"/>
      <c r="R774" s="524"/>
      <c r="S774" s="524"/>
    </row>
    <row r="775" spans="17:19" ht="15.75">
      <c r="Q775" s="524"/>
      <c r="R775" s="524"/>
      <c r="S775" s="524"/>
    </row>
    <row r="776" spans="17:19" ht="15.75">
      <c r="Q776" s="524"/>
      <c r="R776" s="524"/>
      <c r="S776" s="524"/>
    </row>
    <row r="777" spans="17:19" ht="15.75">
      <c r="Q777" s="524"/>
      <c r="R777" s="524"/>
      <c r="S777" s="524"/>
    </row>
    <row r="778" spans="17:19" ht="15.75">
      <c r="Q778" s="524"/>
      <c r="R778" s="524"/>
      <c r="S778" s="524"/>
    </row>
    <row r="779" spans="17:19" ht="15.75">
      <c r="Q779" s="524"/>
      <c r="R779" s="524"/>
      <c r="S779" s="524"/>
    </row>
    <row r="780" spans="17:19" ht="15.75">
      <c r="Q780" s="524"/>
      <c r="R780" s="524"/>
      <c r="S780" s="524"/>
    </row>
    <row r="781" spans="17:19" ht="15.75">
      <c r="Q781" s="524"/>
      <c r="R781" s="524"/>
      <c r="S781" s="524"/>
    </row>
    <row r="782" spans="17:19" ht="15.75">
      <c r="Q782" s="524"/>
      <c r="R782" s="524"/>
      <c r="S782" s="524"/>
    </row>
    <row r="783" spans="17:19" ht="15.75">
      <c r="Q783" s="524"/>
      <c r="R783" s="524"/>
      <c r="S783" s="524"/>
    </row>
    <row r="784" spans="17:19" ht="15.75">
      <c r="Q784" s="524"/>
      <c r="R784" s="524"/>
      <c r="S784" s="524"/>
    </row>
    <row r="785" spans="17:19" ht="15.75">
      <c r="Q785" s="524"/>
      <c r="R785" s="524"/>
      <c r="S785" s="524"/>
    </row>
    <row r="786" spans="17:19" ht="15.75">
      <c r="Q786" s="524"/>
      <c r="R786" s="524"/>
      <c r="S786" s="524"/>
    </row>
    <row r="787" spans="17:19" ht="15.75">
      <c r="Q787" s="524"/>
      <c r="R787" s="524"/>
      <c r="S787" s="524"/>
    </row>
    <row r="788" spans="17:19" ht="15.75">
      <c r="Q788" s="524"/>
      <c r="R788" s="524"/>
      <c r="S788" s="524"/>
    </row>
    <row r="789" spans="17:19" ht="15.75">
      <c r="Q789" s="524"/>
      <c r="R789" s="524"/>
      <c r="S789" s="524"/>
    </row>
    <row r="790" spans="17:19" ht="15.75">
      <c r="Q790" s="524"/>
      <c r="R790" s="524"/>
      <c r="S790" s="524"/>
    </row>
    <row r="791" spans="17:19" ht="15.75">
      <c r="Q791" s="524"/>
      <c r="R791" s="524"/>
      <c r="S791" s="524"/>
    </row>
    <row r="792" spans="17:19" ht="15.75">
      <c r="Q792" s="524"/>
      <c r="R792" s="524"/>
      <c r="S792" s="524"/>
    </row>
    <row r="793" spans="17:19" ht="15.75">
      <c r="Q793" s="524"/>
      <c r="R793" s="524"/>
      <c r="S793" s="524"/>
    </row>
    <row r="794" spans="17:19" ht="15.75">
      <c r="Q794" s="524"/>
      <c r="R794" s="524"/>
      <c r="S794" s="524"/>
    </row>
    <row r="795" spans="17:19" ht="15.75">
      <c r="Q795" s="524"/>
      <c r="R795" s="524"/>
      <c r="S795" s="524"/>
    </row>
    <row r="796" spans="17:19" ht="15.75">
      <c r="Q796" s="524"/>
      <c r="R796" s="524"/>
      <c r="S796" s="524"/>
    </row>
    <row r="797" spans="17:19" ht="15.75">
      <c r="Q797" s="524"/>
      <c r="R797" s="524"/>
      <c r="S797" s="524"/>
    </row>
    <row r="798" spans="17:19" ht="15.75">
      <c r="Q798" s="524"/>
      <c r="R798" s="524"/>
      <c r="S798" s="524"/>
    </row>
    <row r="799" spans="17:19" ht="15.75">
      <c r="Q799" s="524"/>
      <c r="R799" s="524"/>
      <c r="S799" s="524"/>
    </row>
    <row r="800" spans="17:19" ht="15.75">
      <c r="Q800" s="524"/>
      <c r="R800" s="524"/>
      <c r="S800" s="524"/>
    </row>
    <row r="801" spans="17:19" ht="15.75">
      <c r="Q801" s="524"/>
      <c r="R801" s="524"/>
      <c r="S801" s="524"/>
    </row>
    <row r="802" spans="17:19" ht="15.75">
      <c r="Q802" s="524"/>
      <c r="R802" s="524"/>
      <c r="S802" s="524"/>
    </row>
    <row r="803" spans="17:19" ht="15.75">
      <c r="Q803" s="524"/>
      <c r="R803" s="524"/>
      <c r="S803" s="524"/>
    </row>
    <row r="804" spans="17:19" ht="15.75">
      <c r="Q804" s="524"/>
      <c r="R804" s="524"/>
      <c r="S804" s="524"/>
    </row>
    <row r="805" spans="17:19" ht="15.75">
      <c r="Q805" s="524"/>
      <c r="R805" s="524"/>
      <c r="S805" s="524"/>
    </row>
    <row r="806" spans="17:19" ht="15.75">
      <c r="Q806" s="524"/>
      <c r="R806" s="524"/>
      <c r="S806" s="524"/>
    </row>
    <row r="807" spans="17:19" ht="15.75">
      <c r="Q807" s="524"/>
      <c r="R807" s="524"/>
      <c r="S807" s="524"/>
    </row>
    <row r="808" spans="17:19" ht="15.75">
      <c r="Q808" s="524"/>
      <c r="R808" s="524"/>
      <c r="S808" s="524"/>
    </row>
    <row r="809" spans="17:19" ht="15.75">
      <c r="Q809" s="524"/>
      <c r="R809" s="524"/>
      <c r="S809" s="524"/>
    </row>
    <row r="810" spans="17:19" ht="15.75">
      <c r="Q810" s="524"/>
      <c r="R810" s="524"/>
      <c r="S810" s="524"/>
    </row>
    <row r="811" spans="17:19" ht="15.75">
      <c r="Q811" s="524"/>
      <c r="R811" s="524"/>
      <c r="S811" s="524"/>
    </row>
    <row r="812" spans="17:19" ht="15.75">
      <c r="Q812" s="524"/>
      <c r="R812" s="524"/>
      <c r="S812" s="524"/>
    </row>
    <row r="813" spans="17:19" ht="15.75">
      <c r="Q813" s="524"/>
      <c r="R813" s="524"/>
      <c r="S813" s="524"/>
    </row>
    <row r="814" spans="17:19" ht="15.75">
      <c r="Q814" s="524"/>
      <c r="R814" s="524"/>
      <c r="S814" s="524"/>
    </row>
    <row r="815" spans="17:19" ht="15.75">
      <c r="Q815" s="524"/>
      <c r="R815" s="524"/>
      <c r="S815" s="524"/>
    </row>
    <row r="816" spans="17:19" ht="15.75">
      <c r="Q816" s="524"/>
      <c r="R816" s="524"/>
      <c r="S816" s="524"/>
    </row>
    <row r="817" spans="17:19" ht="15.75">
      <c r="Q817" s="524"/>
      <c r="R817" s="524"/>
      <c r="S817" s="524"/>
    </row>
    <row r="818" spans="17:19" ht="15.75">
      <c r="Q818" s="524"/>
      <c r="R818" s="524"/>
      <c r="S818" s="524"/>
    </row>
    <row r="819" spans="17:19" ht="15.75">
      <c r="Q819" s="524"/>
      <c r="R819" s="524"/>
      <c r="S819" s="524"/>
    </row>
    <row r="820" spans="17:19" ht="15.75">
      <c r="Q820" s="524"/>
      <c r="R820" s="524"/>
      <c r="S820" s="524"/>
    </row>
    <row r="821" spans="17:19" ht="15.75">
      <c r="Q821" s="524"/>
      <c r="R821" s="524"/>
      <c r="S821" s="524"/>
    </row>
    <row r="822" spans="17:19" ht="15.75">
      <c r="Q822" s="524"/>
      <c r="R822" s="524"/>
      <c r="S822" s="524"/>
    </row>
    <row r="823" spans="17:19" ht="15.75">
      <c r="Q823" s="524"/>
      <c r="R823" s="524"/>
      <c r="S823" s="524"/>
    </row>
    <row r="824" spans="17:19" ht="15.75">
      <c r="Q824" s="524"/>
      <c r="R824" s="524"/>
      <c r="S824" s="524"/>
    </row>
    <row r="825" spans="17:19" ht="15.75">
      <c r="Q825" s="524"/>
      <c r="R825" s="524"/>
      <c r="S825" s="524"/>
    </row>
    <row r="826" spans="17:19" ht="15.75">
      <c r="Q826" s="524"/>
      <c r="R826" s="524"/>
      <c r="S826" s="524"/>
    </row>
    <row r="827" spans="17:19" ht="15.75">
      <c r="Q827" s="524"/>
      <c r="R827" s="524"/>
      <c r="S827" s="524"/>
    </row>
    <row r="828" spans="17:19" ht="15.75">
      <c r="Q828" s="524"/>
      <c r="R828" s="524"/>
      <c r="S828" s="524"/>
    </row>
    <row r="829" spans="17:19" ht="15.75">
      <c r="Q829" s="524"/>
      <c r="R829" s="524"/>
      <c r="S829" s="524"/>
    </row>
    <row r="830" spans="17:19" ht="15.75">
      <c r="Q830" s="524"/>
      <c r="R830" s="524"/>
      <c r="S830" s="524"/>
    </row>
    <row r="831" spans="17:19" ht="15.75">
      <c r="Q831" s="524"/>
      <c r="R831" s="524"/>
      <c r="S831" s="524"/>
    </row>
    <row r="832" spans="17:19" ht="15.75">
      <c r="Q832" s="524"/>
      <c r="R832" s="524"/>
      <c r="S832" s="524"/>
    </row>
    <row r="833" spans="17:19" ht="15.75">
      <c r="Q833" s="524"/>
      <c r="R833" s="524"/>
      <c r="S833" s="524"/>
    </row>
    <row r="834" spans="17:19" ht="15.75">
      <c r="Q834" s="524"/>
      <c r="R834" s="524"/>
      <c r="S834" s="524"/>
    </row>
    <row r="835" spans="17:19" ht="15.75">
      <c r="Q835" s="524"/>
      <c r="R835" s="524"/>
      <c r="S835" s="524"/>
    </row>
    <row r="836" spans="17:19" ht="15.75">
      <c r="Q836" s="524"/>
      <c r="R836" s="524"/>
      <c r="S836" s="524"/>
    </row>
    <row r="837" spans="17:19" ht="15.75">
      <c r="Q837" s="524"/>
      <c r="R837" s="524"/>
      <c r="S837" s="524"/>
    </row>
    <row r="838" spans="17:19" ht="15.75">
      <c r="Q838" s="524"/>
      <c r="R838" s="524"/>
      <c r="S838" s="524"/>
    </row>
    <row r="839" spans="17:19" ht="15.75">
      <c r="Q839" s="524"/>
      <c r="R839" s="524"/>
      <c r="S839" s="524"/>
    </row>
    <row r="840" spans="17:19" ht="15.75">
      <c r="Q840" s="524"/>
      <c r="R840" s="524"/>
      <c r="S840" s="524"/>
    </row>
    <row r="841" spans="17:19" ht="15.75">
      <c r="Q841" s="524"/>
      <c r="R841" s="524"/>
      <c r="S841" s="524"/>
    </row>
    <row r="842" spans="17:19" ht="15.75">
      <c r="Q842" s="524"/>
      <c r="R842" s="524"/>
      <c r="S842" s="524"/>
    </row>
    <row r="843" spans="17:19" ht="15.75">
      <c r="Q843" s="524"/>
      <c r="R843" s="524"/>
      <c r="S843" s="524"/>
    </row>
    <row r="844" spans="17:19" ht="15.75">
      <c r="Q844" s="524"/>
      <c r="R844" s="524"/>
      <c r="S844" s="524"/>
    </row>
    <row r="845" spans="17:19" ht="15.75">
      <c r="Q845" s="524"/>
      <c r="R845" s="524"/>
      <c r="S845" s="524"/>
    </row>
    <row r="846" spans="17:19" ht="15.75">
      <c r="Q846" s="524"/>
      <c r="R846" s="524"/>
      <c r="S846" s="524"/>
    </row>
    <row r="847" spans="17:19" ht="15.75">
      <c r="Q847" s="524"/>
      <c r="R847" s="524"/>
      <c r="S847" s="524"/>
    </row>
    <row r="848" spans="17:19" ht="15.75">
      <c r="Q848" s="524"/>
      <c r="R848" s="524"/>
      <c r="S848" s="524"/>
    </row>
    <row r="849" spans="17:19" ht="15.75">
      <c r="Q849" s="524"/>
      <c r="R849" s="524"/>
      <c r="S849" s="524"/>
    </row>
    <row r="850" spans="17:19" ht="15.75">
      <c r="Q850" s="524"/>
      <c r="R850" s="524"/>
      <c r="S850" s="524"/>
    </row>
    <row r="851" spans="17:19" ht="15.75">
      <c r="Q851" s="524"/>
      <c r="R851" s="524"/>
      <c r="S851" s="524"/>
    </row>
    <row r="852" spans="17:19" ht="15.75">
      <c r="Q852" s="524"/>
      <c r="R852" s="524"/>
      <c r="S852" s="524"/>
    </row>
    <row r="853" spans="17:19" ht="15.75">
      <c r="Q853" s="524"/>
      <c r="R853" s="524"/>
      <c r="S853" s="524"/>
    </row>
    <row r="854" spans="17:19" ht="15.75">
      <c r="Q854" s="524"/>
      <c r="R854" s="524"/>
      <c r="S854" s="524"/>
    </row>
    <row r="855" spans="17:19" ht="15.75">
      <c r="Q855" s="524"/>
      <c r="R855" s="524"/>
      <c r="S855" s="524"/>
    </row>
    <row r="856" spans="17:19" ht="15.75">
      <c r="Q856" s="524"/>
      <c r="R856" s="524"/>
      <c r="S856" s="524"/>
    </row>
    <row r="857" spans="17:19" ht="15.75">
      <c r="Q857" s="524"/>
      <c r="R857" s="524"/>
      <c r="S857" s="524"/>
    </row>
    <row r="858" spans="17:19" ht="15.75">
      <c r="Q858" s="524"/>
      <c r="R858" s="524"/>
      <c r="S858" s="524"/>
    </row>
    <row r="859" spans="17:19" ht="15.75">
      <c r="Q859" s="524"/>
      <c r="R859" s="524"/>
      <c r="S859" s="524"/>
    </row>
    <row r="860" spans="17:19" ht="15.75">
      <c r="Q860" s="524"/>
      <c r="R860" s="524"/>
      <c r="S860" s="524"/>
    </row>
    <row r="861" spans="17:19" ht="15.75">
      <c r="Q861" s="524"/>
      <c r="R861" s="524"/>
      <c r="S861" s="524"/>
    </row>
    <row r="862" spans="17:19" ht="15.75">
      <c r="Q862" s="524"/>
      <c r="R862" s="524"/>
      <c r="S862" s="524"/>
    </row>
    <row r="863" spans="17:19" ht="15.75">
      <c r="Q863" s="524"/>
      <c r="R863" s="524"/>
      <c r="S863" s="524"/>
    </row>
    <row r="864" spans="17:19" ht="15.75">
      <c r="Q864" s="524"/>
      <c r="R864" s="524"/>
      <c r="S864" s="524"/>
    </row>
    <row r="865" spans="17:19" ht="15.75">
      <c r="Q865" s="524"/>
      <c r="R865" s="524"/>
      <c r="S865" s="524"/>
    </row>
    <row r="866" spans="17:19" ht="15.75">
      <c r="Q866" s="524"/>
      <c r="R866" s="524"/>
      <c r="S866" s="524"/>
    </row>
    <row r="867" spans="17:19" ht="15.75">
      <c r="Q867" s="524"/>
      <c r="R867" s="524"/>
      <c r="S867" s="524"/>
    </row>
    <row r="868" spans="17:19" ht="15.75">
      <c r="Q868" s="524"/>
      <c r="R868" s="524"/>
      <c r="S868" s="524"/>
    </row>
    <row r="869" spans="17:19" ht="15.75">
      <c r="Q869" s="524"/>
      <c r="R869" s="524"/>
      <c r="S869" s="524"/>
    </row>
    <row r="870" spans="17:19" ht="15.75">
      <c r="Q870" s="524"/>
      <c r="R870" s="524"/>
      <c r="S870" s="524"/>
    </row>
    <row r="871" spans="17:19" ht="15.75">
      <c r="Q871" s="524"/>
      <c r="R871" s="524"/>
      <c r="S871" s="524"/>
    </row>
    <row r="872" spans="17:19" ht="15.75">
      <c r="Q872" s="524"/>
      <c r="R872" s="524"/>
      <c r="S872" s="524"/>
    </row>
    <row r="873" spans="17:19" ht="15.75">
      <c r="Q873" s="524"/>
      <c r="R873" s="524"/>
      <c r="S873" s="524"/>
    </row>
    <row r="874" spans="17:19" ht="15.75">
      <c r="Q874" s="524"/>
      <c r="R874" s="524"/>
      <c r="S874" s="524"/>
    </row>
    <row r="875" spans="17:19" ht="15.75">
      <c r="Q875" s="524"/>
      <c r="R875" s="524"/>
      <c r="S875" s="524"/>
    </row>
    <row r="876" spans="17:19" ht="15.75">
      <c r="Q876" s="524"/>
      <c r="R876" s="524"/>
      <c r="S876" s="524"/>
    </row>
    <row r="877" spans="17:19" ht="15.75">
      <c r="Q877" s="524"/>
      <c r="R877" s="524"/>
      <c r="S877" s="524"/>
    </row>
    <row r="878" spans="17:19" ht="15.75">
      <c r="Q878" s="524"/>
      <c r="R878" s="524"/>
      <c r="S878" s="524"/>
    </row>
    <row r="879" spans="17:19" ht="15.75">
      <c r="Q879" s="524"/>
      <c r="R879" s="524"/>
      <c r="S879" s="524"/>
    </row>
    <row r="880" spans="17:19" ht="15.75">
      <c r="Q880" s="524"/>
      <c r="R880" s="524"/>
      <c r="S880" s="524"/>
    </row>
    <row r="881" spans="17:19" ht="15.75">
      <c r="Q881" s="524"/>
      <c r="R881" s="524"/>
      <c r="S881" s="524"/>
    </row>
    <row r="882" spans="17:19" ht="15.75">
      <c r="Q882" s="524"/>
      <c r="R882" s="524"/>
      <c r="S882" s="524"/>
    </row>
    <row r="883" spans="17:19" ht="15.75">
      <c r="Q883" s="524"/>
      <c r="R883" s="524"/>
      <c r="S883" s="524"/>
    </row>
    <row r="884" spans="17:19" ht="15.75">
      <c r="Q884" s="524"/>
      <c r="R884" s="524"/>
      <c r="S884" s="524"/>
    </row>
    <row r="885" spans="17:19" ht="15.75">
      <c r="Q885" s="524"/>
      <c r="R885" s="524"/>
      <c r="S885" s="524"/>
    </row>
    <row r="886" spans="17:19" ht="15.75">
      <c r="Q886" s="524"/>
      <c r="R886" s="524"/>
      <c r="S886" s="524"/>
    </row>
    <row r="887" spans="17:19" ht="15.75">
      <c r="Q887" s="524"/>
      <c r="R887" s="524"/>
      <c r="S887" s="524"/>
    </row>
    <row r="888" spans="17:19" ht="15.75">
      <c r="Q888" s="524"/>
      <c r="R888" s="524"/>
      <c r="S888" s="524"/>
    </row>
    <row r="889" spans="17:19" ht="15.75">
      <c r="Q889" s="524"/>
      <c r="R889" s="524"/>
      <c r="S889" s="524"/>
    </row>
    <row r="890" spans="17:19" ht="15.75">
      <c r="Q890" s="524"/>
      <c r="R890" s="524"/>
      <c r="S890" s="524"/>
    </row>
    <row r="891" spans="17:19" ht="15.75">
      <c r="Q891" s="524"/>
      <c r="R891" s="524"/>
      <c r="S891" s="524"/>
    </row>
    <row r="892" spans="17:19" ht="15.75">
      <c r="Q892" s="524"/>
      <c r="R892" s="524"/>
      <c r="S892" s="524"/>
    </row>
    <row r="893" spans="17:19" ht="15.75">
      <c r="Q893" s="524"/>
      <c r="R893" s="524"/>
      <c r="S893" s="524"/>
    </row>
    <row r="894" spans="17:19" ht="15.75">
      <c r="Q894" s="524"/>
      <c r="R894" s="524"/>
      <c r="S894" s="524"/>
    </row>
    <row r="895" spans="17:19" ht="15.75">
      <c r="Q895" s="524"/>
      <c r="R895" s="524"/>
      <c r="S895" s="524"/>
    </row>
    <row r="896" spans="17:19" ht="15.75">
      <c r="Q896" s="524"/>
      <c r="R896" s="524"/>
      <c r="S896" s="524"/>
    </row>
    <row r="897" spans="17:19" ht="15.75">
      <c r="Q897" s="524"/>
      <c r="R897" s="524"/>
      <c r="S897" s="524"/>
    </row>
    <row r="898" spans="17:19" ht="15.75">
      <c r="Q898" s="524"/>
      <c r="R898" s="524"/>
      <c r="S898" s="524"/>
    </row>
    <row r="899" spans="17:19" ht="15.75">
      <c r="Q899" s="524"/>
      <c r="R899" s="524"/>
      <c r="S899" s="524"/>
    </row>
    <row r="900" spans="17:19" ht="15.75">
      <c r="Q900" s="524"/>
      <c r="R900" s="524"/>
      <c r="S900" s="524"/>
    </row>
    <row r="901" spans="17:19" ht="15.75">
      <c r="Q901" s="524"/>
      <c r="R901" s="524"/>
      <c r="S901" s="524"/>
    </row>
    <row r="902" spans="17:19" ht="15.75">
      <c r="Q902" s="524"/>
      <c r="R902" s="524"/>
      <c r="S902" s="524"/>
    </row>
    <row r="903" spans="17:19" ht="15.75">
      <c r="Q903" s="524"/>
      <c r="R903" s="524"/>
      <c r="S903" s="524"/>
    </row>
    <row r="904" spans="17:19" ht="15.75">
      <c r="Q904" s="524"/>
      <c r="R904" s="524"/>
      <c r="S904" s="524"/>
    </row>
    <row r="905" spans="17:19" ht="15.75">
      <c r="Q905" s="524"/>
      <c r="R905" s="524"/>
      <c r="S905" s="524"/>
    </row>
    <row r="906" spans="17:19" ht="15.75">
      <c r="Q906" s="524"/>
      <c r="R906" s="524"/>
      <c r="S906" s="524"/>
    </row>
    <row r="907" spans="17:19" ht="15.75">
      <c r="Q907" s="524"/>
      <c r="R907" s="524"/>
      <c r="S907" s="524"/>
    </row>
    <row r="908" spans="17:19" ht="15.75">
      <c r="Q908" s="524"/>
      <c r="R908" s="524"/>
      <c r="S908" s="524"/>
    </row>
    <row r="909" spans="17:19" ht="15.75">
      <c r="Q909" s="524"/>
      <c r="R909" s="524"/>
      <c r="S909" s="524"/>
    </row>
    <row r="910" spans="17:19" ht="15.75">
      <c r="Q910" s="524"/>
      <c r="R910" s="524"/>
      <c r="S910" s="524"/>
    </row>
    <row r="911" spans="17:19" ht="15.75">
      <c r="Q911" s="524"/>
      <c r="R911" s="524"/>
      <c r="S911" s="524"/>
    </row>
    <row r="912" spans="17:19" ht="15.75">
      <c r="Q912" s="524"/>
      <c r="R912" s="524"/>
      <c r="S912" s="524"/>
    </row>
    <row r="913" spans="17:19" ht="15.75">
      <c r="Q913" s="524"/>
      <c r="R913" s="524"/>
      <c r="S913" s="524"/>
    </row>
    <row r="914" spans="17:19" ht="15.75">
      <c r="Q914" s="524"/>
      <c r="R914" s="524"/>
      <c r="S914" s="524"/>
    </row>
    <row r="915" spans="17:19" ht="15.75">
      <c r="Q915" s="524"/>
      <c r="R915" s="524"/>
      <c r="S915" s="524"/>
    </row>
    <row r="916" spans="17:19" ht="15.75">
      <c r="Q916" s="524"/>
      <c r="R916" s="524"/>
      <c r="S916" s="524"/>
    </row>
    <row r="917" spans="17:19" ht="15.75">
      <c r="Q917" s="524"/>
      <c r="R917" s="524"/>
      <c r="S917" s="524"/>
    </row>
    <row r="918" spans="17:19" ht="15.75">
      <c r="Q918" s="524"/>
      <c r="R918" s="524"/>
      <c r="S918" s="524"/>
    </row>
    <row r="919" spans="17:19" ht="15.75">
      <c r="Q919" s="524"/>
      <c r="R919" s="524"/>
      <c r="S919" s="524"/>
    </row>
    <row r="920" spans="17:19" ht="15.75">
      <c r="Q920" s="524"/>
      <c r="R920" s="524"/>
      <c r="S920" s="524"/>
    </row>
    <row r="921" spans="17:19" ht="15.75">
      <c r="Q921" s="524"/>
      <c r="R921" s="524"/>
      <c r="S921" s="524"/>
    </row>
    <row r="922" spans="17:19" ht="15.75">
      <c r="Q922" s="524"/>
      <c r="R922" s="524"/>
      <c r="S922" s="524"/>
    </row>
    <row r="923" spans="17:19" ht="15.75">
      <c r="Q923" s="524"/>
      <c r="R923" s="524"/>
      <c r="S923" s="524"/>
    </row>
    <row r="924" spans="17:19" ht="15.75">
      <c r="Q924" s="524"/>
      <c r="R924" s="524"/>
      <c r="S924" s="524"/>
    </row>
    <row r="925" spans="17:19" ht="15.75">
      <c r="Q925" s="524"/>
      <c r="R925" s="524"/>
      <c r="S925" s="524"/>
    </row>
    <row r="926" spans="17:19" ht="15.75">
      <c r="Q926" s="524"/>
      <c r="R926" s="524"/>
      <c r="S926" s="524"/>
    </row>
    <row r="927" spans="17:19" ht="15.75">
      <c r="Q927" s="524"/>
      <c r="R927" s="524"/>
      <c r="S927" s="524"/>
    </row>
    <row r="928" spans="17:19" ht="15.75">
      <c r="Q928" s="524"/>
      <c r="R928" s="524"/>
      <c r="S928" s="524"/>
    </row>
    <row r="929" spans="17:19" ht="15.75">
      <c r="Q929" s="524"/>
      <c r="R929" s="524"/>
      <c r="S929" s="524"/>
    </row>
    <row r="930" spans="17:19" ht="15.75">
      <c r="Q930" s="524"/>
      <c r="R930" s="524"/>
      <c r="S930" s="524"/>
    </row>
    <row r="931" spans="17:19" ht="15.75">
      <c r="Q931" s="524"/>
      <c r="R931" s="524"/>
      <c r="S931" s="524"/>
    </row>
    <row r="932" spans="17:19" ht="15.75">
      <c r="Q932" s="524"/>
      <c r="R932" s="524"/>
      <c r="S932" s="524"/>
    </row>
    <row r="933" spans="17:19" ht="15.75">
      <c r="Q933" s="524"/>
      <c r="R933" s="524"/>
      <c r="S933" s="524"/>
    </row>
    <row r="934" spans="17:19" ht="15.75">
      <c r="Q934" s="524"/>
      <c r="R934" s="524"/>
      <c r="S934" s="524"/>
    </row>
    <row r="935" spans="17:19" ht="15.75">
      <c r="Q935" s="524"/>
      <c r="R935" s="524"/>
      <c r="S935" s="524"/>
    </row>
    <row r="936" spans="17:19" ht="15.75">
      <c r="Q936" s="524"/>
      <c r="R936" s="524"/>
      <c r="S936" s="524"/>
    </row>
    <row r="937" spans="17:19" ht="15.75">
      <c r="Q937" s="524"/>
      <c r="R937" s="524"/>
      <c r="S937" s="524"/>
    </row>
    <row r="938" spans="17:19" ht="15.75">
      <c r="Q938" s="524"/>
      <c r="R938" s="524"/>
      <c r="S938" s="524"/>
    </row>
    <row r="939" spans="17:19" ht="15.75">
      <c r="Q939" s="524"/>
      <c r="R939" s="524"/>
      <c r="S939" s="524"/>
    </row>
    <row r="940" spans="17:19" ht="15.75">
      <c r="Q940" s="524"/>
      <c r="R940" s="524"/>
      <c r="S940" s="524"/>
    </row>
    <row r="941" spans="17:19" ht="15.75">
      <c r="Q941" s="524"/>
      <c r="R941" s="524"/>
      <c r="S941" s="524"/>
    </row>
    <row r="942" spans="17:19" ht="15.75">
      <c r="Q942" s="524"/>
      <c r="R942" s="524"/>
      <c r="S942" s="524"/>
    </row>
    <row r="943" spans="17:19" ht="15.75">
      <c r="Q943" s="524"/>
      <c r="R943" s="524"/>
      <c r="S943" s="524"/>
    </row>
    <row r="944" spans="17:19" ht="15.75">
      <c r="Q944" s="524"/>
      <c r="R944" s="524"/>
      <c r="S944" s="524"/>
    </row>
    <row r="945" spans="17:19" ht="15.75">
      <c r="Q945" s="524"/>
      <c r="R945" s="524"/>
      <c r="S945" s="524"/>
    </row>
    <row r="946" spans="17:19" ht="15.75">
      <c r="Q946" s="524"/>
      <c r="R946" s="524"/>
      <c r="S946" s="524"/>
    </row>
    <row r="947" spans="17:19" ht="15.75">
      <c r="Q947" s="524"/>
      <c r="R947" s="524"/>
      <c r="S947" s="524"/>
    </row>
    <row r="948" spans="17:19" ht="15.75">
      <c r="Q948" s="524"/>
      <c r="R948" s="524"/>
      <c r="S948" s="524"/>
    </row>
    <row r="949" spans="17:19" ht="15.75">
      <c r="Q949" s="524"/>
      <c r="R949" s="524"/>
      <c r="S949" s="524"/>
    </row>
    <row r="950" spans="17:19" ht="15.75">
      <c r="Q950" s="524"/>
      <c r="R950" s="524"/>
      <c r="S950" s="524"/>
    </row>
    <row r="951" spans="17:19" ht="15.75">
      <c r="Q951" s="524"/>
      <c r="R951" s="524"/>
      <c r="S951" s="524"/>
    </row>
    <row r="952" spans="17:19" ht="15.75">
      <c r="Q952" s="524"/>
      <c r="R952" s="524"/>
      <c r="S952" s="524"/>
    </row>
    <row r="953" spans="17:19" ht="15.75">
      <c r="Q953" s="524"/>
      <c r="R953" s="524"/>
      <c r="S953" s="524"/>
    </row>
    <row r="954" spans="17:19" ht="15.75">
      <c r="Q954" s="524"/>
      <c r="R954" s="524"/>
      <c r="S954" s="524"/>
    </row>
    <row r="955" spans="17:19" ht="15.75">
      <c r="Q955" s="524"/>
      <c r="R955" s="524"/>
      <c r="S955" s="524"/>
    </row>
    <row r="956" spans="17:19" ht="15.75">
      <c r="Q956" s="524"/>
      <c r="R956" s="524"/>
      <c r="S956" s="524"/>
    </row>
    <row r="957" spans="17:19" ht="15.75">
      <c r="Q957" s="524"/>
      <c r="R957" s="524"/>
      <c r="S957" s="524"/>
    </row>
    <row r="958" spans="17:19" ht="15.75">
      <c r="Q958" s="524"/>
      <c r="R958" s="524"/>
      <c r="S958" s="524"/>
    </row>
    <row r="959" spans="17:19" ht="15.75">
      <c r="Q959" s="524"/>
      <c r="R959" s="524"/>
      <c r="S959" s="524"/>
    </row>
    <row r="960" spans="17:19" ht="15.75">
      <c r="Q960" s="524"/>
      <c r="R960" s="524"/>
      <c r="S960" s="524"/>
    </row>
    <row r="961" spans="17:19" ht="15.75">
      <c r="Q961" s="524"/>
      <c r="R961" s="524"/>
      <c r="S961" s="524"/>
    </row>
    <row r="962" spans="17:19" ht="15.75">
      <c r="Q962" s="524"/>
      <c r="R962" s="524"/>
      <c r="S962" s="524"/>
    </row>
    <row r="963" spans="17:19" ht="15.75">
      <c r="Q963" s="524"/>
      <c r="R963" s="524"/>
      <c r="S963" s="524"/>
    </row>
    <row r="964" spans="17:19" ht="15.75">
      <c r="Q964" s="524"/>
      <c r="R964" s="524"/>
      <c r="S964" s="524"/>
    </row>
    <row r="965" spans="17:19" ht="15.75">
      <c r="Q965" s="524"/>
      <c r="R965" s="524"/>
      <c r="S965" s="524"/>
    </row>
    <row r="966" spans="17:19" ht="15.75">
      <c r="Q966" s="524"/>
      <c r="R966" s="524"/>
      <c r="S966" s="524"/>
    </row>
    <row r="967" spans="17:19" ht="15.75">
      <c r="Q967" s="524"/>
      <c r="R967" s="524"/>
      <c r="S967" s="524"/>
    </row>
    <row r="968" spans="17:19" ht="15.75">
      <c r="Q968" s="524"/>
      <c r="R968" s="524"/>
      <c r="S968" s="524"/>
    </row>
    <row r="969" spans="17:19" ht="15.75">
      <c r="Q969" s="524"/>
      <c r="R969" s="524"/>
      <c r="S969" s="524"/>
    </row>
    <row r="970" spans="17:19" ht="15.75">
      <c r="Q970" s="524"/>
      <c r="R970" s="524"/>
      <c r="S970" s="524"/>
    </row>
    <row r="971" spans="17:19" ht="15.75">
      <c r="Q971" s="524"/>
      <c r="R971" s="524"/>
      <c r="S971" s="524"/>
    </row>
    <row r="972" spans="17:19" ht="15.75">
      <c r="Q972" s="524"/>
      <c r="R972" s="524"/>
      <c r="S972" s="524"/>
    </row>
    <row r="973" spans="17:19" ht="15.75">
      <c r="Q973" s="524"/>
      <c r="R973" s="524"/>
      <c r="S973" s="524"/>
    </row>
    <row r="974" spans="17:19" ht="15.75">
      <c r="Q974" s="524"/>
      <c r="R974" s="524"/>
      <c r="S974" s="524"/>
    </row>
    <row r="975" spans="17:19" ht="15.75">
      <c r="Q975" s="524"/>
      <c r="R975" s="524"/>
      <c r="S975" s="524"/>
    </row>
    <row r="976" spans="17:19" ht="15.75">
      <c r="Q976" s="524"/>
      <c r="R976" s="524"/>
      <c r="S976" s="524"/>
    </row>
    <row r="977" spans="17:19" ht="15.75">
      <c r="Q977" s="524"/>
      <c r="R977" s="524"/>
      <c r="S977" s="524"/>
    </row>
    <row r="978" spans="17:19" ht="15.75">
      <c r="Q978" s="524"/>
      <c r="R978" s="524"/>
      <c r="S978" s="524"/>
    </row>
    <row r="979" spans="17:19" ht="15.75">
      <c r="Q979" s="524"/>
      <c r="R979" s="524"/>
      <c r="S979" s="524"/>
    </row>
    <row r="980" spans="17:19" ht="15.75">
      <c r="Q980" s="524"/>
      <c r="R980" s="524"/>
      <c r="S980" s="524"/>
    </row>
    <row r="981" spans="17:19" ht="15.75">
      <c r="Q981" s="524"/>
      <c r="R981" s="524"/>
      <c r="S981" s="524"/>
    </row>
    <row r="982" spans="17:19" ht="15.75">
      <c r="Q982" s="524"/>
      <c r="R982" s="524"/>
      <c r="S982" s="524"/>
    </row>
    <row r="983" spans="17:19" ht="15.75">
      <c r="Q983" s="524"/>
      <c r="R983" s="524"/>
      <c r="S983" s="524"/>
    </row>
    <row r="984" spans="17:19" ht="15.75">
      <c r="Q984" s="524"/>
      <c r="R984" s="524"/>
      <c r="S984" s="524"/>
    </row>
    <row r="985" spans="17:19" ht="15.75">
      <c r="Q985" s="524"/>
      <c r="R985" s="524"/>
      <c r="S985" s="524"/>
    </row>
    <row r="986" spans="17:19" ht="15.75">
      <c r="Q986" s="524"/>
      <c r="R986" s="524"/>
      <c r="S986" s="524"/>
    </row>
    <row r="987" spans="17:19" ht="15.75">
      <c r="Q987" s="524"/>
      <c r="R987" s="524"/>
      <c r="S987" s="524"/>
    </row>
    <row r="988" spans="17:19" ht="15.75">
      <c r="Q988" s="524"/>
      <c r="R988" s="524"/>
      <c r="S988" s="524"/>
    </row>
    <row r="989" spans="17:19" ht="15.75">
      <c r="Q989" s="524"/>
      <c r="R989" s="524"/>
      <c r="S989" s="524"/>
    </row>
    <row r="990" spans="17:19" ht="15.75">
      <c r="Q990" s="524"/>
      <c r="R990" s="524"/>
      <c r="S990" s="524"/>
    </row>
    <row r="991" spans="17:19" ht="15.75">
      <c r="Q991" s="524"/>
      <c r="R991" s="524"/>
      <c r="S991" s="524"/>
    </row>
    <row r="992" spans="17:19" ht="15.75">
      <c r="Q992" s="524"/>
      <c r="R992" s="524"/>
      <c r="S992" s="524"/>
    </row>
    <row r="993" spans="17:19" ht="15.75">
      <c r="Q993" s="524"/>
      <c r="R993" s="524"/>
      <c r="S993" s="524"/>
    </row>
    <row r="994" spans="17:19" ht="15.75">
      <c r="Q994" s="524"/>
      <c r="R994" s="524"/>
      <c r="S994" s="524"/>
    </row>
    <row r="995" spans="17:19" ht="15.75">
      <c r="Q995" s="524"/>
      <c r="R995" s="524"/>
      <c r="S995" s="524"/>
    </row>
    <row r="996" spans="17:19" ht="15.75">
      <c r="Q996" s="524"/>
      <c r="R996" s="524"/>
      <c r="S996" s="524"/>
    </row>
    <row r="997" spans="17:19" ht="15.75">
      <c r="Q997" s="524"/>
      <c r="R997" s="524"/>
      <c r="S997" s="524"/>
    </row>
    <row r="998" spans="17:19" ht="15.75">
      <c r="Q998" s="524"/>
      <c r="R998" s="524"/>
      <c r="S998" s="524"/>
    </row>
    <row r="999" spans="17:19" ht="15.75">
      <c r="Q999" s="524"/>
      <c r="R999" s="524"/>
      <c r="S999" s="524"/>
    </row>
    <row r="1000" spans="17:19" ht="15.75">
      <c r="Q1000" s="524"/>
      <c r="R1000" s="524"/>
      <c r="S1000" s="524"/>
    </row>
    <row r="1001" spans="17:19" ht="15.75">
      <c r="Q1001" s="524"/>
      <c r="R1001" s="524"/>
      <c r="S1001" s="524"/>
    </row>
    <row r="1002" spans="17:19" ht="15.75">
      <c r="Q1002" s="524"/>
      <c r="R1002" s="524"/>
      <c r="S1002" s="524"/>
    </row>
    <row r="1003" spans="17:19" ht="15.75">
      <c r="Q1003" s="524"/>
      <c r="R1003" s="524"/>
      <c r="S1003" s="524"/>
    </row>
    <row r="1004" spans="17:19" ht="15.75">
      <c r="Q1004" s="524"/>
      <c r="R1004" s="524"/>
      <c r="S1004" s="524"/>
    </row>
    <row r="1005" spans="17:19" ht="15.75">
      <c r="Q1005" s="524"/>
      <c r="R1005" s="524"/>
      <c r="S1005" s="524"/>
    </row>
    <row r="1006" spans="17:19" ht="15.75">
      <c r="Q1006" s="524"/>
      <c r="R1006" s="524"/>
      <c r="S1006" s="524"/>
    </row>
    <row r="1007" spans="17:19" ht="15.75">
      <c r="Q1007" s="524"/>
      <c r="R1007" s="524"/>
      <c r="S1007" s="524"/>
    </row>
    <row r="1008" spans="17:19" ht="15.75">
      <c r="Q1008" s="524"/>
      <c r="R1008" s="524"/>
      <c r="S1008" s="524"/>
    </row>
    <row r="1009" spans="17:19" ht="15.75">
      <c r="Q1009" s="524"/>
      <c r="R1009" s="524"/>
      <c r="S1009" s="524"/>
    </row>
    <row r="1010" spans="17:19" ht="15.75">
      <c r="Q1010" s="524"/>
      <c r="R1010" s="524"/>
      <c r="S1010" s="524"/>
    </row>
    <row r="1011" spans="17:19" ht="15.75">
      <c r="Q1011" s="524"/>
      <c r="R1011" s="524"/>
      <c r="S1011" s="524"/>
    </row>
    <row r="1012" spans="17:19" ht="15.75">
      <c r="Q1012" s="524"/>
      <c r="R1012" s="524"/>
      <c r="S1012" s="524"/>
    </row>
    <row r="1013" spans="17:19" ht="15.75">
      <c r="Q1013" s="524"/>
      <c r="R1013" s="524"/>
      <c r="S1013" s="524"/>
    </row>
    <row r="1014" spans="17:19" ht="15.75">
      <c r="Q1014" s="524"/>
      <c r="R1014" s="524"/>
      <c r="S1014" s="524"/>
    </row>
    <row r="1015" spans="17:19" ht="15.75">
      <c r="Q1015" s="524"/>
      <c r="R1015" s="524"/>
      <c r="S1015" s="524"/>
    </row>
    <row r="1016" spans="17:19" ht="15.75">
      <c r="Q1016" s="524"/>
      <c r="R1016" s="524"/>
      <c r="S1016" s="524"/>
    </row>
    <row r="1017" spans="17:19" ht="15.75">
      <c r="Q1017" s="524"/>
      <c r="R1017" s="524"/>
      <c r="S1017" s="524"/>
    </row>
    <row r="1018" spans="17:19" ht="15.75">
      <c r="Q1018" s="524"/>
      <c r="R1018" s="524"/>
      <c r="S1018" s="524"/>
    </row>
    <row r="1019" spans="17:19" ht="15.75">
      <c r="Q1019" s="524"/>
      <c r="R1019" s="524"/>
      <c r="S1019" s="524"/>
    </row>
    <row r="1020" spans="17:19" ht="15.75">
      <c r="Q1020" s="524"/>
      <c r="R1020" s="524"/>
      <c r="S1020" s="524"/>
    </row>
    <row r="1021" spans="17:19" ht="15.75">
      <c r="Q1021" s="524"/>
      <c r="R1021" s="524"/>
      <c r="S1021" s="524"/>
    </row>
    <row r="1022" spans="17:19" ht="15.75">
      <c r="Q1022" s="524"/>
      <c r="R1022" s="524"/>
      <c r="S1022" s="524"/>
    </row>
    <row r="1023" spans="17:19" ht="15.75">
      <c r="Q1023" s="524"/>
      <c r="R1023" s="524"/>
      <c r="S1023" s="524"/>
    </row>
    <row r="1024" spans="17:19" ht="15.75">
      <c r="Q1024" s="524"/>
      <c r="R1024" s="524"/>
      <c r="S1024" s="524"/>
    </row>
    <row r="1025" spans="17:19" ht="15.75">
      <c r="Q1025" s="524"/>
      <c r="R1025" s="524"/>
      <c r="S1025" s="524"/>
    </row>
    <row r="1026" spans="17:19" ht="15.75">
      <c r="Q1026" s="524"/>
      <c r="R1026" s="524"/>
      <c r="S1026" s="524"/>
    </row>
    <row r="1027" spans="17:19" ht="15.75">
      <c r="Q1027" s="524"/>
      <c r="R1027" s="524"/>
      <c r="S1027" s="524"/>
    </row>
    <row r="1028" spans="17:19" ht="15.75">
      <c r="Q1028" s="524"/>
      <c r="R1028" s="524"/>
      <c r="S1028" s="524"/>
    </row>
    <row r="1029" spans="17:19" ht="15.75">
      <c r="Q1029" s="524"/>
      <c r="R1029" s="524"/>
      <c r="S1029" s="524"/>
    </row>
    <row r="1030" spans="17:19" ht="15.75">
      <c r="Q1030" s="524"/>
      <c r="R1030" s="524"/>
      <c r="S1030" s="524"/>
    </row>
    <row r="1031" spans="17:19" ht="15.75">
      <c r="Q1031" s="524"/>
      <c r="R1031" s="524"/>
      <c r="S1031" s="524"/>
    </row>
    <row r="1032" spans="17:19" ht="15.75">
      <c r="Q1032" s="524"/>
      <c r="R1032" s="524"/>
      <c r="S1032" s="524"/>
    </row>
    <row r="1033" spans="17:19" ht="15.75">
      <c r="Q1033" s="524"/>
      <c r="R1033" s="524"/>
      <c r="S1033" s="524"/>
    </row>
    <row r="1034" spans="17:19" ht="15.75">
      <c r="Q1034" s="524"/>
      <c r="R1034" s="524"/>
      <c r="S1034" s="524"/>
    </row>
    <row r="1035" spans="17:19" ht="15.75">
      <c r="Q1035" s="524"/>
      <c r="R1035" s="524"/>
      <c r="S1035" s="524"/>
    </row>
    <row r="1036" spans="17:19" ht="15.75">
      <c r="Q1036" s="524"/>
      <c r="R1036" s="524"/>
      <c r="S1036" s="524"/>
    </row>
    <row r="1037" spans="17:19" ht="15.75">
      <c r="Q1037" s="524"/>
      <c r="R1037" s="524"/>
      <c r="S1037" s="524"/>
    </row>
    <row r="1038" spans="17:19" ht="15.75">
      <c r="Q1038" s="524"/>
      <c r="R1038" s="524"/>
      <c r="S1038" s="524"/>
    </row>
    <row r="1039" spans="17:19" ht="15.75">
      <c r="Q1039" s="524"/>
      <c r="R1039" s="524"/>
      <c r="S1039" s="524"/>
    </row>
    <row r="1040" spans="17:19" ht="15.75">
      <c r="Q1040" s="524"/>
      <c r="R1040" s="524"/>
      <c r="S1040" s="524"/>
    </row>
    <row r="1041" spans="17:19" ht="15.75">
      <c r="Q1041" s="524"/>
      <c r="R1041" s="524"/>
      <c r="S1041" s="524"/>
    </row>
    <row r="1042" spans="17:19" ht="15.75">
      <c r="Q1042" s="524"/>
      <c r="R1042" s="524"/>
      <c r="S1042" s="524"/>
    </row>
    <row r="1043" spans="17:19" ht="15.75">
      <c r="Q1043" s="524"/>
      <c r="R1043" s="524"/>
      <c r="S1043" s="524"/>
    </row>
    <row r="1044" spans="17:19" ht="15.75">
      <c r="Q1044" s="524"/>
      <c r="R1044" s="524"/>
      <c r="S1044" s="524"/>
    </row>
    <row r="1045" spans="17:19" ht="15.75">
      <c r="Q1045" s="524"/>
      <c r="R1045" s="524"/>
      <c r="S1045" s="524"/>
    </row>
    <row r="1046" spans="17:19" ht="15.75">
      <c r="Q1046" s="524"/>
      <c r="R1046" s="524"/>
      <c r="S1046" s="524"/>
    </row>
    <row r="1047" spans="17:19" ht="15.75">
      <c r="Q1047" s="524"/>
      <c r="R1047" s="524"/>
      <c r="S1047" s="524"/>
    </row>
    <row r="1048" spans="17:19" ht="15.75">
      <c r="Q1048" s="524"/>
      <c r="R1048" s="524"/>
      <c r="S1048" s="524"/>
    </row>
    <row r="1049" spans="17:19" ht="15.75">
      <c r="Q1049" s="524"/>
      <c r="R1049" s="524"/>
      <c r="S1049" s="524"/>
    </row>
    <row r="1050" spans="17:19" ht="15.75">
      <c r="Q1050" s="524"/>
      <c r="R1050" s="524"/>
      <c r="S1050" s="524"/>
    </row>
    <row r="1051" spans="17:19" ht="15.75">
      <c r="Q1051" s="524"/>
      <c r="R1051" s="524"/>
      <c r="S1051" s="524"/>
    </row>
    <row r="1052" spans="17:19" ht="15.75">
      <c r="Q1052" s="524"/>
      <c r="R1052" s="524"/>
      <c r="S1052" s="524"/>
    </row>
    <row r="1053" spans="17:19" ht="15.75">
      <c r="Q1053" s="524"/>
      <c r="R1053" s="524"/>
      <c r="S1053" s="524"/>
    </row>
    <row r="1054" spans="17:19" ht="15.75">
      <c r="Q1054" s="524"/>
      <c r="R1054" s="524"/>
      <c r="S1054" s="524"/>
    </row>
    <row r="1055" spans="17:19" ht="15.75">
      <c r="Q1055" s="524"/>
      <c r="R1055" s="524"/>
      <c r="S1055" s="524"/>
    </row>
    <row r="1056" spans="17:19" ht="15.75">
      <c r="Q1056" s="524"/>
      <c r="R1056" s="524"/>
      <c r="S1056" s="524"/>
    </row>
    <row r="1057" spans="17:19" ht="15.75">
      <c r="Q1057" s="524"/>
      <c r="R1057" s="524"/>
      <c r="S1057" s="524"/>
    </row>
    <row r="1058" spans="17:19" ht="15.75">
      <c r="Q1058" s="524"/>
      <c r="R1058" s="524"/>
      <c r="S1058" s="524"/>
    </row>
    <row r="1059" spans="17:19" ht="15.75">
      <c r="Q1059" s="524"/>
      <c r="R1059" s="524"/>
      <c r="S1059" s="524"/>
    </row>
    <row r="1060" spans="17:19" ht="15.75">
      <c r="Q1060" s="524"/>
      <c r="R1060" s="524"/>
      <c r="S1060" s="524"/>
    </row>
    <row r="1061" spans="17:19" ht="15.75">
      <c r="Q1061" s="524"/>
      <c r="R1061" s="524"/>
      <c r="S1061" s="524"/>
    </row>
    <row r="1062" spans="17:19" ht="15.75">
      <c r="Q1062" s="524"/>
      <c r="R1062" s="524"/>
      <c r="S1062" s="524"/>
    </row>
    <row r="1063" spans="17:19" ht="15.75">
      <c r="Q1063" s="524"/>
      <c r="R1063" s="524"/>
      <c r="S1063" s="524"/>
    </row>
    <row r="1064" spans="17:19" ht="15.75">
      <c r="Q1064" s="524"/>
      <c r="R1064" s="524"/>
      <c r="S1064" s="524"/>
    </row>
    <row r="1065" spans="17:19" ht="15.75">
      <c r="Q1065" s="524"/>
      <c r="R1065" s="524"/>
      <c r="S1065" s="524"/>
    </row>
    <row r="1066" spans="17:19" ht="15.75">
      <c r="Q1066" s="524"/>
      <c r="R1066" s="524"/>
      <c r="S1066" s="524"/>
    </row>
    <row r="1067" spans="17:19" ht="15.75">
      <c r="Q1067" s="524"/>
      <c r="R1067" s="524"/>
      <c r="S1067" s="524"/>
    </row>
    <row r="1068" spans="17:19" ht="15.75">
      <c r="Q1068" s="524"/>
      <c r="R1068" s="524"/>
      <c r="S1068" s="524"/>
    </row>
    <row r="1069" spans="17:19" ht="15.75">
      <c r="Q1069" s="524"/>
      <c r="R1069" s="524"/>
      <c r="S1069" s="524"/>
    </row>
    <row r="1070" spans="17:19" ht="15.75">
      <c r="Q1070" s="524"/>
      <c r="R1070" s="524"/>
      <c r="S1070" s="524"/>
    </row>
    <row r="1071" spans="17:19" ht="15.75">
      <c r="Q1071" s="524"/>
      <c r="R1071" s="524"/>
      <c r="S1071" s="524"/>
    </row>
    <row r="1072" spans="17:19" ht="15.75">
      <c r="Q1072" s="524"/>
      <c r="R1072" s="524"/>
      <c r="S1072" s="524"/>
    </row>
    <row r="1073" spans="17:19" ht="15.75">
      <c r="Q1073" s="524"/>
      <c r="R1073" s="524"/>
      <c r="S1073" s="524"/>
    </row>
    <row r="1074" spans="17:19" ht="15.75">
      <c r="Q1074" s="524"/>
      <c r="R1074" s="524"/>
      <c r="S1074" s="524"/>
    </row>
    <row r="1075" spans="17:19" ht="15.75">
      <c r="Q1075" s="524"/>
      <c r="R1075" s="524"/>
      <c r="S1075" s="524"/>
    </row>
    <row r="1076" spans="17:19" ht="15.75">
      <c r="Q1076" s="524"/>
      <c r="R1076" s="524"/>
      <c r="S1076" s="524"/>
    </row>
    <row r="1077" spans="17:19" ht="15.75">
      <c r="Q1077" s="524"/>
      <c r="R1077" s="524"/>
      <c r="S1077" s="524"/>
    </row>
    <row r="1078" spans="17:19" ht="15.75">
      <c r="Q1078" s="524"/>
      <c r="R1078" s="524"/>
      <c r="S1078" s="524"/>
    </row>
    <row r="1079" spans="17:19" ht="15.75">
      <c r="Q1079" s="524"/>
      <c r="R1079" s="524"/>
      <c r="S1079" s="524"/>
    </row>
    <row r="1080" spans="17:19" ht="15.75">
      <c r="Q1080" s="524"/>
      <c r="R1080" s="524"/>
      <c r="S1080" s="524"/>
    </row>
    <row r="1081" spans="17:19" ht="15.75">
      <c r="Q1081" s="524"/>
      <c r="R1081" s="524"/>
      <c r="S1081" s="524"/>
    </row>
    <row r="1082" spans="17:19" ht="15.75">
      <c r="Q1082" s="524"/>
      <c r="R1082" s="524"/>
      <c r="S1082" s="524"/>
    </row>
    <row r="1083" spans="17:19" ht="15.75">
      <c r="Q1083" s="524"/>
      <c r="R1083" s="524"/>
      <c r="S1083" s="524"/>
    </row>
    <row r="1084" spans="17:19" ht="15.75">
      <c r="Q1084" s="524"/>
      <c r="R1084" s="524"/>
      <c r="S1084" s="524"/>
    </row>
    <row r="1085" spans="17:19" ht="15.75">
      <c r="Q1085" s="524"/>
      <c r="R1085" s="524"/>
      <c r="S1085" s="524"/>
    </row>
    <row r="1086" spans="17:19" ht="15.75">
      <c r="Q1086" s="524"/>
      <c r="R1086" s="524"/>
      <c r="S1086" s="524"/>
    </row>
    <row r="1087" spans="17:19" ht="15.75">
      <c r="Q1087" s="524"/>
      <c r="R1087" s="524"/>
      <c r="S1087" s="524"/>
    </row>
    <row r="1088" spans="17:19" ht="15.75">
      <c r="Q1088" s="524"/>
      <c r="R1088" s="524"/>
      <c r="S1088" s="524"/>
    </row>
    <row r="1089" spans="17:19" ht="15.75">
      <c r="Q1089" s="524"/>
      <c r="R1089" s="524"/>
      <c r="S1089" s="524"/>
    </row>
    <row r="1090" spans="17:19" ht="15.75">
      <c r="Q1090" s="524"/>
      <c r="R1090" s="524"/>
      <c r="S1090" s="524"/>
    </row>
    <row r="1091" spans="17:19" ht="15.75">
      <c r="Q1091" s="524"/>
      <c r="R1091" s="524"/>
      <c r="S1091" s="524"/>
    </row>
    <row r="1092" spans="17:19" ht="15.75">
      <c r="Q1092" s="524"/>
      <c r="R1092" s="524"/>
      <c r="S1092" s="524"/>
    </row>
    <row r="1093" spans="17:19" ht="15.75">
      <c r="Q1093" s="524"/>
      <c r="R1093" s="524"/>
      <c r="S1093" s="524"/>
    </row>
    <row r="1094" spans="17:19" ht="15.75">
      <c r="Q1094" s="524"/>
      <c r="R1094" s="524"/>
      <c r="S1094" s="524"/>
    </row>
    <row r="1095" spans="17:19" ht="15.75">
      <c r="Q1095" s="524"/>
      <c r="R1095" s="524"/>
      <c r="S1095" s="524"/>
    </row>
    <row r="1096" spans="17:19" ht="15.75">
      <c r="Q1096" s="524"/>
      <c r="R1096" s="524"/>
      <c r="S1096" s="524"/>
    </row>
    <row r="1097" spans="17:19" ht="15.75">
      <c r="Q1097" s="524"/>
      <c r="R1097" s="524"/>
      <c r="S1097" s="524"/>
    </row>
    <row r="1098" spans="17:19" ht="15.75">
      <c r="Q1098" s="524"/>
      <c r="R1098" s="524"/>
      <c r="S1098" s="524"/>
    </row>
    <row r="1099" spans="17:19" ht="15.75">
      <c r="Q1099" s="524"/>
      <c r="R1099" s="524"/>
      <c r="S1099" s="524"/>
    </row>
    <row r="1100" spans="17:19" ht="15.75">
      <c r="Q1100" s="524"/>
      <c r="R1100" s="524"/>
      <c r="S1100" s="524"/>
    </row>
    <row r="1101" spans="17:19" ht="15.75">
      <c r="Q1101" s="524"/>
      <c r="R1101" s="524"/>
      <c r="S1101" s="524"/>
    </row>
    <row r="1102" spans="17:19" ht="15.75">
      <c r="Q1102" s="524"/>
      <c r="R1102" s="524"/>
      <c r="S1102" s="524"/>
    </row>
    <row r="1103" spans="17:19" ht="15.75">
      <c r="Q1103" s="524"/>
      <c r="R1103" s="524"/>
      <c r="S1103" s="524"/>
    </row>
    <row r="1104" spans="17:19" ht="15.75">
      <c r="Q1104" s="524"/>
      <c r="R1104" s="524"/>
      <c r="S1104" s="524"/>
    </row>
    <row r="1105" spans="17:19" ht="15.75">
      <c r="Q1105" s="524"/>
      <c r="R1105" s="524"/>
      <c r="S1105" s="524"/>
    </row>
    <row r="1106" spans="17:19" ht="15.75">
      <c r="Q1106" s="524"/>
      <c r="R1106" s="524"/>
      <c r="S1106" s="524"/>
    </row>
    <row r="1107" spans="17:19" ht="15.75">
      <c r="Q1107" s="524"/>
      <c r="R1107" s="524"/>
      <c r="S1107" s="524"/>
    </row>
    <row r="1108" spans="17:19" ht="15.75">
      <c r="Q1108" s="524"/>
      <c r="R1108" s="524"/>
      <c r="S1108" s="524"/>
    </row>
    <row r="1109" spans="17:19" ht="15.75">
      <c r="Q1109" s="524"/>
      <c r="R1109" s="524"/>
      <c r="S1109" s="524"/>
    </row>
    <row r="1110" spans="17:19" ht="15.75">
      <c r="Q1110" s="524"/>
      <c r="R1110" s="524"/>
      <c r="S1110" s="524"/>
    </row>
    <row r="1111" spans="17:19" ht="15.75">
      <c r="Q1111" s="524"/>
      <c r="R1111" s="524"/>
      <c r="S1111" s="524"/>
    </row>
    <row r="1112" spans="17:19" ht="15.75">
      <c r="Q1112" s="524"/>
      <c r="R1112" s="524"/>
      <c r="S1112" s="524"/>
    </row>
    <row r="1113" spans="17:19" ht="15.75">
      <c r="Q1113" s="524"/>
      <c r="R1113" s="524"/>
      <c r="S1113" s="524"/>
    </row>
    <row r="1114" spans="17:19" ht="15.75">
      <c r="Q1114" s="524"/>
      <c r="R1114" s="524"/>
      <c r="S1114" s="524"/>
    </row>
    <row r="1115" spans="17:19" ht="15.75">
      <c r="Q1115" s="524"/>
      <c r="R1115" s="524"/>
      <c r="S1115" s="524"/>
    </row>
    <row r="1116" spans="17:19" ht="15.75">
      <c r="Q1116" s="524"/>
      <c r="R1116" s="524"/>
      <c r="S1116" s="524"/>
    </row>
    <row r="1117" spans="17:19" ht="15.75">
      <c r="Q1117" s="524"/>
      <c r="R1117" s="524"/>
      <c r="S1117" s="524"/>
    </row>
    <row r="1118" spans="17:19" ht="15.75">
      <c r="Q1118" s="524"/>
      <c r="R1118" s="524"/>
      <c r="S1118" s="524"/>
    </row>
    <row r="1119" spans="17:19" ht="15.75">
      <c r="Q1119" s="524"/>
      <c r="R1119" s="524"/>
      <c r="S1119" s="524"/>
    </row>
    <row r="1120" spans="17:19" ht="15.75">
      <c r="Q1120" s="524"/>
      <c r="R1120" s="524"/>
      <c r="S1120" s="524"/>
    </row>
    <row r="1121" spans="17:19" ht="15.75">
      <c r="Q1121" s="524"/>
      <c r="R1121" s="524"/>
      <c r="S1121" s="524"/>
    </row>
    <row r="1122" spans="17:19" ht="15.75">
      <c r="Q1122" s="524"/>
      <c r="R1122" s="524"/>
      <c r="S1122" s="524"/>
    </row>
    <row r="1123" spans="17:19" ht="15.75">
      <c r="Q1123" s="524"/>
      <c r="R1123" s="524"/>
      <c r="S1123" s="524"/>
    </row>
    <row r="1124" spans="17:19" ht="15.75">
      <c r="Q1124" s="524"/>
      <c r="R1124" s="524"/>
      <c r="S1124" s="524"/>
    </row>
    <row r="1125" spans="17:19" ht="15.75">
      <c r="Q1125" s="524"/>
      <c r="R1125" s="524"/>
      <c r="S1125" s="524"/>
    </row>
    <row r="1126" spans="17:19" ht="15.75">
      <c r="Q1126" s="524"/>
      <c r="R1126" s="524"/>
      <c r="S1126" s="524"/>
    </row>
    <row r="1127" spans="17:19" ht="15.75">
      <c r="Q1127" s="524"/>
      <c r="R1127" s="524"/>
      <c r="S1127" s="524"/>
    </row>
    <row r="1128" spans="17:19" ht="15.75">
      <c r="Q1128" s="524"/>
      <c r="R1128" s="524"/>
      <c r="S1128" s="524"/>
    </row>
    <row r="1129" spans="17:19" ht="15.75">
      <c r="Q1129" s="524"/>
      <c r="R1129" s="524"/>
      <c r="S1129" s="524"/>
    </row>
    <row r="1130" spans="17:19" ht="15.75">
      <c r="Q1130" s="524"/>
      <c r="R1130" s="524"/>
      <c r="S1130" s="524"/>
    </row>
    <row r="1131" spans="17:19" ht="15.75">
      <c r="Q1131" s="524"/>
      <c r="R1131" s="524"/>
      <c r="S1131" s="524"/>
    </row>
    <row r="1132" spans="17:19" ht="15.75">
      <c r="Q1132" s="524"/>
      <c r="R1132" s="524"/>
      <c r="S1132" s="524"/>
    </row>
    <row r="1133" spans="17:19" ht="15.75">
      <c r="Q1133" s="524"/>
      <c r="R1133" s="524"/>
      <c r="S1133" s="524"/>
    </row>
    <row r="1134" spans="17:19" ht="15.75">
      <c r="Q1134" s="524"/>
      <c r="R1134" s="524"/>
      <c r="S1134" s="524"/>
    </row>
    <row r="1135" spans="17:19" ht="15.75">
      <c r="Q1135" s="524"/>
      <c r="R1135" s="524"/>
      <c r="S1135" s="524"/>
    </row>
    <row r="1136" spans="17:19" ht="15.75">
      <c r="Q1136" s="524"/>
      <c r="R1136" s="524"/>
      <c r="S1136" s="524"/>
    </row>
    <row r="1137" spans="17:19" ht="15.75">
      <c r="Q1137" s="524"/>
      <c r="R1137" s="524"/>
      <c r="S1137" s="524"/>
    </row>
    <row r="1138" spans="17:19" ht="15.75">
      <c r="Q1138" s="524"/>
      <c r="R1138" s="524"/>
      <c r="S1138" s="524"/>
    </row>
    <row r="1139" spans="17:19" ht="15.75">
      <c r="Q1139" s="524"/>
      <c r="R1139" s="524"/>
      <c r="S1139" s="524"/>
    </row>
    <row r="1140" spans="17:19" ht="15.75">
      <c r="Q1140" s="524"/>
      <c r="R1140" s="524"/>
      <c r="S1140" s="524"/>
    </row>
    <row r="1141" spans="17:19" ht="15.75">
      <c r="Q1141" s="524"/>
      <c r="R1141" s="524"/>
      <c r="S1141" s="524"/>
    </row>
    <row r="1142" spans="17:19" ht="15.75">
      <c r="Q1142" s="524"/>
      <c r="R1142" s="524"/>
      <c r="S1142" s="524"/>
    </row>
    <row r="1143" spans="17:19" ht="15.75">
      <c r="Q1143" s="524"/>
      <c r="R1143" s="524"/>
      <c r="S1143" s="524"/>
    </row>
    <row r="1144" spans="17:19" ht="15.75">
      <c r="Q1144" s="524"/>
      <c r="R1144" s="524"/>
      <c r="S1144" s="524"/>
    </row>
    <row r="1145" spans="17:19" ht="15.75">
      <c r="Q1145" s="524"/>
      <c r="R1145" s="524"/>
      <c r="S1145" s="524"/>
    </row>
    <row r="1146" spans="17:19" ht="15.75">
      <c r="Q1146" s="524"/>
      <c r="R1146" s="524"/>
      <c r="S1146" s="524"/>
    </row>
    <row r="1147" spans="17:19" ht="15.75">
      <c r="Q1147" s="524"/>
      <c r="R1147" s="524"/>
      <c r="S1147" s="524"/>
    </row>
    <row r="1148" spans="17:19" ht="15.75">
      <c r="Q1148" s="524"/>
      <c r="R1148" s="524"/>
      <c r="S1148" s="524"/>
    </row>
    <row r="1149" spans="17:19" ht="15.75">
      <c r="Q1149" s="524"/>
      <c r="R1149" s="524"/>
      <c r="S1149" s="524"/>
    </row>
    <row r="1150" spans="17:19" ht="15.75">
      <c r="Q1150" s="524"/>
      <c r="R1150" s="524"/>
      <c r="S1150" s="524"/>
    </row>
    <row r="1151" spans="17:19" ht="15.75">
      <c r="Q1151" s="524"/>
      <c r="R1151" s="524"/>
      <c r="S1151" s="524"/>
    </row>
    <row r="1152" spans="17:19" ht="15.75">
      <c r="Q1152" s="524"/>
      <c r="R1152" s="524"/>
      <c r="S1152" s="524"/>
    </row>
    <row r="1153" spans="17:19" ht="15.75">
      <c r="Q1153" s="524"/>
      <c r="R1153" s="524"/>
      <c r="S1153" s="524"/>
    </row>
    <row r="1154" spans="17:19" ht="15.75">
      <c r="Q1154" s="524"/>
      <c r="R1154" s="524"/>
      <c r="S1154" s="524"/>
    </row>
    <row r="1155" spans="17:19" ht="15.75">
      <c r="Q1155" s="524"/>
      <c r="R1155" s="524"/>
      <c r="S1155" s="524"/>
    </row>
    <row r="1156" spans="17:19" ht="15.75">
      <c r="Q1156" s="524"/>
      <c r="R1156" s="524"/>
      <c r="S1156" s="524"/>
    </row>
    <row r="1157" spans="17:19" ht="15.75">
      <c r="Q1157" s="524"/>
      <c r="R1157" s="524"/>
      <c r="S1157" s="524"/>
    </row>
    <row r="1158" spans="17:19" ht="15.75">
      <c r="Q1158" s="524"/>
      <c r="R1158" s="524"/>
      <c r="S1158" s="524"/>
    </row>
    <row r="1159" spans="17:19" ht="15.75">
      <c r="Q1159" s="524"/>
      <c r="R1159" s="524"/>
      <c r="S1159" s="524"/>
    </row>
    <row r="1160" spans="17:19" ht="15.75">
      <c r="Q1160" s="524"/>
      <c r="R1160" s="524"/>
      <c r="S1160" s="524"/>
    </row>
    <row r="1161" spans="17:19" ht="15.75">
      <c r="Q1161" s="524"/>
      <c r="R1161" s="524"/>
      <c r="S1161" s="524"/>
    </row>
    <row r="1162" spans="17:19" ht="15.75">
      <c r="Q1162" s="524"/>
      <c r="R1162" s="524"/>
      <c r="S1162" s="524"/>
    </row>
    <row r="1163" spans="17:19" ht="15.75">
      <c r="Q1163" s="524"/>
      <c r="R1163" s="524"/>
      <c r="S1163" s="524"/>
    </row>
    <row r="1164" spans="17:19" ht="15.75">
      <c r="Q1164" s="524"/>
      <c r="R1164" s="524"/>
      <c r="S1164" s="524"/>
    </row>
    <row r="1165" spans="17:19" ht="15.75">
      <c r="Q1165" s="524"/>
      <c r="R1165" s="524"/>
      <c r="S1165" s="524"/>
    </row>
    <row r="1166" spans="17:19" ht="15.75">
      <c r="Q1166" s="524"/>
      <c r="R1166" s="524"/>
      <c r="S1166" s="524"/>
    </row>
    <row r="1167" spans="17:19" ht="15.75">
      <c r="Q1167" s="524"/>
      <c r="R1167" s="524"/>
      <c r="S1167" s="524"/>
    </row>
    <row r="1168" spans="17:19" ht="15.75">
      <c r="Q1168" s="524"/>
      <c r="R1168" s="524"/>
      <c r="S1168" s="524"/>
    </row>
    <row r="1169" spans="17:19" ht="15.75">
      <c r="Q1169" s="524"/>
      <c r="R1169" s="524"/>
      <c r="S1169" s="524"/>
    </row>
    <row r="1170" spans="17:19" ht="15.75">
      <c r="Q1170" s="524"/>
      <c r="R1170" s="524"/>
      <c r="S1170" s="524"/>
    </row>
    <row r="1171" spans="17:19" ht="15.75">
      <c r="Q1171" s="524"/>
      <c r="R1171" s="524"/>
      <c r="S1171" s="524"/>
    </row>
    <row r="1172" spans="17:19" ht="15.75">
      <c r="Q1172" s="524"/>
      <c r="R1172" s="524"/>
      <c r="S1172" s="524"/>
    </row>
    <row r="1173" spans="17:19" ht="15.75">
      <c r="Q1173" s="524"/>
      <c r="R1173" s="524"/>
      <c r="S1173" s="524"/>
    </row>
    <row r="1174" spans="17:19" ht="15.75">
      <c r="Q1174" s="524"/>
      <c r="R1174" s="524"/>
      <c r="S1174" s="524"/>
    </row>
    <row r="1175" spans="17:19" ht="15.75">
      <c r="Q1175" s="524"/>
      <c r="R1175" s="524"/>
      <c r="S1175" s="524"/>
    </row>
    <row r="1176" spans="17:19" ht="15.75">
      <c r="Q1176" s="524"/>
      <c r="R1176" s="524"/>
      <c r="S1176" s="524"/>
    </row>
    <row r="1177" spans="17:19" ht="15.75">
      <c r="Q1177" s="524"/>
      <c r="R1177" s="524"/>
      <c r="S1177" s="524"/>
    </row>
    <row r="1178" spans="17:19" ht="15.75">
      <c r="Q1178" s="524"/>
      <c r="R1178" s="524"/>
      <c r="S1178" s="524"/>
    </row>
    <row r="1179" spans="17:19" ht="15.75">
      <c r="Q1179" s="524"/>
      <c r="R1179" s="524"/>
      <c r="S1179" s="524"/>
    </row>
    <row r="1180" spans="17:19" ht="15.75">
      <c r="Q1180" s="524"/>
      <c r="R1180" s="524"/>
      <c r="S1180" s="524"/>
    </row>
    <row r="1181" spans="17:19" ht="15.75">
      <c r="Q1181" s="524"/>
      <c r="R1181" s="524"/>
      <c r="S1181" s="524"/>
    </row>
    <row r="1182" spans="17:19" ht="15.75">
      <c r="Q1182" s="524"/>
      <c r="R1182" s="524"/>
      <c r="S1182" s="524"/>
    </row>
    <row r="1183" spans="17:19" ht="15.75">
      <c r="Q1183" s="524"/>
      <c r="R1183" s="524"/>
      <c r="S1183" s="524"/>
    </row>
    <row r="1184" spans="17:19" ht="15.75">
      <c r="Q1184" s="524"/>
      <c r="R1184" s="524"/>
      <c r="S1184" s="524"/>
    </row>
    <row r="1185" spans="17:19" ht="15.75">
      <c r="Q1185" s="524"/>
      <c r="R1185" s="524"/>
      <c r="S1185" s="524"/>
    </row>
    <row r="1186" spans="17:19" ht="15.75">
      <c r="Q1186" s="524"/>
      <c r="R1186" s="524"/>
      <c r="S1186" s="524"/>
    </row>
    <row r="1187" spans="17:19" ht="15.75">
      <c r="Q1187" s="524"/>
      <c r="R1187" s="524"/>
      <c r="S1187" s="524"/>
    </row>
    <row r="1188" spans="17:19" ht="15.75">
      <c r="Q1188" s="524"/>
      <c r="R1188" s="524"/>
      <c r="S1188" s="524"/>
    </row>
    <row r="1189" spans="17:19" ht="15.75">
      <c r="Q1189" s="524"/>
      <c r="R1189" s="524"/>
      <c r="S1189" s="524"/>
    </row>
    <row r="1190" spans="17:19" ht="15.75">
      <c r="Q1190" s="524"/>
      <c r="R1190" s="524"/>
      <c r="S1190" s="524"/>
    </row>
    <row r="1191" spans="17:19" ht="15.75">
      <c r="Q1191" s="524"/>
      <c r="R1191" s="524"/>
      <c r="S1191" s="524"/>
    </row>
    <row r="1192" spans="17:19" ht="15.75">
      <c r="Q1192" s="524"/>
      <c r="R1192" s="524"/>
      <c r="S1192" s="524"/>
    </row>
    <row r="1193" spans="17:19" ht="15.75">
      <c r="Q1193" s="524"/>
      <c r="R1193" s="524"/>
      <c r="S1193" s="524"/>
    </row>
    <row r="1194" spans="17:19" ht="15.75">
      <c r="Q1194" s="524"/>
      <c r="R1194" s="524"/>
      <c r="S1194" s="524"/>
    </row>
    <row r="1195" spans="17:19" ht="15.75">
      <c r="Q1195" s="524"/>
      <c r="R1195" s="524"/>
      <c r="S1195" s="524"/>
    </row>
    <row r="1196" spans="17:19" ht="15.75">
      <c r="Q1196" s="524"/>
      <c r="R1196" s="524"/>
      <c r="S1196" s="524"/>
    </row>
    <row r="1197" spans="17:19" ht="15.75">
      <c r="Q1197" s="524"/>
      <c r="R1197" s="524"/>
      <c r="S1197" s="524"/>
    </row>
    <row r="1198" spans="17:19" ht="15.75">
      <c r="Q1198" s="524"/>
      <c r="R1198" s="524"/>
      <c r="S1198" s="524"/>
    </row>
    <row r="1199" spans="17:19" ht="15.75">
      <c r="Q1199" s="524"/>
      <c r="R1199" s="524"/>
      <c r="S1199" s="524"/>
    </row>
    <row r="1200" spans="17:19" ht="15.75">
      <c r="Q1200" s="524"/>
      <c r="R1200" s="524"/>
      <c r="S1200" s="524"/>
    </row>
    <row r="1201" spans="17:19" ht="15.75">
      <c r="Q1201" s="524"/>
      <c r="R1201" s="524"/>
      <c r="S1201" s="524"/>
    </row>
    <row r="1202" spans="17:19" ht="15.75">
      <c r="Q1202" s="524"/>
      <c r="R1202" s="524"/>
      <c r="S1202" s="524"/>
    </row>
    <row r="1203" spans="17:19" ht="15.75">
      <c r="Q1203" s="524"/>
      <c r="R1203" s="524"/>
      <c r="S1203" s="524"/>
    </row>
    <row r="1204" spans="17:19" ht="15.75">
      <c r="Q1204" s="524"/>
      <c r="R1204" s="524"/>
      <c r="S1204" s="524"/>
    </row>
    <row r="1205" spans="17:19" ht="15.75">
      <c r="Q1205" s="524"/>
      <c r="R1205" s="524"/>
      <c r="S1205" s="524"/>
    </row>
    <row r="1206" spans="17:19" ht="15.75">
      <c r="Q1206" s="524"/>
      <c r="R1206" s="524"/>
      <c r="S1206" s="524"/>
    </row>
    <row r="1207" spans="17:19" ht="15.75">
      <c r="Q1207" s="524"/>
      <c r="R1207" s="524"/>
      <c r="S1207" s="524"/>
    </row>
    <row r="1208" spans="17:19" ht="15.75">
      <c r="Q1208" s="524"/>
      <c r="R1208" s="524"/>
      <c r="S1208" s="524"/>
    </row>
    <row r="1209" spans="17:19" ht="15.75">
      <c r="Q1209" s="524"/>
      <c r="R1209" s="524"/>
      <c r="S1209" s="524"/>
    </row>
    <row r="1210" spans="17:19" ht="15.75">
      <c r="Q1210" s="524"/>
      <c r="R1210" s="524"/>
      <c r="S1210" s="524"/>
    </row>
    <row r="1211" spans="17:19" ht="15.75">
      <c r="Q1211" s="524"/>
      <c r="R1211" s="524"/>
      <c r="S1211" s="524"/>
    </row>
    <row r="1212" spans="17:19" ht="15.75">
      <c r="Q1212" s="524"/>
      <c r="R1212" s="524"/>
      <c r="S1212" s="524"/>
    </row>
    <row r="1213" spans="17:19" ht="15.75">
      <c r="Q1213" s="524"/>
      <c r="R1213" s="524"/>
      <c r="S1213" s="524"/>
    </row>
    <row r="1214" spans="17:19" ht="15.75">
      <c r="Q1214" s="524"/>
      <c r="R1214" s="524"/>
      <c r="S1214" s="524"/>
    </row>
    <row r="1215" spans="17:19" ht="15.75">
      <c r="Q1215" s="524"/>
      <c r="R1215" s="524"/>
      <c r="S1215" s="524"/>
    </row>
    <row r="1216" spans="17:19" ht="15.75">
      <c r="Q1216" s="524"/>
      <c r="R1216" s="524"/>
      <c r="S1216" s="524"/>
    </row>
    <row r="1217" spans="17:19" ht="15.75">
      <c r="Q1217" s="524"/>
      <c r="R1217" s="524"/>
      <c r="S1217" s="524"/>
    </row>
    <row r="1218" spans="17:19" ht="15.75">
      <c r="Q1218" s="524"/>
      <c r="R1218" s="524"/>
      <c r="S1218" s="524"/>
    </row>
    <row r="1219" spans="17:19" ht="15.75">
      <c r="Q1219" s="524"/>
      <c r="R1219" s="524"/>
      <c r="S1219" s="524"/>
    </row>
    <row r="1220" spans="17:19" ht="15.75">
      <c r="Q1220" s="524"/>
      <c r="R1220" s="524"/>
      <c r="S1220" s="524"/>
    </row>
    <row r="1221" spans="17:19" ht="15.75">
      <c r="Q1221" s="524"/>
      <c r="R1221" s="524"/>
      <c r="S1221" s="524"/>
    </row>
    <row r="1222" spans="17:19" ht="15.75">
      <c r="Q1222" s="524"/>
      <c r="R1222" s="524"/>
      <c r="S1222" s="524"/>
    </row>
    <row r="1223" spans="17:19" ht="15.75">
      <c r="Q1223" s="524"/>
      <c r="R1223" s="524"/>
      <c r="S1223" s="524"/>
    </row>
    <row r="1224" spans="17:19" ht="15.75">
      <c r="Q1224" s="524"/>
      <c r="R1224" s="524"/>
      <c r="S1224" s="524"/>
    </row>
    <row r="1225" spans="17:19" ht="15.75">
      <c r="Q1225" s="524"/>
      <c r="R1225" s="524"/>
      <c r="S1225" s="524"/>
    </row>
    <row r="1226" spans="17:19" ht="15.75">
      <c r="Q1226" s="524"/>
      <c r="R1226" s="524"/>
      <c r="S1226" s="524"/>
    </row>
    <row r="1227" spans="17:19" ht="15.75">
      <c r="Q1227" s="524"/>
      <c r="R1227" s="524"/>
      <c r="S1227" s="524"/>
    </row>
    <row r="1228" spans="17:19" ht="15.75">
      <c r="Q1228" s="524"/>
      <c r="R1228" s="524"/>
      <c r="S1228" s="524"/>
    </row>
    <row r="1229" spans="17:19" ht="15.75">
      <c r="Q1229" s="524"/>
      <c r="R1229" s="524"/>
      <c r="S1229" s="524"/>
    </row>
    <row r="1230" spans="17:19" ht="15.75">
      <c r="Q1230" s="524"/>
      <c r="R1230" s="524"/>
      <c r="S1230" s="524"/>
    </row>
    <row r="1231" spans="17:19" ht="15.75">
      <c r="Q1231" s="524"/>
      <c r="R1231" s="524"/>
      <c r="S1231" s="524"/>
    </row>
    <row r="1232" spans="17:19" ht="15.75">
      <c r="Q1232" s="524"/>
      <c r="R1232" s="524"/>
      <c r="S1232" s="524"/>
    </row>
    <row r="1233" spans="17:19" ht="15.75">
      <c r="Q1233" s="524"/>
      <c r="R1233" s="524"/>
      <c r="S1233" s="524"/>
    </row>
    <row r="1234" spans="17:19" ht="15.75">
      <c r="Q1234" s="524"/>
      <c r="R1234" s="524"/>
      <c r="S1234" s="524"/>
    </row>
    <row r="1235" spans="17:19" ht="15.75">
      <c r="Q1235" s="524"/>
      <c r="R1235" s="524"/>
      <c r="S1235" s="524"/>
    </row>
    <row r="1236" spans="17:19" ht="15.75">
      <c r="Q1236" s="524"/>
      <c r="R1236" s="524"/>
      <c r="S1236" s="524"/>
    </row>
    <row r="1237" spans="17:19" ht="15.75">
      <c r="Q1237" s="524"/>
      <c r="R1237" s="524"/>
      <c r="S1237" s="524"/>
    </row>
    <row r="1238" spans="17:19" ht="15.75">
      <c r="Q1238" s="524"/>
      <c r="R1238" s="524"/>
      <c r="S1238" s="524"/>
    </row>
    <row r="1239" spans="17:19" ht="15.75">
      <c r="Q1239" s="524"/>
      <c r="R1239" s="524"/>
      <c r="S1239" s="524"/>
    </row>
    <row r="1240" spans="17:19" ht="15.75">
      <c r="Q1240" s="524"/>
      <c r="R1240" s="524"/>
      <c r="S1240" s="524"/>
    </row>
    <row r="1241" spans="17:19" ht="15.75">
      <c r="Q1241" s="524"/>
      <c r="R1241" s="524"/>
      <c r="S1241" s="524"/>
    </row>
    <row r="1242" spans="17:19" ht="15.75">
      <c r="Q1242" s="524"/>
      <c r="R1242" s="524"/>
      <c r="S1242" s="524"/>
    </row>
    <row r="1243" spans="17:19" ht="15.75">
      <c r="Q1243" s="524"/>
      <c r="R1243" s="524"/>
      <c r="S1243" s="524"/>
    </row>
    <row r="1244" spans="17:19" ht="15.75">
      <c r="Q1244" s="524"/>
      <c r="R1244" s="524"/>
      <c r="S1244" s="524"/>
    </row>
    <row r="1245" spans="17:19" ht="15.75">
      <c r="Q1245" s="524"/>
      <c r="R1245" s="524"/>
      <c r="S1245" s="524"/>
    </row>
    <row r="1246" spans="17:19" ht="15.75">
      <c r="Q1246" s="524"/>
      <c r="R1246" s="524"/>
      <c r="S1246" s="524"/>
    </row>
    <row r="1247" spans="17:19" ht="15.75">
      <c r="Q1247" s="524"/>
      <c r="R1247" s="524"/>
      <c r="S1247" s="524"/>
    </row>
    <row r="1248" spans="17:19" ht="15.75">
      <c r="Q1248" s="524"/>
      <c r="R1248" s="524"/>
      <c r="S1248" s="524"/>
    </row>
    <row r="1249" spans="17:19" ht="15.75">
      <c r="Q1249" s="524"/>
      <c r="R1249" s="524"/>
      <c r="S1249" s="524"/>
    </row>
    <row r="1250" spans="17:19" ht="15.75">
      <c r="Q1250" s="524"/>
      <c r="R1250" s="524"/>
      <c r="S1250" s="524"/>
    </row>
    <row r="1251" spans="17:19" ht="15.75">
      <c r="Q1251" s="524"/>
      <c r="R1251" s="524"/>
      <c r="S1251" s="524"/>
    </row>
    <row r="1252" spans="17:19" ht="15.75">
      <c r="Q1252" s="524"/>
      <c r="R1252" s="524"/>
      <c r="S1252" s="524"/>
    </row>
    <row r="1253" spans="17:19" ht="15.75">
      <c r="Q1253" s="524"/>
      <c r="R1253" s="524"/>
      <c r="S1253" s="524"/>
    </row>
    <row r="1254" spans="17:19" ht="15.75">
      <c r="Q1254" s="524"/>
      <c r="R1254" s="524"/>
      <c r="S1254" s="524"/>
    </row>
    <row r="1255" spans="17:19" ht="15.75">
      <c r="Q1255" s="524"/>
      <c r="R1255" s="524"/>
      <c r="S1255" s="524"/>
    </row>
    <row r="1256" spans="17:19" ht="15.75">
      <c r="Q1256" s="524"/>
      <c r="R1256" s="524"/>
      <c r="S1256" s="524"/>
    </row>
    <row r="1257" spans="17:19" ht="15.75">
      <c r="Q1257" s="524"/>
      <c r="R1257" s="524"/>
      <c r="S1257" s="524"/>
    </row>
    <row r="1258" spans="17:19" ht="15.75">
      <c r="Q1258" s="524"/>
      <c r="R1258" s="524"/>
      <c r="S1258" s="524"/>
    </row>
    <row r="1259" spans="17:19" ht="15.75">
      <c r="Q1259" s="524"/>
      <c r="R1259" s="524"/>
      <c r="S1259" s="524"/>
    </row>
    <row r="1260" spans="17:19" ht="15.75">
      <c r="Q1260" s="524"/>
      <c r="R1260" s="524"/>
      <c r="S1260" s="524"/>
    </row>
    <row r="1261" spans="17:19" ht="15.75">
      <c r="Q1261" s="524"/>
      <c r="R1261" s="524"/>
      <c r="S1261" s="524"/>
    </row>
    <row r="1262" spans="17:19" ht="15.75">
      <c r="Q1262" s="524"/>
      <c r="R1262" s="524"/>
      <c r="S1262" s="524"/>
    </row>
    <row r="1263" spans="17:19" ht="15.75">
      <c r="Q1263" s="524"/>
      <c r="R1263" s="524"/>
      <c r="S1263" s="524"/>
    </row>
    <row r="1264" spans="17:19" ht="15.75">
      <c r="Q1264" s="524"/>
      <c r="R1264" s="524"/>
      <c r="S1264" s="524"/>
    </row>
    <row r="1265" spans="17:19" ht="15.75">
      <c r="Q1265" s="524"/>
      <c r="R1265" s="524"/>
      <c r="S1265" s="524"/>
    </row>
    <row r="1266" spans="17:19" ht="15.75">
      <c r="Q1266" s="524"/>
      <c r="R1266" s="524"/>
      <c r="S1266" s="524"/>
    </row>
    <row r="1267" spans="17:19" ht="15.75">
      <c r="Q1267" s="524"/>
      <c r="R1267" s="524"/>
      <c r="S1267" s="524"/>
    </row>
    <row r="1268" spans="17:19" ht="15.75">
      <c r="Q1268" s="524"/>
      <c r="R1268" s="524"/>
      <c r="S1268" s="524"/>
    </row>
    <row r="1269" spans="17:19" ht="15.75">
      <c r="Q1269" s="524"/>
      <c r="R1269" s="524"/>
      <c r="S1269" s="524"/>
    </row>
    <row r="1270" spans="17:19" ht="15.75">
      <c r="Q1270" s="524"/>
      <c r="R1270" s="524"/>
      <c r="S1270" s="524"/>
    </row>
    <row r="1271" spans="17:19" ht="15.75">
      <c r="Q1271" s="524"/>
      <c r="R1271" s="524"/>
      <c r="S1271" s="524"/>
    </row>
    <row r="1272" spans="17:19" ht="15.75">
      <c r="Q1272" s="524"/>
      <c r="R1272" s="524"/>
      <c r="S1272" s="524"/>
    </row>
    <row r="1273" spans="17:19" ht="15.75">
      <c r="Q1273" s="524"/>
      <c r="R1273" s="524"/>
      <c r="S1273" s="524"/>
    </row>
    <row r="1274" spans="17:19" ht="15.75">
      <c r="Q1274" s="524"/>
      <c r="R1274" s="524"/>
      <c r="S1274" s="524"/>
    </row>
    <row r="1275" spans="17:19" ht="15.75">
      <c r="Q1275" s="524"/>
      <c r="R1275" s="524"/>
      <c r="S1275" s="524"/>
    </row>
    <row r="1276" spans="17:19" ht="15.75">
      <c r="Q1276" s="524"/>
      <c r="R1276" s="524"/>
      <c r="S1276" s="524"/>
    </row>
    <row r="1277" spans="17:19" ht="15.75">
      <c r="Q1277" s="524"/>
      <c r="R1277" s="524"/>
      <c r="S1277" s="524"/>
    </row>
    <row r="1278" spans="17:19" ht="15.75">
      <c r="Q1278" s="524"/>
      <c r="R1278" s="524"/>
      <c r="S1278" s="524"/>
    </row>
    <row r="1279" spans="17:19" ht="15.75">
      <c r="Q1279" s="524"/>
      <c r="R1279" s="524"/>
      <c r="S1279" s="524"/>
    </row>
    <row r="1280" spans="17:19" ht="15.75">
      <c r="Q1280" s="524"/>
      <c r="R1280" s="524"/>
      <c r="S1280" s="524"/>
    </row>
    <row r="1281" spans="17:19" ht="15.75">
      <c r="Q1281" s="524"/>
      <c r="R1281" s="524"/>
      <c r="S1281" s="524"/>
    </row>
    <row r="1282" spans="17:19" ht="15.75">
      <c r="Q1282" s="524"/>
      <c r="R1282" s="524"/>
      <c r="S1282" s="524"/>
    </row>
    <row r="1283" spans="17:19" ht="15.75">
      <c r="Q1283" s="524"/>
      <c r="R1283" s="524"/>
      <c r="S1283" s="524"/>
    </row>
    <row r="1284" spans="17:19" ht="15.75">
      <c r="Q1284" s="524"/>
      <c r="R1284" s="524"/>
      <c r="S1284" s="524"/>
    </row>
    <row r="1285" spans="17:19" ht="15.75">
      <c r="Q1285" s="524"/>
      <c r="R1285" s="524"/>
      <c r="S1285" s="524"/>
    </row>
    <row r="1286" spans="17:19" ht="15.75">
      <c r="Q1286" s="524"/>
      <c r="R1286" s="524"/>
      <c r="S1286" s="524"/>
    </row>
    <row r="1287" spans="17:19" ht="15.75">
      <c r="Q1287" s="524"/>
      <c r="R1287" s="524"/>
      <c r="S1287" s="524"/>
    </row>
    <row r="1288" spans="17:19" ht="15.75">
      <c r="Q1288" s="524"/>
      <c r="R1288" s="524"/>
      <c r="S1288" s="524"/>
    </row>
    <row r="1289" spans="17:19" ht="15.75">
      <c r="Q1289" s="524"/>
      <c r="R1289" s="524"/>
      <c r="S1289" s="524"/>
    </row>
    <row r="1290" spans="17:19" ht="15.75">
      <c r="Q1290" s="524"/>
      <c r="R1290" s="524"/>
      <c r="S1290" s="524"/>
    </row>
    <row r="1291" spans="17:19" ht="15.75">
      <c r="Q1291" s="524"/>
      <c r="R1291" s="524"/>
      <c r="S1291" s="524"/>
    </row>
    <row r="1292" spans="17:19" ht="15.75">
      <c r="Q1292" s="524"/>
      <c r="R1292" s="524"/>
      <c r="S1292" s="524"/>
    </row>
    <row r="1293" spans="17:19" ht="15.75">
      <c r="Q1293" s="524"/>
      <c r="R1293" s="524"/>
      <c r="S1293" s="524"/>
    </row>
    <row r="1294" spans="17:19" ht="15.75">
      <c r="Q1294" s="524"/>
      <c r="R1294" s="524"/>
      <c r="S1294" s="524"/>
    </row>
    <row r="1295" spans="17:19" ht="15.75">
      <c r="Q1295" s="524"/>
      <c r="R1295" s="524"/>
      <c r="S1295" s="524"/>
    </row>
    <row r="1296" spans="17:19" ht="15.75">
      <c r="Q1296" s="524"/>
      <c r="R1296" s="524"/>
      <c r="S1296" s="524"/>
    </row>
    <row r="1297" spans="17:19" ht="15.75">
      <c r="Q1297" s="524"/>
      <c r="R1297" s="524"/>
      <c r="S1297" s="524"/>
    </row>
    <row r="1298" spans="17:19" ht="15.75">
      <c r="Q1298" s="524"/>
      <c r="R1298" s="524"/>
      <c r="S1298" s="524"/>
    </row>
    <row r="1299" spans="17:19" ht="15.75">
      <c r="Q1299" s="524"/>
      <c r="R1299" s="524"/>
      <c r="S1299" s="524"/>
    </row>
    <row r="1300" spans="17:19" ht="15.75">
      <c r="Q1300" s="524"/>
      <c r="R1300" s="524"/>
      <c r="S1300" s="524"/>
    </row>
    <row r="1301" spans="17:19" ht="15.75">
      <c r="Q1301" s="524"/>
      <c r="R1301" s="524"/>
      <c r="S1301" s="524"/>
    </row>
    <row r="1302" spans="17:19" ht="15.75">
      <c r="Q1302" s="524"/>
      <c r="R1302" s="524"/>
      <c r="S1302" s="524"/>
    </row>
    <row r="1303" spans="17:19" ht="15.75">
      <c r="Q1303" s="524"/>
      <c r="R1303" s="524"/>
      <c r="S1303" s="524"/>
    </row>
    <row r="1304" spans="17:19" ht="15.75">
      <c r="Q1304" s="524"/>
      <c r="R1304" s="524"/>
      <c r="S1304" s="524"/>
    </row>
    <row r="1305" spans="17:19" ht="15.75">
      <c r="Q1305" s="524"/>
      <c r="R1305" s="524"/>
      <c r="S1305" s="524"/>
    </row>
    <row r="1306" spans="17:19" ht="15.75">
      <c r="Q1306" s="524"/>
      <c r="R1306" s="524"/>
      <c r="S1306" s="524"/>
    </row>
    <row r="1307" spans="17:19" ht="15.75">
      <c r="Q1307" s="524"/>
      <c r="R1307" s="524"/>
      <c r="S1307" s="524"/>
    </row>
    <row r="1308" spans="17:19" ht="15.75">
      <c r="Q1308" s="524"/>
      <c r="R1308" s="524"/>
      <c r="S1308" s="524"/>
    </row>
    <row r="1309" spans="17:19" ht="15.75">
      <c r="Q1309" s="524"/>
      <c r="R1309" s="524"/>
      <c r="S1309" s="524"/>
    </row>
    <row r="1310" spans="17:19" ht="15.75">
      <c r="Q1310" s="524"/>
      <c r="R1310" s="524"/>
      <c r="S1310" s="524"/>
    </row>
    <row r="1311" spans="17:19" ht="15.75">
      <c r="Q1311" s="524"/>
      <c r="R1311" s="524"/>
      <c r="S1311" s="524"/>
    </row>
    <row r="1312" spans="17:19" ht="15.75">
      <c r="Q1312" s="524"/>
      <c r="R1312" s="524"/>
      <c r="S1312" s="524"/>
    </row>
    <row r="1313" spans="17:19" ht="15.75">
      <c r="Q1313" s="524"/>
      <c r="R1313" s="524"/>
      <c r="S1313" s="524"/>
    </row>
    <row r="1314" spans="17:19" ht="15.75">
      <c r="Q1314" s="524"/>
      <c r="R1314" s="524"/>
      <c r="S1314" s="524"/>
    </row>
    <row r="1315" spans="17:19" ht="15.75">
      <c r="Q1315" s="524"/>
      <c r="R1315" s="524"/>
      <c r="S1315" s="524"/>
    </row>
    <row r="1316" spans="17:19" ht="15.75">
      <c r="Q1316" s="524"/>
      <c r="R1316" s="524"/>
      <c r="S1316" s="524"/>
    </row>
    <row r="1317" spans="17:19" ht="15.75">
      <c r="Q1317" s="524"/>
      <c r="R1317" s="524"/>
      <c r="S1317" s="524"/>
    </row>
    <row r="1318" spans="17:19" ht="15.75">
      <c r="Q1318" s="524"/>
      <c r="R1318" s="524"/>
      <c r="S1318" s="524"/>
    </row>
    <row r="1319" spans="17:19" ht="15.75">
      <c r="Q1319" s="524"/>
      <c r="R1319" s="524"/>
      <c r="S1319" s="524"/>
    </row>
    <row r="1320" spans="17:19" ht="15.75">
      <c r="Q1320" s="524"/>
      <c r="R1320" s="524"/>
      <c r="S1320" s="524"/>
    </row>
    <row r="1321" spans="17:19" ht="15.75">
      <c r="Q1321" s="524"/>
      <c r="R1321" s="524"/>
      <c r="S1321" s="524"/>
    </row>
    <row r="1322" spans="17:19" ht="15.75">
      <c r="Q1322" s="524"/>
      <c r="R1322" s="524"/>
      <c r="S1322" s="524"/>
    </row>
    <row r="1323" spans="17:19" ht="15.75">
      <c r="Q1323" s="524"/>
      <c r="R1323" s="524"/>
      <c r="S1323" s="524"/>
    </row>
    <row r="1324" spans="17:19" ht="15.75">
      <c r="Q1324" s="524"/>
      <c r="R1324" s="524"/>
      <c r="S1324" s="524"/>
    </row>
    <row r="1325" spans="17:19" ht="15.75">
      <c r="Q1325" s="524"/>
      <c r="R1325" s="524"/>
      <c r="S1325" s="524"/>
    </row>
    <row r="1326" spans="17:19" ht="15.75">
      <c r="Q1326" s="524"/>
      <c r="R1326" s="524"/>
      <c r="S1326" s="524"/>
    </row>
    <row r="1327" spans="17:19" ht="15.75">
      <c r="Q1327" s="524"/>
      <c r="R1327" s="524"/>
      <c r="S1327" s="524"/>
    </row>
    <row r="1328" spans="17:19" ht="15.75">
      <c r="Q1328" s="524"/>
      <c r="R1328" s="524"/>
      <c r="S1328" s="524"/>
    </row>
    <row r="1329" spans="17:19" ht="15.75">
      <c r="Q1329" s="524"/>
      <c r="R1329" s="524"/>
      <c r="S1329" s="524"/>
    </row>
    <row r="1330" spans="17:19" ht="15.75">
      <c r="Q1330" s="524"/>
      <c r="R1330" s="524"/>
      <c r="S1330" s="524"/>
    </row>
    <row r="1331" spans="17:19" ht="15.75">
      <c r="Q1331" s="524"/>
      <c r="R1331" s="524"/>
      <c r="S1331" s="524"/>
    </row>
    <row r="1332" spans="17:19" ht="15.75">
      <c r="Q1332" s="524"/>
      <c r="R1332" s="524"/>
      <c r="S1332" s="524"/>
    </row>
    <row r="1333" spans="17:19" ht="15.75">
      <c r="Q1333" s="524"/>
      <c r="R1333" s="524"/>
      <c r="S1333" s="524"/>
    </row>
    <row r="1334" spans="17:19" ht="15.75">
      <c r="Q1334" s="524"/>
      <c r="R1334" s="524"/>
      <c r="S1334" s="524"/>
    </row>
    <row r="1335" spans="17:19" ht="15.75">
      <c r="Q1335" s="524"/>
      <c r="R1335" s="524"/>
      <c r="S1335" s="524"/>
    </row>
    <row r="1336" spans="17:19" ht="15.75">
      <c r="Q1336" s="524"/>
      <c r="R1336" s="524"/>
      <c r="S1336" s="524"/>
    </row>
    <row r="1337" spans="17:19" ht="15.75">
      <c r="Q1337" s="524"/>
      <c r="R1337" s="524"/>
      <c r="S1337" s="524"/>
    </row>
    <row r="1338" spans="17:19" ht="15.75">
      <c r="Q1338" s="524"/>
      <c r="R1338" s="524"/>
      <c r="S1338" s="524"/>
    </row>
    <row r="1339" spans="17:19" ht="15.75">
      <c r="Q1339" s="524"/>
      <c r="R1339" s="524"/>
      <c r="S1339" s="524"/>
    </row>
    <row r="1340" spans="17:19" ht="15.75">
      <c r="Q1340" s="524"/>
      <c r="R1340" s="524"/>
      <c r="S1340" s="524"/>
    </row>
    <row r="1341" spans="17:19" ht="15.75">
      <c r="Q1341" s="524"/>
      <c r="R1341" s="524"/>
      <c r="S1341" s="524"/>
    </row>
    <row r="1342" spans="17:19" ht="15.75">
      <c r="Q1342" s="524"/>
      <c r="R1342" s="524"/>
      <c r="S1342" s="524"/>
    </row>
    <row r="1343" spans="17:19" ht="15.75">
      <c r="Q1343" s="524"/>
      <c r="R1343" s="524"/>
      <c r="S1343" s="524"/>
    </row>
    <row r="1344" spans="17:19" ht="15.75">
      <c r="Q1344" s="524"/>
      <c r="R1344" s="524"/>
      <c r="S1344" s="524"/>
    </row>
    <row r="1345" spans="17:19" ht="15.75">
      <c r="Q1345" s="524"/>
      <c r="R1345" s="524"/>
      <c r="S1345" s="524"/>
    </row>
    <row r="1346" spans="17:19" ht="15.75">
      <c r="Q1346" s="524"/>
      <c r="R1346" s="524"/>
      <c r="S1346" s="524"/>
    </row>
    <row r="1347" spans="17:19" ht="15.75">
      <c r="Q1347" s="524"/>
      <c r="R1347" s="524"/>
      <c r="S1347" s="524"/>
    </row>
    <row r="1348" spans="17:19" ht="15.75">
      <c r="Q1348" s="524"/>
      <c r="R1348" s="524"/>
      <c r="S1348" s="524"/>
    </row>
    <row r="1349" spans="17:19" ht="15.75">
      <c r="Q1349" s="524"/>
      <c r="R1349" s="524"/>
      <c r="S1349" s="524"/>
    </row>
    <row r="1350" spans="17:19" ht="15.75">
      <c r="Q1350" s="524"/>
      <c r="R1350" s="524"/>
      <c r="S1350" s="524"/>
    </row>
    <row r="1351" spans="17:19" ht="15.75">
      <c r="Q1351" s="524"/>
      <c r="R1351" s="524"/>
      <c r="S1351" s="524"/>
    </row>
    <row r="1352" spans="17:19" ht="15.75">
      <c r="Q1352" s="524"/>
      <c r="R1352" s="524"/>
      <c r="S1352" s="524"/>
    </row>
    <row r="1353" spans="17:19" ht="15.75">
      <c r="Q1353" s="524"/>
      <c r="R1353" s="524"/>
      <c r="S1353" s="524"/>
    </row>
    <row r="1354" spans="17:19" ht="15.75">
      <c r="Q1354" s="524"/>
      <c r="R1354" s="524"/>
      <c r="S1354" s="524"/>
    </row>
    <row r="1355" spans="17:19" ht="15.75">
      <c r="Q1355" s="524"/>
      <c r="R1355" s="524"/>
      <c r="S1355" s="524"/>
    </row>
    <row r="1356" spans="17:19" ht="15.75">
      <c r="Q1356" s="524"/>
      <c r="R1356" s="524"/>
      <c r="S1356" s="524"/>
    </row>
    <row r="1357" spans="17:19" ht="15.75">
      <c r="Q1357" s="524"/>
      <c r="R1357" s="524"/>
      <c r="S1357" s="524"/>
    </row>
    <row r="1358" spans="17:19" ht="15.75">
      <c r="Q1358" s="524"/>
      <c r="R1358" s="524"/>
      <c r="S1358" s="524"/>
    </row>
    <row r="1359" spans="17:19" ht="15.75">
      <c r="Q1359" s="524"/>
      <c r="R1359" s="524"/>
      <c r="S1359" s="524"/>
    </row>
    <row r="1360" spans="17:19" ht="15.75">
      <c r="Q1360" s="524"/>
      <c r="R1360" s="524"/>
      <c r="S1360" s="524"/>
    </row>
    <row r="1361" spans="17:19" ht="15.75">
      <c r="Q1361" s="524"/>
      <c r="R1361" s="524"/>
      <c r="S1361" s="524"/>
    </row>
    <row r="1362" spans="17:19" ht="15.75">
      <c r="Q1362" s="524"/>
      <c r="R1362" s="524"/>
      <c r="S1362" s="524"/>
    </row>
    <row r="1363" spans="17:19" ht="15.75">
      <c r="Q1363" s="524"/>
      <c r="R1363" s="524"/>
      <c r="S1363" s="524"/>
    </row>
    <row r="1364" spans="17:19" ht="15.75">
      <c r="Q1364" s="524"/>
      <c r="R1364" s="524"/>
      <c r="S1364" s="524"/>
    </row>
    <row r="1365" spans="17:19" ht="15.75">
      <c r="Q1365" s="524"/>
      <c r="R1365" s="524"/>
      <c r="S1365" s="524"/>
    </row>
    <row r="1366" spans="17:19" ht="15.75">
      <c r="Q1366" s="524"/>
      <c r="R1366" s="524"/>
      <c r="S1366" s="524"/>
    </row>
    <row r="1367" spans="17:19" ht="15.75">
      <c r="Q1367" s="524"/>
      <c r="R1367" s="524"/>
      <c r="S1367" s="524"/>
    </row>
    <row r="1368" spans="17:19" ht="15.75">
      <c r="Q1368" s="524"/>
      <c r="R1368" s="524"/>
      <c r="S1368" s="524"/>
    </row>
    <row r="1369" spans="17:19" ht="15.75">
      <c r="Q1369" s="524"/>
      <c r="R1369" s="524"/>
      <c r="S1369" s="524"/>
    </row>
    <row r="1370" spans="17:19" ht="15.75">
      <c r="Q1370" s="524"/>
      <c r="R1370" s="524"/>
      <c r="S1370" s="524"/>
    </row>
    <row r="1371" spans="17:19" ht="15.75">
      <c r="Q1371" s="524"/>
      <c r="R1371" s="524"/>
      <c r="S1371" s="524"/>
    </row>
    <row r="1372" spans="17:19" ht="15.75">
      <c r="Q1372" s="524"/>
      <c r="R1372" s="524"/>
      <c r="S1372" s="524"/>
    </row>
    <row r="1373" spans="17:19" ht="15.75">
      <c r="Q1373" s="524"/>
      <c r="R1373" s="524"/>
      <c r="S1373" s="524"/>
    </row>
    <row r="1374" spans="17:19" ht="15.75">
      <c r="Q1374" s="524"/>
      <c r="R1374" s="524"/>
      <c r="S1374" s="524"/>
    </row>
    <row r="1375" spans="17:19" ht="15.75">
      <c r="Q1375" s="524"/>
      <c r="R1375" s="524"/>
      <c r="S1375" s="524"/>
    </row>
    <row r="1376" spans="17:19" ht="15.75">
      <c r="Q1376" s="524"/>
      <c r="R1376" s="524"/>
      <c r="S1376" s="524"/>
    </row>
    <row r="1377" spans="17:19" ht="15.75">
      <c r="Q1377" s="524"/>
      <c r="R1377" s="524"/>
      <c r="S1377" s="524"/>
    </row>
    <row r="1378" spans="17:19" ht="15.75">
      <c r="Q1378" s="524"/>
      <c r="R1378" s="524"/>
      <c r="S1378" s="524"/>
    </row>
    <row r="1379" spans="17:19" ht="15.75">
      <c r="Q1379" s="524"/>
      <c r="R1379" s="524"/>
      <c r="S1379" s="524"/>
    </row>
    <row r="1380" spans="17:19" ht="15.75">
      <c r="Q1380" s="524"/>
      <c r="R1380" s="524"/>
      <c r="S1380" s="524"/>
    </row>
    <row r="1381" spans="17:19" ht="15.75">
      <c r="Q1381" s="524"/>
      <c r="R1381" s="524"/>
      <c r="S1381" s="524"/>
    </row>
    <row r="1382" spans="17:19" ht="15.75">
      <c r="Q1382" s="524"/>
      <c r="R1382" s="524"/>
      <c r="S1382" s="524"/>
    </row>
    <row r="1383" spans="17:19" ht="15.75">
      <c r="Q1383" s="524"/>
      <c r="R1383" s="524"/>
      <c r="S1383" s="524"/>
    </row>
    <row r="1384" spans="17:19" ht="15.75">
      <c r="Q1384" s="524"/>
      <c r="R1384" s="524"/>
      <c r="S1384" s="524"/>
    </row>
    <row r="1385" spans="17:19" ht="15.75">
      <c r="Q1385" s="524"/>
      <c r="R1385" s="524"/>
      <c r="S1385" s="524"/>
    </row>
    <row r="1386" spans="17:19" ht="15.75">
      <c r="Q1386" s="524"/>
      <c r="R1386" s="524"/>
      <c r="S1386" s="524"/>
    </row>
    <row r="1387" spans="17:19" ht="15.75">
      <c r="Q1387" s="524"/>
      <c r="R1387" s="524"/>
      <c r="S1387" s="524"/>
    </row>
    <row r="1388" spans="17:19" ht="15.75">
      <c r="Q1388" s="524"/>
      <c r="R1388" s="524"/>
      <c r="S1388" s="524"/>
    </row>
    <row r="1389" spans="17:19" ht="15.75">
      <c r="Q1389" s="524"/>
      <c r="R1389" s="524"/>
      <c r="S1389" s="524"/>
    </row>
    <row r="1390" spans="17:19" ht="15.75">
      <c r="Q1390" s="524"/>
      <c r="R1390" s="524"/>
      <c r="S1390" s="524"/>
    </row>
    <row r="1391" spans="17:19" ht="15.75">
      <c r="Q1391" s="524"/>
      <c r="R1391" s="524"/>
      <c r="S1391" s="524"/>
    </row>
    <row r="1392" spans="17:19" ht="15.75">
      <c r="Q1392" s="524"/>
      <c r="R1392" s="524"/>
      <c r="S1392" s="524"/>
    </row>
    <row r="1393" spans="17:19" ht="15.75">
      <c r="Q1393" s="524"/>
      <c r="R1393" s="524"/>
      <c r="S1393" s="524"/>
    </row>
    <row r="1394" spans="17:19" ht="15.75">
      <c r="Q1394" s="524"/>
      <c r="R1394" s="524"/>
      <c r="S1394" s="524"/>
    </row>
    <row r="1395" spans="17:19" ht="15.75">
      <c r="Q1395" s="524"/>
      <c r="R1395" s="524"/>
      <c r="S1395" s="524"/>
    </row>
    <row r="1396" spans="17:19" ht="15.75">
      <c r="Q1396" s="524"/>
      <c r="R1396" s="524"/>
      <c r="S1396" s="524"/>
    </row>
    <row r="1397" spans="17:19" ht="15.75">
      <c r="Q1397" s="524"/>
      <c r="R1397" s="524"/>
      <c r="S1397" s="524"/>
    </row>
    <row r="1398" spans="17:19" ht="15.75">
      <c r="Q1398" s="524"/>
      <c r="R1398" s="524"/>
      <c r="S1398" s="524"/>
    </row>
    <row r="1399" spans="17:19" ht="15.75">
      <c r="Q1399" s="524"/>
      <c r="R1399" s="524"/>
      <c r="S1399" s="524"/>
    </row>
    <row r="1400" spans="17:19" ht="15.75">
      <c r="Q1400" s="524"/>
      <c r="R1400" s="524"/>
      <c r="S1400" s="524"/>
    </row>
    <row r="1401" spans="17:19" ht="15.75">
      <c r="Q1401" s="524"/>
      <c r="R1401" s="524"/>
      <c r="S1401" s="524"/>
    </row>
    <row r="1402" spans="17:19" ht="15.75">
      <c r="Q1402" s="524"/>
      <c r="R1402" s="524"/>
      <c r="S1402" s="524"/>
    </row>
    <row r="1403" spans="17:19" ht="15.75">
      <c r="Q1403" s="524"/>
      <c r="R1403" s="524"/>
      <c r="S1403" s="524"/>
    </row>
    <row r="1404" spans="17:19" ht="15.75">
      <c r="Q1404" s="524"/>
      <c r="R1404" s="524"/>
      <c r="S1404" s="524"/>
    </row>
    <row r="1405" spans="17:19" ht="15.75">
      <c r="Q1405" s="524"/>
      <c r="R1405" s="524"/>
      <c r="S1405" s="524"/>
    </row>
    <row r="1406" spans="17:19" ht="15.75">
      <c r="Q1406" s="524"/>
      <c r="R1406" s="524"/>
      <c r="S1406" s="524"/>
    </row>
    <row r="1407" spans="17:19" ht="15.75">
      <c r="Q1407" s="524"/>
      <c r="R1407" s="524"/>
      <c r="S1407" s="524"/>
    </row>
    <row r="1408" spans="17:19" ht="15.75">
      <c r="Q1408" s="524"/>
      <c r="R1408" s="524"/>
      <c r="S1408" s="524"/>
    </row>
    <row r="1409" spans="17:19" ht="15.75">
      <c r="Q1409" s="524"/>
      <c r="R1409" s="524"/>
      <c r="S1409" s="524"/>
    </row>
    <row r="1410" spans="17:19" ht="15.75">
      <c r="Q1410" s="524"/>
      <c r="R1410" s="524"/>
      <c r="S1410" s="524"/>
    </row>
    <row r="1411" spans="17:19" ht="15.75">
      <c r="Q1411" s="524"/>
      <c r="R1411" s="524"/>
      <c r="S1411" s="524"/>
    </row>
    <row r="1412" spans="17:19" ht="15.75">
      <c r="Q1412" s="524"/>
      <c r="R1412" s="524"/>
      <c r="S1412" s="524"/>
    </row>
    <row r="1413" spans="17:19" ht="15.75">
      <c r="Q1413" s="524"/>
      <c r="R1413" s="524"/>
      <c r="S1413" s="524"/>
    </row>
    <row r="1414" spans="17:19" ht="15.75">
      <c r="Q1414" s="524"/>
      <c r="R1414" s="524"/>
      <c r="S1414" s="524"/>
    </row>
    <row r="1415" spans="17:19" ht="15.75">
      <c r="Q1415" s="524"/>
      <c r="R1415" s="524"/>
      <c r="S1415" s="524"/>
    </row>
    <row r="1416" spans="17:19" ht="15.75">
      <c r="Q1416" s="524"/>
      <c r="R1416" s="524"/>
      <c r="S1416" s="524"/>
    </row>
    <row r="1417" spans="17:19" ht="15.75">
      <c r="Q1417" s="524"/>
      <c r="R1417" s="524"/>
      <c r="S1417" s="524"/>
    </row>
    <row r="1418" spans="17:19" ht="15.75">
      <c r="Q1418" s="524"/>
      <c r="R1418" s="524"/>
      <c r="S1418" s="524"/>
    </row>
    <row r="1419" spans="17:19" ht="15.75">
      <c r="Q1419" s="524"/>
      <c r="R1419" s="524"/>
      <c r="S1419" s="524"/>
    </row>
    <row r="1420" spans="17:19" ht="15.75">
      <c r="Q1420" s="524"/>
      <c r="R1420" s="524"/>
      <c r="S1420" s="524"/>
    </row>
    <row r="1421" spans="17:19" ht="15.75">
      <c r="Q1421" s="524"/>
      <c r="R1421" s="524"/>
      <c r="S1421" s="524"/>
    </row>
    <row r="1422" spans="17:19" ht="15.75">
      <c r="Q1422" s="524"/>
      <c r="R1422" s="524"/>
      <c r="S1422" s="524"/>
    </row>
    <row r="1423" spans="17:19" ht="15.75">
      <c r="Q1423" s="524"/>
      <c r="R1423" s="524"/>
      <c r="S1423" s="524"/>
    </row>
    <row r="1424" spans="17:19" ht="15.75">
      <c r="Q1424" s="524"/>
      <c r="R1424" s="524"/>
      <c r="S1424" s="524"/>
    </row>
    <row r="1425" spans="17:19" ht="15.75">
      <c r="Q1425" s="524"/>
      <c r="R1425" s="524"/>
      <c r="S1425" s="524"/>
    </row>
    <row r="1426" spans="17:19" ht="15.75">
      <c r="Q1426" s="524"/>
      <c r="R1426" s="524"/>
      <c r="S1426" s="524"/>
    </row>
    <row r="1427" spans="17:19" ht="15.75">
      <c r="Q1427" s="524"/>
      <c r="R1427" s="524"/>
      <c r="S1427" s="524"/>
    </row>
    <row r="1428" spans="17:19" ht="15.75">
      <c r="Q1428" s="524"/>
      <c r="R1428" s="524"/>
      <c r="S1428" s="524"/>
    </row>
    <row r="1429" spans="17:19" ht="15.75">
      <c r="Q1429" s="524"/>
      <c r="R1429" s="524"/>
      <c r="S1429" s="524"/>
    </row>
    <row r="1430" spans="17:19" ht="15.75">
      <c r="Q1430" s="524"/>
      <c r="R1430" s="524"/>
      <c r="S1430" s="524"/>
    </row>
    <row r="1431" spans="17:19" ht="15.75">
      <c r="Q1431" s="524"/>
      <c r="R1431" s="524"/>
      <c r="S1431" s="524"/>
    </row>
    <row r="1432" spans="17:19" ht="15.75">
      <c r="Q1432" s="524"/>
      <c r="R1432" s="524"/>
      <c r="S1432" s="524"/>
    </row>
    <row r="1433" spans="17:19" ht="15.75">
      <c r="Q1433" s="524"/>
      <c r="R1433" s="524"/>
      <c r="S1433" s="524"/>
    </row>
    <row r="1434" spans="17:19" ht="15.75">
      <c r="Q1434" s="524"/>
      <c r="R1434" s="524"/>
      <c r="S1434" s="524"/>
    </row>
    <row r="1435" spans="17:19" ht="15.75">
      <c r="Q1435" s="524"/>
      <c r="R1435" s="524"/>
      <c r="S1435" s="524"/>
    </row>
    <row r="1436" spans="17:19" ht="15.75">
      <c r="Q1436" s="524"/>
      <c r="R1436" s="524"/>
      <c r="S1436" s="524"/>
    </row>
    <row r="1437" spans="17:19" ht="15.75">
      <c r="Q1437" s="524"/>
      <c r="R1437" s="524"/>
      <c r="S1437" s="524"/>
    </row>
    <row r="1438" spans="17:19" ht="15.75">
      <c r="Q1438" s="524"/>
      <c r="R1438" s="524"/>
      <c r="S1438" s="524"/>
    </row>
    <row r="1439" spans="17:19" ht="15.75">
      <c r="Q1439" s="524"/>
      <c r="R1439" s="524"/>
      <c r="S1439" s="524"/>
    </row>
    <row r="1440" spans="17:19" ht="15.75">
      <c r="Q1440" s="524"/>
      <c r="R1440" s="524"/>
      <c r="S1440" s="524"/>
    </row>
    <row r="1441" spans="17:19" ht="15.75">
      <c r="Q1441" s="524"/>
      <c r="R1441" s="524"/>
      <c r="S1441" s="524"/>
    </row>
    <row r="1442" spans="17:19" ht="15.75">
      <c r="Q1442" s="524"/>
      <c r="R1442" s="524"/>
      <c r="S1442" s="524"/>
    </row>
    <row r="1443" spans="17:19" ht="15.75">
      <c r="Q1443" s="524"/>
      <c r="R1443" s="524"/>
      <c r="S1443" s="524"/>
    </row>
    <row r="1444" spans="17:19" ht="15.75">
      <c r="Q1444" s="524"/>
      <c r="R1444" s="524"/>
      <c r="S1444" s="524"/>
    </row>
    <row r="1445" spans="17:19" ht="15.75">
      <c r="Q1445" s="524"/>
      <c r="R1445" s="524"/>
      <c r="S1445" s="524"/>
    </row>
    <row r="1446" spans="17:19" ht="15.75">
      <c r="Q1446" s="524"/>
      <c r="R1446" s="524"/>
      <c r="S1446" s="524"/>
    </row>
    <row r="1447" spans="17:19" ht="15.75">
      <c r="Q1447" s="524"/>
      <c r="R1447" s="524"/>
      <c r="S1447" s="524"/>
    </row>
    <row r="1448" spans="17:19" ht="15.75">
      <c r="Q1448" s="524"/>
      <c r="R1448" s="524"/>
      <c r="S1448" s="524"/>
    </row>
    <row r="1449" spans="17:19" ht="15.75">
      <c r="Q1449" s="524"/>
      <c r="R1449" s="524"/>
      <c r="S1449" s="524"/>
    </row>
    <row r="1450" spans="17:19" ht="15.75">
      <c r="Q1450" s="524"/>
      <c r="R1450" s="524"/>
      <c r="S1450" s="524"/>
    </row>
    <row r="1451" spans="17:19" ht="15.75">
      <c r="Q1451" s="524"/>
      <c r="R1451" s="524"/>
      <c r="S1451" s="524"/>
    </row>
    <row r="1452" spans="17:19" ht="15.75">
      <c r="Q1452" s="524"/>
      <c r="R1452" s="524"/>
      <c r="S1452" s="524"/>
    </row>
    <row r="1453" spans="17:19" ht="15.75">
      <c r="Q1453" s="524"/>
      <c r="R1453" s="524"/>
      <c r="S1453" s="524"/>
    </row>
    <row r="1454" spans="17:19" ht="15.75">
      <c r="Q1454" s="524"/>
      <c r="R1454" s="524"/>
      <c r="S1454" s="524"/>
    </row>
    <row r="1455" spans="17:19" ht="15.75">
      <c r="Q1455" s="524"/>
      <c r="R1455" s="524"/>
      <c r="S1455" s="524"/>
    </row>
    <row r="1456" spans="17:19" ht="15.75">
      <c r="Q1456" s="524"/>
      <c r="R1456" s="524"/>
      <c r="S1456" s="524"/>
    </row>
    <row r="1457" spans="17:19" ht="15.75">
      <c r="Q1457" s="524"/>
      <c r="R1457" s="524"/>
      <c r="S1457" s="524"/>
    </row>
    <row r="1458" spans="17:19" ht="15.75">
      <c r="Q1458" s="524"/>
      <c r="R1458" s="524"/>
      <c r="S1458" s="524"/>
    </row>
    <row r="1459" spans="17:19" ht="15.75">
      <c r="Q1459" s="524"/>
      <c r="R1459" s="524"/>
      <c r="S1459" s="524"/>
    </row>
    <row r="1460" spans="17:19" ht="15.75">
      <c r="Q1460" s="524"/>
      <c r="R1460" s="524"/>
      <c r="S1460" s="524"/>
    </row>
    <row r="1461" spans="17:19" ht="15.75">
      <c r="Q1461" s="524"/>
      <c r="R1461" s="524"/>
      <c r="S1461" s="524"/>
    </row>
    <row r="1462" spans="17:19" ht="15.75">
      <c r="Q1462" s="524"/>
      <c r="R1462" s="524"/>
      <c r="S1462" s="524"/>
    </row>
    <row r="1463" spans="17:19" ht="15.75">
      <c r="Q1463" s="524"/>
      <c r="R1463" s="524"/>
      <c r="S1463" s="524"/>
    </row>
    <row r="1464" spans="17:19" ht="15.75">
      <c r="Q1464" s="524"/>
      <c r="R1464" s="524"/>
      <c r="S1464" s="524"/>
    </row>
    <row r="1465" spans="17:19" ht="15.75">
      <c r="Q1465" s="524"/>
      <c r="R1465" s="524"/>
      <c r="S1465" s="524"/>
    </row>
    <row r="1466" spans="17:19" ht="15.75">
      <c r="Q1466" s="524"/>
      <c r="R1466" s="524"/>
      <c r="S1466" s="524"/>
    </row>
    <row r="1467" spans="17:19" ht="15.75">
      <c r="Q1467" s="524"/>
      <c r="R1467" s="524"/>
      <c r="S1467" s="524"/>
    </row>
    <row r="1468" spans="17:19" ht="15.75">
      <c r="Q1468" s="524"/>
      <c r="R1468" s="524"/>
      <c r="S1468" s="524"/>
    </row>
    <row r="1469" spans="17:19" ht="15.75">
      <c r="Q1469" s="524"/>
      <c r="R1469" s="524"/>
      <c r="S1469" s="524"/>
    </row>
    <row r="1470" spans="17:19" ht="15.75">
      <c r="Q1470" s="524"/>
      <c r="R1470" s="524"/>
      <c r="S1470" s="524"/>
    </row>
    <row r="1471" spans="17:19" ht="15.75">
      <c r="Q1471" s="524"/>
      <c r="R1471" s="524"/>
      <c r="S1471" s="524"/>
    </row>
    <row r="1472" spans="17:19" ht="15.75">
      <c r="Q1472" s="524"/>
      <c r="R1472" s="524"/>
      <c r="S1472" s="524"/>
    </row>
    <row r="1473" spans="17:19" ht="15.75">
      <c r="Q1473" s="524"/>
      <c r="R1473" s="524"/>
      <c r="S1473" s="524"/>
    </row>
    <row r="1474" spans="17:19" ht="15.75">
      <c r="Q1474" s="524"/>
      <c r="R1474" s="524"/>
      <c r="S1474" s="524"/>
    </row>
    <row r="1475" spans="17:19" ht="15.75">
      <c r="Q1475" s="524"/>
      <c r="R1475" s="524"/>
      <c r="S1475" s="524"/>
    </row>
    <row r="1476" spans="17:19" ht="15.75">
      <c r="Q1476" s="524"/>
      <c r="R1476" s="524"/>
      <c r="S1476" s="524"/>
    </row>
    <row r="1477" spans="17:19" ht="15.75">
      <c r="Q1477" s="524"/>
      <c r="R1477" s="524"/>
      <c r="S1477" s="524"/>
    </row>
    <row r="1478" spans="17:19" ht="15.75">
      <c r="Q1478" s="524"/>
      <c r="R1478" s="524"/>
      <c r="S1478" s="524"/>
    </row>
    <row r="1479" spans="17:19" ht="15.75">
      <c r="Q1479" s="524"/>
      <c r="R1479" s="524"/>
      <c r="S1479" s="524"/>
    </row>
    <row r="1480" spans="17:19" ht="15.75">
      <c r="Q1480" s="524"/>
      <c r="R1480" s="524"/>
      <c r="S1480" s="524"/>
    </row>
    <row r="1481" spans="17:19" ht="15.75">
      <c r="Q1481" s="524"/>
      <c r="R1481" s="524"/>
      <c r="S1481" s="524"/>
    </row>
    <row r="1482" spans="17:19" ht="15.75">
      <c r="Q1482" s="524"/>
      <c r="R1482" s="524"/>
      <c r="S1482" s="524"/>
    </row>
    <row r="1483" spans="17:19" ht="15.75">
      <c r="Q1483" s="524"/>
      <c r="R1483" s="524"/>
      <c r="S1483" s="524"/>
    </row>
    <row r="1484" spans="17:19" ht="15.75">
      <c r="Q1484" s="524"/>
      <c r="R1484" s="524"/>
      <c r="S1484" s="524"/>
    </row>
    <row r="1485" spans="17:19" ht="15.75">
      <c r="Q1485" s="524"/>
      <c r="R1485" s="524"/>
      <c r="S1485" s="524"/>
    </row>
    <row r="1486" spans="17:19" ht="15.75">
      <c r="Q1486" s="524"/>
      <c r="R1486" s="524"/>
      <c r="S1486" s="524"/>
    </row>
    <row r="1487" spans="17:19" ht="15.75">
      <c r="Q1487" s="524"/>
      <c r="R1487" s="524"/>
      <c r="S1487" s="524"/>
    </row>
    <row r="1488" spans="17:19" ht="15.75">
      <c r="Q1488" s="524"/>
      <c r="R1488" s="524"/>
      <c r="S1488" s="524"/>
    </row>
    <row r="1489" spans="17:19" ht="15.75">
      <c r="Q1489" s="524"/>
      <c r="R1489" s="524"/>
      <c r="S1489" s="524"/>
    </row>
    <row r="1490" spans="17:19" ht="15.75">
      <c r="Q1490" s="524"/>
      <c r="R1490" s="524"/>
      <c r="S1490" s="524"/>
    </row>
    <row r="1491" spans="17:19" ht="15.75">
      <c r="Q1491" s="524"/>
      <c r="R1491" s="524"/>
      <c r="S1491" s="524"/>
    </row>
    <row r="1492" spans="17:19" ht="15.75">
      <c r="Q1492" s="524"/>
      <c r="R1492" s="524"/>
      <c r="S1492" s="524"/>
    </row>
    <row r="1493" spans="17:19" ht="15.75">
      <c r="Q1493" s="524"/>
      <c r="R1493" s="524"/>
      <c r="S1493" s="524"/>
    </row>
    <row r="1494" spans="17:19" ht="15.75">
      <c r="Q1494" s="524"/>
      <c r="R1494" s="524"/>
      <c r="S1494" s="524"/>
    </row>
    <row r="1495" spans="17:19" ht="15.75">
      <c r="Q1495" s="524"/>
      <c r="R1495" s="524"/>
      <c r="S1495" s="524"/>
    </row>
    <row r="1496" spans="17:19" ht="15.75">
      <c r="Q1496" s="524"/>
      <c r="R1496" s="524"/>
      <c r="S1496" s="524"/>
    </row>
    <row r="1497" spans="17:19" ht="15.75">
      <c r="Q1497" s="524"/>
      <c r="R1497" s="524"/>
      <c r="S1497" s="524"/>
    </row>
    <row r="1498" spans="17:19" ht="15.75">
      <c r="Q1498" s="524"/>
      <c r="R1498" s="524"/>
      <c r="S1498" s="524"/>
    </row>
    <row r="1499" spans="17:19" ht="15.75">
      <c r="Q1499" s="524"/>
      <c r="R1499" s="524"/>
      <c r="S1499" s="524"/>
    </row>
    <row r="1500" spans="17:19" ht="15.75">
      <c r="Q1500" s="524"/>
      <c r="R1500" s="524"/>
      <c r="S1500" s="524"/>
    </row>
    <row r="1501" spans="17:19" ht="15.75">
      <c r="Q1501" s="524"/>
      <c r="R1501" s="524"/>
      <c r="S1501" s="524"/>
    </row>
    <row r="1502" spans="17:19" ht="15.75">
      <c r="Q1502" s="524"/>
      <c r="R1502" s="524"/>
      <c r="S1502" s="524"/>
    </row>
    <row r="1503" spans="17:19" ht="15.75">
      <c r="Q1503" s="524"/>
      <c r="R1503" s="524"/>
      <c r="S1503" s="524"/>
    </row>
    <row r="1504" spans="17:19" ht="15.75">
      <c r="Q1504" s="524"/>
      <c r="R1504" s="524"/>
      <c r="S1504" s="524"/>
    </row>
    <row r="1505" spans="17:19" ht="15.75">
      <c r="Q1505" s="524"/>
      <c r="R1505" s="524"/>
      <c r="S1505" s="524"/>
    </row>
    <row r="1506" spans="17:19" ht="15.75">
      <c r="Q1506" s="524"/>
      <c r="R1506" s="524"/>
      <c r="S1506" s="524"/>
    </row>
    <row r="1507" spans="17:19" ht="15.75">
      <c r="Q1507" s="524"/>
      <c r="R1507" s="524"/>
      <c r="S1507" s="524"/>
    </row>
    <row r="1508" spans="17:19" ht="15.75">
      <c r="Q1508" s="524"/>
      <c r="R1508" s="524"/>
      <c r="S1508" s="524"/>
    </row>
    <row r="1509" spans="17:19" ht="15.75">
      <c r="Q1509" s="524"/>
      <c r="R1509" s="524"/>
      <c r="S1509" s="524"/>
    </row>
    <row r="1510" spans="17:19" ht="15.75">
      <c r="Q1510" s="524"/>
      <c r="R1510" s="524"/>
      <c r="S1510" s="524"/>
    </row>
    <row r="1511" spans="17:19" ht="15.75">
      <c r="Q1511" s="524"/>
      <c r="R1511" s="524"/>
      <c r="S1511" s="524"/>
    </row>
    <row r="1512" spans="17:19" ht="15.75">
      <c r="Q1512" s="524"/>
      <c r="R1512" s="524"/>
      <c r="S1512" s="524"/>
    </row>
    <row r="1513" spans="17:19" ht="15.75">
      <c r="Q1513" s="524"/>
      <c r="R1513" s="524"/>
      <c r="S1513" s="524"/>
    </row>
    <row r="1514" spans="17:19" ht="15.75">
      <c r="Q1514" s="524"/>
      <c r="R1514" s="524"/>
      <c r="S1514" s="524"/>
    </row>
    <row r="1515" spans="17:19" ht="15.75">
      <c r="Q1515" s="524"/>
      <c r="R1515" s="524"/>
      <c r="S1515" s="524"/>
    </row>
    <row r="1516" spans="17:19" ht="15.75">
      <c r="Q1516" s="524"/>
      <c r="R1516" s="524"/>
      <c r="S1516" s="524"/>
    </row>
    <row r="1517" spans="17:19" ht="15.75">
      <c r="Q1517" s="524"/>
      <c r="R1517" s="524"/>
      <c r="S1517" s="524"/>
    </row>
    <row r="1518" spans="17:19" ht="15.75">
      <c r="Q1518" s="524"/>
      <c r="R1518" s="524"/>
      <c r="S1518" s="524"/>
    </row>
    <row r="1519" spans="17:19" ht="15.75">
      <c r="Q1519" s="524"/>
      <c r="R1519" s="524"/>
      <c r="S1519" s="524"/>
    </row>
    <row r="1520" spans="17:19" ht="15.75">
      <c r="Q1520" s="524"/>
      <c r="R1520" s="524"/>
      <c r="S1520" s="524"/>
    </row>
    <row r="1521" spans="17:19" ht="15.75">
      <c r="Q1521" s="524"/>
      <c r="R1521" s="524"/>
      <c r="S1521" s="524"/>
    </row>
    <row r="1522" spans="17:19" ht="15.75">
      <c r="Q1522" s="524"/>
      <c r="R1522" s="524"/>
      <c r="S1522" s="524"/>
    </row>
    <row r="1523" spans="17:19" ht="15.75">
      <c r="Q1523" s="524"/>
      <c r="R1523" s="524"/>
      <c r="S1523" s="524"/>
    </row>
    <row r="1524" spans="17:19" ht="15.75">
      <c r="Q1524" s="524"/>
      <c r="R1524" s="524"/>
      <c r="S1524" s="524"/>
    </row>
    <row r="1525" spans="17:19" ht="15.75">
      <c r="Q1525" s="524"/>
      <c r="R1525" s="524"/>
      <c r="S1525" s="524"/>
    </row>
    <row r="1526" spans="17:19" ht="15.75">
      <c r="Q1526" s="524"/>
      <c r="R1526" s="524"/>
      <c r="S1526" s="524"/>
    </row>
    <row r="1527" spans="17:19" ht="15.75">
      <c r="Q1527" s="524"/>
      <c r="R1527" s="524"/>
      <c r="S1527" s="524"/>
    </row>
    <row r="1528" spans="17:19" ht="15.75">
      <c r="Q1528" s="524"/>
      <c r="R1528" s="524"/>
      <c r="S1528" s="524"/>
    </row>
    <row r="1529" spans="17:19" ht="15.75">
      <c r="Q1529" s="524"/>
      <c r="R1529" s="524"/>
      <c r="S1529" s="524"/>
    </row>
    <row r="1530" spans="17:19" ht="15.75">
      <c r="Q1530" s="524"/>
      <c r="R1530" s="524"/>
      <c r="S1530" s="524"/>
    </row>
    <row r="1531" spans="17:19" ht="15.75">
      <c r="Q1531" s="524"/>
      <c r="R1531" s="524"/>
      <c r="S1531" s="524"/>
    </row>
    <row r="1532" spans="17:19" ht="15.75">
      <c r="Q1532" s="524"/>
      <c r="R1532" s="524"/>
      <c r="S1532" s="524"/>
    </row>
    <row r="1533" spans="17:19" ht="15.75">
      <c r="Q1533" s="524"/>
      <c r="R1533" s="524"/>
      <c r="S1533" s="524"/>
    </row>
    <row r="1534" spans="17:19" ht="15.75">
      <c r="Q1534" s="524"/>
      <c r="R1534" s="524"/>
      <c r="S1534" s="524"/>
    </row>
    <row r="1535" spans="17:19" ht="15.75">
      <c r="Q1535" s="524"/>
      <c r="R1535" s="524"/>
      <c r="S1535" s="524"/>
    </row>
    <row r="1536" spans="17:19" ht="15.75">
      <c r="Q1536" s="524"/>
      <c r="R1536" s="524"/>
      <c r="S1536" s="524"/>
    </row>
    <row r="1537" spans="17:19" ht="15.75">
      <c r="Q1537" s="524"/>
      <c r="R1537" s="524"/>
      <c r="S1537" s="524"/>
    </row>
    <row r="1538" spans="17:19" ht="15.75">
      <c r="Q1538" s="524"/>
      <c r="R1538" s="524"/>
      <c r="S1538" s="524"/>
    </row>
    <row r="1539" spans="17:19" ht="15.75">
      <c r="Q1539" s="524"/>
      <c r="R1539" s="524"/>
      <c r="S1539" s="524"/>
    </row>
    <row r="1540" spans="17:19" ht="15.75">
      <c r="Q1540" s="524"/>
      <c r="R1540" s="524"/>
      <c r="S1540" s="524"/>
    </row>
    <row r="1541" spans="17:19" ht="15.75">
      <c r="Q1541" s="524"/>
      <c r="R1541" s="524"/>
      <c r="S1541" s="524"/>
    </row>
    <row r="1542" spans="17:19" ht="15.75">
      <c r="Q1542" s="524"/>
      <c r="R1542" s="524"/>
      <c r="S1542" s="524"/>
    </row>
    <row r="1543" spans="17:19" ht="15.75">
      <c r="Q1543" s="524"/>
      <c r="R1543" s="524"/>
      <c r="S1543" s="524"/>
    </row>
    <row r="1544" spans="17:19" ht="15.75">
      <c r="Q1544" s="524"/>
      <c r="R1544" s="524"/>
      <c r="S1544" s="524"/>
    </row>
    <row r="1545" spans="17:19" ht="15.75">
      <c r="Q1545" s="524"/>
      <c r="R1545" s="524"/>
      <c r="S1545" s="524"/>
    </row>
    <row r="1546" spans="17:19" ht="15.75">
      <c r="Q1546" s="524"/>
      <c r="R1546" s="524"/>
      <c r="S1546" s="524"/>
    </row>
    <row r="1547" spans="17:19" ht="15.75">
      <c r="Q1547" s="524"/>
      <c r="R1547" s="524"/>
      <c r="S1547" s="524"/>
    </row>
    <row r="1548" spans="17:19" ht="15.75">
      <c r="Q1548" s="524"/>
      <c r="R1548" s="524"/>
      <c r="S1548" s="524"/>
    </row>
    <row r="1549" spans="17:19" ht="15.75">
      <c r="Q1549" s="524"/>
      <c r="R1549" s="524"/>
      <c r="S1549" s="524"/>
    </row>
    <row r="1550" spans="17:19" ht="15.75">
      <c r="Q1550" s="524"/>
      <c r="R1550" s="524"/>
      <c r="S1550" s="524"/>
    </row>
    <row r="1551" spans="17:19" ht="15.75">
      <c r="Q1551" s="524"/>
      <c r="R1551" s="524"/>
      <c r="S1551" s="524"/>
    </row>
    <row r="1552" spans="17:19" ht="15.75">
      <c r="Q1552" s="524"/>
      <c r="R1552" s="524"/>
      <c r="S1552" s="524"/>
    </row>
    <row r="1553" spans="17:19" ht="15.75">
      <c r="Q1553" s="524"/>
      <c r="R1553" s="524"/>
      <c r="S1553" s="524"/>
    </row>
    <row r="1554" spans="17:19" ht="15.75">
      <c r="Q1554" s="524"/>
      <c r="R1554" s="524"/>
      <c r="S1554" s="524"/>
    </row>
    <row r="1555" spans="17:19" ht="15.75">
      <c r="Q1555" s="524"/>
      <c r="R1555" s="524"/>
      <c r="S1555" s="524"/>
    </row>
    <row r="1556" spans="17:19" ht="15.75">
      <c r="Q1556" s="524"/>
      <c r="R1556" s="524"/>
      <c r="S1556" s="524"/>
    </row>
    <row r="1557" spans="17:19" ht="15.75">
      <c r="Q1557" s="524"/>
      <c r="R1557" s="524"/>
      <c r="S1557" s="524"/>
    </row>
    <row r="1558" spans="17:19" ht="15.75">
      <c r="Q1558" s="524"/>
      <c r="R1558" s="524"/>
      <c r="S1558" s="524"/>
    </row>
    <row r="1559" spans="17:19" ht="15.75">
      <c r="Q1559" s="524"/>
      <c r="R1559" s="524"/>
      <c r="S1559" s="524"/>
    </row>
    <row r="1560" spans="17:19" ht="15.75">
      <c r="Q1560" s="524"/>
      <c r="R1560" s="524"/>
      <c r="S1560" s="524"/>
    </row>
    <row r="1561" spans="17:19" ht="15.75">
      <c r="Q1561" s="524"/>
      <c r="R1561" s="524"/>
      <c r="S1561" s="524"/>
    </row>
    <row r="1562" spans="17:19" ht="15.75">
      <c r="Q1562" s="524"/>
      <c r="R1562" s="524"/>
      <c r="S1562" s="524"/>
    </row>
    <row r="1563" spans="17:19" ht="15.75">
      <c r="Q1563" s="524"/>
      <c r="R1563" s="524"/>
      <c r="S1563" s="524"/>
    </row>
    <row r="1564" spans="17:19" ht="15.75">
      <c r="Q1564" s="524"/>
      <c r="R1564" s="524"/>
      <c r="S1564" s="524"/>
    </row>
    <row r="1565" spans="17:19" ht="15.75">
      <c r="Q1565" s="524"/>
      <c r="R1565" s="524"/>
      <c r="S1565" s="524"/>
    </row>
    <row r="1566" spans="17:19" ht="15.75">
      <c r="Q1566" s="524"/>
      <c r="R1566" s="524"/>
      <c r="S1566" s="524"/>
    </row>
    <row r="1567" spans="17:19" ht="15.75">
      <c r="Q1567" s="524"/>
      <c r="R1567" s="524"/>
      <c r="S1567" s="524"/>
    </row>
    <row r="1568" spans="17:19" ht="15.75">
      <c r="Q1568" s="524"/>
      <c r="R1568" s="524"/>
      <c r="S1568" s="524"/>
    </row>
    <row r="1569" spans="17:19" ht="15.75">
      <c r="Q1569" s="524"/>
      <c r="R1569" s="524"/>
      <c r="S1569" s="524"/>
    </row>
    <row r="1570" spans="17:19" ht="15.75">
      <c r="Q1570" s="524"/>
      <c r="R1570" s="524"/>
      <c r="S1570" s="524"/>
    </row>
    <row r="1571" spans="17:19" ht="15.75">
      <c r="Q1571" s="524"/>
      <c r="R1571" s="524"/>
      <c r="S1571" s="524"/>
    </row>
    <row r="1572" spans="17:19" ht="15.75">
      <c r="Q1572" s="524"/>
      <c r="R1572" s="524"/>
      <c r="S1572" s="524"/>
    </row>
    <row r="1573" spans="17:19" ht="15.75">
      <c r="Q1573" s="524"/>
      <c r="R1573" s="524"/>
      <c r="S1573" s="524"/>
    </row>
    <row r="1574" spans="17:19" ht="15.75">
      <c r="Q1574" s="524"/>
      <c r="R1574" s="524"/>
      <c r="S1574" s="524"/>
    </row>
    <row r="1575" spans="17:19" ht="15.75">
      <c r="Q1575" s="524"/>
      <c r="R1575" s="524"/>
      <c r="S1575" s="524"/>
    </row>
    <row r="1576" spans="17:19" ht="15.75">
      <c r="Q1576" s="524"/>
      <c r="R1576" s="524"/>
      <c r="S1576" s="524"/>
    </row>
    <row r="1577" spans="17:19" ht="15.75">
      <c r="Q1577" s="524"/>
      <c r="R1577" s="524"/>
      <c r="S1577" s="524"/>
    </row>
    <row r="1578" spans="17:19" ht="15.75">
      <c r="Q1578" s="524"/>
      <c r="R1578" s="524"/>
      <c r="S1578" s="524"/>
    </row>
    <row r="1579" spans="17:19" ht="15.75">
      <c r="Q1579" s="524"/>
      <c r="R1579" s="524"/>
      <c r="S1579" s="524"/>
    </row>
    <row r="1580" spans="17:19" ht="15.75">
      <c r="Q1580" s="524"/>
      <c r="R1580" s="524"/>
      <c r="S1580" s="524"/>
    </row>
    <row r="1581" spans="17:19" ht="15.75">
      <c r="Q1581" s="524"/>
      <c r="R1581" s="524"/>
      <c r="S1581" s="524"/>
    </row>
    <row r="1582" spans="17:19" ht="15.75">
      <c r="Q1582" s="524"/>
      <c r="R1582" s="524"/>
      <c r="S1582" s="524"/>
    </row>
    <row r="1583" spans="17:19" ht="15.75">
      <c r="Q1583" s="524"/>
      <c r="R1583" s="524"/>
      <c r="S1583" s="524"/>
    </row>
    <row r="1584" spans="17:19" ht="15.75">
      <c r="Q1584" s="524"/>
      <c r="R1584" s="524"/>
      <c r="S1584" s="524"/>
    </row>
    <row r="1585" spans="17:19" ht="15.75">
      <c r="Q1585" s="524"/>
      <c r="R1585" s="524"/>
      <c r="S1585" s="524"/>
    </row>
  </sheetData>
  <mergeCells count="2">
    <mergeCell ref="Q2:S2"/>
    <mergeCell ref="B2:E2"/>
  </mergeCells>
  <printOptions/>
  <pageMargins left="0.5" right="0.5" top="1" bottom="1" header="0.5" footer="0.5"/>
  <pageSetup fitToHeight="15" fitToWidth="1" horizontalDpi="600" verticalDpi="600" orientation="portrait" paperSize="5" scale="86" r:id="rId1"/>
</worksheet>
</file>

<file path=xl/worksheets/sheet6.xml><?xml version="1.0" encoding="utf-8"?>
<worksheet xmlns="http://schemas.openxmlformats.org/spreadsheetml/2006/main" xmlns:r="http://schemas.openxmlformats.org/officeDocument/2006/relationships">
  <sheetPr codeName="Sheet3">
    <pageSetUpPr fitToPage="1"/>
  </sheetPr>
  <dimension ref="B1:U1518"/>
  <sheetViews>
    <sheetView showGridLines="0" workbookViewId="0" topLeftCell="A1">
      <pane xSplit="2" ySplit="3" topLeftCell="C4" activePane="bottomRight" state="frozen"/>
      <selection pane="topLeft" activeCell="A1" sqref="A1"/>
      <selection pane="topRight" activeCell="C1" sqref="C1"/>
      <selection pane="bottomLeft" activeCell="A4" sqref="A4"/>
      <selection pane="bottomRight" activeCell="E5" sqref="E5"/>
    </sheetView>
  </sheetViews>
  <sheetFormatPr defaultColWidth="9.00390625" defaultRowHeight="15.75"/>
  <cols>
    <col min="1" max="1" width="1.4921875" style="1" customWidth="1"/>
    <col min="2" max="2" width="59.875" style="22" customWidth="1"/>
    <col min="3" max="3" width="6.25390625" style="22" customWidth="1"/>
    <col min="4" max="4" width="7.50390625" style="22" customWidth="1"/>
    <col min="5" max="5" width="7.875" style="22" customWidth="1"/>
    <col min="6" max="6" width="7.50390625" style="22" customWidth="1"/>
    <col min="7" max="7" width="41.125" style="23" customWidth="1"/>
    <col min="8" max="9" width="6.625" style="1" customWidth="1"/>
    <col min="10" max="10" width="6.625" style="32" customWidth="1"/>
    <col min="11" max="13" width="6.625" style="1" customWidth="1"/>
    <col min="14" max="14" width="11.00390625" style="74" customWidth="1"/>
    <col min="15" max="15" width="7.625" style="74" customWidth="1"/>
    <col min="16" max="16" width="7.625" style="1" customWidth="1"/>
    <col min="17" max="19" width="10.375" style="1" customWidth="1"/>
    <col min="20" max="16384" width="9.00390625" style="1" customWidth="1"/>
  </cols>
  <sheetData>
    <row r="1" spans="2:21" s="22" customFormat="1" ht="15.75">
      <c r="B1" s="428">
        <v>1</v>
      </c>
      <c r="C1" s="428">
        <v>2</v>
      </c>
      <c r="D1" s="428">
        <v>3</v>
      </c>
      <c r="E1" s="428">
        <v>4</v>
      </c>
      <c r="F1" s="428">
        <v>5</v>
      </c>
      <c r="G1" s="428">
        <v>6</v>
      </c>
      <c r="H1" s="428">
        <v>7</v>
      </c>
      <c r="I1" s="428">
        <v>8</v>
      </c>
      <c r="J1" s="428">
        <v>9</v>
      </c>
      <c r="K1" s="428">
        <v>10</v>
      </c>
      <c r="L1" s="428">
        <v>11</v>
      </c>
      <c r="M1" s="428">
        <v>12</v>
      </c>
      <c r="N1" s="428">
        <v>13</v>
      </c>
      <c r="O1" s="428">
        <v>14</v>
      </c>
      <c r="P1" s="428">
        <v>15</v>
      </c>
      <c r="Q1" s="428">
        <v>16</v>
      </c>
      <c r="R1" s="428">
        <v>17</v>
      </c>
      <c r="S1" s="428">
        <v>18</v>
      </c>
      <c r="T1" s="428">
        <v>19</v>
      </c>
      <c r="U1" s="428">
        <v>20</v>
      </c>
    </row>
    <row r="2" spans="2:19" ht="32.25" customHeight="1" thickBot="1">
      <c r="B2" s="793" t="s">
        <v>524</v>
      </c>
      <c r="C2" s="794"/>
      <c r="D2" s="794"/>
      <c r="E2" s="794"/>
      <c r="F2" s="794"/>
      <c r="G2" s="794"/>
      <c r="Q2" s="788" t="s">
        <v>197</v>
      </c>
      <c r="R2" s="789"/>
      <c r="S2" s="790"/>
    </row>
    <row r="3" spans="2:19" ht="80.25" customHeight="1" thickBot="1">
      <c r="B3" s="38" t="s">
        <v>660</v>
      </c>
      <c r="C3" s="196" t="s">
        <v>56</v>
      </c>
      <c r="D3" s="196" t="s">
        <v>1041</v>
      </c>
      <c r="E3" s="26" t="s">
        <v>416</v>
      </c>
      <c r="F3" s="196" t="s">
        <v>417</v>
      </c>
      <c r="G3" s="39" t="s">
        <v>230</v>
      </c>
      <c r="I3" s="27" t="s">
        <v>115</v>
      </c>
      <c r="J3" s="33" t="s">
        <v>114</v>
      </c>
      <c r="K3" s="29" t="s">
        <v>117</v>
      </c>
      <c r="L3" s="30" t="s">
        <v>116</v>
      </c>
      <c r="M3" s="30" t="s">
        <v>589</v>
      </c>
      <c r="N3" s="74" t="s">
        <v>1201</v>
      </c>
      <c r="O3" s="74" t="s">
        <v>1202</v>
      </c>
      <c r="Q3" s="429" t="s">
        <v>1075</v>
      </c>
      <c r="R3" s="429" t="s">
        <v>295</v>
      </c>
      <c r="S3" s="429" t="s">
        <v>296</v>
      </c>
    </row>
    <row r="4" spans="2:19" ht="15.75">
      <c r="B4" s="52"/>
      <c r="C4" s="53"/>
      <c r="D4" s="56"/>
      <c r="E4" s="293"/>
      <c r="F4" s="295"/>
      <c r="G4" s="60"/>
      <c r="L4" s="28"/>
      <c r="N4" s="198"/>
      <c r="O4" s="76"/>
      <c r="Q4" s="22"/>
      <c r="R4" s="22"/>
      <c r="S4" s="22"/>
    </row>
    <row r="5" spans="2:19" ht="15.75">
      <c r="B5" s="52" t="s">
        <v>653</v>
      </c>
      <c r="C5" s="53"/>
      <c r="D5" s="56"/>
      <c r="E5" s="293"/>
      <c r="F5" s="295">
        <v>0</v>
      </c>
      <c r="G5" s="60" t="s">
        <v>497</v>
      </c>
      <c r="L5" s="28"/>
      <c r="N5" s="198"/>
      <c r="O5" s="76"/>
      <c r="Q5" s="22"/>
      <c r="R5" s="22"/>
      <c r="S5" s="22"/>
    </row>
    <row r="6" spans="2:19" ht="15.75">
      <c r="B6" s="52" t="s">
        <v>86</v>
      </c>
      <c r="C6" s="53"/>
      <c r="D6" s="56"/>
      <c r="E6" s="293"/>
      <c r="F6" s="295"/>
      <c r="G6" s="60" t="s">
        <v>87</v>
      </c>
      <c r="L6" s="28"/>
      <c r="N6" s="198"/>
      <c r="O6" s="76"/>
      <c r="Q6" s="22"/>
      <c r="R6" s="22"/>
      <c r="S6" s="22"/>
    </row>
    <row r="7" spans="2:19" ht="15.75">
      <c r="B7" s="52" t="s">
        <v>1221</v>
      </c>
      <c r="C7" s="53">
        <v>0</v>
      </c>
      <c r="D7" s="56">
        <v>0</v>
      </c>
      <c r="E7" s="293" t="s">
        <v>652</v>
      </c>
      <c r="F7" s="295">
        <v>0</v>
      </c>
      <c r="G7" s="60" t="s">
        <v>1222</v>
      </c>
      <c r="L7" s="28"/>
      <c r="N7" s="76"/>
      <c r="O7" s="76"/>
      <c r="Q7" s="22"/>
      <c r="R7" s="22"/>
      <c r="S7" s="22"/>
    </row>
    <row r="8" spans="2:19" ht="15.75">
      <c r="B8" s="63" t="s">
        <v>274</v>
      </c>
      <c r="C8" s="53"/>
      <c r="D8" s="56"/>
      <c r="E8" s="293"/>
      <c r="F8" s="295"/>
      <c r="G8" s="60"/>
      <c r="L8" s="28"/>
      <c r="N8" s="76"/>
      <c r="O8" s="76"/>
      <c r="Q8" s="22"/>
      <c r="R8" s="22"/>
      <c r="S8" s="22"/>
    </row>
    <row r="9" spans="2:19" ht="15.75">
      <c r="B9" s="55" t="s">
        <v>846</v>
      </c>
      <c r="C9" s="56">
        <v>25</v>
      </c>
      <c r="D9" s="56">
        <f aca="true" t="shared" si="0" ref="D9:D20">I9*J9*K9*L9</f>
        <v>2297.1</v>
      </c>
      <c r="E9" s="294" t="s">
        <v>418</v>
      </c>
      <c r="F9" s="296">
        <v>15</v>
      </c>
      <c r="G9" s="61" t="s">
        <v>822</v>
      </c>
      <c r="I9" s="1">
        <v>1</v>
      </c>
      <c r="J9" s="32">
        <v>0.78</v>
      </c>
      <c r="K9" s="1">
        <v>3100</v>
      </c>
      <c r="L9" s="28">
        <v>0.95</v>
      </c>
      <c r="M9" s="27" t="s">
        <v>735</v>
      </c>
      <c r="N9" s="73">
        <f aca="true" t="shared" si="1" ref="N9:N20">J9*100/C9</f>
        <v>3.12</v>
      </c>
      <c r="O9" s="74">
        <f aca="true" t="shared" si="2" ref="O9:O20">I9*K9*J9/C9</f>
        <v>96.72</v>
      </c>
      <c r="Q9" s="430">
        <v>30000</v>
      </c>
      <c r="R9" s="431">
        <v>3.25</v>
      </c>
      <c r="S9" s="428">
        <v>0.09</v>
      </c>
    </row>
    <row r="10" spans="2:19" ht="15.75">
      <c r="B10" s="55" t="s">
        <v>270</v>
      </c>
      <c r="C10" s="56">
        <v>25</v>
      </c>
      <c r="D10" s="56">
        <f t="shared" si="0"/>
        <v>2267.65</v>
      </c>
      <c r="E10" s="294" t="s">
        <v>418</v>
      </c>
      <c r="F10" s="296">
        <v>15</v>
      </c>
      <c r="G10" s="61" t="s">
        <v>271</v>
      </c>
      <c r="I10" s="1">
        <v>1</v>
      </c>
      <c r="J10" s="32">
        <v>0.77</v>
      </c>
      <c r="K10" s="1">
        <v>3100</v>
      </c>
      <c r="L10" s="28">
        <v>0.95</v>
      </c>
      <c r="M10" s="27" t="s">
        <v>590</v>
      </c>
      <c r="N10" s="73">
        <f t="shared" si="1"/>
        <v>3.08</v>
      </c>
      <c r="O10" s="74">
        <f t="shared" si="2"/>
        <v>95.48</v>
      </c>
      <c r="Q10" s="430">
        <v>30000</v>
      </c>
      <c r="R10" s="431">
        <v>3.25</v>
      </c>
      <c r="S10" s="428">
        <v>0.09</v>
      </c>
    </row>
    <row r="11" spans="2:19" ht="15.75">
      <c r="B11" s="52" t="s">
        <v>949</v>
      </c>
      <c r="C11" s="53">
        <v>25</v>
      </c>
      <c r="D11" s="56">
        <f t="shared" si="0"/>
        <v>2267.65</v>
      </c>
      <c r="E11" s="294" t="s">
        <v>418</v>
      </c>
      <c r="F11" s="296">
        <v>15</v>
      </c>
      <c r="G11" s="60" t="s">
        <v>680</v>
      </c>
      <c r="I11" s="1">
        <v>1</v>
      </c>
      <c r="J11" s="32">
        <v>0.77</v>
      </c>
      <c r="K11" s="1">
        <v>3100</v>
      </c>
      <c r="L11" s="28">
        <v>0.95</v>
      </c>
      <c r="M11" s="27" t="s">
        <v>735</v>
      </c>
      <c r="N11" s="73">
        <f t="shared" si="1"/>
        <v>3.08</v>
      </c>
      <c r="O11" s="74">
        <f t="shared" si="2"/>
        <v>95.48</v>
      </c>
      <c r="Q11" s="430">
        <v>30000</v>
      </c>
      <c r="R11" s="431">
        <v>3.25</v>
      </c>
      <c r="S11" s="428">
        <v>0.09</v>
      </c>
    </row>
    <row r="12" spans="2:19" ht="15.75">
      <c r="B12" s="55" t="s">
        <v>867</v>
      </c>
      <c r="C12" s="56">
        <v>25</v>
      </c>
      <c r="D12" s="56">
        <f t="shared" si="0"/>
        <v>2267.65</v>
      </c>
      <c r="E12" s="294" t="s">
        <v>418</v>
      </c>
      <c r="F12" s="296">
        <v>15</v>
      </c>
      <c r="G12" s="61" t="s">
        <v>868</v>
      </c>
      <c r="I12" s="1">
        <v>1</v>
      </c>
      <c r="J12" s="32">
        <v>0.77</v>
      </c>
      <c r="K12" s="1">
        <v>3100</v>
      </c>
      <c r="L12" s="28">
        <v>0.95</v>
      </c>
      <c r="M12" s="27" t="s">
        <v>735</v>
      </c>
      <c r="N12" s="73">
        <f t="shared" si="1"/>
        <v>3.08</v>
      </c>
      <c r="O12" s="74">
        <f t="shared" si="2"/>
        <v>95.48</v>
      </c>
      <c r="Q12" s="430">
        <v>30000</v>
      </c>
      <c r="R12" s="431">
        <v>3.25</v>
      </c>
      <c r="S12" s="428">
        <v>0.09</v>
      </c>
    </row>
    <row r="13" spans="2:19" ht="15.75">
      <c r="B13" s="55" t="s">
        <v>1308</v>
      </c>
      <c r="C13" s="56">
        <v>28</v>
      </c>
      <c r="D13" s="56">
        <f t="shared" si="0"/>
        <v>2591.6</v>
      </c>
      <c r="E13" s="294" t="s">
        <v>418</v>
      </c>
      <c r="F13" s="296">
        <v>15</v>
      </c>
      <c r="G13" s="61" t="s">
        <v>822</v>
      </c>
      <c r="I13" s="1">
        <v>1</v>
      </c>
      <c r="J13" s="32">
        <v>0.88</v>
      </c>
      <c r="K13" s="1">
        <v>3100</v>
      </c>
      <c r="L13" s="28">
        <v>0.95</v>
      </c>
      <c r="M13" s="27" t="s">
        <v>737</v>
      </c>
      <c r="N13" s="73">
        <f t="shared" si="1"/>
        <v>3.142857142857143</v>
      </c>
      <c r="O13" s="74">
        <f t="shared" si="2"/>
        <v>97.42857142857143</v>
      </c>
      <c r="Q13" s="430">
        <v>30000</v>
      </c>
      <c r="R13" s="431">
        <v>3.25</v>
      </c>
      <c r="S13" s="428">
        <v>0.09</v>
      </c>
    </row>
    <row r="14" spans="2:19" ht="15.75">
      <c r="B14" s="55" t="s">
        <v>705</v>
      </c>
      <c r="C14" s="56">
        <v>28</v>
      </c>
      <c r="D14" s="56">
        <f>I14*J14*K14*L14</f>
        <v>2562.15</v>
      </c>
      <c r="E14" s="294" t="s">
        <v>418</v>
      </c>
      <c r="F14" s="296">
        <v>15</v>
      </c>
      <c r="G14" s="61" t="s">
        <v>490</v>
      </c>
      <c r="I14" s="1">
        <v>1</v>
      </c>
      <c r="J14" s="32">
        <v>0.87</v>
      </c>
      <c r="K14" s="1">
        <v>3100</v>
      </c>
      <c r="L14" s="28">
        <v>0.95</v>
      </c>
      <c r="M14" s="27" t="s">
        <v>590</v>
      </c>
      <c r="N14" s="73">
        <f>J14*100/C14</f>
        <v>3.107142857142857</v>
      </c>
      <c r="O14" s="74">
        <f>I14*K14*J14/C14</f>
        <v>96.32142857142857</v>
      </c>
      <c r="Q14" s="430">
        <v>30000</v>
      </c>
      <c r="R14" s="431">
        <v>3.25</v>
      </c>
      <c r="S14" s="428">
        <v>0.09</v>
      </c>
    </row>
    <row r="15" spans="2:19" ht="15.75">
      <c r="B15" s="52" t="s">
        <v>948</v>
      </c>
      <c r="C15" s="53">
        <v>28</v>
      </c>
      <c r="D15" s="56">
        <f t="shared" si="0"/>
        <v>2562.15</v>
      </c>
      <c r="E15" s="294" t="s">
        <v>418</v>
      </c>
      <c r="F15" s="296">
        <v>15</v>
      </c>
      <c r="G15" s="60" t="s">
        <v>490</v>
      </c>
      <c r="I15" s="1">
        <v>1</v>
      </c>
      <c r="J15" s="32">
        <v>0.87</v>
      </c>
      <c r="K15" s="1">
        <v>3100</v>
      </c>
      <c r="L15" s="28">
        <v>0.95</v>
      </c>
      <c r="M15" s="27" t="s">
        <v>737</v>
      </c>
      <c r="N15" s="73">
        <f t="shared" si="1"/>
        <v>3.107142857142857</v>
      </c>
      <c r="O15" s="74">
        <f t="shared" si="2"/>
        <v>96.32142857142857</v>
      </c>
      <c r="Q15" s="430">
        <v>30000</v>
      </c>
      <c r="R15" s="431">
        <v>3.25</v>
      </c>
      <c r="S15" s="428">
        <v>0.09</v>
      </c>
    </row>
    <row r="16" spans="2:19" ht="15.75">
      <c r="B16" s="55" t="s">
        <v>869</v>
      </c>
      <c r="C16" s="56">
        <v>28</v>
      </c>
      <c r="D16" s="56">
        <f>I16*J16*K16*L16</f>
        <v>2562.15</v>
      </c>
      <c r="E16" s="294" t="s">
        <v>418</v>
      </c>
      <c r="F16" s="296">
        <v>15</v>
      </c>
      <c r="G16" s="61" t="s">
        <v>865</v>
      </c>
      <c r="I16" s="1">
        <v>1</v>
      </c>
      <c r="J16" s="32">
        <v>0.87</v>
      </c>
      <c r="K16" s="1">
        <v>3100</v>
      </c>
      <c r="L16" s="28">
        <v>0.95</v>
      </c>
      <c r="M16" s="27" t="s">
        <v>737</v>
      </c>
      <c r="N16" s="73">
        <f>J16*100/C16</f>
        <v>3.107142857142857</v>
      </c>
      <c r="O16" s="74">
        <f>I16*K16*J16/C16</f>
        <v>96.32142857142857</v>
      </c>
      <c r="Q16" s="430">
        <v>30000</v>
      </c>
      <c r="R16" s="431">
        <v>3.25</v>
      </c>
      <c r="S16" s="428">
        <v>0.09</v>
      </c>
    </row>
    <row r="17" spans="2:19" ht="15.75">
      <c r="B17" s="55" t="s">
        <v>746</v>
      </c>
      <c r="C17" s="56">
        <v>29</v>
      </c>
      <c r="D17" s="56">
        <f t="shared" si="0"/>
        <v>2886.1</v>
      </c>
      <c r="E17" s="294" t="s">
        <v>418</v>
      </c>
      <c r="F17" s="296">
        <v>15</v>
      </c>
      <c r="G17" s="61" t="s">
        <v>386</v>
      </c>
      <c r="I17" s="1">
        <v>1</v>
      </c>
      <c r="J17" s="32">
        <v>0.98</v>
      </c>
      <c r="K17" s="1">
        <v>3100</v>
      </c>
      <c r="L17" s="28">
        <v>0.95</v>
      </c>
      <c r="M17" s="27" t="s">
        <v>737</v>
      </c>
      <c r="N17" s="73">
        <f t="shared" si="1"/>
        <v>3.3793103448275863</v>
      </c>
      <c r="O17" s="74">
        <f t="shared" si="2"/>
        <v>104.75862068965517</v>
      </c>
      <c r="Q17" s="430">
        <v>30000</v>
      </c>
      <c r="R17" s="431">
        <v>3.25</v>
      </c>
      <c r="S17" s="428">
        <v>0.09</v>
      </c>
    </row>
    <row r="18" spans="2:19" ht="15.75">
      <c r="B18" s="55" t="s">
        <v>412</v>
      </c>
      <c r="C18" s="56">
        <v>29</v>
      </c>
      <c r="D18" s="56">
        <f t="shared" si="0"/>
        <v>2650.5</v>
      </c>
      <c r="E18" s="294" t="s">
        <v>418</v>
      </c>
      <c r="F18" s="296">
        <v>15</v>
      </c>
      <c r="G18" s="61" t="s">
        <v>494</v>
      </c>
      <c r="I18" s="1">
        <v>1</v>
      </c>
      <c r="J18" s="32">
        <v>0.9</v>
      </c>
      <c r="K18" s="1">
        <v>3100</v>
      </c>
      <c r="L18" s="28">
        <v>0.95</v>
      </c>
      <c r="M18" s="27" t="s">
        <v>590</v>
      </c>
      <c r="N18" s="73">
        <f t="shared" si="1"/>
        <v>3.103448275862069</v>
      </c>
      <c r="O18" s="74">
        <f t="shared" si="2"/>
        <v>96.20689655172414</v>
      </c>
      <c r="Q18" s="430">
        <v>30000</v>
      </c>
      <c r="R18" s="431">
        <v>3.25</v>
      </c>
      <c r="S18" s="428">
        <v>0.09</v>
      </c>
    </row>
    <row r="19" spans="2:19" ht="15.75">
      <c r="B19" s="55" t="s">
        <v>89</v>
      </c>
      <c r="C19" s="56">
        <v>32</v>
      </c>
      <c r="D19" s="56">
        <f>I19*J19*K19*L19</f>
        <v>2945</v>
      </c>
      <c r="E19" s="294" t="s">
        <v>418</v>
      </c>
      <c r="F19" s="296">
        <v>15</v>
      </c>
      <c r="G19" s="61" t="s">
        <v>679</v>
      </c>
      <c r="I19" s="1">
        <v>1</v>
      </c>
      <c r="J19" s="32">
        <v>1</v>
      </c>
      <c r="K19" s="1">
        <v>3100</v>
      </c>
      <c r="L19" s="28">
        <v>0.95</v>
      </c>
      <c r="M19" s="27" t="s">
        <v>590</v>
      </c>
      <c r="N19" s="73">
        <f>J19*100/C19</f>
        <v>3.125</v>
      </c>
      <c r="O19" s="74">
        <f>I19*K19*J19/C19</f>
        <v>96.875</v>
      </c>
      <c r="Q19" s="430">
        <v>30000</v>
      </c>
      <c r="R19" s="431">
        <v>3.25</v>
      </c>
      <c r="S19" s="428">
        <v>0.09</v>
      </c>
    </row>
    <row r="20" spans="2:19" ht="15.75">
      <c r="B20" s="55" t="s">
        <v>90</v>
      </c>
      <c r="C20" s="56">
        <v>33</v>
      </c>
      <c r="D20" s="56">
        <f t="shared" si="0"/>
        <v>3033.35</v>
      </c>
      <c r="E20" s="294" t="s">
        <v>418</v>
      </c>
      <c r="F20" s="296">
        <v>15</v>
      </c>
      <c r="G20" s="61" t="s">
        <v>823</v>
      </c>
      <c r="I20" s="1">
        <v>1</v>
      </c>
      <c r="J20" s="32">
        <v>1.03</v>
      </c>
      <c r="K20" s="1">
        <v>3100</v>
      </c>
      <c r="L20" s="28">
        <v>0.95</v>
      </c>
      <c r="M20" s="27" t="s">
        <v>736</v>
      </c>
      <c r="N20" s="73">
        <f t="shared" si="1"/>
        <v>3.121212121212121</v>
      </c>
      <c r="O20" s="74">
        <f t="shared" si="2"/>
        <v>96.75757575757575</v>
      </c>
      <c r="Q20" s="430">
        <v>30000</v>
      </c>
      <c r="R20" s="431">
        <v>3.25</v>
      </c>
      <c r="S20" s="428">
        <v>0.09</v>
      </c>
    </row>
    <row r="21" spans="2:19" ht="15.75">
      <c r="B21" s="63" t="s">
        <v>274</v>
      </c>
      <c r="C21" s="56"/>
      <c r="D21" s="56"/>
      <c r="E21" s="294"/>
      <c r="F21" s="296"/>
      <c r="G21" s="61"/>
      <c r="L21" s="28"/>
      <c r="N21" s="198" t="s">
        <v>732</v>
      </c>
      <c r="O21" s="76">
        <v>95</v>
      </c>
      <c r="Q21" s="430"/>
      <c r="R21" s="431"/>
      <c r="S21" s="428"/>
    </row>
    <row r="22" spans="2:19" ht="15.75">
      <c r="B22" s="55" t="s">
        <v>388</v>
      </c>
      <c r="C22" s="56">
        <v>46</v>
      </c>
      <c r="D22" s="56">
        <f aca="true" t="shared" si="3" ref="D22:D42">I22*J22*K22*L22</f>
        <v>4181.9</v>
      </c>
      <c r="E22" s="294" t="s">
        <v>419</v>
      </c>
      <c r="F22" s="296">
        <v>30</v>
      </c>
      <c r="G22" s="61" t="s">
        <v>985</v>
      </c>
      <c r="I22" s="1">
        <v>2</v>
      </c>
      <c r="J22" s="32">
        <v>0.71</v>
      </c>
      <c r="K22" s="1">
        <v>3100</v>
      </c>
      <c r="L22" s="28">
        <v>0.95</v>
      </c>
      <c r="M22" s="27" t="s">
        <v>590</v>
      </c>
      <c r="N22" s="73">
        <f aca="true" t="shared" si="4" ref="N22:N37">J22*100/C22</f>
        <v>1.5434782608695652</v>
      </c>
      <c r="O22" s="74">
        <f aca="true" t="shared" si="5" ref="O22:O37">I22*K22*J22/C22</f>
        <v>95.69565217391305</v>
      </c>
      <c r="Q22" s="430">
        <v>30000</v>
      </c>
      <c r="R22" s="431">
        <v>3.25</v>
      </c>
      <c r="S22" s="428">
        <v>0.09</v>
      </c>
    </row>
    <row r="23" spans="2:19" ht="15.75">
      <c r="B23" s="55" t="s">
        <v>847</v>
      </c>
      <c r="C23" s="56">
        <v>48</v>
      </c>
      <c r="D23" s="56">
        <f t="shared" si="3"/>
        <v>4594.2</v>
      </c>
      <c r="E23" s="294" t="s">
        <v>419</v>
      </c>
      <c r="F23" s="296">
        <v>30</v>
      </c>
      <c r="G23" s="61" t="s">
        <v>824</v>
      </c>
      <c r="I23" s="1">
        <v>2</v>
      </c>
      <c r="J23" s="32">
        <v>0.78</v>
      </c>
      <c r="K23" s="1">
        <v>3100</v>
      </c>
      <c r="L23" s="28">
        <v>0.95</v>
      </c>
      <c r="M23" s="27" t="s">
        <v>735</v>
      </c>
      <c r="N23" s="73">
        <f t="shared" si="4"/>
        <v>1.625</v>
      </c>
      <c r="O23" s="74">
        <f t="shared" si="5"/>
        <v>100.75</v>
      </c>
      <c r="Q23" s="430">
        <v>30000</v>
      </c>
      <c r="R23" s="431">
        <v>3.25</v>
      </c>
      <c r="S23" s="428">
        <v>0.09</v>
      </c>
    </row>
    <row r="24" spans="2:19" ht="15.75">
      <c r="B24" s="55" t="s">
        <v>872</v>
      </c>
      <c r="C24" s="56">
        <v>48</v>
      </c>
      <c r="D24" s="56">
        <f t="shared" si="3"/>
        <v>4594.2</v>
      </c>
      <c r="E24" s="294" t="s">
        <v>419</v>
      </c>
      <c r="F24" s="296">
        <v>30</v>
      </c>
      <c r="G24" s="61" t="s">
        <v>688</v>
      </c>
      <c r="I24" s="1">
        <v>2</v>
      </c>
      <c r="J24" s="32">
        <v>0.78</v>
      </c>
      <c r="K24" s="1">
        <v>3100</v>
      </c>
      <c r="L24" s="28">
        <v>0.95</v>
      </c>
      <c r="M24" s="27" t="s">
        <v>735</v>
      </c>
      <c r="N24" s="73">
        <f t="shared" si="4"/>
        <v>1.625</v>
      </c>
      <c r="O24" s="74">
        <f t="shared" si="5"/>
        <v>100.75</v>
      </c>
      <c r="Q24" s="430">
        <v>30000</v>
      </c>
      <c r="R24" s="431">
        <v>3.25</v>
      </c>
      <c r="S24" s="428">
        <v>0.09</v>
      </c>
    </row>
    <row r="25" spans="2:19" ht="15.75">
      <c r="B25" s="55" t="s">
        <v>350</v>
      </c>
      <c r="C25" s="56">
        <v>48</v>
      </c>
      <c r="D25" s="56">
        <f t="shared" si="3"/>
        <v>4594.2</v>
      </c>
      <c r="E25" s="294" t="s">
        <v>419</v>
      </c>
      <c r="F25" s="296">
        <v>30</v>
      </c>
      <c r="G25" s="61" t="s">
        <v>688</v>
      </c>
      <c r="I25" s="1">
        <v>2</v>
      </c>
      <c r="J25" s="32">
        <v>0.78</v>
      </c>
      <c r="K25" s="1">
        <v>3100</v>
      </c>
      <c r="L25" s="28">
        <v>0.95</v>
      </c>
      <c r="M25" s="27" t="s">
        <v>735</v>
      </c>
      <c r="N25" s="73">
        <f t="shared" si="4"/>
        <v>1.625</v>
      </c>
      <c r="O25" s="74">
        <f t="shared" si="5"/>
        <v>100.75</v>
      </c>
      <c r="Q25" s="430">
        <v>30000</v>
      </c>
      <c r="R25" s="431">
        <v>3.25</v>
      </c>
      <c r="S25" s="428">
        <v>0.09</v>
      </c>
    </row>
    <row r="26" spans="2:19" ht="15.75">
      <c r="B26" s="55" t="s">
        <v>944</v>
      </c>
      <c r="C26" s="56">
        <v>48</v>
      </c>
      <c r="D26" s="56">
        <f t="shared" si="3"/>
        <v>4535.3</v>
      </c>
      <c r="E26" s="294" t="s">
        <v>419</v>
      </c>
      <c r="F26" s="296">
        <v>30</v>
      </c>
      <c r="G26" s="61" t="s">
        <v>946</v>
      </c>
      <c r="I26" s="1">
        <v>2</v>
      </c>
      <c r="J26" s="32">
        <v>0.77</v>
      </c>
      <c r="K26" s="1">
        <v>3100</v>
      </c>
      <c r="L26" s="28">
        <v>0.95</v>
      </c>
      <c r="M26" s="27" t="s">
        <v>735</v>
      </c>
      <c r="N26" s="73">
        <f t="shared" si="4"/>
        <v>1.6041666666666667</v>
      </c>
      <c r="O26" s="74">
        <f t="shared" si="5"/>
        <v>99.45833333333333</v>
      </c>
      <c r="Q26" s="430">
        <v>30000</v>
      </c>
      <c r="R26" s="431">
        <v>3.25</v>
      </c>
      <c r="S26" s="428">
        <v>0.09</v>
      </c>
    </row>
    <row r="27" spans="2:19" ht="15.75">
      <c r="B27" s="55" t="s">
        <v>981</v>
      </c>
      <c r="C27" s="56">
        <v>50</v>
      </c>
      <c r="D27" s="56">
        <f t="shared" si="3"/>
        <v>4594.2</v>
      </c>
      <c r="E27" s="294" t="s">
        <v>419</v>
      </c>
      <c r="F27" s="296">
        <v>30</v>
      </c>
      <c r="G27" s="61" t="s">
        <v>493</v>
      </c>
      <c r="I27" s="1">
        <v>2</v>
      </c>
      <c r="J27" s="32">
        <v>0.78</v>
      </c>
      <c r="K27" s="1">
        <v>3100</v>
      </c>
      <c r="L27" s="28">
        <v>0.95</v>
      </c>
      <c r="M27" s="27" t="s">
        <v>735</v>
      </c>
      <c r="N27" s="74">
        <f t="shared" si="4"/>
        <v>1.56</v>
      </c>
      <c r="O27" s="74">
        <f t="shared" si="5"/>
        <v>96.72</v>
      </c>
      <c r="Q27" s="430">
        <v>30000</v>
      </c>
      <c r="R27" s="431">
        <v>3.25</v>
      </c>
      <c r="S27" s="428">
        <v>0.09</v>
      </c>
    </row>
    <row r="28" spans="2:19" ht="15.75">
      <c r="B28" s="55" t="s">
        <v>950</v>
      </c>
      <c r="C28" s="56">
        <v>53</v>
      </c>
      <c r="D28" s="56">
        <f t="shared" si="3"/>
        <v>5124.3</v>
      </c>
      <c r="E28" s="294" t="s">
        <v>419</v>
      </c>
      <c r="F28" s="296">
        <v>30</v>
      </c>
      <c r="G28" s="61" t="s">
        <v>490</v>
      </c>
      <c r="I28" s="1">
        <v>2</v>
      </c>
      <c r="J28" s="32">
        <v>0.87</v>
      </c>
      <c r="K28" s="1">
        <v>3100</v>
      </c>
      <c r="L28" s="28">
        <v>0.95</v>
      </c>
      <c r="M28" s="27" t="s">
        <v>737</v>
      </c>
      <c r="N28" s="73">
        <f t="shared" si="4"/>
        <v>1.6415094339622642</v>
      </c>
      <c r="O28" s="74">
        <f t="shared" si="5"/>
        <v>101.77358490566037</v>
      </c>
      <c r="Q28" s="430">
        <v>30000</v>
      </c>
      <c r="R28" s="431">
        <v>3.25</v>
      </c>
      <c r="S28" s="428">
        <v>0.09</v>
      </c>
    </row>
    <row r="29" spans="2:19" ht="15.75">
      <c r="B29" s="55" t="s">
        <v>848</v>
      </c>
      <c r="C29" s="56">
        <v>55</v>
      </c>
      <c r="D29" s="56">
        <f>I29*J29*K29*L29</f>
        <v>5183.2</v>
      </c>
      <c r="E29" s="294" t="s">
        <v>419</v>
      </c>
      <c r="F29" s="296">
        <v>30</v>
      </c>
      <c r="G29" s="61" t="s">
        <v>822</v>
      </c>
      <c r="I29" s="1">
        <v>2</v>
      </c>
      <c r="J29" s="32">
        <v>0.88</v>
      </c>
      <c r="K29" s="1">
        <v>3100</v>
      </c>
      <c r="L29" s="28">
        <v>0.95</v>
      </c>
      <c r="M29" s="27" t="s">
        <v>737</v>
      </c>
      <c r="N29" s="73">
        <f>J29*100/C29</f>
        <v>1.6</v>
      </c>
      <c r="O29" s="74">
        <f>I29*K29*J29/C29</f>
        <v>99.2</v>
      </c>
      <c r="Q29" s="430">
        <v>30000</v>
      </c>
      <c r="R29" s="431">
        <v>3.25</v>
      </c>
      <c r="S29" s="428">
        <v>0.09</v>
      </c>
    </row>
    <row r="30" spans="2:19" ht="15.75">
      <c r="B30" s="55" t="s">
        <v>864</v>
      </c>
      <c r="C30" s="56">
        <v>55</v>
      </c>
      <c r="D30" s="56">
        <f t="shared" si="3"/>
        <v>5183.2</v>
      </c>
      <c r="E30" s="294" t="s">
        <v>419</v>
      </c>
      <c r="F30" s="296">
        <v>30</v>
      </c>
      <c r="G30" s="61" t="s">
        <v>865</v>
      </c>
      <c r="I30" s="1">
        <v>2</v>
      </c>
      <c r="J30" s="32">
        <v>0.88</v>
      </c>
      <c r="K30" s="1">
        <v>3100</v>
      </c>
      <c r="L30" s="28">
        <v>0.95</v>
      </c>
      <c r="M30" s="27" t="s">
        <v>737</v>
      </c>
      <c r="N30" s="73">
        <f t="shared" si="4"/>
        <v>1.6</v>
      </c>
      <c r="O30" s="74">
        <f t="shared" si="5"/>
        <v>99.2</v>
      </c>
      <c r="Q30" s="430">
        <v>30000</v>
      </c>
      <c r="R30" s="431">
        <v>3.25</v>
      </c>
      <c r="S30" s="428">
        <v>0.09</v>
      </c>
    </row>
    <row r="31" spans="2:19" ht="15.75">
      <c r="B31" s="55" t="s">
        <v>351</v>
      </c>
      <c r="C31" s="56">
        <v>55</v>
      </c>
      <c r="D31" s="56">
        <f t="shared" si="3"/>
        <v>5183.2</v>
      </c>
      <c r="E31" s="294" t="s">
        <v>419</v>
      </c>
      <c r="F31" s="296">
        <v>30</v>
      </c>
      <c r="G31" s="61" t="s">
        <v>825</v>
      </c>
      <c r="I31" s="1">
        <v>2</v>
      </c>
      <c r="J31" s="32">
        <v>0.88</v>
      </c>
      <c r="K31" s="1">
        <v>3100</v>
      </c>
      <c r="L31" s="28">
        <v>0.95</v>
      </c>
      <c r="M31" s="27" t="s">
        <v>737</v>
      </c>
      <c r="N31" s="73">
        <f t="shared" si="4"/>
        <v>1.6</v>
      </c>
      <c r="O31" s="74">
        <f t="shared" si="5"/>
        <v>99.2</v>
      </c>
      <c r="Q31" s="430">
        <v>30000</v>
      </c>
      <c r="R31" s="431">
        <v>3.25</v>
      </c>
      <c r="S31" s="428">
        <v>0.09</v>
      </c>
    </row>
    <row r="32" spans="2:19" ht="15.75">
      <c r="B32" s="55" t="s">
        <v>413</v>
      </c>
      <c r="C32" s="56">
        <v>56</v>
      </c>
      <c r="D32" s="56">
        <f t="shared" si="3"/>
        <v>5183.2</v>
      </c>
      <c r="E32" s="294" t="s">
        <v>419</v>
      </c>
      <c r="F32" s="296">
        <v>30</v>
      </c>
      <c r="G32" s="61" t="s">
        <v>826</v>
      </c>
      <c r="I32" s="1">
        <v>2</v>
      </c>
      <c r="J32" s="32">
        <v>0.88</v>
      </c>
      <c r="K32" s="1">
        <v>3100</v>
      </c>
      <c r="L32" s="28">
        <v>0.95</v>
      </c>
      <c r="M32" s="27" t="s">
        <v>590</v>
      </c>
      <c r="N32" s="73">
        <f t="shared" si="4"/>
        <v>1.5714285714285714</v>
      </c>
      <c r="O32" s="74">
        <f t="shared" si="5"/>
        <v>97.42857142857143</v>
      </c>
      <c r="Q32" s="430">
        <v>30000</v>
      </c>
      <c r="R32" s="431">
        <v>3.25</v>
      </c>
      <c r="S32" s="428">
        <v>0.09</v>
      </c>
    </row>
    <row r="33" spans="2:19" ht="15.75">
      <c r="B33" s="55" t="s">
        <v>352</v>
      </c>
      <c r="C33" s="56">
        <v>58</v>
      </c>
      <c r="D33" s="56">
        <f>I33*J33*K33*L33</f>
        <v>5266.8</v>
      </c>
      <c r="E33" s="294" t="s">
        <v>419</v>
      </c>
      <c r="F33" s="296">
        <v>30</v>
      </c>
      <c r="G33" s="61" t="s">
        <v>704</v>
      </c>
      <c r="I33" s="1">
        <v>2</v>
      </c>
      <c r="J33" s="32">
        <v>0.88</v>
      </c>
      <c r="K33" s="1">
        <v>3150</v>
      </c>
      <c r="L33" s="28">
        <v>0.95</v>
      </c>
      <c r="M33" s="27" t="s">
        <v>737</v>
      </c>
      <c r="N33" s="121">
        <f>J33*100/C33</f>
        <v>1.5172413793103448</v>
      </c>
      <c r="O33" s="74">
        <f>I33*K33*J33/C33</f>
        <v>95.58620689655173</v>
      </c>
      <c r="Q33" s="430">
        <v>30000</v>
      </c>
      <c r="R33" s="431">
        <v>3.25</v>
      </c>
      <c r="S33" s="428">
        <v>0.09</v>
      </c>
    </row>
    <row r="34" spans="2:19" ht="15.75">
      <c r="B34" s="55" t="s">
        <v>454</v>
      </c>
      <c r="C34" s="56">
        <v>65</v>
      </c>
      <c r="D34" s="56">
        <f t="shared" si="3"/>
        <v>5948.9</v>
      </c>
      <c r="E34" s="294" t="s">
        <v>419</v>
      </c>
      <c r="F34" s="296">
        <v>30</v>
      </c>
      <c r="G34" s="61" t="s">
        <v>945</v>
      </c>
      <c r="I34" s="1">
        <v>2</v>
      </c>
      <c r="J34" s="32">
        <v>1.01</v>
      </c>
      <c r="K34" s="1">
        <v>3100</v>
      </c>
      <c r="L34" s="28">
        <v>0.95</v>
      </c>
      <c r="M34" s="27" t="s">
        <v>736</v>
      </c>
      <c r="N34" s="73">
        <f t="shared" si="4"/>
        <v>1.5538461538461539</v>
      </c>
      <c r="O34" s="74">
        <f t="shared" si="5"/>
        <v>96.33846153846154</v>
      </c>
      <c r="Q34" s="430">
        <v>30000</v>
      </c>
      <c r="R34" s="431">
        <v>3.25</v>
      </c>
      <c r="S34" s="428">
        <v>0.09</v>
      </c>
    </row>
    <row r="35" spans="2:19" ht="15.75">
      <c r="B35" s="55" t="s">
        <v>951</v>
      </c>
      <c r="C35" s="56">
        <v>74</v>
      </c>
      <c r="D35" s="56">
        <f t="shared" si="3"/>
        <v>6773.499999999999</v>
      </c>
      <c r="E35" s="294" t="s">
        <v>419</v>
      </c>
      <c r="F35" s="296">
        <v>30</v>
      </c>
      <c r="G35" s="61" t="s">
        <v>491</v>
      </c>
      <c r="I35" s="1">
        <v>2</v>
      </c>
      <c r="J35" s="32">
        <v>1.15</v>
      </c>
      <c r="K35" s="1">
        <v>3100</v>
      </c>
      <c r="L35" s="28">
        <v>0.95</v>
      </c>
      <c r="M35" s="27" t="s">
        <v>736</v>
      </c>
      <c r="N35" s="73">
        <f t="shared" si="4"/>
        <v>1.554054054054054</v>
      </c>
      <c r="O35" s="74">
        <f t="shared" si="5"/>
        <v>96.35135135135134</v>
      </c>
      <c r="Q35" s="430">
        <v>30000</v>
      </c>
      <c r="R35" s="431">
        <v>3.25</v>
      </c>
      <c r="S35" s="428">
        <v>0.09</v>
      </c>
    </row>
    <row r="36" spans="2:19" ht="15.75">
      <c r="B36" s="55" t="s">
        <v>452</v>
      </c>
      <c r="C36" s="56">
        <v>77</v>
      </c>
      <c r="D36" s="56">
        <f t="shared" si="3"/>
        <v>7068</v>
      </c>
      <c r="E36" s="294" t="s">
        <v>419</v>
      </c>
      <c r="F36" s="296">
        <v>30</v>
      </c>
      <c r="G36" s="61" t="s">
        <v>687</v>
      </c>
      <c r="I36" s="1">
        <v>2</v>
      </c>
      <c r="J36" s="32">
        <v>1.2</v>
      </c>
      <c r="K36" s="1">
        <v>3100</v>
      </c>
      <c r="L36" s="28">
        <v>0.95</v>
      </c>
      <c r="M36" s="27" t="s">
        <v>736</v>
      </c>
      <c r="N36" s="73">
        <f t="shared" si="4"/>
        <v>1.5584415584415585</v>
      </c>
      <c r="O36" s="74">
        <f t="shared" si="5"/>
        <v>96.62337662337663</v>
      </c>
      <c r="Q36" s="430">
        <v>30000</v>
      </c>
      <c r="R36" s="431">
        <v>3.25</v>
      </c>
      <c r="S36" s="428">
        <v>0.09</v>
      </c>
    </row>
    <row r="37" spans="2:19" ht="15.75">
      <c r="B37" s="55" t="s">
        <v>859</v>
      </c>
      <c r="C37" s="56">
        <v>78</v>
      </c>
      <c r="D37" s="56">
        <f>I37*J37*K37*L37</f>
        <v>7068</v>
      </c>
      <c r="E37" s="294" t="s">
        <v>419</v>
      </c>
      <c r="F37" s="296">
        <v>30</v>
      </c>
      <c r="G37" s="61" t="s">
        <v>687</v>
      </c>
      <c r="I37" s="1">
        <v>2</v>
      </c>
      <c r="J37" s="32">
        <v>1.2</v>
      </c>
      <c r="K37" s="1">
        <v>3100</v>
      </c>
      <c r="L37" s="28">
        <v>0.95</v>
      </c>
      <c r="M37" s="27" t="s">
        <v>736</v>
      </c>
      <c r="N37" s="74">
        <f t="shared" si="4"/>
        <v>1.5384615384615385</v>
      </c>
      <c r="O37" s="74">
        <f t="shared" si="5"/>
        <v>95.38461538461539</v>
      </c>
      <c r="Q37" s="430">
        <v>30000</v>
      </c>
      <c r="R37" s="431">
        <v>3.25</v>
      </c>
      <c r="S37" s="428">
        <v>0.09</v>
      </c>
    </row>
    <row r="38" spans="2:19" ht="15.75">
      <c r="B38" s="55" t="s">
        <v>744</v>
      </c>
      <c r="C38" s="56">
        <v>85</v>
      </c>
      <c r="D38" s="56">
        <f>I38*J38*K38*L38</f>
        <v>7774.799999999999</v>
      </c>
      <c r="E38" s="294" t="s">
        <v>419</v>
      </c>
      <c r="F38" s="296">
        <v>30</v>
      </c>
      <c r="G38" s="61" t="s">
        <v>657</v>
      </c>
      <c r="I38" s="1">
        <v>2</v>
      </c>
      <c r="J38" s="32">
        <v>1.32</v>
      </c>
      <c r="K38" s="1">
        <v>3100</v>
      </c>
      <c r="L38" s="28">
        <v>0.95</v>
      </c>
      <c r="M38" s="27" t="s">
        <v>736</v>
      </c>
      <c r="N38" s="73">
        <f>J38*100/C38</f>
        <v>1.5529411764705883</v>
      </c>
      <c r="O38" s="74">
        <f>I38*K38*J38/C38</f>
        <v>96.28235294117647</v>
      </c>
      <c r="Q38" s="430">
        <v>30000</v>
      </c>
      <c r="R38" s="431">
        <v>3.25</v>
      </c>
      <c r="S38" s="428">
        <v>0.09</v>
      </c>
    </row>
    <row r="39" spans="2:19" ht="15.75">
      <c r="B39" s="63" t="s">
        <v>274</v>
      </c>
      <c r="C39" s="56"/>
      <c r="D39" s="56"/>
      <c r="E39" s="294"/>
      <c r="F39" s="296"/>
      <c r="G39" s="61"/>
      <c r="L39" s="28"/>
      <c r="O39" s="76">
        <v>95</v>
      </c>
      <c r="Q39" s="430"/>
      <c r="R39" s="431"/>
      <c r="S39" s="428"/>
    </row>
    <row r="40" spans="2:19" ht="15.75">
      <c r="B40" s="55" t="s">
        <v>91</v>
      </c>
      <c r="C40" s="56">
        <v>106</v>
      </c>
      <c r="D40" s="56">
        <f t="shared" si="3"/>
        <v>9664.159999999998</v>
      </c>
      <c r="E40" s="294" t="s">
        <v>419</v>
      </c>
      <c r="F40" s="296">
        <v>30</v>
      </c>
      <c r="G40" s="61" t="s">
        <v>301</v>
      </c>
      <c r="I40" s="1">
        <v>2</v>
      </c>
      <c r="J40" s="32">
        <v>0.88</v>
      </c>
      <c r="K40" s="1">
        <v>5780</v>
      </c>
      <c r="L40" s="28">
        <v>0.95</v>
      </c>
      <c r="M40" s="27" t="s">
        <v>737</v>
      </c>
      <c r="N40" s="74">
        <f aca="true" t="shared" si="6" ref="N40:N46">J40*100/C40</f>
        <v>0.8301886792452831</v>
      </c>
      <c r="O40" s="74">
        <f aca="true" t="shared" si="7" ref="O40:O46">I40*K40*J40/C40</f>
        <v>95.96981132075472</v>
      </c>
      <c r="Q40" s="430">
        <v>18000</v>
      </c>
      <c r="R40" s="431">
        <v>8.99</v>
      </c>
      <c r="S40" s="428">
        <v>0.09</v>
      </c>
    </row>
    <row r="41" spans="2:19" ht="15.75">
      <c r="B41" s="55" t="s">
        <v>92</v>
      </c>
      <c r="C41" s="56">
        <v>106</v>
      </c>
      <c r="D41" s="56">
        <f t="shared" si="3"/>
        <v>9864.8</v>
      </c>
      <c r="E41" s="294" t="s">
        <v>419</v>
      </c>
      <c r="F41" s="296">
        <v>30</v>
      </c>
      <c r="G41" s="61" t="s">
        <v>302</v>
      </c>
      <c r="I41" s="1">
        <v>2</v>
      </c>
      <c r="J41" s="32">
        <v>0.88</v>
      </c>
      <c r="K41" s="1">
        <v>5900</v>
      </c>
      <c r="L41" s="28">
        <v>0.95</v>
      </c>
      <c r="M41" s="27" t="s">
        <v>737</v>
      </c>
      <c r="N41" s="74">
        <f t="shared" si="6"/>
        <v>0.8301886792452831</v>
      </c>
      <c r="O41" s="74">
        <f t="shared" si="7"/>
        <v>97.9622641509434</v>
      </c>
      <c r="Q41" s="430">
        <v>18000</v>
      </c>
      <c r="R41" s="431">
        <v>8.99</v>
      </c>
      <c r="S41" s="428">
        <v>0.09</v>
      </c>
    </row>
    <row r="42" spans="2:19" ht="15.75">
      <c r="B42" s="55" t="s">
        <v>93</v>
      </c>
      <c r="C42" s="56">
        <v>108</v>
      </c>
      <c r="D42" s="56">
        <f t="shared" si="3"/>
        <v>9864.8</v>
      </c>
      <c r="E42" s="294" t="s">
        <v>419</v>
      </c>
      <c r="F42" s="296">
        <v>30</v>
      </c>
      <c r="G42" s="61" t="s">
        <v>301</v>
      </c>
      <c r="I42" s="1">
        <v>2</v>
      </c>
      <c r="J42" s="32">
        <v>0.88</v>
      </c>
      <c r="K42" s="1">
        <v>5900</v>
      </c>
      <c r="L42" s="28">
        <v>0.95</v>
      </c>
      <c r="M42" s="27" t="s">
        <v>737</v>
      </c>
      <c r="N42" s="74">
        <f t="shared" si="6"/>
        <v>0.8148148148148148</v>
      </c>
      <c r="O42" s="74">
        <f t="shared" si="7"/>
        <v>96.14814814814815</v>
      </c>
      <c r="Q42" s="430">
        <v>18000</v>
      </c>
      <c r="R42" s="431">
        <v>8.99</v>
      </c>
      <c r="S42" s="428">
        <v>0.09</v>
      </c>
    </row>
    <row r="43" spans="2:19" ht="15.75">
      <c r="B43" s="55" t="s">
        <v>94</v>
      </c>
      <c r="C43" s="56">
        <v>106</v>
      </c>
      <c r="D43" s="56">
        <f>I43*J43*K43*L43</f>
        <v>9948.4</v>
      </c>
      <c r="E43" s="294" t="s">
        <v>419</v>
      </c>
      <c r="F43" s="296">
        <v>30</v>
      </c>
      <c r="G43" s="61" t="s">
        <v>302</v>
      </c>
      <c r="I43" s="1">
        <v>2</v>
      </c>
      <c r="J43" s="32">
        <v>0.88</v>
      </c>
      <c r="K43" s="1">
        <v>5950</v>
      </c>
      <c r="L43" s="28">
        <v>0.95</v>
      </c>
      <c r="M43" s="27" t="s">
        <v>737</v>
      </c>
      <c r="N43" s="74">
        <f t="shared" si="6"/>
        <v>0.8301886792452831</v>
      </c>
      <c r="O43" s="74">
        <f t="shared" si="7"/>
        <v>98.79245283018868</v>
      </c>
      <c r="Q43" s="430">
        <v>18000</v>
      </c>
      <c r="R43" s="431">
        <v>8.99</v>
      </c>
      <c r="S43" s="428">
        <v>0.09</v>
      </c>
    </row>
    <row r="44" spans="2:19" ht="15.75">
      <c r="B44" s="55" t="s">
        <v>342</v>
      </c>
      <c r="C44" s="56">
        <v>108</v>
      </c>
      <c r="D44" s="56">
        <f>I44*J44*K44*L44</f>
        <v>9948.4</v>
      </c>
      <c r="E44" s="294" t="s">
        <v>419</v>
      </c>
      <c r="F44" s="296">
        <v>30</v>
      </c>
      <c r="G44" s="61" t="s">
        <v>301</v>
      </c>
      <c r="I44" s="1">
        <v>2</v>
      </c>
      <c r="J44" s="32">
        <v>0.88</v>
      </c>
      <c r="K44" s="1">
        <v>5950</v>
      </c>
      <c r="L44" s="28">
        <v>0.95</v>
      </c>
      <c r="M44" s="27" t="s">
        <v>737</v>
      </c>
      <c r="N44" s="74">
        <f t="shared" si="6"/>
        <v>0.8148148148148148</v>
      </c>
      <c r="O44" s="74">
        <f t="shared" si="7"/>
        <v>96.96296296296296</v>
      </c>
      <c r="Q44" s="430">
        <v>18000</v>
      </c>
      <c r="R44" s="431">
        <v>8.99</v>
      </c>
      <c r="S44" s="428">
        <v>0.09</v>
      </c>
    </row>
    <row r="45" spans="2:19" ht="15.75">
      <c r="B45" s="55" t="s">
        <v>860</v>
      </c>
      <c r="C45" s="56">
        <v>110</v>
      </c>
      <c r="D45" s="56">
        <f>I45*J45*K45*L45</f>
        <v>10199.199999999999</v>
      </c>
      <c r="E45" s="294" t="s">
        <v>419</v>
      </c>
      <c r="F45" s="296">
        <v>30</v>
      </c>
      <c r="G45" s="61" t="s">
        <v>300</v>
      </c>
      <c r="I45" s="1">
        <v>2</v>
      </c>
      <c r="J45" s="32">
        <v>0.88</v>
      </c>
      <c r="K45" s="1">
        <v>6100</v>
      </c>
      <c r="L45" s="28">
        <v>0.95</v>
      </c>
      <c r="M45" s="27" t="s">
        <v>737</v>
      </c>
      <c r="N45" s="74">
        <f t="shared" si="6"/>
        <v>0.8</v>
      </c>
      <c r="O45" s="74">
        <f t="shared" si="7"/>
        <v>97.6</v>
      </c>
      <c r="Q45" s="430">
        <v>18000</v>
      </c>
      <c r="R45" s="431">
        <v>8.99</v>
      </c>
      <c r="S45" s="428">
        <v>0.09</v>
      </c>
    </row>
    <row r="46" spans="2:19" ht="15.75">
      <c r="B46" s="55" t="s">
        <v>861</v>
      </c>
      <c r="C46" s="56">
        <v>110</v>
      </c>
      <c r="D46" s="56">
        <f>I46*J46*K46*L46</f>
        <v>10199.199999999999</v>
      </c>
      <c r="E46" s="294" t="s">
        <v>419</v>
      </c>
      <c r="F46" s="296">
        <v>30</v>
      </c>
      <c r="G46" s="61" t="s">
        <v>300</v>
      </c>
      <c r="I46" s="1">
        <v>2</v>
      </c>
      <c r="J46" s="32">
        <v>0.88</v>
      </c>
      <c r="K46" s="1">
        <v>6100</v>
      </c>
      <c r="L46" s="28">
        <v>0.95</v>
      </c>
      <c r="M46" s="27" t="s">
        <v>737</v>
      </c>
      <c r="N46" s="74">
        <f t="shared" si="6"/>
        <v>0.8</v>
      </c>
      <c r="O46" s="74">
        <f t="shared" si="7"/>
        <v>97.6</v>
      </c>
      <c r="Q46" s="430">
        <v>18000</v>
      </c>
      <c r="R46" s="431">
        <v>8.99</v>
      </c>
      <c r="S46" s="428">
        <v>0.09</v>
      </c>
    </row>
    <row r="47" spans="2:19" ht="15.75">
      <c r="B47" s="63" t="s">
        <v>274</v>
      </c>
      <c r="C47" s="56"/>
      <c r="D47" s="56"/>
      <c r="E47" s="294"/>
      <c r="F47" s="296"/>
      <c r="G47" s="61"/>
      <c r="L47" s="28"/>
      <c r="N47" s="198" t="s">
        <v>733</v>
      </c>
      <c r="O47" s="76">
        <v>95</v>
      </c>
      <c r="Q47" s="430"/>
      <c r="R47" s="431"/>
      <c r="S47" s="428"/>
    </row>
    <row r="48" spans="2:19" ht="15.75">
      <c r="B48" s="55" t="s">
        <v>900</v>
      </c>
      <c r="C48" s="56">
        <v>65.8</v>
      </c>
      <c r="D48" s="56">
        <f aca="true" t="shared" si="8" ref="D48:D70">I48*J48*K48*L48</f>
        <v>6184.499999999999</v>
      </c>
      <c r="E48" s="294" t="s">
        <v>419</v>
      </c>
      <c r="F48" s="296">
        <v>30</v>
      </c>
      <c r="G48" s="61" t="s">
        <v>927</v>
      </c>
      <c r="I48" s="1">
        <v>3</v>
      </c>
      <c r="J48" s="32">
        <v>0.7</v>
      </c>
      <c r="K48" s="1">
        <v>3100</v>
      </c>
      <c r="L48" s="28">
        <v>0.95</v>
      </c>
      <c r="M48" s="27" t="s">
        <v>735</v>
      </c>
      <c r="N48" s="73">
        <f aca="true" t="shared" si="9" ref="N48:N71">J48*100/C48</f>
        <v>1.0638297872340425</v>
      </c>
      <c r="O48" s="74">
        <f aca="true" t="shared" si="10" ref="O48:O71">I48*K48*J48/C48</f>
        <v>98.93617021276596</v>
      </c>
      <c r="Q48" s="430">
        <v>30000</v>
      </c>
      <c r="R48" s="431">
        <v>3.25</v>
      </c>
      <c r="S48" s="428">
        <v>0.09</v>
      </c>
    </row>
    <row r="49" spans="2:19" ht="15.75">
      <c r="B49" s="55" t="s">
        <v>353</v>
      </c>
      <c r="C49" s="56">
        <v>70</v>
      </c>
      <c r="D49" s="56">
        <f t="shared" si="8"/>
        <v>6891.299999999999</v>
      </c>
      <c r="E49" s="294" t="s">
        <v>419</v>
      </c>
      <c r="F49" s="296">
        <v>30</v>
      </c>
      <c r="G49" s="61" t="s">
        <v>620</v>
      </c>
      <c r="I49" s="1">
        <v>3</v>
      </c>
      <c r="J49" s="32">
        <v>0.78</v>
      </c>
      <c r="K49" s="1">
        <v>3100</v>
      </c>
      <c r="L49" s="28">
        <v>0.95</v>
      </c>
      <c r="M49" s="27" t="s">
        <v>735</v>
      </c>
      <c r="N49" s="73">
        <f t="shared" si="9"/>
        <v>1.1142857142857143</v>
      </c>
      <c r="O49" s="74">
        <f t="shared" si="10"/>
        <v>103.62857142857143</v>
      </c>
      <c r="Q49" s="430">
        <v>30000</v>
      </c>
      <c r="R49" s="431">
        <v>3.25</v>
      </c>
      <c r="S49" s="428">
        <v>0.09</v>
      </c>
    </row>
    <row r="50" spans="2:19" ht="15.75">
      <c r="B50" s="55" t="s">
        <v>354</v>
      </c>
      <c r="C50" s="56">
        <v>71</v>
      </c>
      <c r="D50" s="56">
        <f t="shared" si="8"/>
        <v>6891.299999999999</v>
      </c>
      <c r="E50" s="294" t="s">
        <v>419</v>
      </c>
      <c r="F50" s="296">
        <v>30</v>
      </c>
      <c r="G50" s="61" t="s">
        <v>621</v>
      </c>
      <c r="I50" s="1">
        <v>3</v>
      </c>
      <c r="J50" s="32">
        <v>0.78</v>
      </c>
      <c r="K50" s="1">
        <v>3100</v>
      </c>
      <c r="L50" s="28">
        <v>0.95</v>
      </c>
      <c r="M50" s="27" t="s">
        <v>735</v>
      </c>
      <c r="N50" s="73">
        <f t="shared" si="9"/>
        <v>1.0985915492957747</v>
      </c>
      <c r="O50" s="74">
        <f t="shared" si="10"/>
        <v>102.16901408450704</v>
      </c>
      <c r="Q50" s="430">
        <v>30000</v>
      </c>
      <c r="R50" s="431">
        <v>3.25</v>
      </c>
      <c r="S50" s="428">
        <v>0.09</v>
      </c>
    </row>
    <row r="51" spans="2:19" ht="15.75">
      <c r="B51" s="55" t="s">
        <v>873</v>
      </c>
      <c r="C51" s="56">
        <v>72</v>
      </c>
      <c r="D51" s="56">
        <f>I51*J51*K51*L51</f>
        <v>6891.299999999999</v>
      </c>
      <c r="E51" s="294" t="s">
        <v>419</v>
      </c>
      <c r="F51" s="296">
        <v>30</v>
      </c>
      <c r="G51" s="61" t="s">
        <v>874</v>
      </c>
      <c r="I51" s="1">
        <v>3</v>
      </c>
      <c r="J51" s="32">
        <v>0.78</v>
      </c>
      <c r="K51" s="1">
        <v>3100</v>
      </c>
      <c r="L51" s="28">
        <v>0.95</v>
      </c>
      <c r="M51" s="27" t="s">
        <v>735</v>
      </c>
      <c r="N51" s="73">
        <f>J51*100/C51</f>
        <v>1.0833333333333333</v>
      </c>
      <c r="O51" s="74">
        <f>I51*K51*J51/C51</f>
        <v>100.75</v>
      </c>
      <c r="Q51" s="430">
        <v>30000</v>
      </c>
      <c r="R51" s="431">
        <v>3.25</v>
      </c>
      <c r="S51" s="428">
        <v>0.09</v>
      </c>
    </row>
    <row r="52" spans="2:19" ht="15.75">
      <c r="B52" s="55" t="s">
        <v>849</v>
      </c>
      <c r="C52" s="56">
        <v>73</v>
      </c>
      <c r="D52" s="56">
        <f t="shared" si="8"/>
        <v>6891.299999999999</v>
      </c>
      <c r="E52" s="294" t="s">
        <v>419</v>
      </c>
      <c r="F52" s="296">
        <v>30</v>
      </c>
      <c r="G52" s="61" t="s">
        <v>822</v>
      </c>
      <c r="I52" s="1">
        <v>3</v>
      </c>
      <c r="J52" s="32">
        <v>0.78</v>
      </c>
      <c r="K52" s="1">
        <v>3100</v>
      </c>
      <c r="L52" s="28">
        <v>0.95</v>
      </c>
      <c r="M52" s="27" t="s">
        <v>735</v>
      </c>
      <c r="N52" s="73">
        <f t="shared" si="9"/>
        <v>1.0684931506849316</v>
      </c>
      <c r="O52" s="74">
        <f t="shared" si="10"/>
        <v>99.36986301369863</v>
      </c>
      <c r="Q52" s="430">
        <v>30000</v>
      </c>
      <c r="R52" s="431">
        <v>3.25</v>
      </c>
      <c r="S52" s="428">
        <v>0.09</v>
      </c>
    </row>
    <row r="53" spans="2:19" ht="15.75">
      <c r="B53" s="55" t="s">
        <v>312</v>
      </c>
      <c r="C53" s="56">
        <v>73</v>
      </c>
      <c r="D53" s="56">
        <f t="shared" si="8"/>
        <v>6802.95</v>
      </c>
      <c r="E53" s="294" t="s">
        <v>419</v>
      </c>
      <c r="F53" s="296">
        <v>30</v>
      </c>
      <c r="G53" s="61" t="s">
        <v>492</v>
      </c>
      <c r="I53" s="1">
        <v>3</v>
      </c>
      <c r="J53" s="32">
        <v>0.77</v>
      </c>
      <c r="K53" s="1">
        <v>3100</v>
      </c>
      <c r="L53" s="28">
        <v>0.95</v>
      </c>
      <c r="M53" s="27" t="s">
        <v>735</v>
      </c>
      <c r="N53" s="73">
        <f t="shared" si="9"/>
        <v>1.0547945205479452</v>
      </c>
      <c r="O53" s="74">
        <f t="shared" si="10"/>
        <v>98.0958904109589</v>
      </c>
      <c r="Q53" s="430">
        <v>30000</v>
      </c>
      <c r="R53" s="431">
        <v>3.25</v>
      </c>
      <c r="S53" s="428">
        <v>0.09</v>
      </c>
    </row>
    <row r="54" spans="2:19" ht="15.75">
      <c r="B54" s="55" t="s">
        <v>591</v>
      </c>
      <c r="C54" s="56">
        <v>74</v>
      </c>
      <c r="D54" s="56">
        <f t="shared" si="8"/>
        <v>6802.95</v>
      </c>
      <c r="E54" s="294" t="s">
        <v>419</v>
      </c>
      <c r="F54" s="296">
        <v>30</v>
      </c>
      <c r="G54" s="61" t="s">
        <v>217</v>
      </c>
      <c r="I54" s="1">
        <v>3</v>
      </c>
      <c r="J54" s="32">
        <v>0.77</v>
      </c>
      <c r="K54" s="1">
        <v>3100</v>
      </c>
      <c r="L54" s="28">
        <v>0.95</v>
      </c>
      <c r="M54" s="27" t="s">
        <v>735</v>
      </c>
      <c r="N54" s="73">
        <f t="shared" si="9"/>
        <v>1.0405405405405406</v>
      </c>
      <c r="O54" s="74">
        <f t="shared" si="10"/>
        <v>96.77027027027027</v>
      </c>
      <c r="Q54" s="430">
        <v>30000</v>
      </c>
      <c r="R54" s="431">
        <v>3.25</v>
      </c>
      <c r="S54" s="428">
        <v>0.09</v>
      </c>
    </row>
    <row r="55" spans="2:19" ht="15.75">
      <c r="B55" s="55" t="s">
        <v>982</v>
      </c>
      <c r="C55" s="56">
        <v>75</v>
      </c>
      <c r="D55" s="56">
        <f t="shared" si="8"/>
        <v>6979.65</v>
      </c>
      <c r="E55" s="294" t="s">
        <v>419</v>
      </c>
      <c r="F55" s="296">
        <v>30</v>
      </c>
      <c r="G55" s="61" t="s">
        <v>947</v>
      </c>
      <c r="I55" s="1">
        <v>3</v>
      </c>
      <c r="J55" s="32">
        <v>0.79</v>
      </c>
      <c r="K55" s="1">
        <v>3100</v>
      </c>
      <c r="L55" s="28">
        <v>0.95</v>
      </c>
      <c r="M55" s="27" t="s">
        <v>735</v>
      </c>
      <c r="N55" s="73">
        <f t="shared" si="9"/>
        <v>1.0533333333333332</v>
      </c>
      <c r="O55" s="74">
        <f t="shared" si="10"/>
        <v>97.96</v>
      </c>
      <c r="Q55" s="430">
        <v>30000</v>
      </c>
      <c r="R55" s="431">
        <v>3.25</v>
      </c>
      <c r="S55" s="428">
        <v>0.09</v>
      </c>
    </row>
    <row r="56" spans="2:19" ht="15.75">
      <c r="B56" s="55" t="s">
        <v>355</v>
      </c>
      <c r="C56" s="56">
        <v>80</v>
      </c>
      <c r="D56" s="56">
        <f t="shared" si="8"/>
        <v>7774.799999999999</v>
      </c>
      <c r="E56" s="294" t="s">
        <v>419</v>
      </c>
      <c r="F56" s="296">
        <v>30</v>
      </c>
      <c r="G56" s="61" t="s">
        <v>821</v>
      </c>
      <c r="I56" s="1">
        <v>3</v>
      </c>
      <c r="J56" s="32">
        <v>0.88</v>
      </c>
      <c r="K56" s="1">
        <v>3100</v>
      </c>
      <c r="L56" s="28">
        <v>0.95</v>
      </c>
      <c r="M56" s="27" t="s">
        <v>737</v>
      </c>
      <c r="N56" s="73">
        <f t="shared" si="9"/>
        <v>1.1</v>
      </c>
      <c r="O56" s="74">
        <f t="shared" si="10"/>
        <v>102.3</v>
      </c>
      <c r="Q56" s="430">
        <v>30000</v>
      </c>
      <c r="R56" s="431">
        <v>3.25</v>
      </c>
      <c r="S56" s="428">
        <v>0.09</v>
      </c>
    </row>
    <row r="57" spans="2:19" ht="15.75">
      <c r="B57" s="55" t="s">
        <v>356</v>
      </c>
      <c r="C57" s="56">
        <v>81</v>
      </c>
      <c r="D57" s="56">
        <f t="shared" si="8"/>
        <v>7774.799999999999</v>
      </c>
      <c r="E57" s="294" t="s">
        <v>419</v>
      </c>
      <c r="F57" s="296">
        <v>30</v>
      </c>
      <c r="G57" s="61" t="s">
        <v>495</v>
      </c>
      <c r="I57" s="1">
        <v>3</v>
      </c>
      <c r="J57" s="32">
        <v>0.88</v>
      </c>
      <c r="K57" s="1">
        <v>3100</v>
      </c>
      <c r="L57" s="28">
        <v>0.95</v>
      </c>
      <c r="M57" s="27" t="s">
        <v>737</v>
      </c>
      <c r="N57" s="73">
        <f t="shared" si="9"/>
        <v>1.0864197530864197</v>
      </c>
      <c r="O57" s="74">
        <f t="shared" si="10"/>
        <v>101.03703703703704</v>
      </c>
      <c r="Q57" s="430">
        <v>30000</v>
      </c>
      <c r="R57" s="431">
        <v>3.25</v>
      </c>
      <c r="S57" s="428">
        <v>0.09</v>
      </c>
    </row>
    <row r="58" spans="2:19" ht="15.75">
      <c r="B58" s="55" t="s">
        <v>343</v>
      </c>
      <c r="C58" s="56">
        <v>82</v>
      </c>
      <c r="D58" s="56">
        <f t="shared" si="8"/>
        <v>7774.799999999999</v>
      </c>
      <c r="E58" s="294" t="s">
        <v>419</v>
      </c>
      <c r="F58" s="296">
        <v>30</v>
      </c>
      <c r="G58" s="61" t="s">
        <v>865</v>
      </c>
      <c r="I58" s="1">
        <v>3</v>
      </c>
      <c r="J58" s="32">
        <v>0.88</v>
      </c>
      <c r="K58" s="1">
        <v>3100</v>
      </c>
      <c r="L58" s="28">
        <v>0.95</v>
      </c>
      <c r="M58" s="27" t="s">
        <v>737</v>
      </c>
      <c r="N58" s="73">
        <f t="shared" si="9"/>
        <v>1.0731707317073171</v>
      </c>
      <c r="O58" s="74">
        <f t="shared" si="10"/>
        <v>99.8048780487805</v>
      </c>
      <c r="Q58" s="430">
        <v>30000</v>
      </c>
      <c r="R58" s="431">
        <v>3.25</v>
      </c>
      <c r="S58" s="428">
        <v>0.09</v>
      </c>
    </row>
    <row r="59" spans="2:19" ht="15.75">
      <c r="B59" s="55" t="s">
        <v>344</v>
      </c>
      <c r="C59" s="56">
        <v>82</v>
      </c>
      <c r="D59" s="56">
        <f t="shared" si="8"/>
        <v>7774.799999999999</v>
      </c>
      <c r="E59" s="294" t="s">
        <v>419</v>
      </c>
      <c r="F59" s="296">
        <v>30</v>
      </c>
      <c r="G59" s="61" t="s">
        <v>826</v>
      </c>
      <c r="I59" s="1">
        <v>3</v>
      </c>
      <c r="J59" s="32">
        <v>0.88</v>
      </c>
      <c r="K59" s="1">
        <v>3100</v>
      </c>
      <c r="L59" s="28">
        <v>0.95</v>
      </c>
      <c r="M59" s="27" t="s">
        <v>590</v>
      </c>
      <c r="N59" s="73">
        <f t="shared" si="9"/>
        <v>1.0731707317073171</v>
      </c>
      <c r="O59" s="74">
        <f t="shared" si="10"/>
        <v>99.8048780487805</v>
      </c>
      <c r="Q59" s="430">
        <v>30000</v>
      </c>
      <c r="R59" s="431">
        <v>3.25</v>
      </c>
      <c r="S59" s="428">
        <v>0.09</v>
      </c>
    </row>
    <row r="60" spans="2:19" ht="15.75">
      <c r="B60" s="55" t="s">
        <v>1124</v>
      </c>
      <c r="C60" s="56">
        <v>82</v>
      </c>
      <c r="D60" s="56">
        <f>I60*J60*K60*L60</f>
        <v>7686.45</v>
      </c>
      <c r="E60" s="294" t="s">
        <v>419</v>
      </c>
      <c r="F60" s="296">
        <v>30</v>
      </c>
      <c r="G60" s="61" t="s">
        <v>496</v>
      </c>
      <c r="I60" s="1">
        <v>3</v>
      </c>
      <c r="J60" s="32">
        <v>0.87</v>
      </c>
      <c r="K60" s="1">
        <v>3100</v>
      </c>
      <c r="L60" s="28">
        <v>0.95</v>
      </c>
      <c r="M60" s="27" t="s">
        <v>737</v>
      </c>
      <c r="N60" s="73">
        <f>J60*100/C60</f>
        <v>1.0609756097560976</v>
      </c>
      <c r="O60" s="74">
        <f>I60*K60*J60/C60</f>
        <v>98.67073170731707</v>
      </c>
      <c r="Q60" s="430">
        <v>30000</v>
      </c>
      <c r="R60" s="431">
        <v>3.25</v>
      </c>
      <c r="S60" s="428">
        <v>0.09</v>
      </c>
    </row>
    <row r="61" spans="2:19" ht="15.75">
      <c r="B61" s="55" t="s">
        <v>850</v>
      </c>
      <c r="C61" s="56">
        <v>83</v>
      </c>
      <c r="D61" s="56">
        <f>I61*J61*K61*L61</f>
        <v>7774.799999999999</v>
      </c>
      <c r="E61" s="294" t="s">
        <v>419</v>
      </c>
      <c r="F61" s="296">
        <v>30</v>
      </c>
      <c r="G61" s="61" t="s">
        <v>822</v>
      </c>
      <c r="I61" s="1">
        <v>3</v>
      </c>
      <c r="J61" s="32">
        <v>0.88</v>
      </c>
      <c r="K61" s="1">
        <v>3100</v>
      </c>
      <c r="L61" s="28">
        <v>0.95</v>
      </c>
      <c r="M61" s="27" t="s">
        <v>737</v>
      </c>
      <c r="N61" s="73">
        <f t="shared" si="9"/>
        <v>1.0602409638554218</v>
      </c>
      <c r="O61" s="74">
        <f t="shared" si="10"/>
        <v>98.60240963855422</v>
      </c>
      <c r="Q61" s="430">
        <v>30000</v>
      </c>
      <c r="R61" s="431">
        <v>3.25</v>
      </c>
      <c r="S61" s="428">
        <v>0.09</v>
      </c>
    </row>
    <row r="62" spans="2:19" ht="15.75">
      <c r="B62" s="55" t="s">
        <v>941</v>
      </c>
      <c r="C62" s="56">
        <v>83</v>
      </c>
      <c r="D62" s="56">
        <f t="shared" si="8"/>
        <v>7774.799999999999</v>
      </c>
      <c r="E62" s="294" t="s">
        <v>419</v>
      </c>
      <c r="F62" s="296">
        <v>30</v>
      </c>
      <c r="G62" s="61" t="s">
        <v>622</v>
      </c>
      <c r="I62" s="1">
        <v>3</v>
      </c>
      <c r="J62" s="32">
        <v>0.88</v>
      </c>
      <c r="K62" s="1">
        <v>3100</v>
      </c>
      <c r="L62" s="28">
        <v>0.95</v>
      </c>
      <c r="M62" s="27" t="s">
        <v>737</v>
      </c>
      <c r="N62" s="73">
        <f t="shared" si="9"/>
        <v>1.0602409638554218</v>
      </c>
      <c r="O62" s="74">
        <f t="shared" si="10"/>
        <v>98.60240963855422</v>
      </c>
      <c r="Q62" s="430">
        <v>30000</v>
      </c>
      <c r="R62" s="431">
        <v>3.25</v>
      </c>
      <c r="S62" s="428">
        <v>0.09</v>
      </c>
    </row>
    <row r="63" spans="2:19" ht="15.75">
      <c r="B63" s="55" t="s">
        <v>939</v>
      </c>
      <c r="C63" s="56">
        <v>85</v>
      </c>
      <c r="D63" s="56">
        <f t="shared" si="8"/>
        <v>7774.799999999999</v>
      </c>
      <c r="E63" s="294" t="s">
        <v>419</v>
      </c>
      <c r="F63" s="296">
        <v>30</v>
      </c>
      <c r="G63" s="61" t="s">
        <v>635</v>
      </c>
      <c r="I63" s="1">
        <v>3</v>
      </c>
      <c r="J63" s="32">
        <v>0.88</v>
      </c>
      <c r="K63" s="1">
        <v>3100</v>
      </c>
      <c r="L63" s="28">
        <v>0.95</v>
      </c>
      <c r="M63" s="27" t="s">
        <v>737</v>
      </c>
      <c r="N63" s="74">
        <f t="shared" si="9"/>
        <v>1.035294117647059</v>
      </c>
      <c r="O63" s="74">
        <f t="shared" si="10"/>
        <v>96.28235294117647</v>
      </c>
      <c r="Q63" s="430">
        <v>30000</v>
      </c>
      <c r="R63" s="431">
        <v>3.25</v>
      </c>
      <c r="S63" s="428">
        <v>0.09</v>
      </c>
    </row>
    <row r="64" spans="2:19" ht="15.75">
      <c r="B64" s="55" t="s">
        <v>937</v>
      </c>
      <c r="C64" s="56">
        <v>85</v>
      </c>
      <c r="D64" s="56">
        <f>I64*J64*K64*L64</f>
        <v>7774.799999999999</v>
      </c>
      <c r="E64" s="294" t="s">
        <v>419</v>
      </c>
      <c r="F64" s="296">
        <v>30</v>
      </c>
      <c r="G64" s="61" t="s">
        <v>623</v>
      </c>
      <c r="I64" s="1">
        <v>3</v>
      </c>
      <c r="J64" s="32">
        <v>0.88</v>
      </c>
      <c r="K64" s="1">
        <v>3100</v>
      </c>
      <c r="L64" s="28">
        <v>0.95</v>
      </c>
      <c r="M64" s="27" t="s">
        <v>737</v>
      </c>
      <c r="N64" s="74">
        <f>J64*100/C64</f>
        <v>1.035294117647059</v>
      </c>
      <c r="O64" s="74">
        <f>I64*K64*J64/C64</f>
        <v>96.28235294117647</v>
      </c>
      <c r="Q64" s="430">
        <v>30000</v>
      </c>
      <c r="R64" s="431">
        <v>3.25</v>
      </c>
      <c r="S64" s="428">
        <v>0.09</v>
      </c>
    </row>
    <row r="65" spans="2:19" ht="15.75">
      <c r="B65" s="55" t="s">
        <v>938</v>
      </c>
      <c r="C65" s="56">
        <v>85</v>
      </c>
      <c r="D65" s="56">
        <f t="shared" si="8"/>
        <v>7774.799999999999</v>
      </c>
      <c r="E65" s="294" t="s">
        <v>419</v>
      </c>
      <c r="F65" s="296">
        <v>30</v>
      </c>
      <c r="G65" s="61" t="s">
        <v>449</v>
      </c>
      <c r="I65" s="1">
        <v>3</v>
      </c>
      <c r="J65" s="32">
        <v>0.88</v>
      </c>
      <c r="K65" s="1">
        <v>3100</v>
      </c>
      <c r="L65" s="28">
        <v>0.95</v>
      </c>
      <c r="M65" s="27" t="s">
        <v>737</v>
      </c>
      <c r="N65" s="74">
        <f t="shared" si="9"/>
        <v>1.035294117647059</v>
      </c>
      <c r="O65" s="74">
        <f t="shared" si="10"/>
        <v>96.28235294117647</v>
      </c>
      <c r="Q65" s="430">
        <v>30000</v>
      </c>
      <c r="R65" s="431">
        <v>3.25</v>
      </c>
      <c r="S65" s="428">
        <v>0.09</v>
      </c>
    </row>
    <row r="66" spans="2:19" ht="15.75">
      <c r="B66" s="55" t="s">
        <v>357</v>
      </c>
      <c r="C66" s="56">
        <v>86</v>
      </c>
      <c r="D66" s="56">
        <f>I66*J66*K66*L66</f>
        <v>7774.799999999999</v>
      </c>
      <c r="E66" s="294" t="s">
        <v>419</v>
      </c>
      <c r="F66" s="296">
        <v>30</v>
      </c>
      <c r="G66" s="61" t="s">
        <v>496</v>
      </c>
      <c r="I66" s="1">
        <v>3</v>
      </c>
      <c r="J66" s="32">
        <v>0.88</v>
      </c>
      <c r="K66" s="1">
        <v>3100</v>
      </c>
      <c r="L66" s="28">
        <v>0.95</v>
      </c>
      <c r="M66" s="27" t="s">
        <v>737</v>
      </c>
      <c r="N66" s="73">
        <f>J66*100/C66</f>
        <v>1.0232558139534884</v>
      </c>
      <c r="O66" s="74">
        <f>I66*K66*J66/C66</f>
        <v>95.16279069767442</v>
      </c>
      <c r="Q66" s="430">
        <v>30000</v>
      </c>
      <c r="R66" s="431">
        <v>3.25</v>
      </c>
      <c r="S66" s="428">
        <v>0.09</v>
      </c>
    </row>
    <row r="67" spans="2:19" ht="15.75">
      <c r="B67" s="55" t="s">
        <v>858</v>
      </c>
      <c r="C67" s="56">
        <v>87</v>
      </c>
      <c r="D67" s="56">
        <f>I67*J67*K67*L67</f>
        <v>7863.15</v>
      </c>
      <c r="E67" s="294" t="s">
        <v>419</v>
      </c>
      <c r="F67" s="296">
        <v>30</v>
      </c>
      <c r="G67" s="61" t="s">
        <v>624</v>
      </c>
      <c r="I67" s="1">
        <v>3</v>
      </c>
      <c r="J67" s="32">
        <v>0.89</v>
      </c>
      <c r="K67" s="1">
        <v>3100</v>
      </c>
      <c r="L67" s="28">
        <v>0.95</v>
      </c>
      <c r="M67" s="27" t="s">
        <v>737</v>
      </c>
      <c r="N67" s="74">
        <f t="shared" si="9"/>
        <v>1.0229885057471264</v>
      </c>
      <c r="O67" s="74">
        <f t="shared" si="10"/>
        <v>95.13793103448276</v>
      </c>
      <c r="Q67" s="430">
        <v>30000</v>
      </c>
      <c r="R67" s="431">
        <v>3.25</v>
      </c>
      <c r="S67" s="428">
        <v>0.09</v>
      </c>
    </row>
    <row r="68" spans="2:19" ht="15.75">
      <c r="B68" s="55" t="s">
        <v>456</v>
      </c>
      <c r="C68" s="56">
        <v>93</v>
      </c>
      <c r="D68" s="56">
        <f t="shared" si="8"/>
        <v>8481.6</v>
      </c>
      <c r="E68" s="294" t="s">
        <v>419</v>
      </c>
      <c r="F68" s="296">
        <v>30</v>
      </c>
      <c r="G68" s="61" t="s">
        <v>901</v>
      </c>
      <c r="I68" s="1">
        <v>3</v>
      </c>
      <c r="J68" s="32">
        <v>0.96</v>
      </c>
      <c r="K68" s="1">
        <v>3100</v>
      </c>
      <c r="L68" s="28">
        <v>0.95</v>
      </c>
      <c r="M68" s="27" t="s">
        <v>737</v>
      </c>
      <c r="N68" s="74">
        <f t="shared" si="9"/>
        <v>1.032258064516129</v>
      </c>
      <c r="O68" s="74">
        <f t="shared" si="10"/>
        <v>96</v>
      </c>
      <c r="Q68" s="430">
        <v>30000</v>
      </c>
      <c r="R68" s="431">
        <v>3.25</v>
      </c>
      <c r="S68" s="428">
        <v>0.09</v>
      </c>
    </row>
    <row r="69" spans="2:19" ht="15.75">
      <c r="B69" s="55" t="s">
        <v>745</v>
      </c>
      <c r="C69" s="56">
        <v>111</v>
      </c>
      <c r="D69" s="56">
        <f>I69*J69*K69*L69</f>
        <v>10513.65</v>
      </c>
      <c r="E69" s="294" t="s">
        <v>419</v>
      </c>
      <c r="F69" s="296">
        <v>30</v>
      </c>
      <c r="G69" s="61" t="s">
        <v>453</v>
      </c>
      <c r="I69" s="1">
        <v>3</v>
      </c>
      <c r="J69" s="32">
        <v>1.19</v>
      </c>
      <c r="K69" s="1">
        <v>3100</v>
      </c>
      <c r="L69" s="28">
        <v>0.95</v>
      </c>
      <c r="M69" s="27" t="s">
        <v>736</v>
      </c>
      <c r="N69" s="73">
        <f t="shared" si="9"/>
        <v>1.072072072072072</v>
      </c>
      <c r="O69" s="74">
        <f t="shared" si="10"/>
        <v>99.70270270270271</v>
      </c>
      <c r="Q69" s="430">
        <v>30000</v>
      </c>
      <c r="R69" s="431">
        <v>3.25</v>
      </c>
      <c r="S69" s="428">
        <v>0.09</v>
      </c>
    </row>
    <row r="70" spans="2:19" ht="15.75">
      <c r="B70" s="55" t="s">
        <v>313</v>
      </c>
      <c r="C70" s="56">
        <v>111</v>
      </c>
      <c r="D70" s="56">
        <f t="shared" si="8"/>
        <v>10160.25</v>
      </c>
      <c r="E70" s="294" t="s">
        <v>419</v>
      </c>
      <c r="F70" s="296">
        <v>30</v>
      </c>
      <c r="G70" s="61" t="s">
        <v>453</v>
      </c>
      <c r="I70" s="1">
        <v>3</v>
      </c>
      <c r="J70" s="32">
        <v>1.15</v>
      </c>
      <c r="K70" s="1">
        <v>3100</v>
      </c>
      <c r="L70" s="28">
        <v>0.95</v>
      </c>
      <c r="M70" s="27" t="s">
        <v>736</v>
      </c>
      <c r="N70" s="73">
        <f t="shared" si="9"/>
        <v>1.036036036036036</v>
      </c>
      <c r="O70" s="74">
        <f t="shared" si="10"/>
        <v>96.35135135135135</v>
      </c>
      <c r="Q70" s="430">
        <v>30000</v>
      </c>
      <c r="R70" s="431">
        <v>3.25</v>
      </c>
      <c r="S70" s="428">
        <v>0.09</v>
      </c>
    </row>
    <row r="71" spans="2:19" ht="15.75">
      <c r="B71" s="55" t="s">
        <v>856</v>
      </c>
      <c r="C71" s="56">
        <v>112</v>
      </c>
      <c r="D71" s="56">
        <f>I71*J71*K71*L71</f>
        <v>10425.3</v>
      </c>
      <c r="E71" s="294" t="s">
        <v>419</v>
      </c>
      <c r="F71" s="296">
        <v>30</v>
      </c>
      <c r="G71" s="61" t="s">
        <v>453</v>
      </c>
      <c r="I71" s="1">
        <v>3</v>
      </c>
      <c r="J71" s="32">
        <v>1.18</v>
      </c>
      <c r="K71" s="1">
        <v>3100</v>
      </c>
      <c r="L71" s="28">
        <v>0.95</v>
      </c>
      <c r="M71" s="27" t="s">
        <v>736</v>
      </c>
      <c r="N71" s="73">
        <f t="shared" si="9"/>
        <v>1.0535714285714286</v>
      </c>
      <c r="O71" s="74">
        <f t="shared" si="10"/>
        <v>97.98214285714286</v>
      </c>
      <c r="Q71" s="430">
        <v>30000</v>
      </c>
      <c r="R71" s="431">
        <v>3.25</v>
      </c>
      <c r="S71" s="428">
        <v>0.09</v>
      </c>
    </row>
    <row r="72" spans="2:19" ht="15.75">
      <c r="B72" s="63" t="s">
        <v>274</v>
      </c>
      <c r="C72" s="56"/>
      <c r="D72" s="56"/>
      <c r="E72" s="294"/>
      <c r="F72" s="296"/>
      <c r="G72" s="61"/>
      <c r="L72" s="28"/>
      <c r="N72" s="198" t="s">
        <v>734</v>
      </c>
      <c r="O72" s="76">
        <v>95</v>
      </c>
      <c r="Q72" s="430"/>
      <c r="R72" s="431"/>
      <c r="S72" s="428"/>
    </row>
    <row r="73" spans="2:19" ht="15.75">
      <c r="B73" s="55" t="s">
        <v>928</v>
      </c>
      <c r="C73" s="56">
        <v>82</v>
      </c>
      <c r="D73" s="56">
        <f>I73*J73*K73*L73</f>
        <v>8128.2</v>
      </c>
      <c r="E73" s="294" t="s">
        <v>419</v>
      </c>
      <c r="F73" s="296">
        <v>30</v>
      </c>
      <c r="G73" s="61" t="s">
        <v>927</v>
      </c>
      <c r="I73" s="1">
        <v>4</v>
      </c>
      <c r="J73" s="32">
        <v>0.69</v>
      </c>
      <c r="K73" s="1">
        <v>3100</v>
      </c>
      <c r="L73" s="28">
        <v>0.95</v>
      </c>
      <c r="M73" s="27" t="s">
        <v>735</v>
      </c>
      <c r="N73" s="73">
        <f aca="true" t="shared" si="11" ref="N73:N100">J73*100/C73</f>
        <v>0.8414634146341463</v>
      </c>
      <c r="O73" s="74">
        <f aca="true" t="shared" si="12" ref="O73:O100">I73*K73*J73/C73</f>
        <v>104.34146341463415</v>
      </c>
      <c r="Q73" s="430">
        <v>30000</v>
      </c>
      <c r="R73" s="431">
        <v>3.25</v>
      </c>
      <c r="S73" s="428">
        <v>0.09</v>
      </c>
    </row>
    <row r="74" spans="2:19" ht="15.75">
      <c r="B74" s="55" t="s">
        <v>389</v>
      </c>
      <c r="C74" s="56">
        <v>91</v>
      </c>
      <c r="D74" s="56">
        <f>I74*J74*K74*L74</f>
        <v>8363.8</v>
      </c>
      <c r="E74" s="294" t="s">
        <v>419</v>
      </c>
      <c r="F74" s="296">
        <v>30</v>
      </c>
      <c r="G74" s="61" t="s">
        <v>986</v>
      </c>
      <c r="I74" s="1">
        <v>4</v>
      </c>
      <c r="J74" s="32">
        <v>0.71</v>
      </c>
      <c r="K74" s="1">
        <v>3100</v>
      </c>
      <c r="L74" s="28">
        <v>0.95</v>
      </c>
      <c r="M74" s="27" t="s">
        <v>590</v>
      </c>
      <c r="N74" s="73">
        <f t="shared" si="11"/>
        <v>0.7802197802197802</v>
      </c>
      <c r="O74" s="74">
        <f t="shared" si="12"/>
        <v>96.74725274725274</v>
      </c>
      <c r="Q74" s="430">
        <v>30000</v>
      </c>
      <c r="R74" s="431">
        <v>3.25</v>
      </c>
      <c r="S74" s="428">
        <v>0.09</v>
      </c>
    </row>
    <row r="75" spans="2:19" ht="15.75">
      <c r="B75" s="55" t="s">
        <v>845</v>
      </c>
      <c r="C75" s="56">
        <v>92</v>
      </c>
      <c r="D75" s="56">
        <f>I75*J75*K75*L75</f>
        <v>8363.8</v>
      </c>
      <c r="E75" s="294" t="s">
        <v>419</v>
      </c>
      <c r="F75" s="296">
        <v>30</v>
      </c>
      <c r="G75" s="61" t="s">
        <v>379</v>
      </c>
      <c r="I75" s="1">
        <v>4</v>
      </c>
      <c r="J75" s="32">
        <v>0.71</v>
      </c>
      <c r="K75" s="1">
        <v>3100</v>
      </c>
      <c r="L75" s="28">
        <v>0.95</v>
      </c>
      <c r="M75" s="27" t="s">
        <v>590</v>
      </c>
      <c r="N75" s="73">
        <f t="shared" si="11"/>
        <v>0.7717391304347826</v>
      </c>
      <c r="O75" s="74">
        <f t="shared" si="12"/>
        <v>95.69565217391305</v>
      </c>
      <c r="Q75" s="430">
        <v>30000</v>
      </c>
      <c r="R75" s="431">
        <v>3.25</v>
      </c>
      <c r="S75" s="428">
        <v>0.09</v>
      </c>
    </row>
    <row r="76" spans="2:19" ht="15.75">
      <c r="B76" s="55" t="s">
        <v>346</v>
      </c>
      <c r="C76" s="56">
        <v>94</v>
      </c>
      <c r="D76" s="56">
        <f aca="true" t="shared" si="13" ref="D76:D86">2945*I76*J76</f>
        <v>9188.4</v>
      </c>
      <c r="E76" s="294" t="s">
        <v>419</v>
      </c>
      <c r="F76" s="296">
        <v>30</v>
      </c>
      <c r="G76" s="61" t="s">
        <v>633</v>
      </c>
      <c r="I76" s="1">
        <v>4</v>
      </c>
      <c r="J76" s="32">
        <v>0.78</v>
      </c>
      <c r="K76" s="1">
        <v>3100</v>
      </c>
      <c r="L76" s="28">
        <v>0.95</v>
      </c>
      <c r="M76" s="27" t="s">
        <v>735</v>
      </c>
      <c r="N76" s="73">
        <f t="shared" si="11"/>
        <v>0.8297872340425532</v>
      </c>
      <c r="O76" s="74">
        <f t="shared" si="12"/>
        <v>102.8936170212766</v>
      </c>
      <c r="Q76" s="430">
        <v>30000</v>
      </c>
      <c r="R76" s="431">
        <v>3.25</v>
      </c>
      <c r="S76" s="428">
        <v>0.09</v>
      </c>
    </row>
    <row r="77" spans="2:19" ht="15.75">
      <c r="B77" s="55" t="s">
        <v>851</v>
      </c>
      <c r="C77" s="56">
        <v>95</v>
      </c>
      <c r="D77" s="56">
        <f>I77*J77*K77*L77</f>
        <v>9188.4</v>
      </c>
      <c r="E77" s="294" t="s">
        <v>419</v>
      </c>
      <c r="F77" s="296">
        <v>30</v>
      </c>
      <c r="G77" s="61" t="s">
        <v>822</v>
      </c>
      <c r="I77" s="1">
        <v>4</v>
      </c>
      <c r="J77" s="32">
        <v>0.78</v>
      </c>
      <c r="K77" s="1">
        <v>3100</v>
      </c>
      <c r="L77" s="28">
        <v>0.95</v>
      </c>
      <c r="M77" s="27" t="s">
        <v>735</v>
      </c>
      <c r="N77" s="73">
        <f t="shared" si="11"/>
        <v>0.8210526315789474</v>
      </c>
      <c r="O77" s="74">
        <f t="shared" si="12"/>
        <v>101.81052631578947</v>
      </c>
      <c r="Q77" s="430">
        <v>30000</v>
      </c>
      <c r="R77" s="431">
        <v>3.25</v>
      </c>
      <c r="S77" s="428">
        <v>0.09</v>
      </c>
    </row>
    <row r="78" spans="2:19" ht="15.75">
      <c r="B78" s="55" t="s">
        <v>347</v>
      </c>
      <c r="C78" s="56">
        <v>95</v>
      </c>
      <c r="D78" s="56">
        <f t="shared" si="13"/>
        <v>9188.4</v>
      </c>
      <c r="E78" s="294" t="s">
        <v>419</v>
      </c>
      <c r="F78" s="296">
        <v>30</v>
      </c>
      <c r="G78" s="61" t="s">
        <v>1156</v>
      </c>
      <c r="I78" s="1">
        <v>4</v>
      </c>
      <c r="J78" s="32">
        <v>0.78</v>
      </c>
      <c r="K78" s="1">
        <v>3100</v>
      </c>
      <c r="L78" s="28">
        <v>0.95</v>
      </c>
      <c r="M78" s="27" t="s">
        <v>735</v>
      </c>
      <c r="N78" s="73">
        <f t="shared" si="11"/>
        <v>0.8210526315789474</v>
      </c>
      <c r="O78" s="74">
        <f t="shared" si="12"/>
        <v>101.81052631578947</v>
      </c>
      <c r="Q78" s="430">
        <v>30000</v>
      </c>
      <c r="R78" s="431">
        <v>3.25</v>
      </c>
      <c r="S78" s="428">
        <v>0.09</v>
      </c>
    </row>
    <row r="79" spans="2:19" ht="15.75">
      <c r="B79" s="55" t="s">
        <v>875</v>
      </c>
      <c r="C79" s="56">
        <v>95</v>
      </c>
      <c r="D79" s="56">
        <f t="shared" si="13"/>
        <v>9188.4</v>
      </c>
      <c r="E79" s="294" t="s">
        <v>419</v>
      </c>
      <c r="F79" s="296">
        <v>30</v>
      </c>
      <c r="G79" s="61" t="s">
        <v>678</v>
      </c>
      <c r="I79" s="1">
        <v>4</v>
      </c>
      <c r="J79" s="32">
        <v>0.78</v>
      </c>
      <c r="K79" s="1">
        <v>3100</v>
      </c>
      <c r="L79" s="28">
        <v>0.95</v>
      </c>
      <c r="M79" s="27" t="s">
        <v>735</v>
      </c>
      <c r="N79" s="73">
        <f t="shared" si="11"/>
        <v>0.8210526315789474</v>
      </c>
      <c r="O79" s="74">
        <f t="shared" si="12"/>
        <v>101.81052631578947</v>
      </c>
      <c r="Q79" s="430">
        <v>30000</v>
      </c>
      <c r="R79" s="431">
        <v>3.25</v>
      </c>
      <c r="S79" s="428">
        <v>0.09</v>
      </c>
    </row>
    <row r="80" spans="2:19" ht="15.75">
      <c r="B80" s="55" t="s">
        <v>314</v>
      </c>
      <c r="C80" s="56">
        <v>97</v>
      </c>
      <c r="D80" s="56">
        <f>I80*J80*K80*L80</f>
        <v>9070.6</v>
      </c>
      <c r="E80" s="294" t="s">
        <v>419</v>
      </c>
      <c r="F80" s="296">
        <v>30</v>
      </c>
      <c r="G80" s="61" t="s">
        <v>492</v>
      </c>
      <c r="I80" s="1">
        <v>4</v>
      </c>
      <c r="J80" s="32">
        <v>0.77</v>
      </c>
      <c r="K80" s="1">
        <v>3100</v>
      </c>
      <c r="L80" s="28">
        <v>0.95</v>
      </c>
      <c r="M80" s="27" t="s">
        <v>735</v>
      </c>
      <c r="N80" s="73">
        <f t="shared" si="11"/>
        <v>0.7938144329896907</v>
      </c>
      <c r="O80" s="74">
        <f t="shared" si="12"/>
        <v>98.43298969072166</v>
      </c>
      <c r="Q80" s="430">
        <v>30000</v>
      </c>
      <c r="R80" s="431">
        <v>3.25</v>
      </c>
      <c r="S80" s="428">
        <v>0.09</v>
      </c>
    </row>
    <row r="81" spans="2:19" ht="15.75">
      <c r="B81" s="55" t="s">
        <v>857</v>
      </c>
      <c r="C81" s="56">
        <v>98</v>
      </c>
      <c r="D81" s="56">
        <f>I81*J81*K81*L81</f>
        <v>9070.6</v>
      </c>
      <c r="E81" s="294" t="s">
        <v>419</v>
      </c>
      <c r="F81" s="296">
        <v>30</v>
      </c>
      <c r="G81" s="61" t="s">
        <v>1157</v>
      </c>
      <c r="I81" s="1">
        <v>4</v>
      </c>
      <c r="J81" s="32">
        <v>0.77</v>
      </c>
      <c r="K81" s="1">
        <v>3100</v>
      </c>
      <c r="L81" s="28">
        <v>0.95</v>
      </c>
      <c r="M81" s="27" t="s">
        <v>735</v>
      </c>
      <c r="N81" s="73">
        <f t="shared" si="11"/>
        <v>0.7857142857142857</v>
      </c>
      <c r="O81" s="74">
        <f t="shared" si="12"/>
        <v>97.42857142857143</v>
      </c>
      <c r="Q81" s="430">
        <v>30000</v>
      </c>
      <c r="R81" s="431">
        <v>3.25</v>
      </c>
      <c r="S81" s="428">
        <v>0.09</v>
      </c>
    </row>
    <row r="82" spans="2:19" ht="15.75">
      <c r="B82" s="55" t="s">
        <v>984</v>
      </c>
      <c r="C82" s="56">
        <v>99</v>
      </c>
      <c r="D82" s="56">
        <f>I82*J82*K82*L82</f>
        <v>8952.8</v>
      </c>
      <c r="E82" s="294" t="s">
        <v>419</v>
      </c>
      <c r="F82" s="296">
        <v>30</v>
      </c>
      <c r="G82" s="61" t="s">
        <v>1161</v>
      </c>
      <c r="I82" s="1">
        <v>4</v>
      </c>
      <c r="J82" s="32">
        <v>0.76</v>
      </c>
      <c r="K82" s="1">
        <v>3100</v>
      </c>
      <c r="L82" s="28">
        <v>0.95</v>
      </c>
      <c r="M82" s="27" t="s">
        <v>735</v>
      </c>
      <c r="N82" s="74">
        <f t="shared" si="11"/>
        <v>0.7676767676767676</v>
      </c>
      <c r="O82" s="74">
        <f t="shared" si="12"/>
        <v>95.1919191919192</v>
      </c>
      <c r="Q82" s="430">
        <v>30000</v>
      </c>
      <c r="R82" s="431">
        <v>3.25</v>
      </c>
      <c r="S82" s="428">
        <v>0.09</v>
      </c>
    </row>
    <row r="83" spans="2:19" ht="15.75">
      <c r="B83" s="55" t="s">
        <v>348</v>
      </c>
      <c r="C83" s="56">
        <v>107</v>
      </c>
      <c r="D83" s="56">
        <f t="shared" si="13"/>
        <v>10366.4</v>
      </c>
      <c r="E83" s="294" t="s">
        <v>419</v>
      </c>
      <c r="F83" s="296">
        <v>30</v>
      </c>
      <c r="G83" s="61" t="s">
        <v>1158</v>
      </c>
      <c r="I83" s="1">
        <v>4</v>
      </c>
      <c r="J83" s="32">
        <v>0.88</v>
      </c>
      <c r="K83" s="1">
        <v>3100</v>
      </c>
      <c r="L83" s="28">
        <v>0.95</v>
      </c>
      <c r="M83" s="27" t="s">
        <v>737</v>
      </c>
      <c r="N83" s="73">
        <f t="shared" si="11"/>
        <v>0.822429906542056</v>
      </c>
      <c r="O83" s="74">
        <f t="shared" si="12"/>
        <v>101.98130841121495</v>
      </c>
      <c r="Q83" s="430">
        <v>30000</v>
      </c>
      <c r="R83" s="431">
        <v>3.25</v>
      </c>
      <c r="S83" s="428">
        <v>0.09</v>
      </c>
    </row>
    <row r="84" spans="2:19" ht="15.75">
      <c r="B84" s="55" t="s">
        <v>852</v>
      </c>
      <c r="C84" s="56">
        <v>108</v>
      </c>
      <c r="D84" s="56">
        <f>I84*J84*K84*L84</f>
        <v>10366.4</v>
      </c>
      <c r="E84" s="294" t="s">
        <v>419</v>
      </c>
      <c r="F84" s="296">
        <v>30</v>
      </c>
      <c r="G84" s="61" t="s">
        <v>822</v>
      </c>
      <c r="I84" s="1">
        <v>4</v>
      </c>
      <c r="J84" s="32">
        <v>0.88</v>
      </c>
      <c r="K84" s="1">
        <v>3100</v>
      </c>
      <c r="L84" s="28">
        <v>0.95</v>
      </c>
      <c r="M84" s="27" t="s">
        <v>737</v>
      </c>
      <c r="N84" s="73">
        <f t="shared" si="11"/>
        <v>0.8148148148148148</v>
      </c>
      <c r="O84" s="74">
        <f t="shared" si="12"/>
        <v>101.03703703703704</v>
      </c>
      <c r="Q84" s="430">
        <v>30000</v>
      </c>
      <c r="R84" s="431">
        <v>3.25</v>
      </c>
      <c r="S84" s="428">
        <v>0.09</v>
      </c>
    </row>
    <row r="85" spans="2:19" ht="15.75">
      <c r="B85" s="55" t="s">
        <v>349</v>
      </c>
      <c r="C85" s="56">
        <v>108</v>
      </c>
      <c r="D85" s="56">
        <f t="shared" si="13"/>
        <v>10366.4</v>
      </c>
      <c r="E85" s="294" t="s">
        <v>419</v>
      </c>
      <c r="F85" s="296">
        <v>30</v>
      </c>
      <c r="G85" s="61" t="s">
        <v>634</v>
      </c>
      <c r="I85" s="1">
        <v>4</v>
      </c>
      <c r="J85" s="32">
        <v>0.88</v>
      </c>
      <c r="K85" s="1">
        <v>3100</v>
      </c>
      <c r="L85" s="28">
        <v>0.95</v>
      </c>
      <c r="M85" s="27" t="s">
        <v>737</v>
      </c>
      <c r="N85" s="73">
        <f t="shared" si="11"/>
        <v>0.8148148148148148</v>
      </c>
      <c r="O85" s="74">
        <f t="shared" si="12"/>
        <v>101.03703703703704</v>
      </c>
      <c r="Q85" s="430">
        <v>30000</v>
      </c>
      <c r="R85" s="431">
        <v>3.25</v>
      </c>
      <c r="S85" s="428">
        <v>0.09</v>
      </c>
    </row>
    <row r="86" spans="2:19" ht="15.75">
      <c r="B86" s="55" t="s">
        <v>870</v>
      </c>
      <c r="C86" s="56">
        <v>108</v>
      </c>
      <c r="D86" s="56">
        <f t="shared" si="13"/>
        <v>10366.4</v>
      </c>
      <c r="E86" s="294" t="s">
        <v>419</v>
      </c>
      <c r="F86" s="296">
        <v>30</v>
      </c>
      <c r="G86" s="61" t="s">
        <v>871</v>
      </c>
      <c r="I86" s="1">
        <v>4</v>
      </c>
      <c r="J86" s="32">
        <v>0.88</v>
      </c>
      <c r="K86" s="1">
        <v>3100</v>
      </c>
      <c r="L86" s="28">
        <v>0.95</v>
      </c>
      <c r="M86" s="27" t="s">
        <v>737</v>
      </c>
      <c r="N86" s="73">
        <f t="shared" si="11"/>
        <v>0.8148148148148148</v>
      </c>
      <c r="O86" s="74">
        <f t="shared" si="12"/>
        <v>101.03703703703704</v>
      </c>
      <c r="Q86" s="430">
        <v>30000</v>
      </c>
      <c r="R86" s="431">
        <v>3.25</v>
      </c>
      <c r="S86" s="428">
        <v>0.09</v>
      </c>
    </row>
    <row r="87" spans="2:19" ht="15.75">
      <c r="B87" s="55" t="s">
        <v>303</v>
      </c>
      <c r="C87" s="56">
        <v>109</v>
      </c>
      <c r="D87" s="56">
        <f>I87*J87*K87*L87</f>
        <v>10248.6</v>
      </c>
      <c r="E87" s="294" t="s">
        <v>419</v>
      </c>
      <c r="F87" s="296">
        <v>30</v>
      </c>
      <c r="G87" s="61" t="s">
        <v>1159</v>
      </c>
      <c r="I87" s="1">
        <v>4</v>
      </c>
      <c r="J87" s="32">
        <v>0.87</v>
      </c>
      <c r="K87" s="1">
        <v>3100</v>
      </c>
      <c r="L87" s="28">
        <v>0.95</v>
      </c>
      <c r="M87" s="27" t="s">
        <v>737</v>
      </c>
      <c r="N87" s="73">
        <f t="shared" si="11"/>
        <v>0.7981651376146789</v>
      </c>
      <c r="O87" s="74">
        <f t="shared" si="12"/>
        <v>98.97247706422019</v>
      </c>
      <c r="Q87" s="430">
        <v>30000</v>
      </c>
      <c r="R87" s="431">
        <v>3.25</v>
      </c>
      <c r="S87" s="428">
        <v>0.09</v>
      </c>
    </row>
    <row r="88" spans="2:19" ht="15.75">
      <c r="B88" s="55" t="s">
        <v>866</v>
      </c>
      <c r="C88" s="56">
        <v>110</v>
      </c>
      <c r="D88" s="56">
        <f>I88*J88*K88*L88</f>
        <v>10366.4</v>
      </c>
      <c r="E88" s="294" t="s">
        <v>419</v>
      </c>
      <c r="F88" s="296">
        <v>30</v>
      </c>
      <c r="G88" s="61" t="s">
        <v>826</v>
      </c>
      <c r="I88" s="1">
        <v>4</v>
      </c>
      <c r="J88" s="32">
        <v>0.88</v>
      </c>
      <c r="K88" s="1">
        <v>3100</v>
      </c>
      <c r="L88" s="28">
        <v>0.95</v>
      </c>
      <c r="M88" s="27" t="s">
        <v>590</v>
      </c>
      <c r="N88" s="73">
        <f t="shared" si="11"/>
        <v>0.8</v>
      </c>
      <c r="O88" s="74">
        <f t="shared" si="12"/>
        <v>99.2</v>
      </c>
      <c r="Q88" s="430">
        <v>30000</v>
      </c>
      <c r="R88" s="431">
        <v>3.25</v>
      </c>
      <c r="S88" s="428">
        <v>0.09</v>
      </c>
    </row>
    <row r="89" spans="2:19" ht="15.75">
      <c r="B89" s="55" t="s">
        <v>455</v>
      </c>
      <c r="C89" s="56">
        <v>110</v>
      </c>
      <c r="D89" s="56">
        <f aca="true" t="shared" si="14" ref="D89:D95">I89*J89*K89*L89</f>
        <v>10248.6</v>
      </c>
      <c r="E89" s="294" t="s">
        <v>419</v>
      </c>
      <c r="F89" s="296">
        <v>30</v>
      </c>
      <c r="G89" s="61" t="s">
        <v>901</v>
      </c>
      <c r="I89" s="1">
        <v>4</v>
      </c>
      <c r="J89" s="32">
        <v>0.87</v>
      </c>
      <c r="K89" s="1">
        <v>3100</v>
      </c>
      <c r="L89" s="28">
        <v>0.95</v>
      </c>
      <c r="M89" s="27" t="s">
        <v>737</v>
      </c>
      <c r="N89" s="74">
        <f t="shared" si="11"/>
        <v>0.7909090909090909</v>
      </c>
      <c r="O89" s="74">
        <f t="shared" si="12"/>
        <v>98.07272727272728</v>
      </c>
      <c r="Q89" s="430">
        <v>30000</v>
      </c>
      <c r="R89" s="431">
        <v>3.25</v>
      </c>
      <c r="S89" s="428">
        <v>0.09</v>
      </c>
    </row>
    <row r="90" spans="2:19" ht="15.75">
      <c r="B90" s="55" t="s">
        <v>444</v>
      </c>
      <c r="C90" s="56">
        <v>112</v>
      </c>
      <c r="D90" s="56">
        <f t="shared" si="14"/>
        <v>10366.4</v>
      </c>
      <c r="E90" s="294" t="s">
        <v>419</v>
      </c>
      <c r="F90" s="296">
        <v>30</v>
      </c>
      <c r="G90" s="61" t="s">
        <v>1160</v>
      </c>
      <c r="I90" s="1">
        <v>4</v>
      </c>
      <c r="J90" s="32">
        <v>0.88</v>
      </c>
      <c r="K90" s="1">
        <v>3100</v>
      </c>
      <c r="L90" s="28">
        <v>0.95</v>
      </c>
      <c r="M90" s="27" t="s">
        <v>737</v>
      </c>
      <c r="N90" s="74">
        <f t="shared" si="11"/>
        <v>0.7857142857142857</v>
      </c>
      <c r="O90" s="74">
        <f t="shared" si="12"/>
        <v>97.42857142857143</v>
      </c>
      <c r="Q90" s="430">
        <v>30000</v>
      </c>
      <c r="R90" s="431">
        <v>3.25</v>
      </c>
      <c r="S90" s="428">
        <v>0.09</v>
      </c>
    </row>
    <row r="91" spans="2:19" ht="15.75">
      <c r="B91" s="55" t="s">
        <v>936</v>
      </c>
      <c r="C91" s="56">
        <v>112</v>
      </c>
      <c r="D91" s="56">
        <f>I91*J91*K91*L91</f>
        <v>10366.4</v>
      </c>
      <c r="E91" s="294" t="s">
        <v>419</v>
      </c>
      <c r="F91" s="296">
        <v>30</v>
      </c>
      <c r="G91" s="61" t="s">
        <v>448</v>
      </c>
      <c r="I91" s="1">
        <v>4</v>
      </c>
      <c r="J91" s="32">
        <v>0.88</v>
      </c>
      <c r="K91" s="1">
        <v>3100</v>
      </c>
      <c r="L91" s="28">
        <v>0.95</v>
      </c>
      <c r="M91" s="27" t="s">
        <v>737</v>
      </c>
      <c r="N91" s="74">
        <f>J91*100/C91</f>
        <v>0.7857142857142857</v>
      </c>
      <c r="O91" s="74">
        <f>I91*K91*J91/C91</f>
        <v>97.42857142857143</v>
      </c>
      <c r="Q91" s="430">
        <v>30000</v>
      </c>
      <c r="R91" s="431">
        <v>3.25</v>
      </c>
      <c r="S91" s="428">
        <v>0.09</v>
      </c>
    </row>
    <row r="92" spans="2:19" ht="15.75">
      <c r="B92" s="55" t="s">
        <v>980</v>
      </c>
      <c r="C92" s="56">
        <v>112</v>
      </c>
      <c r="D92" s="56">
        <f t="shared" si="14"/>
        <v>10366.4</v>
      </c>
      <c r="E92" s="294" t="s">
        <v>419</v>
      </c>
      <c r="F92" s="296">
        <v>30</v>
      </c>
      <c r="G92" s="61" t="s">
        <v>449</v>
      </c>
      <c r="I92" s="1">
        <v>4</v>
      </c>
      <c r="J92" s="32">
        <v>0.88</v>
      </c>
      <c r="K92" s="1">
        <v>3100</v>
      </c>
      <c r="L92" s="28">
        <v>0.95</v>
      </c>
      <c r="M92" s="27" t="s">
        <v>737</v>
      </c>
      <c r="N92" s="74">
        <f t="shared" si="11"/>
        <v>0.7857142857142857</v>
      </c>
      <c r="O92" s="74">
        <f t="shared" si="12"/>
        <v>97.42857142857143</v>
      </c>
      <c r="Q92" s="430">
        <v>30000</v>
      </c>
      <c r="R92" s="431">
        <v>3.25</v>
      </c>
      <c r="S92" s="428">
        <v>0.09</v>
      </c>
    </row>
    <row r="93" spans="2:19" ht="15.75">
      <c r="B93" s="55" t="s">
        <v>853</v>
      </c>
      <c r="C93" s="56">
        <v>114</v>
      </c>
      <c r="D93" s="56">
        <f>I93*J93*K93*L93</f>
        <v>10484.199999999999</v>
      </c>
      <c r="E93" s="294" t="s">
        <v>419</v>
      </c>
      <c r="F93" s="296">
        <v>30</v>
      </c>
      <c r="G93" s="61" t="s">
        <v>635</v>
      </c>
      <c r="I93" s="1">
        <v>4</v>
      </c>
      <c r="J93" s="32">
        <v>0.89</v>
      </c>
      <c r="K93" s="1">
        <v>3100</v>
      </c>
      <c r="L93" s="28">
        <v>0.95</v>
      </c>
      <c r="M93" s="27" t="s">
        <v>737</v>
      </c>
      <c r="N93" s="74">
        <f t="shared" si="11"/>
        <v>0.7807017543859649</v>
      </c>
      <c r="O93" s="74">
        <f t="shared" si="12"/>
        <v>96.80701754385964</v>
      </c>
      <c r="Q93" s="430">
        <v>30000</v>
      </c>
      <c r="R93" s="431">
        <v>3.25</v>
      </c>
      <c r="S93" s="428">
        <v>0.09</v>
      </c>
    </row>
    <row r="94" spans="2:19" ht="15.75">
      <c r="B94" s="55" t="s">
        <v>855</v>
      </c>
      <c r="C94" s="56">
        <v>114</v>
      </c>
      <c r="D94" s="56">
        <f>I94*J94*K94*L94</f>
        <v>10366.4</v>
      </c>
      <c r="E94" s="294" t="s">
        <v>419</v>
      </c>
      <c r="F94" s="296">
        <v>30</v>
      </c>
      <c r="G94" s="61" t="s">
        <v>450</v>
      </c>
      <c r="I94" s="1">
        <v>4</v>
      </c>
      <c r="J94" s="32">
        <v>0.88</v>
      </c>
      <c r="K94" s="1">
        <v>3100</v>
      </c>
      <c r="L94" s="28">
        <v>0.95</v>
      </c>
      <c r="M94" s="27" t="s">
        <v>737</v>
      </c>
      <c r="N94" s="74">
        <f t="shared" si="11"/>
        <v>0.7719298245614035</v>
      </c>
      <c r="O94" s="74">
        <f t="shared" si="12"/>
        <v>95.71929824561404</v>
      </c>
      <c r="Q94" s="430">
        <v>30000</v>
      </c>
      <c r="R94" s="431">
        <v>3.25</v>
      </c>
      <c r="S94" s="428">
        <v>0.09</v>
      </c>
    </row>
    <row r="95" spans="2:19" ht="15.75">
      <c r="B95" s="55" t="s">
        <v>446</v>
      </c>
      <c r="C95" s="56">
        <v>130</v>
      </c>
      <c r="D95" s="56">
        <f t="shared" si="14"/>
        <v>12133.4</v>
      </c>
      <c r="E95" s="297" t="s">
        <v>425</v>
      </c>
      <c r="F95" s="298">
        <v>40</v>
      </c>
      <c r="G95" s="61" t="s">
        <v>382</v>
      </c>
      <c r="I95" s="1">
        <v>4</v>
      </c>
      <c r="J95" s="32">
        <v>1.03</v>
      </c>
      <c r="K95" s="1">
        <v>3100</v>
      </c>
      <c r="L95" s="28">
        <v>0.95</v>
      </c>
      <c r="M95" s="27" t="s">
        <v>736</v>
      </c>
      <c r="N95" s="73">
        <f t="shared" si="11"/>
        <v>0.7923076923076923</v>
      </c>
      <c r="O95" s="74">
        <f t="shared" si="12"/>
        <v>98.24615384615385</v>
      </c>
      <c r="Q95" s="430">
        <v>30000</v>
      </c>
      <c r="R95" s="431">
        <v>3.25</v>
      </c>
      <c r="S95" s="428">
        <v>0.09</v>
      </c>
    </row>
    <row r="96" spans="2:19" ht="15.75">
      <c r="B96" s="55" t="s">
        <v>387</v>
      </c>
      <c r="C96" s="56">
        <v>147</v>
      </c>
      <c r="D96" s="56">
        <f>2945*I96*J96</f>
        <v>13546.999999999998</v>
      </c>
      <c r="E96" s="297" t="s">
        <v>425</v>
      </c>
      <c r="F96" s="298">
        <v>40</v>
      </c>
      <c r="G96" s="61" t="s">
        <v>491</v>
      </c>
      <c r="I96" s="1">
        <v>4</v>
      </c>
      <c r="J96" s="32">
        <v>1.15</v>
      </c>
      <c r="K96" s="1">
        <v>3100</v>
      </c>
      <c r="L96" s="28">
        <v>0.95</v>
      </c>
      <c r="M96" s="27" t="s">
        <v>736</v>
      </c>
      <c r="N96" s="73">
        <f>J96*100/C96</f>
        <v>0.7823129251700679</v>
      </c>
      <c r="O96" s="74">
        <f>I96*K96*J96/C96</f>
        <v>97.00680272108842</v>
      </c>
      <c r="Q96" s="430">
        <v>30000</v>
      </c>
      <c r="R96" s="431">
        <v>3.25</v>
      </c>
      <c r="S96" s="428">
        <v>0.09</v>
      </c>
    </row>
    <row r="97" spans="2:19" ht="15.75">
      <c r="B97" s="55" t="s">
        <v>952</v>
      </c>
      <c r="C97" s="56">
        <v>148</v>
      </c>
      <c r="D97" s="56">
        <f>2945*I97*J97</f>
        <v>13546.999999999998</v>
      </c>
      <c r="E97" s="297" t="s">
        <v>425</v>
      </c>
      <c r="F97" s="298">
        <v>40</v>
      </c>
      <c r="G97" s="61" t="s">
        <v>382</v>
      </c>
      <c r="I97" s="1">
        <v>4</v>
      </c>
      <c r="J97" s="32">
        <v>1.15</v>
      </c>
      <c r="K97" s="1">
        <v>3100</v>
      </c>
      <c r="L97" s="28">
        <v>0.95</v>
      </c>
      <c r="M97" s="27" t="s">
        <v>736</v>
      </c>
      <c r="N97" s="73">
        <f t="shared" si="11"/>
        <v>0.777027027027027</v>
      </c>
      <c r="O97" s="74">
        <f t="shared" si="12"/>
        <v>96.35135135135134</v>
      </c>
      <c r="Q97" s="430">
        <v>30000</v>
      </c>
      <c r="R97" s="431">
        <v>3.25</v>
      </c>
      <c r="S97" s="428">
        <v>0.09</v>
      </c>
    </row>
    <row r="98" spans="2:19" ht="15.75">
      <c r="B98" s="55" t="s">
        <v>942</v>
      </c>
      <c r="C98" s="56">
        <v>154</v>
      </c>
      <c r="D98" s="56">
        <f>I98*J98*K98*L98</f>
        <v>14136</v>
      </c>
      <c r="E98" s="297" t="s">
        <v>425</v>
      </c>
      <c r="F98" s="298">
        <v>40</v>
      </c>
      <c r="G98" s="61" t="s">
        <v>382</v>
      </c>
      <c r="I98" s="1">
        <v>4</v>
      </c>
      <c r="J98" s="32">
        <v>1.2</v>
      </c>
      <c r="K98" s="1">
        <v>3100</v>
      </c>
      <c r="L98" s="28">
        <v>0.95</v>
      </c>
      <c r="M98" s="27" t="s">
        <v>736</v>
      </c>
      <c r="N98" s="73">
        <f t="shared" si="11"/>
        <v>0.7792207792207793</v>
      </c>
      <c r="O98" s="74">
        <f t="shared" si="12"/>
        <v>96.62337662337663</v>
      </c>
      <c r="Q98" s="430">
        <v>30000</v>
      </c>
      <c r="R98" s="431">
        <v>3.25</v>
      </c>
      <c r="S98" s="428">
        <v>0.09</v>
      </c>
    </row>
    <row r="99" spans="2:19" ht="15.75">
      <c r="B99" s="55" t="s">
        <v>693</v>
      </c>
      <c r="C99" s="56">
        <v>156</v>
      </c>
      <c r="D99" s="56">
        <v>14136</v>
      </c>
      <c r="E99" s="297" t="s">
        <v>425</v>
      </c>
      <c r="F99" s="298">
        <v>40</v>
      </c>
      <c r="G99" s="61" t="s">
        <v>687</v>
      </c>
      <c r="I99" s="1">
        <v>4</v>
      </c>
      <c r="J99" s="32">
        <v>1.2</v>
      </c>
      <c r="K99" s="1">
        <v>3100</v>
      </c>
      <c r="L99" s="28">
        <v>0.95</v>
      </c>
      <c r="M99" s="27" t="s">
        <v>736</v>
      </c>
      <c r="N99" s="73">
        <v>0.77</v>
      </c>
      <c r="O99" s="74">
        <v>95.38</v>
      </c>
      <c r="Q99" s="430">
        <v>30000</v>
      </c>
      <c r="R99" s="431">
        <v>3.25</v>
      </c>
      <c r="S99" s="428">
        <v>0.09</v>
      </c>
    </row>
    <row r="100" spans="2:19" ht="15.75">
      <c r="B100" s="55" t="s">
        <v>380</v>
      </c>
      <c r="C100" s="56">
        <v>170</v>
      </c>
      <c r="D100" s="56">
        <f>I100*J100*K100*L100</f>
        <v>15549.599999999999</v>
      </c>
      <c r="E100" s="297" t="s">
        <v>425</v>
      </c>
      <c r="F100" s="298">
        <v>40</v>
      </c>
      <c r="G100" s="61" t="s">
        <v>381</v>
      </c>
      <c r="I100" s="1">
        <v>4</v>
      </c>
      <c r="J100" s="32">
        <v>1.32</v>
      </c>
      <c r="K100" s="1">
        <v>3100</v>
      </c>
      <c r="L100" s="28">
        <v>0.95</v>
      </c>
      <c r="M100" s="27" t="s">
        <v>736</v>
      </c>
      <c r="N100" s="73">
        <f t="shared" si="11"/>
        <v>0.7764705882352941</v>
      </c>
      <c r="O100" s="74">
        <f t="shared" si="12"/>
        <v>96.28235294117647</v>
      </c>
      <c r="Q100" s="430">
        <v>30000</v>
      </c>
      <c r="R100" s="431">
        <v>3.25</v>
      </c>
      <c r="S100" s="428">
        <v>0.09</v>
      </c>
    </row>
    <row r="101" spans="2:19" ht="15.75">
      <c r="B101" s="278" t="s">
        <v>345</v>
      </c>
      <c r="C101" s="56">
        <v>147</v>
      </c>
      <c r="D101" s="56">
        <f>2945*I101*J101</f>
        <v>13546.999999999998</v>
      </c>
      <c r="E101" s="294" t="s">
        <v>420</v>
      </c>
      <c r="F101" s="296">
        <v>100</v>
      </c>
      <c r="G101" s="61" t="s">
        <v>491</v>
      </c>
      <c r="I101" s="1">
        <v>4</v>
      </c>
      <c r="J101" s="32">
        <v>1.15</v>
      </c>
      <c r="K101" s="1">
        <v>3100</v>
      </c>
      <c r="L101" s="28">
        <v>0.95</v>
      </c>
      <c r="M101" s="27" t="s">
        <v>736</v>
      </c>
      <c r="N101" s="73">
        <f>J101*100/C101</f>
        <v>0.7823129251700679</v>
      </c>
      <c r="O101" s="74">
        <f>I101*K101*J101/C101</f>
        <v>97.00680272108842</v>
      </c>
      <c r="Q101" s="430">
        <v>30000</v>
      </c>
      <c r="R101" s="431">
        <v>3.25</v>
      </c>
      <c r="S101" s="428">
        <v>0.09</v>
      </c>
    </row>
    <row r="102" spans="2:19" ht="15.75">
      <c r="B102" s="63" t="s">
        <v>274</v>
      </c>
      <c r="C102" s="56"/>
      <c r="D102" s="56"/>
      <c r="E102" s="294"/>
      <c r="F102" s="296"/>
      <c r="G102" s="61"/>
      <c r="L102" s="28"/>
      <c r="O102" s="76">
        <v>95</v>
      </c>
      <c r="Q102" s="430"/>
      <c r="R102" s="431"/>
      <c r="S102" s="428"/>
    </row>
    <row r="103" spans="2:19" ht="15.75">
      <c r="B103" s="55" t="s">
        <v>930</v>
      </c>
      <c r="C103" s="56">
        <v>137</v>
      </c>
      <c r="D103" s="56">
        <f aca="true" t="shared" si="15" ref="D103:D112">I103*J103*K103*L103</f>
        <v>12545.699999999999</v>
      </c>
      <c r="E103" s="297" t="s">
        <v>425</v>
      </c>
      <c r="F103" s="298">
        <v>40</v>
      </c>
      <c r="G103" s="61" t="s">
        <v>929</v>
      </c>
      <c r="I103" s="1">
        <v>6</v>
      </c>
      <c r="J103" s="32">
        <v>0.71</v>
      </c>
      <c r="K103" s="1">
        <v>3100</v>
      </c>
      <c r="L103" s="28">
        <v>0.95</v>
      </c>
      <c r="M103" s="27" t="s">
        <v>735</v>
      </c>
      <c r="N103" s="74">
        <f aca="true" t="shared" si="16" ref="N103:N112">J103*100/C103</f>
        <v>0.5182481751824818</v>
      </c>
      <c r="O103" s="74">
        <f aca="true" t="shared" si="17" ref="O103:O112">I103*K103*J103/C103</f>
        <v>96.39416058394161</v>
      </c>
      <c r="Q103" s="430">
        <v>30000</v>
      </c>
      <c r="R103" s="431">
        <v>3.25</v>
      </c>
      <c r="S103" s="428">
        <v>0.09</v>
      </c>
    </row>
    <row r="104" spans="2:19" ht="15.75">
      <c r="B104" s="55" t="s">
        <v>489</v>
      </c>
      <c r="C104" s="56">
        <v>222</v>
      </c>
      <c r="D104" s="56">
        <f t="shared" si="15"/>
        <v>20320.5</v>
      </c>
      <c r="E104" s="297" t="s">
        <v>425</v>
      </c>
      <c r="F104" s="298">
        <v>40</v>
      </c>
      <c r="G104" s="61" t="s">
        <v>451</v>
      </c>
      <c r="I104" s="1">
        <v>6</v>
      </c>
      <c r="J104" s="32">
        <v>1.15</v>
      </c>
      <c r="K104" s="1">
        <v>3100</v>
      </c>
      <c r="L104" s="28">
        <v>0.95</v>
      </c>
      <c r="M104" s="27" t="s">
        <v>736</v>
      </c>
      <c r="N104" s="74">
        <f t="shared" si="16"/>
        <v>0.518018018018018</v>
      </c>
      <c r="O104" s="74">
        <f t="shared" si="17"/>
        <v>96.35135135135135</v>
      </c>
      <c r="Q104" s="430">
        <v>30000</v>
      </c>
      <c r="R104" s="431">
        <v>3.25</v>
      </c>
      <c r="S104" s="428">
        <v>0.09</v>
      </c>
    </row>
    <row r="105" spans="2:19" ht="15.75">
      <c r="B105" s="55" t="s">
        <v>935</v>
      </c>
      <c r="C105" s="56">
        <v>222</v>
      </c>
      <c r="D105" s="56">
        <f t="shared" si="15"/>
        <v>21027.3</v>
      </c>
      <c r="E105" s="297" t="s">
        <v>425</v>
      </c>
      <c r="F105" s="298">
        <v>40</v>
      </c>
      <c r="G105" s="61" t="s">
        <v>383</v>
      </c>
      <c r="I105" s="1">
        <v>6</v>
      </c>
      <c r="J105" s="32">
        <v>1.19</v>
      </c>
      <c r="K105" s="1">
        <v>3100</v>
      </c>
      <c r="L105" s="28">
        <v>0.95</v>
      </c>
      <c r="M105" s="27" t="s">
        <v>736</v>
      </c>
      <c r="N105" s="74">
        <f t="shared" si="16"/>
        <v>0.536036036036036</v>
      </c>
      <c r="O105" s="74">
        <f t="shared" si="17"/>
        <v>99.70270270270271</v>
      </c>
      <c r="Q105" s="430">
        <v>30000</v>
      </c>
      <c r="R105" s="431">
        <v>3.25</v>
      </c>
      <c r="S105" s="428">
        <v>0.09</v>
      </c>
    </row>
    <row r="106" spans="2:19" ht="15.75">
      <c r="B106" s="55" t="s">
        <v>854</v>
      </c>
      <c r="C106" s="56">
        <v>224</v>
      </c>
      <c r="D106" s="56">
        <f t="shared" si="15"/>
        <v>20850.6</v>
      </c>
      <c r="E106" s="297" t="s">
        <v>425</v>
      </c>
      <c r="F106" s="298">
        <v>40</v>
      </c>
      <c r="G106" s="61" t="s">
        <v>451</v>
      </c>
      <c r="I106" s="1">
        <v>6</v>
      </c>
      <c r="J106" s="32">
        <v>1.18</v>
      </c>
      <c r="K106" s="1">
        <v>3100</v>
      </c>
      <c r="L106" s="28">
        <v>0.95</v>
      </c>
      <c r="M106" s="27" t="s">
        <v>736</v>
      </c>
      <c r="N106" s="74">
        <f t="shared" si="16"/>
        <v>0.5267857142857143</v>
      </c>
      <c r="O106" s="74">
        <f t="shared" si="17"/>
        <v>97.98214285714286</v>
      </c>
      <c r="Q106" s="430">
        <v>30000</v>
      </c>
      <c r="R106" s="431">
        <v>3.25</v>
      </c>
      <c r="S106" s="428">
        <v>0.09</v>
      </c>
    </row>
    <row r="107" spans="2:19" ht="15.75">
      <c r="B107" s="55" t="s">
        <v>384</v>
      </c>
      <c r="C107" s="56">
        <v>255</v>
      </c>
      <c r="D107" s="56">
        <f t="shared" si="15"/>
        <v>23324.399999999998</v>
      </c>
      <c r="E107" s="297" t="s">
        <v>425</v>
      </c>
      <c r="F107" s="298">
        <v>40</v>
      </c>
      <c r="G107" s="61" t="s">
        <v>385</v>
      </c>
      <c r="I107" s="1">
        <v>6</v>
      </c>
      <c r="J107" s="32">
        <v>1.32</v>
      </c>
      <c r="K107" s="1">
        <v>3100</v>
      </c>
      <c r="L107" s="28">
        <v>0.95</v>
      </c>
      <c r="M107" s="27" t="s">
        <v>736</v>
      </c>
      <c r="N107" s="74">
        <f t="shared" si="16"/>
        <v>0.5176470588235295</v>
      </c>
      <c r="O107" s="74">
        <f t="shared" si="17"/>
        <v>96.28235294117647</v>
      </c>
      <c r="Q107" s="430">
        <v>30000</v>
      </c>
      <c r="R107" s="431">
        <v>3.25</v>
      </c>
      <c r="S107" s="428">
        <v>0.09</v>
      </c>
    </row>
    <row r="108" spans="2:19" ht="15.75">
      <c r="B108" s="278" t="s">
        <v>878</v>
      </c>
      <c r="C108" s="56">
        <v>137</v>
      </c>
      <c r="D108" s="56">
        <f t="shared" si="15"/>
        <v>12545.699999999999</v>
      </c>
      <c r="E108" s="294" t="s">
        <v>420</v>
      </c>
      <c r="F108" s="296">
        <v>100</v>
      </c>
      <c r="G108" s="61" t="s">
        <v>929</v>
      </c>
      <c r="I108" s="1">
        <v>6</v>
      </c>
      <c r="J108" s="32">
        <v>0.71</v>
      </c>
      <c r="K108" s="1">
        <v>3100</v>
      </c>
      <c r="L108" s="28">
        <v>0.95</v>
      </c>
      <c r="M108" s="27" t="s">
        <v>735</v>
      </c>
      <c r="N108" s="74">
        <f t="shared" si="16"/>
        <v>0.5182481751824818</v>
      </c>
      <c r="O108" s="74">
        <f t="shared" si="17"/>
        <v>96.39416058394161</v>
      </c>
      <c r="Q108" s="430">
        <v>30000</v>
      </c>
      <c r="R108" s="431">
        <v>3.25</v>
      </c>
      <c r="S108" s="428">
        <v>0.09</v>
      </c>
    </row>
    <row r="109" spans="2:19" ht="15.75">
      <c r="B109" s="278" t="s">
        <v>879</v>
      </c>
      <c r="C109" s="56">
        <v>222</v>
      </c>
      <c r="D109" s="56">
        <f t="shared" si="15"/>
        <v>20320.5</v>
      </c>
      <c r="E109" s="294" t="s">
        <v>421</v>
      </c>
      <c r="F109" s="296">
        <v>120</v>
      </c>
      <c r="G109" s="61" t="s">
        <v>451</v>
      </c>
      <c r="I109" s="1">
        <v>6</v>
      </c>
      <c r="J109" s="32">
        <v>1.15</v>
      </c>
      <c r="K109" s="1">
        <v>3100</v>
      </c>
      <c r="L109" s="28">
        <v>0.95</v>
      </c>
      <c r="M109" s="27" t="s">
        <v>736</v>
      </c>
      <c r="N109" s="74">
        <f t="shared" si="16"/>
        <v>0.518018018018018</v>
      </c>
      <c r="O109" s="74">
        <f t="shared" si="17"/>
        <v>96.35135135135135</v>
      </c>
      <c r="Q109" s="430">
        <v>30000</v>
      </c>
      <c r="R109" s="431">
        <v>3.25</v>
      </c>
      <c r="S109" s="428">
        <v>0.09</v>
      </c>
    </row>
    <row r="110" spans="2:19" ht="15.75">
      <c r="B110" s="278" t="s">
        <v>880</v>
      </c>
      <c r="C110" s="56">
        <v>222</v>
      </c>
      <c r="D110" s="56">
        <f t="shared" si="15"/>
        <v>21027.3</v>
      </c>
      <c r="E110" s="294" t="s">
        <v>421</v>
      </c>
      <c r="F110" s="296">
        <v>120</v>
      </c>
      <c r="G110" s="61" t="s">
        <v>383</v>
      </c>
      <c r="I110" s="1">
        <v>6</v>
      </c>
      <c r="J110" s="32">
        <v>1.19</v>
      </c>
      <c r="K110" s="1">
        <v>3100</v>
      </c>
      <c r="L110" s="28">
        <v>0.95</v>
      </c>
      <c r="M110" s="27" t="s">
        <v>736</v>
      </c>
      <c r="N110" s="74">
        <f t="shared" si="16"/>
        <v>0.536036036036036</v>
      </c>
      <c r="O110" s="74">
        <f t="shared" si="17"/>
        <v>99.70270270270271</v>
      </c>
      <c r="Q110" s="430">
        <v>30000</v>
      </c>
      <c r="R110" s="431">
        <v>3.25</v>
      </c>
      <c r="S110" s="428">
        <v>0.09</v>
      </c>
    </row>
    <row r="111" spans="2:19" ht="15.75">
      <c r="B111" s="278" t="s">
        <v>881</v>
      </c>
      <c r="C111" s="56">
        <v>224</v>
      </c>
      <c r="D111" s="56">
        <f t="shared" si="15"/>
        <v>20850.6</v>
      </c>
      <c r="E111" s="294" t="s">
        <v>421</v>
      </c>
      <c r="F111" s="296">
        <v>120</v>
      </c>
      <c r="G111" s="61" t="s">
        <v>451</v>
      </c>
      <c r="I111" s="1">
        <v>6</v>
      </c>
      <c r="J111" s="32">
        <v>1.18</v>
      </c>
      <c r="K111" s="1">
        <v>3100</v>
      </c>
      <c r="L111" s="28">
        <v>0.95</v>
      </c>
      <c r="M111" s="27" t="s">
        <v>736</v>
      </c>
      <c r="N111" s="74">
        <f t="shared" si="16"/>
        <v>0.5267857142857143</v>
      </c>
      <c r="O111" s="74">
        <f t="shared" si="17"/>
        <v>97.98214285714286</v>
      </c>
      <c r="Q111" s="430">
        <v>30000</v>
      </c>
      <c r="R111" s="431">
        <v>3.25</v>
      </c>
      <c r="S111" s="428">
        <v>0.09</v>
      </c>
    </row>
    <row r="112" spans="2:19" ht="15.75">
      <c r="B112" s="278" t="s">
        <v>882</v>
      </c>
      <c r="C112" s="56">
        <v>255</v>
      </c>
      <c r="D112" s="56">
        <f t="shared" si="15"/>
        <v>23324.399999999998</v>
      </c>
      <c r="E112" s="294" t="s">
        <v>422</v>
      </c>
      <c r="F112" s="296">
        <v>140</v>
      </c>
      <c r="G112" s="61" t="s">
        <v>385</v>
      </c>
      <c r="I112" s="1">
        <v>6</v>
      </c>
      <c r="J112" s="32">
        <v>1.32</v>
      </c>
      <c r="K112" s="1">
        <v>3100</v>
      </c>
      <c r="L112" s="28">
        <v>0.95</v>
      </c>
      <c r="M112" s="27" t="s">
        <v>736</v>
      </c>
      <c r="N112" s="74">
        <f t="shared" si="16"/>
        <v>0.5176470588235295</v>
      </c>
      <c r="O112" s="74">
        <f t="shared" si="17"/>
        <v>96.28235294117647</v>
      </c>
      <c r="Q112" s="430">
        <v>30000</v>
      </c>
      <c r="R112" s="431">
        <v>3.25</v>
      </c>
      <c r="S112" s="428">
        <v>0.09</v>
      </c>
    </row>
    <row r="113" spans="2:19" ht="15.75">
      <c r="B113" s="63" t="s">
        <v>274</v>
      </c>
      <c r="C113" s="56"/>
      <c r="D113" s="56"/>
      <c r="E113" s="294"/>
      <c r="F113" s="296"/>
      <c r="G113" s="61"/>
      <c r="L113" s="28"/>
      <c r="O113" s="76">
        <v>95</v>
      </c>
      <c r="Q113" s="430"/>
      <c r="R113" s="431"/>
      <c r="S113" s="428"/>
    </row>
    <row r="114" spans="2:19" ht="15.75">
      <c r="B114" s="278" t="s">
        <v>426</v>
      </c>
      <c r="C114" s="56">
        <v>182</v>
      </c>
      <c r="D114" s="56">
        <f>I114*J114*K114*L114</f>
        <v>16727.6</v>
      </c>
      <c r="E114" s="294" t="s">
        <v>420</v>
      </c>
      <c r="F114" s="296">
        <v>100</v>
      </c>
      <c r="G114" s="61" t="s">
        <v>929</v>
      </c>
      <c r="I114" s="1">
        <v>8</v>
      </c>
      <c r="J114" s="32">
        <v>0.71</v>
      </c>
      <c r="K114" s="1">
        <v>3100</v>
      </c>
      <c r="L114" s="28">
        <v>0.95</v>
      </c>
      <c r="M114" s="27" t="s">
        <v>735</v>
      </c>
      <c r="N114" s="74">
        <f>J114*100/C114</f>
        <v>0.3901098901098901</v>
      </c>
      <c r="O114" s="74">
        <f>I114*K114*J114/C114</f>
        <v>96.74725274725274</v>
      </c>
      <c r="Q114" s="430">
        <v>30000</v>
      </c>
      <c r="R114" s="431">
        <v>3.25</v>
      </c>
      <c r="S114" s="428">
        <v>0.09</v>
      </c>
    </row>
    <row r="115" spans="2:19" ht="15.75">
      <c r="B115" s="278" t="s">
        <v>876</v>
      </c>
      <c r="C115" s="56">
        <v>228</v>
      </c>
      <c r="D115" s="56">
        <f>I115*J115*K115*L115</f>
        <v>20968.399999999998</v>
      </c>
      <c r="E115" s="294" t="s">
        <v>421</v>
      </c>
      <c r="F115" s="296">
        <v>120</v>
      </c>
      <c r="G115" s="61" t="s">
        <v>635</v>
      </c>
      <c r="I115" s="1">
        <v>8</v>
      </c>
      <c r="J115" s="32">
        <v>0.89</v>
      </c>
      <c r="K115" s="1">
        <v>3100</v>
      </c>
      <c r="L115" s="28">
        <v>0.95</v>
      </c>
      <c r="M115" s="27" t="s">
        <v>737</v>
      </c>
      <c r="N115" s="74">
        <f>J115*100/C115</f>
        <v>0.39035087719298245</v>
      </c>
      <c r="O115" s="74">
        <f>I115*K115*J115/C115</f>
        <v>96.80701754385964</v>
      </c>
      <c r="Q115" s="430">
        <v>30000</v>
      </c>
      <c r="R115" s="431">
        <v>3.25</v>
      </c>
      <c r="S115" s="428">
        <v>0.09</v>
      </c>
    </row>
    <row r="116" spans="2:19" ht="15.75">
      <c r="B116" s="278" t="s">
        <v>877</v>
      </c>
      <c r="C116" s="56">
        <v>294</v>
      </c>
      <c r="D116" s="56">
        <f>2945*I116*J116</f>
        <v>27093.999999999996</v>
      </c>
      <c r="E116" s="294" t="s">
        <v>422</v>
      </c>
      <c r="F116" s="296">
        <v>140</v>
      </c>
      <c r="G116" s="61" t="s">
        <v>491</v>
      </c>
      <c r="I116" s="1">
        <v>8</v>
      </c>
      <c r="J116" s="32">
        <v>1.15</v>
      </c>
      <c r="K116" s="1">
        <v>3100</v>
      </c>
      <c r="L116" s="28">
        <v>0.95</v>
      </c>
      <c r="M116" s="27" t="s">
        <v>736</v>
      </c>
      <c r="N116" s="74">
        <f>J116*100/C116</f>
        <v>0.39115646258503395</v>
      </c>
      <c r="O116" s="74">
        <f>I116*K116*J116/C116</f>
        <v>97.00680272108842</v>
      </c>
      <c r="Q116" s="430">
        <v>30000</v>
      </c>
      <c r="R116" s="431">
        <v>3.25</v>
      </c>
      <c r="S116" s="428">
        <v>0.09</v>
      </c>
    </row>
    <row r="117" spans="2:19" ht="31.5">
      <c r="B117" s="202" t="s">
        <v>275</v>
      </c>
      <c r="C117" s="56"/>
      <c r="D117" s="56"/>
      <c r="E117" s="294"/>
      <c r="F117" s="296"/>
      <c r="G117" s="61"/>
      <c r="I117" s="27" t="s">
        <v>115</v>
      </c>
      <c r="J117" s="33" t="s">
        <v>114</v>
      </c>
      <c r="K117" s="29" t="s">
        <v>117</v>
      </c>
      <c r="L117" s="30" t="s">
        <v>116</v>
      </c>
      <c r="M117" s="30" t="s">
        <v>589</v>
      </c>
      <c r="N117" s="74" t="s">
        <v>1201</v>
      </c>
      <c r="O117" s="74" t="s">
        <v>1202</v>
      </c>
      <c r="Q117" s="428"/>
      <c r="R117" s="428"/>
      <c r="S117" s="428"/>
    </row>
    <row r="118" spans="2:19" ht="15.75">
      <c r="B118" s="201" t="s">
        <v>740</v>
      </c>
      <c r="C118" s="56"/>
      <c r="D118" s="56"/>
      <c r="E118" s="294"/>
      <c r="F118" s="296"/>
      <c r="G118" s="61"/>
      <c r="I118" s="27"/>
      <c r="J118" s="33"/>
      <c r="K118" s="29"/>
      <c r="L118" s="30"/>
      <c r="M118" s="30"/>
      <c r="Q118" s="428"/>
      <c r="R118" s="428"/>
      <c r="S118" s="428"/>
    </row>
    <row r="119" spans="2:19" ht="15.75">
      <c r="B119" s="55" t="s">
        <v>920</v>
      </c>
      <c r="C119" s="56">
        <v>16</v>
      </c>
      <c r="D119" s="56">
        <v>1102.5</v>
      </c>
      <c r="E119" s="294" t="s">
        <v>423</v>
      </c>
      <c r="F119" s="296">
        <v>8</v>
      </c>
      <c r="G119" s="61" t="s">
        <v>662</v>
      </c>
      <c r="L119" s="28"/>
      <c r="Q119" s="430">
        <v>24000</v>
      </c>
      <c r="R119" s="431">
        <v>2.5</v>
      </c>
      <c r="S119" s="428">
        <v>0.09</v>
      </c>
    </row>
    <row r="120" spans="2:19" ht="15.75">
      <c r="B120" s="55" t="s">
        <v>902</v>
      </c>
      <c r="C120" s="56">
        <v>23</v>
      </c>
      <c r="D120" s="56">
        <v>1752.1875</v>
      </c>
      <c r="E120" s="294" t="s">
        <v>423</v>
      </c>
      <c r="F120" s="296">
        <v>8</v>
      </c>
      <c r="G120" s="61" t="s">
        <v>662</v>
      </c>
      <c r="L120" s="28"/>
      <c r="Q120" s="430">
        <v>24000</v>
      </c>
      <c r="R120" s="431">
        <v>2.5</v>
      </c>
      <c r="S120" s="428">
        <v>0.09</v>
      </c>
    </row>
    <row r="121" spans="2:19" ht="15.75">
      <c r="B121" s="55" t="s">
        <v>232</v>
      </c>
      <c r="C121" s="56">
        <v>27</v>
      </c>
      <c r="D121" s="56">
        <v>1991.25</v>
      </c>
      <c r="E121" s="294" t="s">
        <v>423</v>
      </c>
      <c r="F121" s="296">
        <v>8</v>
      </c>
      <c r="G121" s="61" t="s">
        <v>268</v>
      </c>
      <c r="Q121" s="430">
        <v>24000</v>
      </c>
      <c r="R121" s="431">
        <v>2.5</v>
      </c>
      <c r="S121" s="428">
        <v>0.09</v>
      </c>
    </row>
    <row r="122" spans="2:19" ht="15.75">
      <c r="B122" s="55" t="s">
        <v>233</v>
      </c>
      <c r="C122" s="56">
        <v>31</v>
      </c>
      <c r="D122" s="56">
        <v>2400</v>
      </c>
      <c r="E122" s="294" t="s">
        <v>423</v>
      </c>
      <c r="F122" s="296">
        <v>8</v>
      </c>
      <c r="G122" s="61" t="s">
        <v>268</v>
      </c>
      <c r="Q122" s="430">
        <v>24000</v>
      </c>
      <c r="R122" s="431">
        <v>2.5</v>
      </c>
      <c r="S122" s="428">
        <v>0.09</v>
      </c>
    </row>
    <row r="123" spans="2:19" ht="15.75">
      <c r="B123" s="55" t="s">
        <v>903</v>
      </c>
      <c r="C123" s="56">
        <v>68</v>
      </c>
      <c r="D123" s="56">
        <v>4513.5</v>
      </c>
      <c r="E123" s="294" t="s">
        <v>423</v>
      </c>
      <c r="F123" s="296">
        <v>8</v>
      </c>
      <c r="G123" s="61" t="s">
        <v>662</v>
      </c>
      <c r="Q123" s="430">
        <v>24000</v>
      </c>
      <c r="R123" s="431">
        <v>2.5</v>
      </c>
      <c r="S123" s="428">
        <v>0.09</v>
      </c>
    </row>
    <row r="124" spans="2:19" ht="15.75">
      <c r="B124" s="55" t="s">
        <v>904</v>
      </c>
      <c r="C124" s="56">
        <v>99</v>
      </c>
      <c r="D124" s="56">
        <v>7380</v>
      </c>
      <c r="E124" s="294" t="s">
        <v>423</v>
      </c>
      <c r="F124" s="296">
        <v>8</v>
      </c>
      <c r="G124" s="61" t="s">
        <v>662</v>
      </c>
      <c r="Q124" s="430">
        <v>24000</v>
      </c>
      <c r="R124" s="431">
        <v>2.5</v>
      </c>
      <c r="S124" s="428">
        <v>0.09</v>
      </c>
    </row>
    <row r="125" spans="2:19" ht="15.75">
      <c r="B125" s="63" t="s">
        <v>274</v>
      </c>
      <c r="C125" s="56"/>
      <c r="D125" s="56"/>
      <c r="E125" s="294"/>
      <c r="F125" s="296"/>
      <c r="G125" s="61"/>
      <c r="Q125" s="428"/>
      <c r="R125" s="428"/>
      <c r="S125" s="428"/>
    </row>
    <row r="126" spans="2:19" ht="15.75">
      <c r="B126" s="55" t="s">
        <v>905</v>
      </c>
      <c r="C126" s="56">
        <v>31</v>
      </c>
      <c r="D126" s="56">
        <v>2205</v>
      </c>
      <c r="E126" s="294" t="s">
        <v>424</v>
      </c>
      <c r="F126" s="296">
        <v>15</v>
      </c>
      <c r="G126" s="61" t="s">
        <v>662</v>
      </c>
      <c r="Q126" s="430">
        <v>24000</v>
      </c>
      <c r="R126" s="431">
        <v>2.5</v>
      </c>
      <c r="S126" s="428">
        <v>0.09</v>
      </c>
    </row>
    <row r="127" spans="2:19" ht="15.75">
      <c r="B127" s="55" t="s">
        <v>906</v>
      </c>
      <c r="C127" s="56">
        <v>46</v>
      </c>
      <c r="D127" s="56">
        <v>3504.375</v>
      </c>
      <c r="E127" s="294" t="s">
        <v>424</v>
      </c>
      <c r="F127" s="296">
        <v>15</v>
      </c>
      <c r="G127" s="62" t="s">
        <v>662</v>
      </c>
      <c r="N127" s="198" t="s">
        <v>732</v>
      </c>
      <c r="Q127" s="430">
        <v>24000</v>
      </c>
      <c r="R127" s="431">
        <v>2.5</v>
      </c>
      <c r="S127" s="428">
        <v>0.09</v>
      </c>
    </row>
    <row r="128" spans="2:19" s="22" customFormat="1" ht="15.75">
      <c r="B128" s="55" t="s">
        <v>628</v>
      </c>
      <c r="C128" s="56">
        <v>51</v>
      </c>
      <c r="D128" s="56">
        <f>I128*J128*K128*L128</f>
        <v>4315.849999999999</v>
      </c>
      <c r="E128" s="294" t="s">
        <v>424</v>
      </c>
      <c r="F128" s="296">
        <v>15</v>
      </c>
      <c r="G128" s="61" t="s">
        <v>706</v>
      </c>
      <c r="I128" s="22">
        <v>2</v>
      </c>
      <c r="J128" s="67">
        <v>0.77</v>
      </c>
      <c r="K128" s="22">
        <v>2950</v>
      </c>
      <c r="L128" s="68">
        <v>0.95</v>
      </c>
      <c r="M128" s="27" t="s">
        <v>735</v>
      </c>
      <c r="N128" s="121">
        <f>J128*100/C128</f>
        <v>1.5098039215686274</v>
      </c>
      <c r="O128" s="74">
        <f>I128*K128*J128/C128</f>
        <v>89.07843137254902</v>
      </c>
      <c r="Q128" s="430">
        <v>24000</v>
      </c>
      <c r="R128" s="431">
        <v>2.5</v>
      </c>
      <c r="S128" s="428">
        <v>0.09</v>
      </c>
    </row>
    <row r="129" spans="2:19" s="22" customFormat="1" ht="15.75">
      <c r="B129" s="55" t="s">
        <v>629</v>
      </c>
      <c r="C129" s="56">
        <v>55</v>
      </c>
      <c r="D129" s="56">
        <f>I129*J129*K129*L129</f>
        <v>4371.9</v>
      </c>
      <c r="E129" s="294" t="s">
        <v>424</v>
      </c>
      <c r="F129" s="296">
        <v>15</v>
      </c>
      <c r="G129" s="61" t="s">
        <v>706</v>
      </c>
      <c r="I129" s="22">
        <v>2</v>
      </c>
      <c r="J129" s="67">
        <v>0.78</v>
      </c>
      <c r="K129" s="22">
        <v>2950</v>
      </c>
      <c r="L129" s="68">
        <v>0.95</v>
      </c>
      <c r="M129" s="27" t="s">
        <v>735</v>
      </c>
      <c r="N129" s="74">
        <f>J129*100/C129</f>
        <v>1.4181818181818182</v>
      </c>
      <c r="O129" s="74">
        <f>I129*K129*J129/C129</f>
        <v>83.67272727272727</v>
      </c>
      <c r="Q129" s="430">
        <v>24000</v>
      </c>
      <c r="R129" s="431">
        <v>2.5</v>
      </c>
      <c r="S129" s="428">
        <v>0.09</v>
      </c>
    </row>
    <row r="130" spans="2:19" s="22" customFormat="1" ht="15.75">
      <c r="B130" s="55" t="s">
        <v>630</v>
      </c>
      <c r="C130" s="56">
        <v>59</v>
      </c>
      <c r="D130" s="56">
        <f>I130*J130*K130*L130</f>
        <v>4932.4</v>
      </c>
      <c r="E130" s="294" t="s">
        <v>424</v>
      </c>
      <c r="F130" s="296">
        <v>15</v>
      </c>
      <c r="G130" s="61" t="s">
        <v>706</v>
      </c>
      <c r="I130" s="22">
        <v>2</v>
      </c>
      <c r="J130" s="67">
        <v>0.88</v>
      </c>
      <c r="K130" s="22">
        <v>2950</v>
      </c>
      <c r="L130" s="68">
        <v>0.95</v>
      </c>
      <c r="M130" s="27" t="s">
        <v>737</v>
      </c>
      <c r="N130" s="121">
        <f>J130*100/C130</f>
        <v>1.4915254237288136</v>
      </c>
      <c r="O130" s="74">
        <f>I130*K130*J130/C130</f>
        <v>88</v>
      </c>
      <c r="Q130" s="430">
        <v>24000</v>
      </c>
      <c r="R130" s="431">
        <v>2.5</v>
      </c>
      <c r="S130" s="428">
        <v>0.09</v>
      </c>
    </row>
    <row r="131" spans="2:19" s="22" customFormat="1" ht="15.75">
      <c r="B131" s="55" t="s">
        <v>631</v>
      </c>
      <c r="C131" s="56">
        <v>62</v>
      </c>
      <c r="D131" s="56">
        <f>I131*J131*K131*L131</f>
        <v>4932.4</v>
      </c>
      <c r="E131" s="294" t="s">
        <v>424</v>
      </c>
      <c r="F131" s="296">
        <v>15</v>
      </c>
      <c r="G131" s="61" t="s">
        <v>706</v>
      </c>
      <c r="I131" s="22">
        <v>2</v>
      </c>
      <c r="J131" s="67">
        <v>0.88</v>
      </c>
      <c r="K131" s="22">
        <v>2950</v>
      </c>
      <c r="L131" s="68">
        <v>0.95</v>
      </c>
      <c r="M131" s="27" t="s">
        <v>737</v>
      </c>
      <c r="N131" s="74">
        <f>J131*100/C131</f>
        <v>1.4193548387096775</v>
      </c>
      <c r="O131" s="74">
        <f>I131*K131*J131/C131</f>
        <v>83.74193548387096</v>
      </c>
      <c r="Q131" s="430">
        <v>24000</v>
      </c>
      <c r="R131" s="431">
        <v>2.5</v>
      </c>
      <c r="S131" s="428">
        <v>0.09</v>
      </c>
    </row>
    <row r="132" spans="2:19" s="22" customFormat="1" ht="15.75">
      <c r="B132" s="55" t="s">
        <v>632</v>
      </c>
      <c r="C132" s="56">
        <v>76</v>
      </c>
      <c r="D132" s="56">
        <v>6265.8</v>
      </c>
      <c r="E132" s="294" t="s">
        <v>424</v>
      </c>
      <c r="F132" s="296">
        <v>15</v>
      </c>
      <c r="G132" s="61" t="s">
        <v>711</v>
      </c>
      <c r="I132" s="22">
        <v>2</v>
      </c>
      <c r="J132" s="67">
        <v>1.15</v>
      </c>
      <c r="K132" s="22">
        <v>2950</v>
      </c>
      <c r="L132" s="68">
        <v>0.95</v>
      </c>
      <c r="M132" s="27" t="s">
        <v>736</v>
      </c>
      <c r="N132" s="121">
        <f>J132*100/C132</f>
        <v>1.5131578947368418</v>
      </c>
      <c r="O132" s="74">
        <f>I132*K132*J132/C132</f>
        <v>89.27631578947367</v>
      </c>
      <c r="Q132" s="430">
        <v>24000</v>
      </c>
      <c r="R132" s="431">
        <v>2.5</v>
      </c>
      <c r="S132" s="428">
        <v>0.09</v>
      </c>
    </row>
    <row r="133" spans="2:19" ht="15.75">
      <c r="B133" s="55" t="s">
        <v>907</v>
      </c>
      <c r="C133" s="56">
        <v>105</v>
      </c>
      <c r="D133" s="56">
        <v>9027</v>
      </c>
      <c r="E133" s="294" t="s">
        <v>424</v>
      </c>
      <c r="F133" s="296">
        <v>15</v>
      </c>
      <c r="G133" s="61" t="s">
        <v>710</v>
      </c>
      <c r="Q133" s="430">
        <v>24000</v>
      </c>
      <c r="R133" s="431">
        <v>2.5</v>
      </c>
      <c r="S133" s="428">
        <v>0.09</v>
      </c>
    </row>
    <row r="134" spans="2:19" ht="15.75">
      <c r="B134" s="55" t="s">
        <v>908</v>
      </c>
      <c r="C134" s="56">
        <v>155</v>
      </c>
      <c r="D134" s="56">
        <v>12693.6</v>
      </c>
      <c r="E134" s="294" t="s">
        <v>424</v>
      </c>
      <c r="F134" s="296">
        <v>15</v>
      </c>
      <c r="G134" s="61" t="s">
        <v>726</v>
      </c>
      <c r="Q134" s="430">
        <v>24000</v>
      </c>
      <c r="R134" s="431">
        <v>2.5</v>
      </c>
      <c r="S134" s="428">
        <v>0.09</v>
      </c>
    </row>
    <row r="135" spans="2:19" ht="15.75">
      <c r="B135" s="63" t="s">
        <v>274</v>
      </c>
      <c r="C135" s="56"/>
      <c r="D135" s="56"/>
      <c r="E135" s="294"/>
      <c r="F135" s="296"/>
      <c r="G135" s="61"/>
      <c r="Q135" s="428"/>
      <c r="R135" s="428"/>
      <c r="S135" s="428"/>
    </row>
    <row r="136" spans="2:19" ht="15.75">
      <c r="B136" s="55" t="s">
        <v>909</v>
      </c>
      <c r="C136" s="56">
        <v>46</v>
      </c>
      <c r="D136" s="56">
        <v>3307.5</v>
      </c>
      <c r="E136" s="294" t="s">
        <v>424</v>
      </c>
      <c r="F136" s="296">
        <v>15</v>
      </c>
      <c r="G136" s="61" t="s">
        <v>662</v>
      </c>
      <c r="Q136" s="430">
        <v>24000</v>
      </c>
      <c r="R136" s="431">
        <v>2.5</v>
      </c>
      <c r="S136" s="428">
        <v>0.09</v>
      </c>
    </row>
    <row r="137" spans="2:19" ht="15.75">
      <c r="B137" s="55" t="s">
        <v>910</v>
      </c>
      <c r="C137" s="56">
        <v>66</v>
      </c>
      <c r="D137" s="56">
        <v>5256.5625</v>
      </c>
      <c r="E137" s="294" t="s">
        <v>424</v>
      </c>
      <c r="F137" s="296">
        <v>15</v>
      </c>
      <c r="G137" s="61" t="s">
        <v>662</v>
      </c>
      <c r="Q137" s="430">
        <v>24000</v>
      </c>
      <c r="R137" s="431">
        <v>2.5</v>
      </c>
      <c r="S137" s="428">
        <v>0.09</v>
      </c>
    </row>
    <row r="138" spans="2:19" ht="15.75">
      <c r="B138" s="55" t="s">
        <v>970</v>
      </c>
      <c r="C138" s="56">
        <v>80</v>
      </c>
      <c r="D138" s="56">
        <v>5973.75</v>
      </c>
      <c r="E138" s="294" t="s">
        <v>424</v>
      </c>
      <c r="F138" s="296">
        <v>15</v>
      </c>
      <c r="G138" s="61" t="s">
        <v>708</v>
      </c>
      <c r="Q138" s="430">
        <v>24000</v>
      </c>
      <c r="R138" s="431">
        <v>2.5</v>
      </c>
      <c r="S138" s="428">
        <v>0.09</v>
      </c>
    </row>
    <row r="139" spans="2:19" ht="15.75">
      <c r="B139" s="55" t="s">
        <v>890</v>
      </c>
      <c r="C139" s="56">
        <v>90</v>
      </c>
      <c r="D139" s="56">
        <v>6969.375</v>
      </c>
      <c r="E139" s="294" t="s">
        <v>424</v>
      </c>
      <c r="F139" s="296">
        <v>15</v>
      </c>
      <c r="G139" s="61" t="s">
        <v>708</v>
      </c>
      <c r="Q139" s="430">
        <v>24000</v>
      </c>
      <c r="R139" s="431">
        <v>2.5</v>
      </c>
      <c r="S139" s="428">
        <v>0.09</v>
      </c>
    </row>
    <row r="140" spans="2:19" ht="15.75">
      <c r="B140" s="63" t="s">
        <v>274</v>
      </c>
      <c r="C140" s="56"/>
      <c r="D140" s="56"/>
      <c r="E140" s="294"/>
      <c r="F140" s="296"/>
      <c r="G140" s="61"/>
      <c r="Q140" s="428"/>
      <c r="R140" s="428"/>
      <c r="S140" s="428"/>
    </row>
    <row r="141" spans="2:19" ht="15.75">
      <c r="B141" s="55" t="s">
        <v>911</v>
      </c>
      <c r="C141" s="56">
        <v>63</v>
      </c>
      <c r="D141" s="56">
        <v>4410</v>
      </c>
      <c r="E141" s="294" t="s">
        <v>424</v>
      </c>
      <c r="F141" s="296">
        <v>15</v>
      </c>
      <c r="G141" s="61" t="s">
        <v>662</v>
      </c>
      <c r="Q141" s="430">
        <v>24000</v>
      </c>
      <c r="R141" s="431">
        <v>2.5</v>
      </c>
      <c r="S141" s="428">
        <v>0.09</v>
      </c>
    </row>
    <row r="142" spans="2:19" ht="15.75">
      <c r="B142" s="55" t="s">
        <v>912</v>
      </c>
      <c r="C142" s="56">
        <v>90</v>
      </c>
      <c r="D142" s="56">
        <v>7008.75</v>
      </c>
      <c r="E142" s="294" t="s">
        <v>424</v>
      </c>
      <c r="F142" s="296">
        <v>15</v>
      </c>
      <c r="G142" s="61" t="s">
        <v>662</v>
      </c>
      <c r="Q142" s="430">
        <v>24000</v>
      </c>
      <c r="R142" s="431">
        <v>2.5</v>
      </c>
      <c r="S142" s="428">
        <v>0.09</v>
      </c>
    </row>
    <row r="143" spans="2:19" ht="15.75">
      <c r="B143" s="55" t="s">
        <v>891</v>
      </c>
      <c r="C143" s="56">
        <v>98</v>
      </c>
      <c r="D143" s="56">
        <v>7728</v>
      </c>
      <c r="E143" s="294" t="s">
        <v>424</v>
      </c>
      <c r="F143" s="296">
        <v>15</v>
      </c>
      <c r="G143" s="61" t="s">
        <v>709</v>
      </c>
      <c r="Q143" s="430">
        <v>24000</v>
      </c>
      <c r="R143" s="431">
        <v>2.5</v>
      </c>
      <c r="S143" s="428">
        <v>0.09</v>
      </c>
    </row>
    <row r="144" spans="2:19" ht="15.75">
      <c r="B144" s="55" t="s">
        <v>891</v>
      </c>
      <c r="C144" s="56">
        <v>101</v>
      </c>
      <c r="D144" s="56">
        <v>7965</v>
      </c>
      <c r="E144" s="294" t="s">
        <v>424</v>
      </c>
      <c r="F144" s="296">
        <v>15</v>
      </c>
      <c r="G144" s="61" t="s">
        <v>709</v>
      </c>
      <c r="Q144" s="430">
        <v>24000</v>
      </c>
      <c r="R144" s="431">
        <v>2.5</v>
      </c>
      <c r="S144" s="428">
        <v>0.09</v>
      </c>
    </row>
    <row r="145" spans="2:19" ht="15.75">
      <c r="B145" s="55" t="s">
        <v>892</v>
      </c>
      <c r="C145" s="56">
        <v>114</v>
      </c>
      <c r="D145" s="56">
        <v>9292.5</v>
      </c>
      <c r="E145" s="294" t="s">
        <v>424</v>
      </c>
      <c r="F145" s="296">
        <v>15</v>
      </c>
      <c r="G145" s="61" t="s">
        <v>710</v>
      </c>
      <c r="Q145" s="430">
        <v>24000</v>
      </c>
      <c r="R145" s="431">
        <v>2.5</v>
      </c>
      <c r="S145" s="428">
        <v>0.09</v>
      </c>
    </row>
    <row r="146" spans="2:19" ht="15.75">
      <c r="B146" s="55" t="s">
        <v>893</v>
      </c>
      <c r="C146" s="56">
        <v>172</v>
      </c>
      <c r="D146" s="56">
        <v>13593.6</v>
      </c>
      <c r="E146" s="297" t="s">
        <v>425</v>
      </c>
      <c r="F146" s="298">
        <v>40</v>
      </c>
      <c r="G146" s="61" t="s">
        <v>726</v>
      </c>
      <c r="Q146" s="430">
        <v>24000</v>
      </c>
      <c r="R146" s="431">
        <v>2.5</v>
      </c>
      <c r="S146" s="428">
        <v>0.09</v>
      </c>
    </row>
    <row r="147" spans="2:19" ht="15.75">
      <c r="B147" s="63" t="s">
        <v>274</v>
      </c>
      <c r="C147" s="56"/>
      <c r="D147" s="56"/>
      <c r="E147" s="294"/>
      <c r="F147" s="296"/>
      <c r="G147" s="61"/>
      <c r="Q147" s="428"/>
      <c r="R147" s="428"/>
      <c r="S147" s="428"/>
    </row>
    <row r="148" spans="2:19" ht="15.75">
      <c r="B148" s="55" t="s">
        <v>894</v>
      </c>
      <c r="C148" s="56">
        <v>175</v>
      </c>
      <c r="D148" s="56">
        <v>13938.75</v>
      </c>
      <c r="E148" s="297" t="s">
        <v>425</v>
      </c>
      <c r="F148" s="298">
        <v>40</v>
      </c>
      <c r="G148" s="61" t="s">
        <v>662</v>
      </c>
      <c r="Q148" s="430">
        <v>24000</v>
      </c>
      <c r="R148" s="431">
        <v>2.5</v>
      </c>
      <c r="S148" s="428">
        <v>0.09</v>
      </c>
    </row>
    <row r="149" spans="2:19" ht="15.75">
      <c r="B149" s="55" t="s">
        <v>231</v>
      </c>
      <c r="C149" s="56">
        <v>228</v>
      </c>
      <c r="D149" s="56">
        <v>18797.4</v>
      </c>
      <c r="E149" s="297" t="s">
        <v>425</v>
      </c>
      <c r="F149" s="298">
        <v>40</v>
      </c>
      <c r="G149" s="61" t="s">
        <v>662</v>
      </c>
      <c r="Q149" s="430">
        <v>24000</v>
      </c>
      <c r="R149" s="431">
        <v>2.5</v>
      </c>
      <c r="S149" s="428">
        <v>0.09</v>
      </c>
    </row>
    <row r="150" spans="2:19" ht="31.5">
      <c r="B150" s="199" t="s">
        <v>933</v>
      </c>
      <c r="C150" s="56"/>
      <c r="D150" s="56"/>
      <c r="E150" s="294"/>
      <c r="F150" s="296"/>
      <c r="G150" s="61"/>
      <c r="I150" s="27" t="s">
        <v>115</v>
      </c>
      <c r="J150" s="33" t="s">
        <v>114</v>
      </c>
      <c r="K150" s="29" t="s">
        <v>117</v>
      </c>
      <c r="L150" s="30" t="s">
        <v>116</v>
      </c>
      <c r="M150" s="30" t="s">
        <v>589</v>
      </c>
      <c r="N150" s="74" t="s">
        <v>1201</v>
      </c>
      <c r="O150" s="74" t="s">
        <v>1202</v>
      </c>
      <c r="Q150" s="428"/>
      <c r="R150" s="428"/>
      <c r="S150" s="428"/>
    </row>
    <row r="151" spans="2:19" ht="15.75">
      <c r="B151" s="200" t="s">
        <v>739</v>
      </c>
      <c r="C151" s="56"/>
      <c r="D151" s="56"/>
      <c r="E151" s="294"/>
      <c r="F151" s="296"/>
      <c r="G151" s="61"/>
      <c r="N151" s="198" t="s">
        <v>738</v>
      </c>
      <c r="Q151" s="428"/>
      <c r="R151" s="428"/>
      <c r="S151" s="428"/>
    </row>
    <row r="152" spans="2:19" ht="15.75">
      <c r="B152" s="55" t="s">
        <v>922</v>
      </c>
      <c r="C152" s="56">
        <v>62</v>
      </c>
      <c r="D152" s="56">
        <f aca="true" t="shared" si="18" ref="D152:D158">I152*J152*K152*L152</f>
        <v>4750</v>
      </c>
      <c r="E152" s="297" t="s">
        <v>423</v>
      </c>
      <c r="F152" s="298">
        <v>8</v>
      </c>
      <c r="G152" s="61" t="s">
        <v>662</v>
      </c>
      <c r="I152" s="22">
        <v>1</v>
      </c>
      <c r="J152" s="67">
        <v>1</v>
      </c>
      <c r="K152" s="22">
        <v>5000</v>
      </c>
      <c r="L152" s="68">
        <v>0.95</v>
      </c>
      <c r="M152" s="27" t="s">
        <v>590</v>
      </c>
      <c r="N152" s="121">
        <f>J152*100/C152</f>
        <v>1.6129032258064515</v>
      </c>
      <c r="O152" s="74">
        <f>I152*K152*J152/C152</f>
        <v>80.64516129032258</v>
      </c>
      <c r="Q152" s="430">
        <v>20000</v>
      </c>
      <c r="R152" s="431">
        <v>8.22</v>
      </c>
      <c r="S152" s="428">
        <v>0.09</v>
      </c>
    </row>
    <row r="153" spans="2:19" ht="15.75">
      <c r="B153" s="55" t="s">
        <v>921</v>
      </c>
      <c r="C153" s="56">
        <v>118</v>
      </c>
      <c r="D153" s="56">
        <f t="shared" si="18"/>
        <v>9500</v>
      </c>
      <c r="E153" s="294" t="s">
        <v>885</v>
      </c>
      <c r="F153" s="296">
        <v>80</v>
      </c>
      <c r="G153" s="61" t="s">
        <v>662</v>
      </c>
      <c r="I153" s="22">
        <v>2</v>
      </c>
      <c r="J153" s="67">
        <v>1</v>
      </c>
      <c r="K153" s="22">
        <v>5000</v>
      </c>
      <c r="L153" s="68">
        <v>0.95</v>
      </c>
      <c r="M153" s="27" t="s">
        <v>590</v>
      </c>
      <c r="N153" s="74">
        <f>J153*100/C153</f>
        <v>0.847457627118644</v>
      </c>
      <c r="O153" s="74">
        <f>I153*K153*J153/C153</f>
        <v>84.7457627118644</v>
      </c>
      <c r="Q153" s="430">
        <v>20000</v>
      </c>
      <c r="R153" s="431">
        <v>8.22</v>
      </c>
      <c r="S153" s="428">
        <v>0.09</v>
      </c>
    </row>
    <row r="154" spans="2:19" ht="15.75">
      <c r="B154" s="55" t="s">
        <v>924</v>
      </c>
      <c r="C154" s="56">
        <v>179</v>
      </c>
      <c r="D154" s="56">
        <f t="shared" si="18"/>
        <v>14250</v>
      </c>
      <c r="E154" s="294" t="s">
        <v>420</v>
      </c>
      <c r="F154" s="296">
        <v>100</v>
      </c>
      <c r="G154" s="61" t="s">
        <v>662</v>
      </c>
      <c r="I154" s="22">
        <v>3</v>
      </c>
      <c r="J154" s="67">
        <v>1</v>
      </c>
      <c r="K154" s="22">
        <v>5000</v>
      </c>
      <c r="L154" s="68">
        <v>0.95</v>
      </c>
      <c r="M154" s="27" t="s">
        <v>590</v>
      </c>
      <c r="N154" s="121">
        <f>J154*100/C154</f>
        <v>0.5586592178770949</v>
      </c>
      <c r="O154" s="74">
        <f>I154*K154*J154/C154</f>
        <v>83.79888268156425</v>
      </c>
      <c r="Q154" s="430">
        <v>20000</v>
      </c>
      <c r="R154" s="431">
        <v>8.22</v>
      </c>
      <c r="S154" s="428">
        <v>0.09</v>
      </c>
    </row>
    <row r="155" spans="2:19" ht="15.75">
      <c r="B155" s="55" t="s">
        <v>923</v>
      </c>
      <c r="C155" s="56">
        <v>234</v>
      </c>
      <c r="D155" s="56">
        <f t="shared" si="18"/>
        <v>19000</v>
      </c>
      <c r="E155" s="294" t="s">
        <v>421</v>
      </c>
      <c r="F155" s="296">
        <v>120</v>
      </c>
      <c r="G155" s="61" t="s">
        <v>662</v>
      </c>
      <c r="I155" s="22">
        <v>4</v>
      </c>
      <c r="J155" s="67">
        <v>1</v>
      </c>
      <c r="K155" s="22">
        <v>5000</v>
      </c>
      <c r="L155" s="68">
        <v>0.95</v>
      </c>
      <c r="M155" s="27" t="s">
        <v>590</v>
      </c>
      <c r="N155" s="74">
        <f>J155*100/C155</f>
        <v>0.42735042735042733</v>
      </c>
      <c r="O155" s="74">
        <f>I155*K155*J155/C155</f>
        <v>85.47008547008546</v>
      </c>
      <c r="Q155" s="430">
        <v>20000</v>
      </c>
      <c r="R155" s="431">
        <v>8.22</v>
      </c>
      <c r="S155" s="428">
        <v>0.09</v>
      </c>
    </row>
    <row r="156" spans="2:19" ht="15.75">
      <c r="B156" s="55" t="s">
        <v>143</v>
      </c>
      <c r="C156" s="56">
        <v>298</v>
      </c>
      <c r="D156" s="56">
        <f t="shared" si="18"/>
        <v>23750</v>
      </c>
      <c r="E156" s="294" t="s">
        <v>422</v>
      </c>
      <c r="F156" s="296">
        <v>140</v>
      </c>
      <c r="G156" s="61" t="s">
        <v>662</v>
      </c>
      <c r="I156" s="22">
        <v>5</v>
      </c>
      <c r="J156" s="67">
        <v>1</v>
      </c>
      <c r="K156" s="22">
        <v>5000</v>
      </c>
      <c r="L156" s="68">
        <v>0.95</v>
      </c>
      <c r="M156" s="27" t="s">
        <v>590</v>
      </c>
      <c r="N156" s="121">
        <f>J156*100/C156</f>
        <v>0.33557046979865773</v>
      </c>
      <c r="O156" s="74">
        <f>I156*K156*J156/C156</f>
        <v>83.89261744966443</v>
      </c>
      <c r="Q156" s="430">
        <v>20000</v>
      </c>
      <c r="R156" s="431">
        <v>8.22</v>
      </c>
      <c r="S156" s="428">
        <v>0.09</v>
      </c>
    </row>
    <row r="157" spans="2:19" ht="15.75">
      <c r="B157" s="55" t="s">
        <v>925</v>
      </c>
      <c r="C157" s="56">
        <v>352</v>
      </c>
      <c r="D157" s="56">
        <f t="shared" si="18"/>
        <v>28500</v>
      </c>
      <c r="E157" s="294" t="s">
        <v>422</v>
      </c>
      <c r="F157" s="296">
        <v>140</v>
      </c>
      <c r="G157" s="61" t="s">
        <v>662</v>
      </c>
      <c r="I157" s="22">
        <v>6</v>
      </c>
      <c r="J157" s="67">
        <v>1</v>
      </c>
      <c r="K157" s="22">
        <v>5000</v>
      </c>
      <c r="L157" s="68">
        <v>0.95</v>
      </c>
      <c r="M157" s="27" t="s">
        <v>590</v>
      </c>
      <c r="Q157" s="430">
        <v>20000</v>
      </c>
      <c r="R157" s="431">
        <v>8.22</v>
      </c>
      <c r="S157" s="428">
        <v>0.09</v>
      </c>
    </row>
    <row r="158" spans="2:19" ht="15.75">
      <c r="B158" s="55" t="s">
        <v>926</v>
      </c>
      <c r="C158" s="56">
        <v>472</v>
      </c>
      <c r="D158" s="56">
        <f t="shared" si="18"/>
        <v>38000</v>
      </c>
      <c r="E158" s="294" t="s">
        <v>422</v>
      </c>
      <c r="F158" s="296">
        <v>140</v>
      </c>
      <c r="G158" s="61" t="s">
        <v>662</v>
      </c>
      <c r="I158" s="22">
        <v>8</v>
      </c>
      <c r="J158" s="67">
        <v>1</v>
      </c>
      <c r="K158" s="22">
        <v>5000</v>
      </c>
      <c r="L158" s="68">
        <v>0.95</v>
      </c>
      <c r="M158" s="27" t="s">
        <v>590</v>
      </c>
      <c r="Q158" s="430">
        <v>20000</v>
      </c>
      <c r="R158" s="431">
        <v>8.22</v>
      </c>
      <c r="S158" s="428">
        <v>0.09</v>
      </c>
    </row>
    <row r="159" spans="2:19" ht="15.75">
      <c r="B159" s="55" t="s">
        <v>605</v>
      </c>
      <c r="C159" s="56">
        <v>704</v>
      </c>
      <c r="D159" s="56">
        <f>I159*J159*K159*L159</f>
        <v>57000</v>
      </c>
      <c r="E159" s="294" t="s">
        <v>422</v>
      </c>
      <c r="F159" s="296">
        <v>140</v>
      </c>
      <c r="G159" s="61" t="s">
        <v>662</v>
      </c>
      <c r="I159" s="22">
        <v>12</v>
      </c>
      <c r="J159" s="67">
        <v>1</v>
      </c>
      <c r="K159" s="22">
        <v>5000</v>
      </c>
      <c r="L159" s="68">
        <v>0.95</v>
      </c>
      <c r="M159" s="27" t="s">
        <v>590</v>
      </c>
      <c r="Q159" s="430">
        <v>20000</v>
      </c>
      <c r="R159" s="431">
        <v>8.22</v>
      </c>
      <c r="S159" s="428">
        <v>0.09</v>
      </c>
    </row>
    <row r="160" spans="2:19" ht="15.75">
      <c r="B160" s="278" t="s">
        <v>883</v>
      </c>
      <c r="C160" s="56">
        <v>118</v>
      </c>
      <c r="D160" s="56">
        <f>I160*J160*K160*L160</f>
        <v>9500</v>
      </c>
      <c r="E160" s="294" t="s">
        <v>886</v>
      </c>
      <c r="F160" s="296">
        <v>25</v>
      </c>
      <c r="G160" s="61" t="s">
        <v>662</v>
      </c>
      <c r="I160" s="22">
        <v>2</v>
      </c>
      <c r="J160" s="67">
        <v>1</v>
      </c>
      <c r="K160" s="22">
        <v>5000</v>
      </c>
      <c r="L160" s="68">
        <v>0.95</v>
      </c>
      <c r="M160" s="27" t="s">
        <v>590</v>
      </c>
      <c r="N160" s="74">
        <f>J160*100/C160</f>
        <v>0.847457627118644</v>
      </c>
      <c r="O160" s="74">
        <f>I160*K160*J160/C160</f>
        <v>84.7457627118644</v>
      </c>
      <c r="Q160" s="430">
        <v>20000</v>
      </c>
      <c r="R160" s="431">
        <v>8.22</v>
      </c>
      <c r="S160" s="428">
        <v>0.09</v>
      </c>
    </row>
    <row r="161" spans="2:19" ht="15.75">
      <c r="B161" s="278" t="s">
        <v>884</v>
      </c>
      <c r="C161" s="56">
        <v>234</v>
      </c>
      <c r="D161" s="56">
        <f>I161*J161*K161*L161</f>
        <v>19000</v>
      </c>
      <c r="E161" s="294" t="s">
        <v>887</v>
      </c>
      <c r="F161" s="296">
        <v>50</v>
      </c>
      <c r="G161" s="61" t="s">
        <v>662</v>
      </c>
      <c r="I161" s="22">
        <v>4</v>
      </c>
      <c r="J161" s="67">
        <v>1</v>
      </c>
      <c r="K161" s="22">
        <v>5000</v>
      </c>
      <c r="L161" s="68">
        <v>0.95</v>
      </c>
      <c r="M161" s="27" t="s">
        <v>590</v>
      </c>
      <c r="N161" s="74">
        <f>J161*100/C161</f>
        <v>0.42735042735042733</v>
      </c>
      <c r="O161" s="74">
        <f>I161*K161*J161/C161</f>
        <v>85.47008547008546</v>
      </c>
      <c r="Q161" s="430">
        <v>20000</v>
      </c>
      <c r="R161" s="431">
        <v>8.22</v>
      </c>
      <c r="S161" s="428">
        <v>0.09</v>
      </c>
    </row>
    <row r="162" spans="2:19" ht="15.75">
      <c r="B162" s="59" t="s">
        <v>933</v>
      </c>
      <c r="C162" s="56"/>
      <c r="D162" s="56"/>
      <c r="E162" s="294"/>
      <c r="F162" s="296"/>
      <c r="G162" s="61"/>
      <c r="Q162" s="22"/>
      <c r="R162" s="22"/>
      <c r="S162" s="22"/>
    </row>
    <row r="163" spans="2:19" ht="15.75">
      <c r="B163" s="278" t="s">
        <v>12</v>
      </c>
      <c r="C163" s="56">
        <v>16</v>
      </c>
      <c r="D163" s="56">
        <v>765</v>
      </c>
      <c r="E163" s="294" t="s">
        <v>888</v>
      </c>
      <c r="F163" s="296">
        <v>30</v>
      </c>
      <c r="G163" s="61" t="s">
        <v>662</v>
      </c>
      <c r="Q163" s="430">
        <v>10000</v>
      </c>
      <c r="R163" s="431">
        <v>1.91</v>
      </c>
      <c r="S163" s="428">
        <v>0.09</v>
      </c>
    </row>
    <row r="164" spans="2:19" ht="15.75">
      <c r="B164" s="278" t="s">
        <v>15</v>
      </c>
      <c r="C164" s="56">
        <v>19</v>
      </c>
      <c r="D164" s="56">
        <v>1062.5</v>
      </c>
      <c r="E164" s="294" t="s">
        <v>888</v>
      </c>
      <c r="F164" s="296">
        <v>30</v>
      </c>
      <c r="G164" s="61" t="s">
        <v>662</v>
      </c>
      <c r="Q164" s="430">
        <v>10000</v>
      </c>
      <c r="R164" s="431">
        <v>1.91</v>
      </c>
      <c r="S164" s="428">
        <v>0.09</v>
      </c>
    </row>
    <row r="165" spans="2:19" ht="15.75">
      <c r="B165" s="278" t="s">
        <v>16</v>
      </c>
      <c r="C165" s="56">
        <v>27</v>
      </c>
      <c r="D165" s="56">
        <v>1530</v>
      </c>
      <c r="E165" s="294" t="s">
        <v>888</v>
      </c>
      <c r="F165" s="296">
        <v>30</v>
      </c>
      <c r="G165" s="61" t="s">
        <v>662</v>
      </c>
      <c r="Q165" s="430">
        <v>10000</v>
      </c>
      <c r="R165" s="431">
        <v>3.3</v>
      </c>
      <c r="S165" s="428">
        <v>0.09</v>
      </c>
    </row>
    <row r="166" spans="2:19" ht="15.75">
      <c r="B166" s="278" t="s">
        <v>17</v>
      </c>
      <c r="C166" s="56">
        <v>33</v>
      </c>
      <c r="D166" s="56">
        <v>2040</v>
      </c>
      <c r="E166" s="294" t="s">
        <v>888</v>
      </c>
      <c r="F166" s="296">
        <v>30</v>
      </c>
      <c r="G166" s="61" t="s">
        <v>662</v>
      </c>
      <c r="Q166" s="430">
        <v>10000</v>
      </c>
      <c r="R166" s="431">
        <v>5.2</v>
      </c>
      <c r="S166" s="428">
        <v>0.09</v>
      </c>
    </row>
    <row r="167" spans="2:19" ht="15.75">
      <c r="B167" s="278" t="s">
        <v>18</v>
      </c>
      <c r="C167" s="56">
        <v>43</v>
      </c>
      <c r="D167" s="56">
        <v>2720</v>
      </c>
      <c r="E167" s="294" t="s">
        <v>888</v>
      </c>
      <c r="F167" s="296">
        <v>30</v>
      </c>
      <c r="G167" s="61" t="s">
        <v>662</v>
      </c>
      <c r="Q167" s="430">
        <v>10000</v>
      </c>
      <c r="R167" s="431">
        <v>5.5</v>
      </c>
      <c r="S167" s="428">
        <v>0.09</v>
      </c>
    </row>
    <row r="168" spans="2:19" ht="15.75">
      <c r="B168" s="278" t="s">
        <v>19</v>
      </c>
      <c r="C168" s="56">
        <v>54</v>
      </c>
      <c r="D168" s="56">
        <v>2677.5</v>
      </c>
      <c r="E168" s="294" t="s">
        <v>889</v>
      </c>
      <c r="F168" s="296">
        <v>50</v>
      </c>
      <c r="G168" s="61" t="s">
        <v>662</v>
      </c>
      <c r="Q168" s="430">
        <v>10000</v>
      </c>
      <c r="R168" s="431">
        <v>8</v>
      </c>
      <c r="S168" s="428">
        <v>0.09</v>
      </c>
    </row>
    <row r="169" spans="2:19" ht="15.75">
      <c r="B169" s="278" t="s">
        <v>20</v>
      </c>
      <c r="C169" s="56">
        <v>63</v>
      </c>
      <c r="D169" s="56">
        <v>3213</v>
      </c>
      <c r="E169" s="294" t="s">
        <v>889</v>
      </c>
      <c r="F169" s="296">
        <v>50</v>
      </c>
      <c r="G169" s="61" t="s">
        <v>662</v>
      </c>
      <c r="Q169" s="430">
        <v>10000</v>
      </c>
      <c r="R169" s="431">
        <v>8</v>
      </c>
      <c r="S169" s="428">
        <v>0.09</v>
      </c>
    </row>
    <row r="170" spans="2:19" ht="15.75">
      <c r="B170" s="278" t="s">
        <v>21</v>
      </c>
      <c r="C170" s="56">
        <v>82</v>
      </c>
      <c r="D170" s="56">
        <v>4207.5</v>
      </c>
      <c r="E170" s="294" t="s">
        <v>889</v>
      </c>
      <c r="F170" s="296">
        <v>50</v>
      </c>
      <c r="G170" s="61" t="s">
        <v>662</v>
      </c>
      <c r="Q170" s="430">
        <v>10000</v>
      </c>
      <c r="R170" s="431">
        <v>8</v>
      </c>
      <c r="S170" s="428">
        <v>0.09</v>
      </c>
    </row>
    <row r="171" spans="2:19" ht="15.75">
      <c r="B171" s="63" t="s">
        <v>274</v>
      </c>
      <c r="C171" s="56"/>
      <c r="D171" s="56"/>
      <c r="E171" s="294"/>
      <c r="F171" s="296"/>
      <c r="G171" s="61"/>
      <c r="Q171" s="430"/>
      <c r="R171" s="431"/>
      <c r="S171" s="428"/>
    </row>
    <row r="172" spans="2:19" ht="15.75">
      <c r="B172" s="278" t="s">
        <v>22</v>
      </c>
      <c r="C172" s="56">
        <v>14</v>
      </c>
      <c r="D172" s="56">
        <v>475.83</v>
      </c>
      <c r="E172" s="294" t="s">
        <v>888</v>
      </c>
      <c r="F172" s="296">
        <v>30</v>
      </c>
      <c r="G172" s="61" t="s">
        <v>662</v>
      </c>
      <c r="Q172" s="430">
        <v>10000</v>
      </c>
      <c r="R172" s="431">
        <v>1.91</v>
      </c>
      <c r="S172" s="428">
        <v>0.09</v>
      </c>
    </row>
    <row r="173" spans="2:19" ht="15.75">
      <c r="B173" s="278" t="s">
        <v>23</v>
      </c>
      <c r="C173" s="56">
        <v>18</v>
      </c>
      <c r="D173" s="56">
        <v>691.56</v>
      </c>
      <c r="E173" s="294" t="s">
        <v>888</v>
      </c>
      <c r="F173" s="296">
        <v>30</v>
      </c>
      <c r="G173" s="61" t="s">
        <v>662</v>
      </c>
      <c r="Q173" s="430">
        <v>10000</v>
      </c>
      <c r="R173" s="431">
        <v>1.91</v>
      </c>
      <c r="S173" s="428">
        <v>0.09</v>
      </c>
    </row>
    <row r="174" spans="2:19" ht="15.75">
      <c r="B174" s="278" t="s">
        <v>24</v>
      </c>
      <c r="C174" s="56">
        <v>22</v>
      </c>
      <c r="D174" s="56">
        <v>908.82</v>
      </c>
      <c r="E174" s="294" t="s">
        <v>888</v>
      </c>
      <c r="F174" s="296">
        <v>30</v>
      </c>
      <c r="G174" s="61" t="s">
        <v>662</v>
      </c>
      <c r="Q174" s="430">
        <v>10000</v>
      </c>
      <c r="R174" s="431">
        <v>1.91</v>
      </c>
      <c r="S174" s="428">
        <v>0.09</v>
      </c>
    </row>
    <row r="175" spans="2:19" ht="15.75">
      <c r="B175" s="278" t="s">
        <v>25</v>
      </c>
      <c r="C175" s="56">
        <v>29</v>
      </c>
      <c r="D175" s="56">
        <v>1530</v>
      </c>
      <c r="E175" s="294" t="s">
        <v>888</v>
      </c>
      <c r="F175" s="296">
        <v>30</v>
      </c>
      <c r="G175" s="61" t="s">
        <v>662</v>
      </c>
      <c r="Q175" s="430">
        <v>10000</v>
      </c>
      <c r="R175" s="431">
        <v>1.91</v>
      </c>
      <c r="S175" s="428">
        <v>0.09</v>
      </c>
    </row>
    <row r="176" spans="2:19" ht="15.75">
      <c r="B176" s="278" t="s">
        <v>26</v>
      </c>
      <c r="C176" s="56">
        <v>35</v>
      </c>
      <c r="D176" s="56">
        <v>2125</v>
      </c>
      <c r="E176" s="294" t="s">
        <v>888</v>
      </c>
      <c r="F176" s="296">
        <v>30</v>
      </c>
      <c r="G176" s="61" t="s">
        <v>662</v>
      </c>
      <c r="Q176" s="430">
        <v>10000</v>
      </c>
      <c r="R176" s="431">
        <v>1.91</v>
      </c>
      <c r="S176" s="428">
        <v>0.09</v>
      </c>
    </row>
    <row r="177" spans="2:19" ht="15.75">
      <c r="B177" s="278" t="s">
        <v>27</v>
      </c>
      <c r="C177" s="56">
        <v>52</v>
      </c>
      <c r="D177" s="56">
        <v>3060</v>
      </c>
      <c r="E177" s="294" t="s">
        <v>889</v>
      </c>
      <c r="F177" s="296">
        <v>50</v>
      </c>
      <c r="G177" s="61" t="s">
        <v>662</v>
      </c>
      <c r="Q177" s="430">
        <v>10000</v>
      </c>
      <c r="R177" s="431">
        <v>3.3</v>
      </c>
      <c r="S177" s="428">
        <v>0.09</v>
      </c>
    </row>
    <row r="178" spans="2:19" ht="15.75">
      <c r="B178" s="278" t="s">
        <v>28</v>
      </c>
      <c r="C178" s="56">
        <v>58</v>
      </c>
      <c r="D178" s="56">
        <v>2965.14</v>
      </c>
      <c r="E178" s="294" t="s">
        <v>889</v>
      </c>
      <c r="F178" s="296">
        <v>50</v>
      </c>
      <c r="G178" s="61" t="s">
        <v>662</v>
      </c>
      <c r="Q178" s="430">
        <v>10000</v>
      </c>
      <c r="R178" s="431">
        <v>3.3</v>
      </c>
      <c r="S178" s="428">
        <v>0.09</v>
      </c>
    </row>
    <row r="179" spans="2:19" ht="15.75">
      <c r="B179" s="278" t="s">
        <v>29</v>
      </c>
      <c r="C179" s="56">
        <v>64</v>
      </c>
      <c r="D179" s="56">
        <v>3398.13</v>
      </c>
      <c r="E179" s="294" t="s">
        <v>889</v>
      </c>
      <c r="F179" s="296">
        <v>50</v>
      </c>
      <c r="G179" s="61" t="s">
        <v>662</v>
      </c>
      <c r="Q179" s="430">
        <v>10000</v>
      </c>
      <c r="R179" s="431">
        <v>5.2</v>
      </c>
      <c r="S179" s="428">
        <v>0.09</v>
      </c>
    </row>
    <row r="180" spans="2:19" ht="15.75">
      <c r="B180" s="278" t="s">
        <v>30</v>
      </c>
      <c r="C180" s="56">
        <v>68</v>
      </c>
      <c r="D180" s="56">
        <v>4080</v>
      </c>
      <c r="E180" s="294" t="s">
        <v>889</v>
      </c>
      <c r="F180" s="296">
        <v>50</v>
      </c>
      <c r="G180" s="61" t="s">
        <v>662</v>
      </c>
      <c r="Q180" s="430">
        <v>10000</v>
      </c>
      <c r="R180" s="431">
        <v>5.2</v>
      </c>
      <c r="S180" s="428">
        <v>0.09</v>
      </c>
    </row>
    <row r="181" spans="2:19" ht="15.75">
      <c r="B181" s="278" t="s">
        <v>31</v>
      </c>
      <c r="C181" s="56">
        <v>93</v>
      </c>
      <c r="D181" s="56">
        <v>5440</v>
      </c>
      <c r="E181" s="294" t="s">
        <v>889</v>
      </c>
      <c r="F181" s="296">
        <v>50</v>
      </c>
      <c r="G181" s="61" t="s">
        <v>662</v>
      </c>
      <c r="Q181" s="430">
        <v>10000</v>
      </c>
      <c r="R181" s="431">
        <v>5.5</v>
      </c>
      <c r="S181" s="428">
        <v>0.09</v>
      </c>
    </row>
    <row r="182" spans="2:19" ht="15.75">
      <c r="B182" s="63" t="s">
        <v>274</v>
      </c>
      <c r="C182" s="56"/>
      <c r="D182" s="56"/>
      <c r="E182" s="294"/>
      <c r="F182" s="296"/>
      <c r="G182" s="61"/>
      <c r="Q182" s="430"/>
      <c r="R182" s="431"/>
      <c r="S182" s="428"/>
    </row>
    <row r="183" spans="2:19" ht="15.75">
      <c r="B183" s="278" t="s">
        <v>32</v>
      </c>
      <c r="C183" s="56">
        <v>15</v>
      </c>
      <c r="D183" s="56">
        <v>803.25</v>
      </c>
      <c r="E183" s="294" t="s">
        <v>888</v>
      </c>
      <c r="F183" s="296">
        <v>30</v>
      </c>
      <c r="G183" s="61" t="s">
        <v>662</v>
      </c>
      <c r="Q183" s="430">
        <v>10000</v>
      </c>
      <c r="R183" s="431">
        <v>15.77</v>
      </c>
      <c r="S183" s="428">
        <v>0.09</v>
      </c>
    </row>
    <row r="184" spans="2:19" ht="15.75">
      <c r="B184" s="278" t="s">
        <v>33</v>
      </c>
      <c r="C184" s="56">
        <v>21</v>
      </c>
      <c r="D184" s="56">
        <v>1032.75</v>
      </c>
      <c r="E184" s="294" t="s">
        <v>888</v>
      </c>
      <c r="F184" s="296">
        <v>30</v>
      </c>
      <c r="G184" s="61" t="s">
        <v>662</v>
      </c>
      <c r="Q184" s="430">
        <v>10000</v>
      </c>
      <c r="R184" s="431">
        <v>10.5</v>
      </c>
      <c r="S184" s="428">
        <v>0.09</v>
      </c>
    </row>
    <row r="185" spans="2:19" ht="15.75">
      <c r="B185" s="278" t="s">
        <v>34</v>
      </c>
      <c r="C185" s="56">
        <v>28</v>
      </c>
      <c r="D185" s="56">
        <v>1568.25</v>
      </c>
      <c r="E185" s="294" t="s">
        <v>888</v>
      </c>
      <c r="F185" s="296">
        <v>30</v>
      </c>
      <c r="G185" s="61" t="s">
        <v>662</v>
      </c>
      <c r="Q185" s="430">
        <v>10000</v>
      </c>
      <c r="R185" s="432">
        <v>12.55</v>
      </c>
      <c r="S185" s="428">
        <v>0.09</v>
      </c>
    </row>
    <row r="186" spans="2:19" ht="15.75">
      <c r="B186" s="278" t="s">
        <v>35</v>
      </c>
      <c r="C186" s="56">
        <v>37</v>
      </c>
      <c r="D186" s="56">
        <v>2180.25</v>
      </c>
      <c r="E186" s="294" t="s">
        <v>888</v>
      </c>
      <c r="F186" s="296">
        <v>30</v>
      </c>
      <c r="G186" s="61" t="s">
        <v>662</v>
      </c>
      <c r="Q186" s="430">
        <v>10000</v>
      </c>
      <c r="R186" s="431">
        <v>13.28</v>
      </c>
      <c r="S186" s="428">
        <v>0.09</v>
      </c>
    </row>
    <row r="187" spans="2:19" ht="15.75">
      <c r="B187" s="63" t="s">
        <v>274</v>
      </c>
      <c r="C187" s="56"/>
      <c r="D187" s="56"/>
      <c r="E187" s="294"/>
      <c r="F187" s="296"/>
      <c r="G187" s="61"/>
      <c r="Q187" s="430"/>
      <c r="R187" s="431"/>
      <c r="S187" s="428"/>
    </row>
    <row r="188" spans="2:19" ht="15.75">
      <c r="B188" s="278" t="s">
        <v>36</v>
      </c>
      <c r="C188" s="56">
        <v>30</v>
      </c>
      <c r="D188" s="56">
        <v>1606.5</v>
      </c>
      <c r="E188" s="294" t="s">
        <v>888</v>
      </c>
      <c r="F188" s="296">
        <v>30</v>
      </c>
      <c r="G188" s="61" t="s">
        <v>662</v>
      </c>
      <c r="Q188" s="430">
        <v>10000</v>
      </c>
      <c r="R188" s="431">
        <v>15.77</v>
      </c>
      <c r="S188" s="428">
        <v>0.09</v>
      </c>
    </row>
    <row r="189" spans="2:19" s="28" customFormat="1" ht="15.75">
      <c r="B189" s="278" t="s">
        <v>37</v>
      </c>
      <c r="C189" s="56">
        <v>42</v>
      </c>
      <c r="D189" s="56">
        <v>2065.5</v>
      </c>
      <c r="E189" s="294" t="s">
        <v>888</v>
      </c>
      <c r="F189" s="296">
        <v>30</v>
      </c>
      <c r="G189" s="61" t="s">
        <v>662</v>
      </c>
      <c r="H189" s="1"/>
      <c r="I189" s="1"/>
      <c r="J189" s="32"/>
      <c r="K189" s="1"/>
      <c r="L189" s="1"/>
      <c r="N189" s="75"/>
      <c r="O189" s="75"/>
      <c r="Q189" s="430">
        <v>10000</v>
      </c>
      <c r="R189" s="431">
        <v>10.5</v>
      </c>
      <c r="S189" s="428">
        <v>0.09</v>
      </c>
    </row>
    <row r="190" spans="2:19" ht="15.75">
      <c r="B190" s="299" t="s">
        <v>38</v>
      </c>
      <c r="C190" s="53">
        <v>56</v>
      </c>
      <c r="D190" s="53">
        <v>3136.5</v>
      </c>
      <c r="E190" s="294" t="s">
        <v>889</v>
      </c>
      <c r="F190" s="296">
        <v>50</v>
      </c>
      <c r="G190" s="60" t="s">
        <v>662</v>
      </c>
      <c r="Q190" s="430">
        <v>10000</v>
      </c>
      <c r="R190" s="432">
        <v>12.55</v>
      </c>
      <c r="S190" s="428">
        <v>0.09</v>
      </c>
    </row>
    <row r="191" spans="2:19" ht="15.75">
      <c r="B191" s="278" t="s">
        <v>39</v>
      </c>
      <c r="C191" s="56">
        <v>74</v>
      </c>
      <c r="D191" s="56">
        <v>4360.5</v>
      </c>
      <c r="E191" s="294" t="s">
        <v>889</v>
      </c>
      <c r="F191" s="296">
        <v>50</v>
      </c>
      <c r="G191" s="61" t="s">
        <v>662</v>
      </c>
      <c r="Q191" s="430">
        <v>10000</v>
      </c>
      <c r="R191" s="431">
        <v>13.28</v>
      </c>
      <c r="S191" s="428">
        <v>0.09</v>
      </c>
    </row>
    <row r="192" spans="2:19" ht="15.75">
      <c r="B192" s="59" t="s">
        <v>933</v>
      </c>
      <c r="C192" s="56"/>
      <c r="D192" s="56"/>
      <c r="E192" s="294"/>
      <c r="F192" s="296"/>
      <c r="G192" s="61"/>
      <c r="Q192" s="430"/>
      <c r="R192" s="431"/>
      <c r="S192" s="428"/>
    </row>
    <row r="193" spans="2:19" ht="15.75">
      <c r="B193" s="55" t="s">
        <v>578</v>
      </c>
      <c r="C193" s="56">
        <v>28</v>
      </c>
      <c r="D193" s="56">
        <v>1100</v>
      </c>
      <c r="E193" s="294" t="s">
        <v>45</v>
      </c>
      <c r="F193" s="296">
        <v>50</v>
      </c>
      <c r="G193" s="61" t="s">
        <v>659</v>
      </c>
      <c r="Q193" s="430">
        <v>9000</v>
      </c>
      <c r="R193" s="431">
        <v>43.25</v>
      </c>
      <c r="S193" s="428">
        <v>0.15</v>
      </c>
    </row>
    <row r="194" spans="2:19" ht="15.75">
      <c r="B194" s="55" t="s">
        <v>409</v>
      </c>
      <c r="C194" s="56">
        <v>45</v>
      </c>
      <c r="D194" s="56">
        <v>2600</v>
      </c>
      <c r="E194" s="294" t="s">
        <v>45</v>
      </c>
      <c r="F194" s="296">
        <v>50</v>
      </c>
      <c r="G194" s="61" t="s">
        <v>659</v>
      </c>
      <c r="Q194" s="430">
        <v>9000</v>
      </c>
      <c r="R194" s="431">
        <v>43.25</v>
      </c>
      <c r="S194" s="428">
        <v>0.15</v>
      </c>
    </row>
    <row r="195" spans="2:19" ht="15.75">
      <c r="B195" s="55" t="s">
        <v>410</v>
      </c>
      <c r="C195" s="56">
        <v>80</v>
      </c>
      <c r="D195" s="56">
        <v>5200</v>
      </c>
      <c r="E195" s="294" t="s">
        <v>45</v>
      </c>
      <c r="F195" s="296">
        <v>50</v>
      </c>
      <c r="G195" s="61" t="s">
        <v>659</v>
      </c>
      <c r="Q195" s="430">
        <v>20000</v>
      </c>
      <c r="R195" s="431">
        <v>43.25</v>
      </c>
      <c r="S195" s="428">
        <v>0.15</v>
      </c>
    </row>
    <row r="196" spans="2:19" ht="15.75">
      <c r="B196" s="55" t="s">
        <v>411</v>
      </c>
      <c r="C196" s="56">
        <v>168</v>
      </c>
      <c r="D196" s="56">
        <v>10200</v>
      </c>
      <c r="E196" s="294" t="s">
        <v>46</v>
      </c>
      <c r="F196" s="296">
        <v>80</v>
      </c>
      <c r="G196" s="61" t="s">
        <v>659</v>
      </c>
      <c r="Q196" s="430">
        <v>20000</v>
      </c>
      <c r="R196" s="431">
        <v>43.25</v>
      </c>
      <c r="S196" s="428">
        <v>0.15</v>
      </c>
    </row>
    <row r="197" spans="2:19" ht="15.75">
      <c r="B197" s="55" t="s">
        <v>460</v>
      </c>
      <c r="C197" s="56">
        <v>55</v>
      </c>
      <c r="D197" s="56">
        <v>2640</v>
      </c>
      <c r="E197" s="294" t="s">
        <v>45</v>
      </c>
      <c r="F197" s="296">
        <v>50</v>
      </c>
      <c r="G197" s="61" t="s">
        <v>658</v>
      </c>
      <c r="Q197" s="430">
        <v>9000</v>
      </c>
      <c r="R197" s="431">
        <v>43.25</v>
      </c>
      <c r="S197" s="428">
        <v>0.15</v>
      </c>
    </row>
    <row r="198" spans="2:19" ht="15.75">
      <c r="B198" s="55" t="s">
        <v>459</v>
      </c>
      <c r="C198" s="56">
        <v>80</v>
      </c>
      <c r="D198" s="56">
        <v>4700</v>
      </c>
      <c r="E198" s="294" t="s">
        <v>45</v>
      </c>
      <c r="F198" s="296">
        <v>50</v>
      </c>
      <c r="G198" s="61" t="s">
        <v>658</v>
      </c>
      <c r="Q198" s="430">
        <v>20000</v>
      </c>
      <c r="R198" s="431">
        <v>43.25</v>
      </c>
      <c r="S198" s="428">
        <v>0.15</v>
      </c>
    </row>
    <row r="199" spans="2:19" ht="15.75">
      <c r="B199" s="55" t="s">
        <v>308</v>
      </c>
      <c r="C199" s="56">
        <v>112</v>
      </c>
      <c r="D199" s="56">
        <v>6800</v>
      </c>
      <c r="E199" s="294" t="s">
        <v>45</v>
      </c>
      <c r="F199" s="296">
        <v>50</v>
      </c>
      <c r="G199" s="61" t="s">
        <v>658</v>
      </c>
      <c r="Q199" s="430">
        <v>20000</v>
      </c>
      <c r="R199" s="431">
        <v>43.25</v>
      </c>
      <c r="S199" s="428">
        <v>0.15</v>
      </c>
    </row>
    <row r="200" spans="2:19" ht="15.75">
      <c r="B200" s="55" t="s">
        <v>309</v>
      </c>
      <c r="C200" s="56">
        <v>168</v>
      </c>
      <c r="D200" s="56">
        <v>9920</v>
      </c>
      <c r="E200" s="294" t="s">
        <v>46</v>
      </c>
      <c r="F200" s="296">
        <v>80</v>
      </c>
      <c r="G200" s="61" t="s">
        <v>658</v>
      </c>
      <c r="Q200" s="430">
        <v>20000</v>
      </c>
      <c r="R200" s="431">
        <v>43.25</v>
      </c>
      <c r="S200" s="428">
        <v>0.15</v>
      </c>
    </row>
    <row r="201" spans="2:19" ht="15.75">
      <c r="B201" s="55" t="s">
        <v>1193</v>
      </c>
      <c r="C201" s="56">
        <v>45</v>
      </c>
      <c r="D201" s="56">
        <v>1600</v>
      </c>
      <c r="E201" s="294" t="s">
        <v>45</v>
      </c>
      <c r="F201" s="296">
        <v>50</v>
      </c>
      <c r="G201" s="61" t="s">
        <v>659</v>
      </c>
      <c r="Q201" s="430">
        <v>9000</v>
      </c>
      <c r="R201" s="431">
        <v>43.25</v>
      </c>
      <c r="S201" s="428">
        <v>0.15</v>
      </c>
    </row>
    <row r="202" spans="2:19" ht="15.75">
      <c r="B202" s="55" t="s">
        <v>403</v>
      </c>
      <c r="C202" s="56">
        <v>80</v>
      </c>
      <c r="D202" s="56">
        <v>3840</v>
      </c>
      <c r="E202" s="294" t="s">
        <v>45</v>
      </c>
      <c r="F202" s="296">
        <v>50</v>
      </c>
      <c r="G202" s="61" t="s">
        <v>659</v>
      </c>
      <c r="Q202" s="430">
        <v>20000</v>
      </c>
      <c r="R202" s="431">
        <v>43.25</v>
      </c>
      <c r="S202" s="428">
        <v>0.15</v>
      </c>
    </row>
    <row r="203" spans="2:19" ht="15.75">
      <c r="B203" s="55" t="s">
        <v>408</v>
      </c>
      <c r="C203" s="56">
        <v>112</v>
      </c>
      <c r="D203" s="56">
        <v>5440</v>
      </c>
      <c r="E203" s="294" t="s">
        <v>45</v>
      </c>
      <c r="F203" s="296">
        <v>50</v>
      </c>
      <c r="G203" s="61" t="s">
        <v>659</v>
      </c>
      <c r="Q203" s="430">
        <v>20000</v>
      </c>
      <c r="R203" s="431">
        <v>43.25</v>
      </c>
      <c r="S203" s="428">
        <v>0.15</v>
      </c>
    </row>
    <row r="204" spans="2:19" ht="15.75">
      <c r="B204" s="59" t="s">
        <v>933</v>
      </c>
      <c r="C204" s="56"/>
      <c r="D204" s="56"/>
      <c r="E204" s="294"/>
      <c r="F204" s="296"/>
      <c r="G204" s="61"/>
      <c r="Q204" s="430"/>
      <c r="R204" s="431"/>
      <c r="S204" s="428"/>
    </row>
    <row r="205" spans="2:19" ht="15.75">
      <c r="B205" s="55" t="s">
        <v>155</v>
      </c>
      <c r="C205" s="56">
        <v>3</v>
      </c>
      <c r="D205" s="56">
        <v>128</v>
      </c>
      <c r="E205" s="294" t="s">
        <v>40</v>
      </c>
      <c r="F205" s="296">
        <v>3</v>
      </c>
      <c r="G205" s="61" t="s">
        <v>662</v>
      </c>
      <c r="Q205" s="430">
        <v>10000</v>
      </c>
      <c r="R205" s="431">
        <v>4</v>
      </c>
      <c r="S205" s="428">
        <v>0.09</v>
      </c>
    </row>
    <row r="206" spans="2:19" ht="15.75">
      <c r="B206" s="55" t="s">
        <v>156</v>
      </c>
      <c r="C206" s="56">
        <v>5</v>
      </c>
      <c r="D206" s="56">
        <v>213</v>
      </c>
      <c r="E206" s="294" t="s">
        <v>40</v>
      </c>
      <c r="F206" s="296">
        <v>3</v>
      </c>
      <c r="G206" s="61" t="s">
        <v>662</v>
      </c>
      <c r="Q206" s="430">
        <v>10000</v>
      </c>
      <c r="R206" s="431">
        <v>4</v>
      </c>
      <c r="S206" s="428">
        <v>0.09</v>
      </c>
    </row>
    <row r="207" spans="2:19" ht="15.75">
      <c r="B207" s="55" t="s">
        <v>157</v>
      </c>
      <c r="C207" s="56">
        <v>7</v>
      </c>
      <c r="D207" s="56">
        <v>298</v>
      </c>
      <c r="E207" s="294" t="s">
        <v>40</v>
      </c>
      <c r="F207" s="296">
        <v>3</v>
      </c>
      <c r="G207" s="61" t="s">
        <v>662</v>
      </c>
      <c r="Q207" s="430">
        <v>10000</v>
      </c>
      <c r="R207" s="431">
        <v>4</v>
      </c>
      <c r="S207" s="428">
        <v>0.09</v>
      </c>
    </row>
    <row r="208" spans="2:19" ht="15.75">
      <c r="B208" s="55" t="s">
        <v>512</v>
      </c>
      <c r="C208" s="56">
        <v>7</v>
      </c>
      <c r="D208" s="56">
        <v>327</v>
      </c>
      <c r="E208" s="294" t="s">
        <v>40</v>
      </c>
      <c r="F208" s="296">
        <v>3</v>
      </c>
      <c r="G208" s="61" t="s">
        <v>662</v>
      </c>
      <c r="Q208" s="430">
        <v>10000</v>
      </c>
      <c r="R208" s="431">
        <v>4</v>
      </c>
      <c r="S208" s="428">
        <v>0.09</v>
      </c>
    </row>
    <row r="209" spans="2:19" ht="15.75">
      <c r="B209" s="55" t="s">
        <v>515</v>
      </c>
      <c r="C209" s="56">
        <v>9</v>
      </c>
      <c r="D209" s="56">
        <v>383</v>
      </c>
      <c r="E209" s="294" t="s">
        <v>40</v>
      </c>
      <c r="F209" s="296">
        <v>3</v>
      </c>
      <c r="G209" s="61" t="s">
        <v>662</v>
      </c>
      <c r="Q209" s="430">
        <v>10000</v>
      </c>
      <c r="R209" s="431">
        <v>4</v>
      </c>
      <c r="S209" s="428">
        <v>0.09</v>
      </c>
    </row>
    <row r="210" spans="2:19" ht="15.75">
      <c r="B210" s="55" t="s">
        <v>193</v>
      </c>
      <c r="C210" s="56">
        <v>9</v>
      </c>
      <c r="D210" s="56">
        <v>421</v>
      </c>
      <c r="E210" s="294" t="s">
        <v>40</v>
      </c>
      <c r="F210" s="296">
        <v>3</v>
      </c>
      <c r="G210" s="61" t="s">
        <v>662</v>
      </c>
      <c r="Q210" s="430">
        <v>10000</v>
      </c>
      <c r="R210" s="431">
        <v>4</v>
      </c>
      <c r="S210" s="428">
        <v>0.09</v>
      </c>
    </row>
    <row r="211" spans="2:19" ht="15.75">
      <c r="B211" s="55" t="s">
        <v>158</v>
      </c>
      <c r="C211" s="56">
        <v>10</v>
      </c>
      <c r="D211" s="56">
        <v>450</v>
      </c>
      <c r="E211" s="294" t="s">
        <v>40</v>
      </c>
      <c r="F211" s="296">
        <v>3</v>
      </c>
      <c r="G211" s="61" t="s">
        <v>662</v>
      </c>
      <c r="Q211" s="430">
        <v>10000</v>
      </c>
      <c r="R211" s="431">
        <v>4</v>
      </c>
      <c r="S211" s="428">
        <v>0.09</v>
      </c>
    </row>
    <row r="212" spans="2:19" ht="15.75">
      <c r="B212" s="55" t="s">
        <v>516</v>
      </c>
      <c r="C212" s="56">
        <v>11</v>
      </c>
      <c r="D212" s="56">
        <v>468</v>
      </c>
      <c r="E212" s="294" t="s">
        <v>40</v>
      </c>
      <c r="F212" s="296">
        <v>3</v>
      </c>
      <c r="G212" s="61" t="s">
        <v>662</v>
      </c>
      <c r="Q212" s="430">
        <v>10000</v>
      </c>
      <c r="R212" s="431">
        <v>4</v>
      </c>
      <c r="S212" s="428">
        <v>0.09</v>
      </c>
    </row>
    <row r="213" spans="2:19" ht="15.75">
      <c r="B213" s="55" t="s">
        <v>192</v>
      </c>
      <c r="C213" s="56">
        <v>11</v>
      </c>
      <c r="D213" s="56">
        <v>550</v>
      </c>
      <c r="E213" s="294" t="s">
        <v>40</v>
      </c>
      <c r="F213" s="296">
        <v>3</v>
      </c>
      <c r="G213" s="61" t="s">
        <v>662</v>
      </c>
      <c r="Q213" s="430">
        <v>10000</v>
      </c>
      <c r="R213" s="431">
        <v>4</v>
      </c>
      <c r="S213" s="428">
        <v>0.09</v>
      </c>
    </row>
    <row r="214" spans="2:19" ht="15.75">
      <c r="B214" s="55" t="s">
        <v>191</v>
      </c>
      <c r="C214" s="56">
        <v>13</v>
      </c>
      <c r="D214" s="56">
        <v>680</v>
      </c>
      <c r="E214" s="294" t="s">
        <v>40</v>
      </c>
      <c r="F214" s="296">
        <v>3</v>
      </c>
      <c r="G214" s="61" t="s">
        <v>662</v>
      </c>
      <c r="Q214" s="430">
        <v>10000</v>
      </c>
      <c r="R214" s="431">
        <v>4</v>
      </c>
      <c r="S214" s="428">
        <v>0.09</v>
      </c>
    </row>
    <row r="215" spans="2:19" ht="15.75">
      <c r="B215" s="55" t="s">
        <v>517</v>
      </c>
      <c r="C215" s="56">
        <v>14</v>
      </c>
      <c r="D215" s="56">
        <v>595</v>
      </c>
      <c r="E215" s="294" t="s">
        <v>40</v>
      </c>
      <c r="F215" s="296">
        <v>3</v>
      </c>
      <c r="G215" s="61" t="s">
        <v>662</v>
      </c>
      <c r="Q215" s="430">
        <v>10000</v>
      </c>
      <c r="R215" s="431">
        <v>4</v>
      </c>
      <c r="S215" s="428">
        <v>0.09</v>
      </c>
    </row>
    <row r="216" spans="2:19" ht="15.75">
      <c r="B216" s="55" t="s">
        <v>190</v>
      </c>
      <c r="C216" s="56">
        <v>14</v>
      </c>
      <c r="D216" s="56">
        <v>720</v>
      </c>
      <c r="E216" s="294" t="s">
        <v>40</v>
      </c>
      <c r="F216" s="296">
        <v>3</v>
      </c>
      <c r="G216" s="61" t="s">
        <v>662</v>
      </c>
      <c r="Q216" s="430">
        <v>10000</v>
      </c>
      <c r="R216" s="431">
        <v>4</v>
      </c>
      <c r="S216" s="428">
        <v>0.09</v>
      </c>
    </row>
    <row r="217" spans="2:19" ht="15.75">
      <c r="B217" s="55" t="s">
        <v>1209</v>
      </c>
      <c r="C217" s="56">
        <v>15</v>
      </c>
      <c r="D217" s="56">
        <v>640</v>
      </c>
      <c r="E217" s="294" t="s">
        <v>40</v>
      </c>
      <c r="F217" s="296">
        <v>3</v>
      </c>
      <c r="G217" s="61" t="s">
        <v>662</v>
      </c>
      <c r="Q217" s="430">
        <v>10000</v>
      </c>
      <c r="R217" s="431">
        <v>4</v>
      </c>
      <c r="S217" s="428">
        <v>0.09</v>
      </c>
    </row>
    <row r="218" spans="2:19" ht="15.75">
      <c r="B218" s="55" t="s">
        <v>1303</v>
      </c>
      <c r="C218" s="56">
        <v>15</v>
      </c>
      <c r="D218" s="56">
        <v>701</v>
      </c>
      <c r="E218" s="294" t="s">
        <v>40</v>
      </c>
      <c r="F218" s="296">
        <v>3</v>
      </c>
      <c r="G218" s="61" t="s">
        <v>662</v>
      </c>
      <c r="Q218" s="430">
        <v>10000</v>
      </c>
      <c r="R218" s="431">
        <v>4</v>
      </c>
      <c r="S218" s="428">
        <v>0.09</v>
      </c>
    </row>
    <row r="219" spans="2:19" ht="15.75">
      <c r="B219" s="55" t="s">
        <v>189</v>
      </c>
      <c r="C219" s="56">
        <v>15</v>
      </c>
      <c r="D219" s="56">
        <v>791</v>
      </c>
      <c r="E219" s="294" t="s">
        <v>40</v>
      </c>
      <c r="F219" s="296">
        <v>3</v>
      </c>
      <c r="G219" s="61" t="s">
        <v>662</v>
      </c>
      <c r="Q219" s="430">
        <v>10000</v>
      </c>
      <c r="R219" s="431">
        <v>4</v>
      </c>
      <c r="S219" s="428">
        <v>0.09</v>
      </c>
    </row>
    <row r="220" spans="2:19" ht="15.75">
      <c r="B220" s="55" t="s">
        <v>159</v>
      </c>
      <c r="C220" s="56">
        <v>16</v>
      </c>
      <c r="D220" s="56">
        <v>833.085</v>
      </c>
      <c r="E220" s="294" t="s">
        <v>40</v>
      </c>
      <c r="F220" s="296">
        <v>3</v>
      </c>
      <c r="G220" s="61" t="s">
        <v>662</v>
      </c>
      <c r="Q220" s="430">
        <v>10000</v>
      </c>
      <c r="R220" s="431">
        <v>4</v>
      </c>
      <c r="S220" s="428">
        <v>0.09</v>
      </c>
    </row>
    <row r="221" spans="2:19" s="22" customFormat="1" ht="15.75">
      <c r="B221" s="55" t="s">
        <v>188</v>
      </c>
      <c r="C221" s="56">
        <v>18</v>
      </c>
      <c r="D221" s="56">
        <v>978</v>
      </c>
      <c r="E221" s="294" t="s">
        <v>40</v>
      </c>
      <c r="F221" s="296">
        <v>3</v>
      </c>
      <c r="G221" s="61" t="s">
        <v>662</v>
      </c>
      <c r="J221" s="67"/>
      <c r="N221" s="74"/>
      <c r="O221" s="74"/>
      <c r="Q221" s="430">
        <v>10000</v>
      </c>
      <c r="R221" s="431">
        <v>4</v>
      </c>
      <c r="S221" s="428">
        <v>0.09</v>
      </c>
    </row>
    <row r="222" spans="2:19" ht="15.75">
      <c r="B222" s="55" t="s">
        <v>1302</v>
      </c>
      <c r="C222" s="56">
        <v>20</v>
      </c>
      <c r="D222" s="56">
        <v>723</v>
      </c>
      <c r="E222" s="294" t="s">
        <v>40</v>
      </c>
      <c r="F222" s="296">
        <v>3</v>
      </c>
      <c r="G222" s="61" t="s">
        <v>662</v>
      </c>
      <c r="Q222" s="430">
        <v>10000</v>
      </c>
      <c r="R222" s="431">
        <v>4</v>
      </c>
      <c r="S222" s="428">
        <v>0.09</v>
      </c>
    </row>
    <row r="223" spans="2:19" ht="15.75">
      <c r="B223" s="55" t="s">
        <v>1304</v>
      </c>
      <c r="C223" s="56">
        <v>20</v>
      </c>
      <c r="D223" s="56">
        <v>935</v>
      </c>
      <c r="E223" s="294" t="s">
        <v>40</v>
      </c>
      <c r="F223" s="296">
        <v>3</v>
      </c>
      <c r="G223" s="61" t="s">
        <v>662</v>
      </c>
      <c r="Q223" s="430">
        <v>10000</v>
      </c>
      <c r="R223" s="431">
        <v>4</v>
      </c>
      <c r="S223" s="428">
        <v>0.09</v>
      </c>
    </row>
    <row r="224" spans="2:19" s="22" customFormat="1" ht="15.75">
      <c r="B224" s="55" t="s">
        <v>187</v>
      </c>
      <c r="C224" s="56">
        <v>20</v>
      </c>
      <c r="D224" s="56">
        <v>1020</v>
      </c>
      <c r="E224" s="294" t="s">
        <v>40</v>
      </c>
      <c r="F224" s="296">
        <v>3</v>
      </c>
      <c r="G224" s="61" t="s">
        <v>662</v>
      </c>
      <c r="J224" s="67"/>
      <c r="N224" s="74"/>
      <c r="O224" s="74"/>
      <c r="Q224" s="430">
        <v>10000</v>
      </c>
      <c r="R224" s="431">
        <v>4</v>
      </c>
      <c r="S224" s="428">
        <v>0.09</v>
      </c>
    </row>
    <row r="225" spans="2:19" s="22" customFormat="1" ht="15.75">
      <c r="B225" s="55" t="s">
        <v>160</v>
      </c>
      <c r="C225" s="56">
        <v>22</v>
      </c>
      <c r="D225" s="56">
        <v>1020</v>
      </c>
      <c r="E225" s="294" t="s">
        <v>40</v>
      </c>
      <c r="F225" s="296">
        <v>3</v>
      </c>
      <c r="G225" s="61" t="s">
        <v>662</v>
      </c>
      <c r="J225" s="67"/>
      <c r="N225" s="74"/>
      <c r="O225" s="74"/>
      <c r="Q225" s="430">
        <v>10000</v>
      </c>
      <c r="R225" s="431">
        <v>4</v>
      </c>
      <c r="S225" s="428">
        <v>0.09</v>
      </c>
    </row>
    <row r="226" spans="2:19" s="22" customFormat="1" ht="15.75">
      <c r="B226" s="55" t="s">
        <v>1206</v>
      </c>
      <c r="C226" s="56">
        <v>22</v>
      </c>
      <c r="D226" s="56">
        <v>1105</v>
      </c>
      <c r="E226" s="294" t="s">
        <v>40</v>
      </c>
      <c r="F226" s="296">
        <v>3</v>
      </c>
      <c r="G226" s="61" t="s">
        <v>662</v>
      </c>
      <c r="J226" s="67"/>
      <c r="N226" s="74"/>
      <c r="O226" s="74"/>
      <c r="Q226" s="430">
        <v>10000</v>
      </c>
      <c r="R226" s="431">
        <v>4</v>
      </c>
      <c r="S226" s="428">
        <v>0.09</v>
      </c>
    </row>
    <row r="227" spans="2:19" s="22" customFormat="1" ht="15.75">
      <c r="B227" s="55" t="s">
        <v>167</v>
      </c>
      <c r="C227" s="56">
        <v>22</v>
      </c>
      <c r="D227" s="56">
        <v>1158.21</v>
      </c>
      <c r="E227" s="294" t="s">
        <v>40</v>
      </c>
      <c r="F227" s="296">
        <v>3</v>
      </c>
      <c r="G227" s="61" t="s">
        <v>662</v>
      </c>
      <c r="J227" s="67"/>
      <c r="N227" s="74"/>
      <c r="O227" s="74"/>
      <c r="Q227" s="430">
        <v>10000</v>
      </c>
      <c r="R227" s="431">
        <v>4</v>
      </c>
      <c r="S227" s="428">
        <v>0.09</v>
      </c>
    </row>
    <row r="228" spans="2:19" s="22" customFormat="1" ht="15.75">
      <c r="B228" s="55" t="s">
        <v>186</v>
      </c>
      <c r="C228" s="56">
        <v>23</v>
      </c>
      <c r="D228" s="56">
        <v>1190</v>
      </c>
      <c r="E228" s="294" t="s">
        <v>40</v>
      </c>
      <c r="F228" s="296">
        <v>3</v>
      </c>
      <c r="G228" s="61" t="s">
        <v>662</v>
      </c>
      <c r="J228" s="67"/>
      <c r="N228" s="74"/>
      <c r="O228" s="74"/>
      <c r="Q228" s="430">
        <v>10000</v>
      </c>
      <c r="R228" s="431">
        <v>4</v>
      </c>
      <c r="S228" s="428">
        <v>0.09</v>
      </c>
    </row>
    <row r="229" spans="2:19" s="22" customFormat="1" ht="15.75">
      <c r="B229" s="55" t="s">
        <v>185</v>
      </c>
      <c r="C229" s="56">
        <v>24</v>
      </c>
      <c r="D229" s="56">
        <v>1290</v>
      </c>
      <c r="E229" s="294" t="s">
        <v>40</v>
      </c>
      <c r="F229" s="296">
        <v>3</v>
      </c>
      <c r="G229" s="61" t="s">
        <v>662</v>
      </c>
      <c r="J229" s="67"/>
      <c r="N229" s="74"/>
      <c r="O229" s="74"/>
      <c r="Q229" s="430">
        <v>10000</v>
      </c>
      <c r="R229" s="431">
        <v>4</v>
      </c>
      <c r="S229" s="428">
        <v>0.09</v>
      </c>
    </row>
    <row r="230" spans="2:19" s="22" customFormat="1" ht="15.75">
      <c r="B230" s="63" t="s">
        <v>274</v>
      </c>
      <c r="C230" s="56"/>
      <c r="D230" s="56"/>
      <c r="E230" s="294"/>
      <c r="F230" s="296"/>
      <c r="G230" s="61"/>
      <c r="J230" s="67"/>
      <c r="N230" s="74"/>
      <c r="O230" s="74"/>
      <c r="Q230" s="430"/>
      <c r="R230" s="431"/>
      <c r="S230" s="428"/>
    </row>
    <row r="231" spans="2:19" ht="15.75">
      <c r="B231" s="55" t="s">
        <v>1305</v>
      </c>
      <c r="C231" s="56">
        <v>25</v>
      </c>
      <c r="D231" s="56">
        <v>1169</v>
      </c>
      <c r="E231" s="294" t="s">
        <v>41</v>
      </c>
      <c r="F231" s="296">
        <v>6</v>
      </c>
      <c r="G231" s="61" t="s">
        <v>662</v>
      </c>
      <c r="Q231" s="430">
        <v>10000</v>
      </c>
      <c r="R231" s="431">
        <v>8</v>
      </c>
      <c r="S231" s="428">
        <v>0.09</v>
      </c>
    </row>
    <row r="232" spans="2:19" s="22" customFormat="1" ht="15.75">
      <c r="B232" s="55" t="s">
        <v>171</v>
      </c>
      <c r="C232" s="56">
        <v>25</v>
      </c>
      <c r="D232" s="56">
        <v>1360</v>
      </c>
      <c r="E232" s="294" t="s">
        <v>41</v>
      </c>
      <c r="F232" s="296">
        <v>6</v>
      </c>
      <c r="G232" s="61" t="s">
        <v>662</v>
      </c>
      <c r="J232" s="67"/>
      <c r="N232" s="74"/>
      <c r="O232" s="74"/>
      <c r="Q232" s="430">
        <v>10000</v>
      </c>
      <c r="R232" s="431">
        <v>8</v>
      </c>
      <c r="S232" s="428">
        <v>0.09</v>
      </c>
    </row>
    <row r="233" spans="2:19" s="22" customFormat="1" ht="15.75">
      <c r="B233" s="55" t="s">
        <v>172</v>
      </c>
      <c r="C233" s="56">
        <v>26</v>
      </c>
      <c r="D233" s="56">
        <v>1488</v>
      </c>
      <c r="E233" s="294" t="s">
        <v>41</v>
      </c>
      <c r="F233" s="296">
        <v>6</v>
      </c>
      <c r="G233" s="61" t="s">
        <v>662</v>
      </c>
      <c r="J233" s="67"/>
      <c r="N233" s="74"/>
      <c r="O233" s="74"/>
      <c r="Q233" s="430">
        <v>10000</v>
      </c>
      <c r="R233" s="431">
        <v>8</v>
      </c>
      <c r="S233" s="428">
        <v>0.09</v>
      </c>
    </row>
    <row r="234" spans="2:19" s="22" customFormat="1" ht="15.75">
      <c r="B234" s="55" t="s">
        <v>173</v>
      </c>
      <c r="C234" s="56">
        <v>27</v>
      </c>
      <c r="D234" s="56">
        <v>1488</v>
      </c>
      <c r="E234" s="294" t="s">
        <v>41</v>
      </c>
      <c r="F234" s="296">
        <v>6</v>
      </c>
      <c r="G234" s="61" t="s">
        <v>662</v>
      </c>
      <c r="J234" s="67"/>
      <c r="N234" s="74"/>
      <c r="O234" s="74"/>
      <c r="Q234" s="430">
        <v>10000</v>
      </c>
      <c r="R234" s="431">
        <v>8</v>
      </c>
      <c r="S234" s="428">
        <v>0.09</v>
      </c>
    </row>
    <row r="235" spans="2:19" ht="15.75">
      <c r="B235" s="55" t="s">
        <v>1306</v>
      </c>
      <c r="C235" s="56">
        <v>28</v>
      </c>
      <c r="D235" s="56">
        <v>1309</v>
      </c>
      <c r="E235" s="294" t="s">
        <v>41</v>
      </c>
      <c r="F235" s="296">
        <v>6</v>
      </c>
      <c r="G235" s="61" t="s">
        <v>662</v>
      </c>
      <c r="Q235" s="430">
        <v>10000</v>
      </c>
      <c r="R235" s="431">
        <v>8</v>
      </c>
      <c r="S235" s="428">
        <v>0.09</v>
      </c>
    </row>
    <row r="236" spans="2:19" s="22" customFormat="1" ht="15.75">
      <c r="B236" s="55" t="s">
        <v>174</v>
      </c>
      <c r="C236" s="56">
        <v>28</v>
      </c>
      <c r="D236" s="56">
        <v>1482.57</v>
      </c>
      <c r="E236" s="294" t="s">
        <v>41</v>
      </c>
      <c r="F236" s="296">
        <v>6</v>
      </c>
      <c r="G236" s="61" t="s">
        <v>662</v>
      </c>
      <c r="J236" s="67"/>
      <c r="N236" s="74"/>
      <c r="O236" s="74"/>
      <c r="Q236" s="430">
        <v>10000</v>
      </c>
      <c r="R236" s="431">
        <v>8</v>
      </c>
      <c r="S236" s="428">
        <v>0.09</v>
      </c>
    </row>
    <row r="237" spans="2:19" s="22" customFormat="1" ht="15.75">
      <c r="B237" s="55" t="s">
        <v>513</v>
      </c>
      <c r="C237" s="56">
        <v>30</v>
      </c>
      <c r="D237" s="56">
        <v>1530</v>
      </c>
      <c r="E237" s="294" t="s">
        <v>41</v>
      </c>
      <c r="F237" s="296">
        <v>6</v>
      </c>
      <c r="G237" s="61" t="s">
        <v>662</v>
      </c>
      <c r="J237" s="67"/>
      <c r="N237" s="74"/>
      <c r="O237" s="74"/>
      <c r="Q237" s="430">
        <v>10000</v>
      </c>
      <c r="R237" s="431">
        <v>8</v>
      </c>
      <c r="S237" s="428">
        <v>0.09</v>
      </c>
    </row>
    <row r="238" spans="2:19" s="22" customFormat="1" ht="15.75">
      <c r="B238" s="55" t="s">
        <v>168</v>
      </c>
      <c r="C238" s="56">
        <v>30</v>
      </c>
      <c r="D238" s="56">
        <v>1530</v>
      </c>
      <c r="E238" s="294" t="s">
        <v>41</v>
      </c>
      <c r="F238" s="296">
        <v>6</v>
      </c>
      <c r="G238" s="61" t="s">
        <v>662</v>
      </c>
      <c r="J238" s="67"/>
      <c r="N238" s="74"/>
      <c r="O238" s="74"/>
      <c r="Q238" s="430">
        <v>10000</v>
      </c>
      <c r="R238" s="431">
        <v>8</v>
      </c>
      <c r="S238" s="428">
        <v>0.09</v>
      </c>
    </row>
    <row r="239" spans="2:19" s="22" customFormat="1" ht="15.75">
      <c r="B239" s="55" t="s">
        <v>175</v>
      </c>
      <c r="C239" s="56">
        <v>32</v>
      </c>
      <c r="D239" s="56">
        <v>1785</v>
      </c>
      <c r="E239" s="294" t="s">
        <v>41</v>
      </c>
      <c r="F239" s="296">
        <v>6</v>
      </c>
      <c r="G239" s="61" t="s">
        <v>662</v>
      </c>
      <c r="J239" s="67"/>
      <c r="N239" s="74"/>
      <c r="O239" s="74"/>
      <c r="Q239" s="430">
        <v>10000</v>
      </c>
      <c r="R239" s="431">
        <v>8</v>
      </c>
      <c r="S239" s="428">
        <v>0.09</v>
      </c>
    </row>
    <row r="240" spans="2:19" s="22" customFormat="1" ht="15.75">
      <c r="B240" s="55" t="s">
        <v>514</v>
      </c>
      <c r="C240" s="56">
        <v>35</v>
      </c>
      <c r="D240" s="56">
        <v>1785</v>
      </c>
      <c r="E240" s="294" t="s">
        <v>41</v>
      </c>
      <c r="F240" s="296">
        <v>6</v>
      </c>
      <c r="G240" s="61" t="s">
        <v>662</v>
      </c>
      <c r="J240" s="67"/>
      <c r="N240" s="74"/>
      <c r="O240" s="74"/>
      <c r="Q240" s="430">
        <v>10000</v>
      </c>
      <c r="R240" s="431">
        <v>8</v>
      </c>
      <c r="S240" s="428">
        <v>0.09</v>
      </c>
    </row>
    <row r="241" spans="2:19" s="22" customFormat="1" ht="15.75">
      <c r="B241" s="55" t="s">
        <v>169</v>
      </c>
      <c r="C241" s="56">
        <v>36</v>
      </c>
      <c r="D241" s="56">
        <v>1785</v>
      </c>
      <c r="E241" s="294" t="s">
        <v>41</v>
      </c>
      <c r="F241" s="296">
        <v>6</v>
      </c>
      <c r="G241" s="61" t="s">
        <v>662</v>
      </c>
      <c r="J241" s="67"/>
      <c r="N241" s="74"/>
      <c r="O241" s="74"/>
      <c r="Q241" s="430">
        <v>10000</v>
      </c>
      <c r="R241" s="431">
        <v>9</v>
      </c>
      <c r="S241" s="428">
        <v>0.09</v>
      </c>
    </row>
    <row r="242" spans="2:19" s="22" customFormat="1" ht="15.75">
      <c r="B242" s="55" t="s">
        <v>1207</v>
      </c>
      <c r="C242" s="56">
        <v>39</v>
      </c>
      <c r="D242" s="56">
        <v>2360</v>
      </c>
      <c r="E242" s="294" t="s">
        <v>41</v>
      </c>
      <c r="F242" s="296">
        <v>6</v>
      </c>
      <c r="G242" s="61" t="s">
        <v>662</v>
      </c>
      <c r="J242" s="67"/>
      <c r="N242" s="74"/>
      <c r="O242" s="74"/>
      <c r="Q242" s="430">
        <v>10000</v>
      </c>
      <c r="R242" s="431">
        <v>9</v>
      </c>
      <c r="S242" s="428">
        <v>0.09</v>
      </c>
    </row>
    <row r="243" spans="2:19" s="22" customFormat="1" ht="15.75">
      <c r="B243" s="55" t="s">
        <v>170</v>
      </c>
      <c r="C243" s="56">
        <v>40</v>
      </c>
      <c r="D243" s="56">
        <v>2380</v>
      </c>
      <c r="E243" s="294" t="s">
        <v>41</v>
      </c>
      <c r="F243" s="296">
        <v>6</v>
      </c>
      <c r="G243" s="61" t="s">
        <v>662</v>
      </c>
      <c r="J243" s="67"/>
      <c r="N243" s="74"/>
      <c r="O243" s="74"/>
      <c r="Q243" s="430">
        <v>10000</v>
      </c>
      <c r="R243" s="431">
        <v>9</v>
      </c>
      <c r="S243" s="428">
        <v>0.09</v>
      </c>
    </row>
    <row r="244" spans="2:19" s="22" customFormat="1" ht="15.75">
      <c r="B244" s="55" t="s">
        <v>176</v>
      </c>
      <c r="C244" s="56">
        <v>42</v>
      </c>
      <c r="D244" s="56">
        <v>2380</v>
      </c>
      <c r="E244" s="294" t="s">
        <v>41</v>
      </c>
      <c r="F244" s="296">
        <v>6</v>
      </c>
      <c r="G244" s="61" t="s">
        <v>662</v>
      </c>
      <c r="J244" s="67"/>
      <c r="N244" s="74"/>
      <c r="O244" s="74"/>
      <c r="Q244" s="430">
        <v>10000</v>
      </c>
      <c r="R244" s="431">
        <v>13</v>
      </c>
      <c r="S244" s="428">
        <v>0.09</v>
      </c>
    </row>
    <row r="245" spans="2:19" s="22" customFormat="1" ht="15.75">
      <c r="B245" s="55" t="s">
        <v>177</v>
      </c>
      <c r="C245" s="56">
        <v>44</v>
      </c>
      <c r="D245" s="56">
        <v>2040</v>
      </c>
      <c r="E245" s="294" t="s">
        <v>41</v>
      </c>
      <c r="F245" s="296">
        <v>6</v>
      </c>
      <c r="G245" s="61" t="s">
        <v>662</v>
      </c>
      <c r="J245" s="67"/>
      <c r="N245" s="74"/>
      <c r="O245" s="74"/>
      <c r="Q245" s="430">
        <v>10000</v>
      </c>
      <c r="R245" s="431">
        <v>16</v>
      </c>
      <c r="S245" s="428">
        <v>0.09</v>
      </c>
    </row>
    <row r="246" spans="2:19" s="22" customFormat="1" ht="15.75">
      <c r="B246" s="63" t="s">
        <v>274</v>
      </c>
      <c r="C246" s="56"/>
      <c r="D246" s="56"/>
      <c r="E246" s="294"/>
      <c r="F246" s="296"/>
      <c r="G246" s="61"/>
      <c r="J246" s="67"/>
      <c r="N246" s="74"/>
      <c r="O246" s="74"/>
      <c r="Q246" s="430"/>
      <c r="R246" s="431"/>
      <c r="S246" s="428"/>
    </row>
    <row r="247" spans="2:19" s="22" customFormat="1" ht="15.75">
      <c r="B247" s="55" t="s">
        <v>178</v>
      </c>
      <c r="C247" s="56">
        <v>55</v>
      </c>
      <c r="D247" s="56">
        <v>2975</v>
      </c>
      <c r="E247" s="294" t="s">
        <v>42</v>
      </c>
      <c r="F247" s="296">
        <v>12</v>
      </c>
      <c r="G247" s="61" t="s">
        <v>662</v>
      </c>
      <c r="J247" s="67"/>
      <c r="N247" s="74"/>
      <c r="O247" s="74"/>
      <c r="Q247" s="430">
        <v>10000</v>
      </c>
      <c r="R247" s="431">
        <v>18</v>
      </c>
      <c r="S247" s="428">
        <v>0.09</v>
      </c>
    </row>
    <row r="248" spans="2:19" s="22" customFormat="1" ht="15.75">
      <c r="B248" s="55" t="s">
        <v>179</v>
      </c>
      <c r="C248" s="56">
        <v>65</v>
      </c>
      <c r="D248" s="56">
        <v>3570</v>
      </c>
      <c r="E248" s="294" t="s">
        <v>42</v>
      </c>
      <c r="F248" s="296">
        <v>12</v>
      </c>
      <c r="G248" s="61" t="s">
        <v>662</v>
      </c>
      <c r="J248" s="67"/>
      <c r="N248" s="74"/>
      <c r="O248" s="74"/>
      <c r="Q248" s="430">
        <v>10000</v>
      </c>
      <c r="R248" s="431">
        <v>18</v>
      </c>
      <c r="S248" s="428">
        <v>0.09</v>
      </c>
    </row>
    <row r="249" spans="2:19" s="22" customFormat="1" ht="15.75">
      <c r="B249" s="55" t="s">
        <v>276</v>
      </c>
      <c r="C249" s="56">
        <v>75</v>
      </c>
      <c r="D249" s="56">
        <v>5250</v>
      </c>
      <c r="E249" s="294" t="s">
        <v>42</v>
      </c>
      <c r="F249" s="296">
        <v>12</v>
      </c>
      <c r="G249" s="61" t="s">
        <v>662</v>
      </c>
      <c r="J249" s="67"/>
      <c r="N249" s="74"/>
      <c r="O249" s="74"/>
      <c r="Q249" s="430">
        <v>10000</v>
      </c>
      <c r="R249" s="431">
        <v>18</v>
      </c>
      <c r="S249" s="428">
        <v>0.09</v>
      </c>
    </row>
    <row r="250" spans="2:19" s="22" customFormat="1" ht="15.75">
      <c r="B250" s="55" t="s">
        <v>180</v>
      </c>
      <c r="C250" s="56">
        <v>85</v>
      </c>
      <c r="D250" s="56">
        <v>4675</v>
      </c>
      <c r="E250" s="294" t="s">
        <v>42</v>
      </c>
      <c r="F250" s="296">
        <v>12</v>
      </c>
      <c r="G250" s="61" t="s">
        <v>662</v>
      </c>
      <c r="J250" s="67"/>
      <c r="N250" s="74"/>
      <c r="O250" s="74"/>
      <c r="Q250" s="430">
        <v>10000</v>
      </c>
      <c r="R250" s="431">
        <v>22</v>
      </c>
      <c r="S250" s="428">
        <v>0.09</v>
      </c>
    </row>
    <row r="251" spans="2:19" s="22" customFormat="1" ht="15.75">
      <c r="B251" s="63" t="s">
        <v>182</v>
      </c>
      <c r="C251" s="56">
        <v>100</v>
      </c>
      <c r="D251" s="56">
        <v>5100</v>
      </c>
      <c r="E251" s="294" t="s">
        <v>42</v>
      </c>
      <c r="F251" s="296">
        <v>12</v>
      </c>
      <c r="G251" s="61" t="s">
        <v>662</v>
      </c>
      <c r="J251" s="67"/>
      <c r="N251" s="74"/>
      <c r="O251" s="74"/>
      <c r="Q251" s="430">
        <v>10000</v>
      </c>
      <c r="R251" s="431">
        <v>22</v>
      </c>
      <c r="S251" s="428">
        <v>0.09</v>
      </c>
    </row>
    <row r="252" spans="2:19" s="22" customFormat="1" ht="15.75">
      <c r="B252" s="63" t="s">
        <v>181</v>
      </c>
      <c r="C252" s="56">
        <v>105</v>
      </c>
      <c r="D252" s="56">
        <v>5865</v>
      </c>
      <c r="E252" s="294" t="s">
        <v>42</v>
      </c>
      <c r="F252" s="296">
        <v>12</v>
      </c>
      <c r="G252" s="61" t="s">
        <v>662</v>
      </c>
      <c r="J252" s="67"/>
      <c r="N252" s="74"/>
      <c r="O252" s="74"/>
      <c r="Q252" s="430">
        <v>10000</v>
      </c>
      <c r="R252" s="431">
        <v>22</v>
      </c>
      <c r="S252" s="428">
        <v>0.09</v>
      </c>
    </row>
    <row r="253" spans="2:19" s="22" customFormat="1" ht="15.75">
      <c r="B253" s="63" t="s">
        <v>183</v>
      </c>
      <c r="C253" s="56">
        <v>125</v>
      </c>
      <c r="D253" s="56">
        <v>6375</v>
      </c>
      <c r="E253" s="294" t="s">
        <v>42</v>
      </c>
      <c r="F253" s="296">
        <v>12</v>
      </c>
      <c r="G253" s="61" t="s">
        <v>662</v>
      </c>
      <c r="J253" s="67"/>
      <c r="N253" s="74"/>
      <c r="O253" s="74"/>
      <c r="Q253" s="430">
        <v>10000</v>
      </c>
      <c r="R253" s="431">
        <v>22</v>
      </c>
      <c r="S253" s="428">
        <v>0.09</v>
      </c>
    </row>
    <row r="254" spans="2:19" s="22" customFormat="1" ht="15.75">
      <c r="B254" s="63" t="s">
        <v>184</v>
      </c>
      <c r="C254" s="56">
        <v>150</v>
      </c>
      <c r="D254" s="56">
        <v>7650</v>
      </c>
      <c r="E254" s="294" t="s">
        <v>42</v>
      </c>
      <c r="F254" s="296">
        <v>12</v>
      </c>
      <c r="G254" s="61" t="s">
        <v>662</v>
      </c>
      <c r="J254" s="67"/>
      <c r="N254" s="74"/>
      <c r="O254" s="74"/>
      <c r="Q254" s="430">
        <v>10000</v>
      </c>
      <c r="R254" s="431">
        <v>22</v>
      </c>
      <c r="S254" s="428">
        <v>0.09</v>
      </c>
    </row>
    <row r="255" spans="2:19" ht="15.75">
      <c r="B255" s="59" t="s">
        <v>933</v>
      </c>
      <c r="C255" s="56"/>
      <c r="D255" s="56"/>
      <c r="E255" s="294"/>
      <c r="F255" s="296"/>
      <c r="G255" s="61"/>
      <c r="Q255" s="430"/>
      <c r="R255" s="431"/>
      <c r="S255" s="428"/>
    </row>
    <row r="256" spans="2:19" ht="15.75">
      <c r="B256" s="55" t="s">
        <v>227</v>
      </c>
      <c r="C256" s="56">
        <v>4</v>
      </c>
      <c r="D256" s="56">
        <v>2</v>
      </c>
      <c r="E256" s="294" t="s">
        <v>47</v>
      </c>
      <c r="F256" s="296">
        <v>30</v>
      </c>
      <c r="G256" s="61" t="s">
        <v>662</v>
      </c>
      <c r="Q256" s="430">
        <v>50000</v>
      </c>
      <c r="R256" s="431">
        <v>55</v>
      </c>
      <c r="S256" s="428">
        <v>0.2</v>
      </c>
    </row>
    <row r="257" spans="2:19" ht="15.75">
      <c r="B257" s="55" t="s">
        <v>226</v>
      </c>
      <c r="C257" s="56">
        <v>1.5</v>
      </c>
      <c r="D257" s="56">
        <v>2</v>
      </c>
      <c r="E257" s="294" t="s">
        <v>47</v>
      </c>
      <c r="F257" s="296">
        <v>30</v>
      </c>
      <c r="G257" s="61" t="s">
        <v>662</v>
      </c>
      <c r="Q257" s="430">
        <v>100000</v>
      </c>
      <c r="R257" s="431">
        <v>25</v>
      </c>
      <c r="S257" s="428">
        <v>0.2</v>
      </c>
    </row>
    <row r="258" spans="2:19" ht="15.75">
      <c r="B258" s="55" t="s">
        <v>225</v>
      </c>
      <c r="C258" s="56">
        <v>8</v>
      </c>
      <c r="D258" s="56">
        <v>2</v>
      </c>
      <c r="E258" s="294" t="s">
        <v>47</v>
      </c>
      <c r="F258" s="296">
        <v>30</v>
      </c>
      <c r="G258" s="61" t="s">
        <v>662</v>
      </c>
      <c r="Q258" s="430">
        <v>50000</v>
      </c>
      <c r="R258" s="431">
        <v>55</v>
      </c>
      <c r="S258" s="428">
        <v>0.2</v>
      </c>
    </row>
    <row r="259" spans="2:19" ht="15.75">
      <c r="B259" s="55" t="s">
        <v>224</v>
      </c>
      <c r="C259" s="56">
        <v>3</v>
      </c>
      <c r="D259" s="56">
        <v>2</v>
      </c>
      <c r="E259" s="294" t="s">
        <v>47</v>
      </c>
      <c r="F259" s="296">
        <v>30</v>
      </c>
      <c r="G259" s="61" t="s">
        <v>662</v>
      </c>
      <c r="Q259" s="430">
        <v>100000</v>
      </c>
      <c r="R259" s="431">
        <v>25</v>
      </c>
      <c r="S259" s="428">
        <v>0.2</v>
      </c>
    </row>
    <row r="260" spans="2:19" ht="15.75">
      <c r="B260" s="55" t="s">
        <v>228</v>
      </c>
      <c r="C260" s="56">
        <v>9</v>
      </c>
      <c r="D260" s="56">
        <v>2</v>
      </c>
      <c r="E260" s="294" t="s">
        <v>47</v>
      </c>
      <c r="F260" s="296">
        <v>30</v>
      </c>
      <c r="G260" s="61" t="s">
        <v>662</v>
      </c>
      <c r="Q260" s="430">
        <v>100000</v>
      </c>
      <c r="R260" s="431">
        <v>25</v>
      </c>
      <c r="S260" s="428">
        <v>0.2</v>
      </c>
    </row>
    <row r="261" spans="2:19" ht="15.75">
      <c r="B261" s="59" t="s">
        <v>933</v>
      </c>
      <c r="C261" s="56"/>
      <c r="D261" s="56"/>
      <c r="E261" s="294"/>
      <c r="F261" s="296"/>
      <c r="G261" s="61"/>
      <c r="Q261" s="430"/>
      <c r="R261" s="431"/>
      <c r="S261" s="428"/>
    </row>
    <row r="262" spans="2:19" ht="15.75">
      <c r="B262" s="55" t="s">
        <v>405</v>
      </c>
      <c r="C262" s="56">
        <v>55</v>
      </c>
      <c r="D262" s="56">
        <v>2800</v>
      </c>
      <c r="E262" s="294" t="s">
        <v>48</v>
      </c>
      <c r="F262" s="296">
        <v>60</v>
      </c>
      <c r="G262" s="61" t="s">
        <v>407</v>
      </c>
      <c r="Q262" s="430">
        <v>100000</v>
      </c>
      <c r="R262" s="431">
        <v>400</v>
      </c>
      <c r="S262" s="428">
        <v>0.3</v>
      </c>
    </row>
    <row r="263" spans="2:19" ht="15.75">
      <c r="B263" s="55" t="s">
        <v>404</v>
      </c>
      <c r="C263" s="56">
        <v>85</v>
      </c>
      <c r="D263" s="56">
        <v>4800</v>
      </c>
      <c r="E263" s="294" t="s">
        <v>48</v>
      </c>
      <c r="F263" s="296">
        <v>60</v>
      </c>
      <c r="G263" s="61" t="s">
        <v>407</v>
      </c>
      <c r="Q263" s="430">
        <v>100000</v>
      </c>
      <c r="R263" s="431">
        <v>400</v>
      </c>
      <c r="S263" s="428">
        <v>0.3</v>
      </c>
    </row>
    <row r="264" spans="2:19" ht="15.75">
      <c r="B264" s="55" t="s">
        <v>229</v>
      </c>
      <c r="C264" s="56">
        <v>157</v>
      </c>
      <c r="D264" s="56">
        <v>5920</v>
      </c>
      <c r="E264" s="294" t="s">
        <v>48</v>
      </c>
      <c r="F264" s="296">
        <v>60</v>
      </c>
      <c r="G264" s="61" t="s">
        <v>407</v>
      </c>
      <c r="Q264" s="430">
        <v>100000</v>
      </c>
      <c r="R264" s="431">
        <v>400</v>
      </c>
      <c r="S264" s="428">
        <v>0.3</v>
      </c>
    </row>
    <row r="265" spans="2:19" ht="15.75">
      <c r="B265" s="55" t="s">
        <v>406</v>
      </c>
      <c r="C265" s="56">
        <v>165</v>
      </c>
      <c r="D265" s="56">
        <v>9600</v>
      </c>
      <c r="E265" s="294" t="s">
        <v>49</v>
      </c>
      <c r="F265" s="296">
        <v>120</v>
      </c>
      <c r="G265" s="61" t="s">
        <v>407</v>
      </c>
      <c r="Q265" s="430">
        <v>100000</v>
      </c>
      <c r="R265" s="431">
        <v>400</v>
      </c>
      <c r="S265" s="428">
        <v>0.3</v>
      </c>
    </row>
    <row r="266" spans="2:19" ht="15.75">
      <c r="B266" s="59" t="s">
        <v>933</v>
      </c>
      <c r="C266" s="56"/>
      <c r="D266" s="56"/>
      <c r="E266" s="294"/>
      <c r="F266" s="296"/>
      <c r="G266" s="61"/>
      <c r="Q266" s="430"/>
      <c r="R266" s="431"/>
      <c r="S266" s="428"/>
    </row>
    <row r="267" spans="2:19" ht="15.75">
      <c r="B267" s="55" t="s">
        <v>1199</v>
      </c>
      <c r="C267" s="56">
        <v>324</v>
      </c>
      <c r="D267" s="56">
        <v>24400</v>
      </c>
      <c r="E267" s="294" t="s">
        <v>50</v>
      </c>
      <c r="F267" s="296">
        <v>100</v>
      </c>
      <c r="G267" s="61" t="s">
        <v>662</v>
      </c>
      <c r="Q267" s="430">
        <v>20000</v>
      </c>
      <c r="R267" s="431">
        <v>27.606382978723406</v>
      </c>
      <c r="S267" s="428">
        <v>0.4</v>
      </c>
    </row>
    <row r="268" spans="2:19" ht="15.75">
      <c r="B268" s="55" t="s">
        <v>1225</v>
      </c>
      <c r="C268" s="56">
        <v>342</v>
      </c>
      <c r="D268" s="56">
        <v>24400</v>
      </c>
      <c r="E268" s="294" t="s">
        <v>50</v>
      </c>
      <c r="F268" s="296">
        <v>100</v>
      </c>
      <c r="G268" s="61" t="s">
        <v>662</v>
      </c>
      <c r="Q268" s="430">
        <v>20000</v>
      </c>
      <c r="R268" s="431">
        <v>27.606382978723406</v>
      </c>
      <c r="S268" s="428">
        <v>0.4</v>
      </c>
    </row>
    <row r="269" spans="2:19" ht="15.75">
      <c r="B269" s="55" t="s">
        <v>1200</v>
      </c>
      <c r="C269" s="56">
        <v>349</v>
      </c>
      <c r="D269" s="56">
        <v>26400</v>
      </c>
      <c r="E269" s="294" t="s">
        <v>50</v>
      </c>
      <c r="F269" s="296">
        <v>100</v>
      </c>
      <c r="G269" s="61" t="s">
        <v>662</v>
      </c>
      <c r="Q269" s="430">
        <v>20000</v>
      </c>
      <c r="R269" s="431">
        <v>27.606382978723406</v>
      </c>
      <c r="S269" s="428">
        <v>0.4</v>
      </c>
    </row>
    <row r="270" spans="2:19" ht="15.75">
      <c r="B270" s="55" t="s">
        <v>1224</v>
      </c>
      <c r="C270" s="56">
        <v>370</v>
      </c>
      <c r="D270" s="56">
        <v>26400</v>
      </c>
      <c r="E270" s="294" t="s">
        <v>50</v>
      </c>
      <c r="F270" s="296">
        <v>100</v>
      </c>
      <c r="G270" s="61" t="s">
        <v>662</v>
      </c>
      <c r="Q270" s="430">
        <v>20000</v>
      </c>
      <c r="R270" s="431">
        <v>27.606382978723406</v>
      </c>
      <c r="S270" s="428">
        <v>0.4</v>
      </c>
    </row>
    <row r="271" spans="2:19" ht="15.75">
      <c r="B271" s="55" t="s">
        <v>1198</v>
      </c>
      <c r="C271" s="56">
        <v>380</v>
      </c>
      <c r="D271" s="56">
        <v>29600</v>
      </c>
      <c r="E271" s="294" t="s">
        <v>50</v>
      </c>
      <c r="F271" s="296">
        <v>100</v>
      </c>
      <c r="G271" s="61" t="s">
        <v>662</v>
      </c>
      <c r="Q271" s="430">
        <v>20000</v>
      </c>
      <c r="R271" s="431">
        <v>27.606382978723406</v>
      </c>
      <c r="S271" s="428">
        <v>0.4</v>
      </c>
    </row>
    <row r="272" spans="2:19" ht="15.75">
      <c r="B272" s="55" t="s">
        <v>1223</v>
      </c>
      <c r="C272" s="56">
        <v>400</v>
      </c>
      <c r="D272" s="56">
        <v>29600</v>
      </c>
      <c r="E272" s="294" t="s">
        <v>50</v>
      </c>
      <c r="F272" s="296">
        <v>100</v>
      </c>
      <c r="G272" s="61" t="s">
        <v>662</v>
      </c>
      <c r="Q272" s="430">
        <v>20000</v>
      </c>
      <c r="R272" s="431">
        <v>27.606382978723406</v>
      </c>
      <c r="S272" s="428">
        <v>0.4</v>
      </c>
    </row>
    <row r="273" spans="2:19" ht="15.75">
      <c r="B273" s="55" t="s">
        <v>1191</v>
      </c>
      <c r="C273" s="56">
        <v>425</v>
      </c>
      <c r="D273" s="56">
        <v>36120</v>
      </c>
      <c r="E273" s="294" t="s">
        <v>51</v>
      </c>
      <c r="F273" s="296">
        <v>150</v>
      </c>
      <c r="G273" s="61" t="s">
        <v>662</v>
      </c>
      <c r="Q273" s="430">
        <v>20000</v>
      </c>
      <c r="R273" s="431">
        <v>34.55</v>
      </c>
      <c r="S273" s="428">
        <v>0.4</v>
      </c>
    </row>
    <row r="274" spans="2:19" ht="15.75">
      <c r="B274" s="55" t="s">
        <v>1197</v>
      </c>
      <c r="C274" s="56">
        <v>435</v>
      </c>
      <c r="D274" s="56">
        <v>31500</v>
      </c>
      <c r="E274" s="294" t="s">
        <v>51</v>
      </c>
      <c r="F274" s="296">
        <v>150</v>
      </c>
      <c r="G274" s="61" t="s">
        <v>662</v>
      </c>
      <c r="Q274" s="430">
        <v>20000</v>
      </c>
      <c r="R274" s="431">
        <v>34.55</v>
      </c>
      <c r="S274" s="428">
        <v>0.4</v>
      </c>
    </row>
    <row r="275" spans="2:19" ht="15.75">
      <c r="B275" s="55" t="s">
        <v>1226</v>
      </c>
      <c r="C275" s="56">
        <v>455</v>
      </c>
      <c r="D275" s="56">
        <v>31500</v>
      </c>
      <c r="E275" s="294" t="s">
        <v>51</v>
      </c>
      <c r="F275" s="296">
        <v>150</v>
      </c>
      <c r="G275" s="61" t="s">
        <v>662</v>
      </c>
      <c r="Q275" s="430">
        <v>20000</v>
      </c>
      <c r="R275" s="431">
        <v>34.55</v>
      </c>
      <c r="S275" s="428">
        <v>0.4</v>
      </c>
    </row>
    <row r="276" spans="2:19" ht="15.75">
      <c r="B276" s="55" t="s">
        <v>1195</v>
      </c>
      <c r="C276" s="56">
        <v>467</v>
      </c>
      <c r="D276" s="56">
        <v>31500</v>
      </c>
      <c r="E276" s="294" t="s">
        <v>51</v>
      </c>
      <c r="F276" s="296">
        <v>150</v>
      </c>
      <c r="G276" s="61" t="s">
        <v>662</v>
      </c>
      <c r="Q276" s="430">
        <v>20000</v>
      </c>
      <c r="R276" s="431">
        <v>34.55</v>
      </c>
      <c r="S276" s="428">
        <v>0.4</v>
      </c>
    </row>
    <row r="277" spans="2:19" ht="15.75">
      <c r="B277" s="55" t="s">
        <v>1196</v>
      </c>
      <c r="C277" s="56">
        <v>485</v>
      </c>
      <c r="D277" s="56">
        <v>40000</v>
      </c>
      <c r="E277" s="294" t="s">
        <v>51</v>
      </c>
      <c r="F277" s="296">
        <v>150</v>
      </c>
      <c r="G277" s="61" t="s">
        <v>662</v>
      </c>
      <c r="Q277" s="430">
        <v>20000</v>
      </c>
      <c r="R277" s="431">
        <v>34.55</v>
      </c>
      <c r="S277" s="428">
        <v>0.4</v>
      </c>
    </row>
    <row r="278" spans="2:19" ht="15.75">
      <c r="B278" s="55" t="s">
        <v>1227</v>
      </c>
      <c r="C278" s="56">
        <v>514</v>
      </c>
      <c r="D278" s="56">
        <v>40000</v>
      </c>
      <c r="E278" s="294" t="s">
        <v>51</v>
      </c>
      <c r="F278" s="296">
        <v>150</v>
      </c>
      <c r="G278" s="61" t="s">
        <v>662</v>
      </c>
      <c r="Q278" s="430">
        <v>20000</v>
      </c>
      <c r="R278" s="431">
        <v>34.55</v>
      </c>
      <c r="S278" s="428">
        <v>0.4</v>
      </c>
    </row>
    <row r="279" spans="2:19" ht="15.75">
      <c r="B279" s="55" t="s">
        <v>1194</v>
      </c>
      <c r="C279" s="56">
        <v>530</v>
      </c>
      <c r="D279" s="56">
        <v>40000</v>
      </c>
      <c r="E279" s="294" t="s">
        <v>51</v>
      </c>
      <c r="F279" s="296">
        <v>150</v>
      </c>
      <c r="G279" s="61" t="s">
        <v>662</v>
      </c>
      <c r="Q279" s="430">
        <v>20000</v>
      </c>
      <c r="R279" s="431">
        <v>34.55</v>
      </c>
      <c r="S279" s="428">
        <v>0.4</v>
      </c>
    </row>
    <row r="280" spans="2:19" ht="15.75">
      <c r="B280" s="55" t="s">
        <v>1204</v>
      </c>
      <c r="C280" s="56">
        <v>818</v>
      </c>
      <c r="D280" s="56">
        <v>60000</v>
      </c>
      <c r="E280" s="294" t="s">
        <v>51</v>
      </c>
      <c r="F280" s="296">
        <v>150</v>
      </c>
      <c r="G280" s="61" t="s">
        <v>662</v>
      </c>
      <c r="Q280" s="430">
        <v>20000</v>
      </c>
      <c r="R280" s="431">
        <v>62.57446808510638</v>
      </c>
      <c r="S280" s="428">
        <v>0.4</v>
      </c>
    </row>
    <row r="281" spans="2:19" ht="15.75">
      <c r="B281" s="55" t="s">
        <v>1205</v>
      </c>
      <c r="C281" s="56">
        <v>940</v>
      </c>
      <c r="D281" s="56">
        <v>80500</v>
      </c>
      <c r="E281" s="294" t="s">
        <v>51</v>
      </c>
      <c r="F281" s="296">
        <v>150</v>
      </c>
      <c r="G281" s="61" t="s">
        <v>662</v>
      </c>
      <c r="Q281" s="430">
        <v>20000</v>
      </c>
      <c r="R281" s="431">
        <v>62.57446808510638</v>
      </c>
      <c r="S281" s="428">
        <v>0.4</v>
      </c>
    </row>
    <row r="282" spans="2:19" ht="15.75">
      <c r="B282" s="55" t="s">
        <v>1203</v>
      </c>
      <c r="C282" s="56">
        <v>1080</v>
      </c>
      <c r="D282" s="56">
        <v>96000</v>
      </c>
      <c r="E282" s="294" t="s">
        <v>51</v>
      </c>
      <c r="F282" s="296">
        <v>150</v>
      </c>
      <c r="G282" s="61" t="s">
        <v>662</v>
      </c>
      <c r="Q282" s="430">
        <v>20000</v>
      </c>
      <c r="R282" s="431">
        <v>62.57446808510638</v>
      </c>
      <c r="S282" s="428">
        <v>0.4</v>
      </c>
    </row>
    <row r="283" spans="2:19" ht="15.75">
      <c r="B283" s="59" t="s">
        <v>933</v>
      </c>
      <c r="C283" s="56"/>
      <c r="D283" s="56"/>
      <c r="E283" s="294"/>
      <c r="F283" s="296"/>
      <c r="G283" s="61"/>
      <c r="Q283" s="430"/>
      <c r="R283" s="431"/>
      <c r="S283" s="428"/>
    </row>
    <row r="284" spans="2:19" ht="15.75">
      <c r="B284" s="55" t="s">
        <v>654</v>
      </c>
      <c r="C284" s="56"/>
      <c r="D284" s="56"/>
      <c r="E284" s="294" t="s">
        <v>43</v>
      </c>
      <c r="F284" s="296">
        <v>35</v>
      </c>
      <c r="G284" s="61" t="s">
        <v>662</v>
      </c>
      <c r="Q284" s="430" t="s">
        <v>1263</v>
      </c>
      <c r="R284" s="430" t="s">
        <v>1263</v>
      </c>
      <c r="S284" s="430" t="s">
        <v>1263</v>
      </c>
    </row>
    <row r="285" spans="2:19" ht="15.75">
      <c r="B285" s="55" t="s">
        <v>428</v>
      </c>
      <c r="C285" s="56"/>
      <c r="D285" s="56"/>
      <c r="E285" s="294" t="s">
        <v>44</v>
      </c>
      <c r="F285" s="296">
        <v>45</v>
      </c>
      <c r="G285" s="61" t="s">
        <v>662</v>
      </c>
      <c r="Q285" s="430" t="s">
        <v>1263</v>
      </c>
      <c r="R285" s="430" t="s">
        <v>1263</v>
      </c>
      <c r="S285" s="430" t="s">
        <v>1263</v>
      </c>
    </row>
    <row r="286" spans="2:19" ht="15.75">
      <c r="B286" s="59" t="s">
        <v>933</v>
      </c>
      <c r="C286" s="56"/>
      <c r="D286" s="56"/>
      <c r="E286" s="294"/>
      <c r="F286" s="296"/>
      <c r="G286" s="61"/>
      <c r="Q286" s="430"/>
      <c r="R286" s="431"/>
      <c r="S286" s="428"/>
    </row>
    <row r="287" spans="2:19" ht="15.75">
      <c r="B287" s="259" t="s">
        <v>154</v>
      </c>
      <c r="C287" s="56"/>
      <c r="D287" s="56"/>
      <c r="E287" s="294"/>
      <c r="F287" s="296"/>
      <c r="G287" s="61"/>
      <c r="Q287" s="430"/>
      <c r="R287" s="431"/>
      <c r="S287" s="428"/>
    </row>
    <row r="288" spans="2:19" ht="15.75">
      <c r="B288" s="278" t="s">
        <v>165</v>
      </c>
      <c r="C288" s="56">
        <v>68</v>
      </c>
      <c r="D288" s="56">
        <v>2100</v>
      </c>
      <c r="E288" s="294"/>
      <c r="F288" s="296"/>
      <c r="G288" s="61" t="s">
        <v>166</v>
      </c>
      <c r="Q288" s="430">
        <v>7500</v>
      </c>
      <c r="R288" s="431">
        <v>26.67</v>
      </c>
      <c r="S288" s="428">
        <v>0.4</v>
      </c>
    </row>
    <row r="289" spans="2:19" ht="15.75">
      <c r="B289" s="278" t="s">
        <v>164</v>
      </c>
      <c r="C289" s="56">
        <v>90</v>
      </c>
      <c r="D289" s="56">
        <v>3400</v>
      </c>
      <c r="E289" s="294"/>
      <c r="F289" s="296"/>
      <c r="G289" s="61" t="s">
        <v>166</v>
      </c>
      <c r="Q289" s="430">
        <v>12000</v>
      </c>
      <c r="R289" s="431">
        <v>26.67</v>
      </c>
      <c r="S289" s="428">
        <v>0.4</v>
      </c>
    </row>
    <row r="290" spans="2:19" ht="15.75">
      <c r="B290" s="278" t="s">
        <v>163</v>
      </c>
      <c r="C290" s="56">
        <v>125</v>
      </c>
      <c r="D290" s="56">
        <v>5500</v>
      </c>
      <c r="E290" s="294"/>
      <c r="F290" s="296"/>
      <c r="G290" s="61" t="s">
        <v>166</v>
      </c>
      <c r="Q290" s="430">
        <v>12000</v>
      </c>
      <c r="R290" s="431">
        <v>26.67</v>
      </c>
      <c r="S290" s="428">
        <v>0.4</v>
      </c>
    </row>
    <row r="291" spans="2:19" ht="15.75">
      <c r="B291" s="278" t="s">
        <v>161</v>
      </c>
      <c r="C291" s="56">
        <v>185</v>
      </c>
      <c r="D291" s="56">
        <v>9500</v>
      </c>
      <c r="E291" s="294"/>
      <c r="F291" s="296"/>
      <c r="G291" s="61" t="s">
        <v>166</v>
      </c>
      <c r="Q291" s="430">
        <v>12000</v>
      </c>
      <c r="R291" s="431">
        <v>28.08</v>
      </c>
      <c r="S291" s="428">
        <v>0.4</v>
      </c>
    </row>
    <row r="292" spans="2:19" ht="15.75">
      <c r="B292" s="278" t="s">
        <v>162</v>
      </c>
      <c r="C292" s="56">
        <v>208</v>
      </c>
      <c r="D292" s="56">
        <v>14000</v>
      </c>
      <c r="E292" s="294"/>
      <c r="F292" s="296"/>
      <c r="G292" s="61" t="s">
        <v>166</v>
      </c>
      <c r="Q292" s="430">
        <v>12000</v>
      </c>
      <c r="R292" s="431">
        <v>31.04</v>
      </c>
      <c r="S292" s="428">
        <v>0.4</v>
      </c>
    </row>
    <row r="293" spans="2:19" ht="15.75">
      <c r="B293" s="278" t="s">
        <v>862</v>
      </c>
      <c r="C293" s="56">
        <v>232</v>
      </c>
      <c r="D293" s="56">
        <v>16000</v>
      </c>
      <c r="E293" s="294"/>
      <c r="F293" s="296"/>
      <c r="G293" s="61" t="s">
        <v>166</v>
      </c>
      <c r="Q293" s="430">
        <v>12000</v>
      </c>
      <c r="R293" s="431">
        <v>31.04</v>
      </c>
      <c r="S293" s="428">
        <v>0.4</v>
      </c>
    </row>
    <row r="294" spans="2:19" ht="15.75">
      <c r="B294" s="278" t="s">
        <v>863</v>
      </c>
      <c r="C294" s="56">
        <v>291</v>
      </c>
      <c r="D294" s="56">
        <v>19000</v>
      </c>
      <c r="E294" s="294"/>
      <c r="F294" s="296"/>
      <c r="G294" s="61" t="s">
        <v>166</v>
      </c>
      <c r="Q294" s="430">
        <v>12000</v>
      </c>
      <c r="R294" s="431">
        <v>31.04</v>
      </c>
      <c r="S294" s="428">
        <v>0.4</v>
      </c>
    </row>
    <row r="295" spans="2:19" s="22" customFormat="1" ht="15.75">
      <c r="B295" s="63" t="s">
        <v>274</v>
      </c>
      <c r="C295" s="56"/>
      <c r="D295" s="56"/>
      <c r="E295" s="294"/>
      <c r="F295" s="296"/>
      <c r="G295" s="61"/>
      <c r="J295" s="67"/>
      <c r="N295" s="74"/>
      <c r="O295" s="74"/>
      <c r="Q295" s="430"/>
      <c r="R295" s="431"/>
      <c r="S295" s="428"/>
    </row>
    <row r="296" spans="2:19" s="22" customFormat="1" ht="15.75">
      <c r="B296" s="278" t="s">
        <v>119</v>
      </c>
      <c r="C296" s="56">
        <v>45</v>
      </c>
      <c r="D296" s="56">
        <v>1845</v>
      </c>
      <c r="E296" s="294"/>
      <c r="F296" s="296"/>
      <c r="G296" s="61" t="s">
        <v>438</v>
      </c>
      <c r="J296" s="67"/>
      <c r="N296" s="74"/>
      <c r="O296" s="74"/>
      <c r="Q296" s="430">
        <v>16000</v>
      </c>
      <c r="R296" s="431">
        <v>15.72</v>
      </c>
      <c r="S296" s="428">
        <v>0.4</v>
      </c>
    </row>
    <row r="297" spans="2:19" s="22" customFormat="1" ht="15.75">
      <c r="B297" s="278" t="s">
        <v>120</v>
      </c>
      <c r="C297" s="56">
        <v>68</v>
      </c>
      <c r="D297" s="56">
        <v>3280</v>
      </c>
      <c r="E297" s="294"/>
      <c r="F297" s="296"/>
      <c r="G297" s="61" t="s">
        <v>438</v>
      </c>
      <c r="J297" s="67"/>
      <c r="N297" s="74"/>
      <c r="O297" s="74"/>
      <c r="Q297" s="430">
        <v>24000</v>
      </c>
      <c r="R297" s="431">
        <v>15.72</v>
      </c>
      <c r="S297" s="428">
        <v>0.4</v>
      </c>
    </row>
    <row r="298" spans="2:19" s="22" customFormat="1" ht="15.75">
      <c r="B298" s="278" t="s">
        <v>121</v>
      </c>
      <c r="C298" s="56">
        <v>86</v>
      </c>
      <c r="D298" s="56">
        <v>5166</v>
      </c>
      <c r="E298" s="294"/>
      <c r="F298" s="296"/>
      <c r="G298" s="61" t="s">
        <v>438</v>
      </c>
      <c r="J298" s="67"/>
      <c r="N298" s="74"/>
      <c r="O298" s="74"/>
      <c r="Q298" s="430">
        <v>24000</v>
      </c>
      <c r="R298" s="431">
        <v>15.72</v>
      </c>
      <c r="S298" s="428">
        <v>0.4</v>
      </c>
    </row>
    <row r="299" spans="2:19" s="22" customFormat="1" ht="15.75">
      <c r="B299" s="278" t="s">
        <v>122</v>
      </c>
      <c r="C299" s="56">
        <v>120</v>
      </c>
      <c r="D299" s="56">
        <v>7790</v>
      </c>
      <c r="E299" s="294"/>
      <c r="F299" s="296"/>
      <c r="G299" s="61" t="s">
        <v>438</v>
      </c>
      <c r="J299" s="67"/>
      <c r="N299" s="74"/>
      <c r="O299" s="74"/>
      <c r="Q299" s="430">
        <v>24000</v>
      </c>
      <c r="R299" s="431">
        <v>15.72</v>
      </c>
      <c r="S299" s="428">
        <v>0.4</v>
      </c>
    </row>
    <row r="300" spans="2:19" s="22" customFormat="1" ht="15.75">
      <c r="B300" s="278" t="s">
        <v>123</v>
      </c>
      <c r="C300" s="56">
        <v>170</v>
      </c>
      <c r="D300" s="56">
        <v>13120</v>
      </c>
      <c r="E300" s="294"/>
      <c r="F300" s="296"/>
      <c r="G300" s="57" t="s">
        <v>580</v>
      </c>
      <c r="J300" s="67"/>
      <c r="N300" s="74"/>
      <c r="O300" s="74"/>
      <c r="Q300" s="430">
        <v>24000</v>
      </c>
      <c r="R300" s="431">
        <v>11.89</v>
      </c>
      <c r="S300" s="428">
        <v>0.4</v>
      </c>
    </row>
    <row r="301" spans="2:19" s="22" customFormat="1" ht="15.75">
      <c r="B301" s="278" t="s">
        <v>124</v>
      </c>
      <c r="C301" s="56">
        <v>245</v>
      </c>
      <c r="D301" s="56">
        <v>18040</v>
      </c>
      <c r="E301" s="294"/>
      <c r="F301" s="296"/>
      <c r="G301" s="57" t="s">
        <v>582</v>
      </c>
      <c r="J301" s="67"/>
      <c r="N301" s="74"/>
      <c r="O301" s="74"/>
      <c r="Q301" s="430">
        <v>24000</v>
      </c>
      <c r="R301" s="431">
        <v>14.24</v>
      </c>
      <c r="S301" s="428">
        <v>0.4</v>
      </c>
    </row>
    <row r="302" spans="2:19" s="22" customFormat="1" ht="15.75">
      <c r="B302" s="278" t="s">
        <v>125</v>
      </c>
      <c r="C302" s="56">
        <v>295</v>
      </c>
      <c r="D302" s="56">
        <v>22550</v>
      </c>
      <c r="E302" s="294"/>
      <c r="F302" s="296"/>
      <c r="G302" s="57" t="s">
        <v>581</v>
      </c>
      <c r="J302" s="67"/>
      <c r="N302" s="74"/>
      <c r="O302" s="74"/>
      <c r="Q302" s="430">
        <v>24000</v>
      </c>
      <c r="R302" s="431">
        <v>14.24</v>
      </c>
      <c r="S302" s="428">
        <v>0.4</v>
      </c>
    </row>
    <row r="303" spans="2:19" s="22" customFormat="1" ht="15.75">
      <c r="B303" s="278" t="s">
        <v>126</v>
      </c>
      <c r="C303" s="56">
        <v>365</v>
      </c>
      <c r="D303" s="56">
        <v>30340</v>
      </c>
      <c r="E303" s="294"/>
      <c r="F303" s="296"/>
      <c r="G303" s="57" t="s">
        <v>583</v>
      </c>
      <c r="J303" s="67"/>
      <c r="N303" s="74"/>
      <c r="O303" s="74"/>
      <c r="Q303" s="430">
        <v>24000</v>
      </c>
      <c r="R303" s="431">
        <v>14.24</v>
      </c>
      <c r="S303" s="428">
        <v>0.4</v>
      </c>
    </row>
    <row r="304" spans="2:19" s="22" customFormat="1" ht="15.75">
      <c r="B304" s="278" t="s">
        <v>127</v>
      </c>
      <c r="C304" s="56">
        <v>457</v>
      </c>
      <c r="D304" s="56">
        <v>41000</v>
      </c>
      <c r="E304" s="294"/>
      <c r="F304" s="296"/>
      <c r="G304" s="57" t="s">
        <v>584</v>
      </c>
      <c r="J304" s="67"/>
      <c r="N304" s="74"/>
      <c r="O304" s="74"/>
      <c r="Q304" s="430">
        <v>24000</v>
      </c>
      <c r="R304" s="431">
        <v>14.24</v>
      </c>
      <c r="S304" s="428">
        <v>0.4</v>
      </c>
    </row>
    <row r="305" spans="2:19" s="22" customFormat="1" ht="15.75">
      <c r="B305" s="63" t="s">
        <v>274</v>
      </c>
      <c r="C305" s="56"/>
      <c r="D305" s="56"/>
      <c r="E305" s="294"/>
      <c r="F305" s="296"/>
      <c r="G305" s="61"/>
      <c r="J305" s="67"/>
      <c r="N305" s="74"/>
      <c r="O305" s="74"/>
      <c r="Q305" s="430"/>
      <c r="R305" s="431"/>
      <c r="S305" s="428"/>
    </row>
    <row r="306" spans="2:19" s="22" customFormat="1" ht="15.75">
      <c r="B306" s="278" t="s">
        <v>149</v>
      </c>
      <c r="C306" s="56">
        <v>20</v>
      </c>
      <c r="D306" s="56">
        <v>240</v>
      </c>
      <c r="E306" s="294"/>
      <c r="F306" s="296"/>
      <c r="G306" s="57" t="s">
        <v>579</v>
      </c>
      <c r="Q306" s="430" t="s">
        <v>1263</v>
      </c>
      <c r="R306" s="430" t="s">
        <v>1263</v>
      </c>
      <c r="S306" s="430" t="s">
        <v>1263</v>
      </c>
    </row>
    <row r="307" spans="2:19" s="22" customFormat="1" ht="15.75">
      <c r="B307" s="278" t="s">
        <v>150</v>
      </c>
      <c r="C307" s="56">
        <v>35</v>
      </c>
      <c r="D307" s="56">
        <v>490</v>
      </c>
      <c r="E307" s="294"/>
      <c r="F307" s="296"/>
      <c r="G307" s="57" t="s">
        <v>579</v>
      </c>
      <c r="Q307" s="430" t="s">
        <v>1263</v>
      </c>
      <c r="R307" s="430" t="s">
        <v>1263</v>
      </c>
      <c r="S307" s="430" t="s">
        <v>1263</v>
      </c>
    </row>
    <row r="308" spans="2:19" s="22" customFormat="1" ht="15.75">
      <c r="B308" s="278" t="s">
        <v>151</v>
      </c>
      <c r="C308" s="56">
        <v>40</v>
      </c>
      <c r="D308" s="56">
        <v>600</v>
      </c>
      <c r="E308" s="294"/>
      <c r="F308" s="296"/>
      <c r="G308" s="57" t="s">
        <v>580</v>
      </c>
      <c r="Q308" s="430" t="s">
        <v>1263</v>
      </c>
      <c r="R308" s="430" t="s">
        <v>1263</v>
      </c>
      <c r="S308" s="430" t="s">
        <v>1263</v>
      </c>
    </row>
    <row r="309" spans="2:19" s="22" customFormat="1" ht="15.75">
      <c r="B309" s="278" t="s">
        <v>152</v>
      </c>
      <c r="C309" s="56">
        <v>50</v>
      </c>
      <c r="D309" s="56">
        <v>790</v>
      </c>
      <c r="E309" s="294"/>
      <c r="F309" s="296"/>
      <c r="G309" s="57" t="s">
        <v>582</v>
      </c>
      <c r="Q309" s="430" t="s">
        <v>1263</v>
      </c>
      <c r="R309" s="430" t="s">
        <v>1263</v>
      </c>
      <c r="S309" s="430" t="s">
        <v>1263</v>
      </c>
    </row>
    <row r="310" spans="2:19" s="22" customFormat="1" ht="15.75">
      <c r="B310" s="278" t="s">
        <v>153</v>
      </c>
      <c r="C310" s="56">
        <v>75</v>
      </c>
      <c r="D310" s="56">
        <v>1320</v>
      </c>
      <c r="E310" s="294"/>
      <c r="F310" s="296"/>
      <c r="G310" s="57" t="s">
        <v>581</v>
      </c>
      <c r="Q310" s="430" t="s">
        <v>1263</v>
      </c>
      <c r="R310" s="430" t="s">
        <v>1263</v>
      </c>
      <c r="S310" s="430" t="s">
        <v>1263</v>
      </c>
    </row>
    <row r="311" spans="2:19" s="22" customFormat="1" ht="15.75">
      <c r="B311" s="63" t="s">
        <v>274</v>
      </c>
      <c r="C311" s="56"/>
      <c r="D311" s="56"/>
      <c r="E311" s="294"/>
      <c r="F311" s="296"/>
      <c r="G311" s="61"/>
      <c r="J311" s="67"/>
      <c r="N311" s="74"/>
      <c r="O311" s="74"/>
      <c r="Q311" s="430"/>
      <c r="R311" s="431"/>
      <c r="S311" s="428"/>
    </row>
    <row r="312" spans="2:19" s="22" customFormat="1" ht="15.75">
      <c r="B312" s="278" t="s">
        <v>1144</v>
      </c>
      <c r="C312" s="56">
        <v>100</v>
      </c>
      <c r="D312" s="56">
        <v>1440</v>
      </c>
      <c r="E312" s="294"/>
      <c r="F312" s="296"/>
      <c r="G312" s="57" t="s">
        <v>579</v>
      </c>
      <c r="Q312" s="430">
        <v>1500</v>
      </c>
      <c r="R312" s="431">
        <v>5.99</v>
      </c>
      <c r="S312" s="428">
        <v>0.09</v>
      </c>
    </row>
    <row r="313" spans="2:19" s="22" customFormat="1" ht="15.75">
      <c r="B313" s="278" t="s">
        <v>1145</v>
      </c>
      <c r="C313" s="56">
        <v>150</v>
      </c>
      <c r="D313" s="56">
        <v>2160</v>
      </c>
      <c r="E313" s="294"/>
      <c r="F313" s="296"/>
      <c r="G313" s="57" t="s">
        <v>579</v>
      </c>
      <c r="Q313" s="430">
        <v>1500</v>
      </c>
      <c r="R313" s="431">
        <v>5.99</v>
      </c>
      <c r="S313" s="428">
        <v>0.09</v>
      </c>
    </row>
    <row r="314" spans="2:19" s="22" customFormat="1" ht="15.75">
      <c r="B314" s="278" t="s">
        <v>1146</v>
      </c>
      <c r="C314" s="56">
        <v>250</v>
      </c>
      <c r="D314" s="56">
        <v>3600</v>
      </c>
      <c r="E314" s="294"/>
      <c r="F314" s="296"/>
      <c r="G314" s="57" t="s">
        <v>580</v>
      </c>
      <c r="Q314" s="430">
        <v>1500</v>
      </c>
      <c r="R314" s="431">
        <v>6.55</v>
      </c>
      <c r="S314" s="428">
        <v>0.09</v>
      </c>
    </row>
    <row r="315" spans="2:19" s="22" customFormat="1" ht="15.75">
      <c r="B315" s="278" t="s">
        <v>1147</v>
      </c>
      <c r="C315" s="56">
        <v>300</v>
      </c>
      <c r="D315" s="56">
        <v>4680</v>
      </c>
      <c r="E315" s="294"/>
      <c r="F315" s="296"/>
      <c r="G315" s="57" t="s">
        <v>582</v>
      </c>
      <c r="Q315" s="430">
        <v>1500</v>
      </c>
      <c r="R315" s="431">
        <v>7.05</v>
      </c>
      <c r="S315" s="428">
        <v>0.09</v>
      </c>
    </row>
    <row r="316" spans="2:19" s="22" customFormat="1" ht="15.75">
      <c r="B316" s="278" t="s">
        <v>1148</v>
      </c>
      <c r="C316" s="56">
        <v>500</v>
      </c>
      <c r="D316" s="56">
        <v>8550</v>
      </c>
      <c r="E316" s="294"/>
      <c r="F316" s="296"/>
      <c r="G316" s="57" t="s">
        <v>581</v>
      </c>
      <c r="Q316" s="430">
        <v>1500</v>
      </c>
      <c r="R316" s="431">
        <v>6.98</v>
      </c>
      <c r="S316" s="428">
        <v>0.09</v>
      </c>
    </row>
    <row r="317" spans="2:19" s="22" customFormat="1" ht="15.75">
      <c r="B317" s="278" t="s">
        <v>1149</v>
      </c>
      <c r="C317" s="56">
        <v>750</v>
      </c>
      <c r="D317" s="56">
        <v>13500</v>
      </c>
      <c r="E317" s="294"/>
      <c r="F317" s="296"/>
      <c r="G317" s="57" t="s">
        <v>583</v>
      </c>
      <c r="Q317" s="430">
        <v>1500</v>
      </c>
      <c r="R317" s="431">
        <v>14</v>
      </c>
      <c r="S317" s="428">
        <v>0.09</v>
      </c>
    </row>
    <row r="318" spans="2:19" s="22" customFormat="1" ht="15.75">
      <c r="B318" s="278" t="s">
        <v>1150</v>
      </c>
      <c r="C318" s="56">
        <v>1000</v>
      </c>
      <c r="D318" s="56">
        <v>18900</v>
      </c>
      <c r="E318" s="294"/>
      <c r="F318" s="296"/>
      <c r="G318" s="57" t="s">
        <v>584</v>
      </c>
      <c r="Q318" s="430">
        <v>1500</v>
      </c>
      <c r="R318" s="431">
        <v>14</v>
      </c>
      <c r="S318" s="428">
        <v>0.09</v>
      </c>
    </row>
    <row r="319" spans="2:19" s="22" customFormat="1" ht="15.75">
      <c r="B319" s="278" t="s">
        <v>1151</v>
      </c>
      <c r="C319" s="56">
        <v>1500</v>
      </c>
      <c r="D319" s="56">
        <v>29700</v>
      </c>
      <c r="E319" s="294"/>
      <c r="F319" s="296"/>
      <c r="G319" s="57" t="s">
        <v>585</v>
      </c>
      <c r="Q319" s="430">
        <v>1500</v>
      </c>
      <c r="R319" s="431">
        <v>14</v>
      </c>
      <c r="S319" s="428">
        <v>0.09</v>
      </c>
    </row>
    <row r="320" spans="2:19" s="22" customFormat="1" ht="15.75">
      <c r="B320" s="63" t="s">
        <v>275</v>
      </c>
      <c r="C320" s="56"/>
      <c r="D320" s="56"/>
      <c r="E320" s="294"/>
      <c r="F320" s="296"/>
      <c r="G320" s="57"/>
      <c r="Q320" s="430"/>
      <c r="R320" s="431"/>
      <c r="S320" s="428"/>
    </row>
    <row r="321" spans="2:7" ht="15.75">
      <c r="B321" s="525"/>
      <c r="C321" s="526"/>
      <c r="D321" s="526"/>
      <c r="E321" s="526"/>
      <c r="F321" s="526"/>
      <c r="G321" s="527"/>
    </row>
    <row r="322" spans="2:7" ht="15.75">
      <c r="B322" s="525"/>
      <c r="C322" s="526"/>
      <c r="D322" s="526"/>
      <c r="E322" s="526"/>
      <c r="F322" s="526"/>
      <c r="G322" s="527"/>
    </row>
    <row r="323" spans="2:7" ht="15.75">
      <c r="B323" s="525"/>
      <c r="C323" s="526"/>
      <c r="D323" s="526"/>
      <c r="E323" s="526"/>
      <c r="F323" s="526"/>
      <c r="G323" s="527"/>
    </row>
    <row r="324" spans="2:7" ht="15.75">
      <c r="B324" s="525"/>
      <c r="C324" s="526"/>
      <c r="D324" s="526"/>
      <c r="E324" s="526"/>
      <c r="F324" s="526"/>
      <c r="G324" s="527"/>
    </row>
    <row r="325" spans="2:7" ht="15.75">
      <c r="B325" s="525"/>
      <c r="C325" s="526"/>
      <c r="D325" s="526"/>
      <c r="E325" s="526"/>
      <c r="F325" s="526"/>
      <c r="G325" s="527"/>
    </row>
    <row r="326" spans="2:7" ht="15.75">
      <c r="B326" s="525"/>
      <c r="C326" s="526"/>
      <c r="D326" s="526"/>
      <c r="E326" s="526"/>
      <c r="F326" s="526"/>
      <c r="G326" s="527"/>
    </row>
    <row r="327" spans="2:7" ht="15.75">
      <c r="B327" s="525"/>
      <c r="C327" s="526"/>
      <c r="D327" s="526"/>
      <c r="E327" s="526"/>
      <c r="F327" s="526"/>
      <c r="G327" s="527"/>
    </row>
    <row r="328" spans="2:7" ht="15.75">
      <c r="B328" s="525"/>
      <c r="C328" s="526"/>
      <c r="D328" s="526"/>
      <c r="E328" s="526"/>
      <c r="F328" s="526"/>
      <c r="G328" s="527"/>
    </row>
    <row r="329" spans="2:7" ht="15.75">
      <c r="B329" s="525"/>
      <c r="C329" s="526"/>
      <c r="D329" s="526"/>
      <c r="E329" s="526"/>
      <c r="F329" s="526"/>
      <c r="G329" s="527"/>
    </row>
    <row r="330" spans="2:7" ht="15.75">
      <c r="B330" s="525"/>
      <c r="C330" s="526"/>
      <c r="D330" s="526"/>
      <c r="E330" s="526"/>
      <c r="F330" s="526"/>
      <c r="G330" s="527"/>
    </row>
    <row r="331" spans="2:7" ht="15.75">
      <c r="B331" s="525"/>
      <c r="C331" s="526"/>
      <c r="D331" s="526"/>
      <c r="E331" s="526"/>
      <c r="F331" s="526"/>
      <c r="G331" s="527"/>
    </row>
    <row r="332" spans="2:7" ht="15.75">
      <c r="B332" s="525"/>
      <c r="C332" s="526"/>
      <c r="D332" s="526"/>
      <c r="E332" s="526"/>
      <c r="F332" s="526"/>
      <c r="G332" s="527"/>
    </row>
    <row r="333" spans="2:7" ht="15.75">
      <c r="B333" s="525"/>
      <c r="C333" s="526"/>
      <c r="D333" s="526"/>
      <c r="E333" s="526"/>
      <c r="F333" s="526"/>
      <c r="G333" s="527"/>
    </row>
    <row r="334" spans="2:7" ht="15.75">
      <c r="B334" s="525"/>
      <c r="C334" s="526"/>
      <c r="D334" s="526"/>
      <c r="E334" s="526"/>
      <c r="F334" s="526"/>
      <c r="G334" s="527"/>
    </row>
    <row r="335" spans="2:7" ht="15.75">
      <c r="B335" s="525"/>
      <c r="C335" s="526"/>
      <c r="D335" s="526"/>
      <c r="E335" s="526"/>
      <c r="F335" s="526"/>
      <c r="G335" s="527"/>
    </row>
    <row r="336" spans="2:7" ht="15.75">
      <c r="B336" s="525"/>
      <c r="C336" s="526"/>
      <c r="D336" s="526"/>
      <c r="E336" s="526"/>
      <c r="F336" s="526"/>
      <c r="G336" s="527"/>
    </row>
    <row r="337" spans="2:7" ht="15.75">
      <c r="B337" s="525"/>
      <c r="C337" s="526"/>
      <c r="D337" s="526"/>
      <c r="E337" s="526"/>
      <c r="F337" s="526"/>
      <c r="G337" s="527"/>
    </row>
    <row r="338" spans="2:7" ht="15.75">
      <c r="B338" s="525"/>
      <c r="C338" s="526"/>
      <c r="D338" s="526"/>
      <c r="E338" s="526"/>
      <c r="F338" s="526"/>
      <c r="G338" s="527"/>
    </row>
    <row r="339" spans="2:7" ht="15.75">
      <c r="B339" s="525"/>
      <c r="C339" s="526"/>
      <c r="D339" s="526"/>
      <c r="E339" s="526"/>
      <c r="F339" s="526"/>
      <c r="G339" s="527"/>
    </row>
    <row r="340" spans="2:7" ht="15.75">
      <c r="B340" s="525"/>
      <c r="C340" s="526"/>
      <c r="D340" s="526"/>
      <c r="E340" s="526"/>
      <c r="F340" s="526"/>
      <c r="G340" s="527"/>
    </row>
    <row r="341" spans="2:7" ht="15.75">
      <c r="B341" s="525"/>
      <c r="C341" s="526"/>
      <c r="D341" s="526"/>
      <c r="E341" s="526"/>
      <c r="F341" s="526"/>
      <c r="G341" s="527"/>
    </row>
    <row r="342" spans="2:7" ht="15.75">
      <c r="B342" s="525"/>
      <c r="C342" s="526"/>
      <c r="D342" s="526"/>
      <c r="E342" s="526"/>
      <c r="F342" s="526"/>
      <c r="G342" s="527"/>
    </row>
    <row r="343" spans="2:7" ht="15.75">
      <c r="B343" s="525"/>
      <c r="C343" s="526"/>
      <c r="D343" s="526"/>
      <c r="E343" s="526"/>
      <c r="F343" s="526"/>
      <c r="G343" s="527"/>
    </row>
    <row r="344" spans="2:7" ht="15.75">
      <c r="B344" s="525"/>
      <c r="C344" s="526"/>
      <c r="D344" s="526"/>
      <c r="E344" s="526"/>
      <c r="F344" s="526"/>
      <c r="G344" s="527"/>
    </row>
    <row r="345" spans="2:7" ht="15.75">
      <c r="B345" s="525"/>
      <c r="C345" s="526"/>
      <c r="D345" s="526"/>
      <c r="E345" s="526"/>
      <c r="F345" s="526"/>
      <c r="G345" s="527"/>
    </row>
    <row r="346" spans="2:7" ht="15.75">
      <c r="B346" s="525"/>
      <c r="C346" s="526"/>
      <c r="D346" s="526"/>
      <c r="E346" s="526"/>
      <c r="F346" s="526"/>
      <c r="G346" s="527"/>
    </row>
    <row r="347" spans="2:7" ht="15.75">
      <c r="B347" s="525"/>
      <c r="C347" s="526"/>
      <c r="D347" s="526"/>
      <c r="E347" s="526"/>
      <c r="F347" s="526"/>
      <c r="G347" s="527"/>
    </row>
    <row r="348" spans="2:7" ht="15.75">
      <c r="B348" s="525"/>
      <c r="C348" s="526"/>
      <c r="D348" s="526"/>
      <c r="E348" s="526"/>
      <c r="F348" s="526"/>
      <c r="G348" s="527"/>
    </row>
    <row r="349" spans="2:7" ht="15.75">
      <c r="B349" s="525"/>
      <c r="C349" s="526"/>
      <c r="D349" s="526"/>
      <c r="E349" s="526"/>
      <c r="F349" s="526"/>
      <c r="G349" s="527"/>
    </row>
    <row r="350" spans="2:7" ht="15.75">
      <c r="B350" s="525"/>
      <c r="C350" s="526"/>
      <c r="D350" s="526"/>
      <c r="E350" s="526"/>
      <c r="F350" s="526"/>
      <c r="G350" s="527"/>
    </row>
    <row r="351" spans="2:7" ht="15.75">
      <c r="B351" s="525"/>
      <c r="C351" s="526"/>
      <c r="D351" s="526"/>
      <c r="E351" s="526"/>
      <c r="F351" s="526"/>
      <c r="G351" s="527"/>
    </row>
    <row r="352" spans="2:7" ht="15.75">
      <c r="B352" s="525"/>
      <c r="C352" s="526"/>
      <c r="D352" s="526"/>
      <c r="E352" s="526"/>
      <c r="F352" s="526"/>
      <c r="G352" s="527"/>
    </row>
    <row r="353" spans="2:7" ht="15.75">
      <c r="B353" s="525"/>
      <c r="C353" s="526"/>
      <c r="D353" s="526"/>
      <c r="E353" s="526"/>
      <c r="F353" s="526"/>
      <c r="G353" s="527"/>
    </row>
    <row r="354" spans="2:7" ht="15.75">
      <c r="B354" s="525"/>
      <c r="C354" s="526"/>
      <c r="D354" s="526"/>
      <c r="E354" s="526"/>
      <c r="F354" s="526"/>
      <c r="G354" s="527"/>
    </row>
    <row r="355" spans="2:7" ht="15.75">
      <c r="B355" s="525"/>
      <c r="C355" s="526"/>
      <c r="D355" s="526"/>
      <c r="E355" s="526"/>
      <c r="F355" s="526"/>
      <c r="G355" s="527"/>
    </row>
    <row r="356" spans="2:7" ht="15.75">
      <c r="B356" s="525"/>
      <c r="C356" s="526"/>
      <c r="D356" s="526"/>
      <c r="E356" s="526"/>
      <c r="F356" s="526"/>
      <c r="G356" s="527"/>
    </row>
    <row r="357" spans="2:7" ht="15.75">
      <c r="B357" s="525"/>
      <c r="C357" s="526"/>
      <c r="D357" s="526"/>
      <c r="E357" s="526"/>
      <c r="F357" s="526"/>
      <c r="G357" s="527"/>
    </row>
    <row r="358" spans="2:7" ht="15.75">
      <c r="B358" s="525"/>
      <c r="C358" s="526"/>
      <c r="D358" s="526"/>
      <c r="E358" s="526"/>
      <c r="F358" s="526"/>
      <c r="G358" s="527"/>
    </row>
    <row r="359" spans="2:7" ht="15.75">
      <c r="B359" s="525"/>
      <c r="C359" s="526"/>
      <c r="D359" s="526"/>
      <c r="E359" s="526"/>
      <c r="F359" s="526"/>
      <c r="G359" s="527"/>
    </row>
    <row r="360" spans="2:7" ht="15.75">
      <c r="B360" s="525"/>
      <c r="C360" s="526"/>
      <c r="D360" s="526"/>
      <c r="E360" s="526"/>
      <c r="F360" s="526"/>
      <c r="G360" s="527"/>
    </row>
    <row r="361" spans="2:7" ht="15.75">
      <c r="B361" s="525"/>
      <c r="C361" s="526"/>
      <c r="D361" s="526"/>
      <c r="E361" s="526"/>
      <c r="F361" s="526"/>
      <c r="G361" s="527"/>
    </row>
    <row r="362" spans="2:7" ht="15.75">
      <c r="B362" s="525"/>
      <c r="C362" s="526"/>
      <c r="D362" s="526"/>
      <c r="E362" s="526"/>
      <c r="F362" s="526"/>
      <c r="G362" s="527"/>
    </row>
    <row r="363" spans="2:7" ht="15.75">
      <c r="B363" s="525"/>
      <c r="C363" s="526"/>
      <c r="D363" s="526"/>
      <c r="E363" s="526"/>
      <c r="F363" s="526"/>
      <c r="G363" s="527"/>
    </row>
    <row r="364" spans="2:7" ht="15.75">
      <c r="B364" s="525"/>
      <c r="C364" s="526"/>
      <c r="D364" s="526"/>
      <c r="E364" s="526"/>
      <c r="F364" s="526"/>
      <c r="G364" s="527"/>
    </row>
    <row r="365" spans="2:7" ht="15.75">
      <c r="B365" s="525"/>
      <c r="C365" s="526"/>
      <c r="D365" s="526"/>
      <c r="E365" s="526"/>
      <c r="F365" s="526"/>
      <c r="G365" s="527"/>
    </row>
    <row r="366" spans="2:7" ht="15.75">
      <c r="B366" s="525"/>
      <c r="C366" s="526"/>
      <c r="D366" s="526"/>
      <c r="E366" s="526"/>
      <c r="F366" s="526"/>
      <c r="G366" s="527"/>
    </row>
    <row r="367" spans="2:7" ht="15.75">
      <c r="B367" s="525"/>
      <c r="C367" s="526"/>
      <c r="D367" s="526"/>
      <c r="E367" s="526"/>
      <c r="F367" s="526"/>
      <c r="G367" s="527"/>
    </row>
    <row r="368" spans="2:7" ht="15.75">
      <c r="B368" s="525"/>
      <c r="C368" s="526"/>
      <c r="D368" s="526"/>
      <c r="E368" s="526"/>
      <c r="F368" s="526"/>
      <c r="G368" s="527"/>
    </row>
    <row r="369" spans="2:7" ht="15.75">
      <c r="B369" s="525"/>
      <c r="C369" s="526"/>
      <c r="D369" s="526"/>
      <c r="E369" s="526"/>
      <c r="F369" s="526"/>
      <c r="G369" s="527"/>
    </row>
    <row r="370" spans="2:7" ht="15.75">
      <c r="B370" s="525"/>
      <c r="C370" s="526"/>
      <c r="D370" s="526"/>
      <c r="E370" s="526"/>
      <c r="F370" s="526"/>
      <c r="G370" s="527"/>
    </row>
    <row r="371" spans="2:7" ht="15.75">
      <c r="B371" s="525"/>
      <c r="C371" s="526"/>
      <c r="D371" s="526"/>
      <c r="E371" s="526"/>
      <c r="F371" s="526"/>
      <c r="G371" s="527"/>
    </row>
    <row r="372" spans="2:7" ht="15.75">
      <c r="B372" s="525"/>
      <c r="C372" s="526"/>
      <c r="D372" s="526"/>
      <c r="E372" s="526"/>
      <c r="F372" s="526"/>
      <c r="G372" s="527"/>
    </row>
    <row r="373" spans="2:7" ht="15.75">
      <c r="B373" s="525"/>
      <c r="C373" s="526"/>
      <c r="D373" s="526"/>
      <c r="E373" s="526"/>
      <c r="F373" s="526"/>
      <c r="G373" s="527"/>
    </row>
    <row r="374" spans="2:7" ht="15.75">
      <c r="B374" s="525"/>
      <c r="C374" s="526"/>
      <c r="D374" s="526"/>
      <c r="E374" s="526"/>
      <c r="F374" s="526"/>
      <c r="G374" s="527"/>
    </row>
    <row r="375" spans="2:7" ht="15.75">
      <c r="B375" s="525"/>
      <c r="C375" s="526"/>
      <c r="D375" s="526"/>
      <c r="E375" s="526"/>
      <c r="F375" s="526"/>
      <c r="G375" s="527"/>
    </row>
    <row r="376" spans="2:7" ht="15.75">
      <c r="B376" s="525"/>
      <c r="C376" s="526"/>
      <c r="D376" s="526"/>
      <c r="E376" s="526"/>
      <c r="F376" s="526"/>
      <c r="G376" s="527"/>
    </row>
    <row r="377" spans="2:7" ht="15.75">
      <c r="B377" s="525"/>
      <c r="C377" s="526"/>
      <c r="D377" s="526"/>
      <c r="E377" s="526"/>
      <c r="F377" s="526"/>
      <c r="G377" s="527"/>
    </row>
    <row r="378" spans="2:7" ht="15.75">
      <c r="B378" s="525"/>
      <c r="C378" s="526"/>
      <c r="D378" s="526"/>
      <c r="E378" s="526"/>
      <c r="F378" s="526"/>
      <c r="G378" s="527"/>
    </row>
    <row r="379" spans="2:7" ht="15.75">
      <c r="B379" s="525"/>
      <c r="C379" s="526"/>
      <c r="D379" s="526"/>
      <c r="E379" s="526"/>
      <c r="F379" s="526"/>
      <c r="G379" s="527"/>
    </row>
    <row r="380" spans="2:7" ht="15.75">
      <c r="B380" s="525"/>
      <c r="C380" s="526"/>
      <c r="D380" s="526"/>
      <c r="E380" s="526"/>
      <c r="F380" s="526"/>
      <c r="G380" s="527"/>
    </row>
    <row r="381" spans="2:7" ht="15.75">
      <c r="B381" s="525"/>
      <c r="C381" s="526"/>
      <c r="D381" s="526"/>
      <c r="E381" s="526"/>
      <c r="F381" s="526"/>
      <c r="G381" s="527"/>
    </row>
    <row r="382" spans="2:7" ht="15.75">
      <c r="B382" s="525"/>
      <c r="C382" s="526"/>
      <c r="D382" s="526"/>
      <c r="E382" s="526"/>
      <c r="F382" s="526"/>
      <c r="G382" s="527"/>
    </row>
    <row r="383" spans="2:7" ht="15.75">
      <c r="B383" s="525"/>
      <c r="C383" s="526"/>
      <c r="D383" s="526"/>
      <c r="E383" s="526"/>
      <c r="F383" s="526"/>
      <c r="G383" s="527"/>
    </row>
    <row r="384" spans="2:7" ht="15.75">
      <c r="B384" s="525"/>
      <c r="C384" s="526"/>
      <c r="D384" s="526"/>
      <c r="E384" s="526"/>
      <c r="F384" s="526"/>
      <c r="G384" s="527"/>
    </row>
    <row r="385" spans="2:7" ht="15.75">
      <c r="B385" s="525"/>
      <c r="C385" s="526"/>
      <c r="D385" s="526"/>
      <c r="E385" s="526"/>
      <c r="F385" s="526"/>
      <c r="G385" s="527"/>
    </row>
    <row r="386" spans="2:7" ht="15.75">
      <c r="B386" s="525"/>
      <c r="C386" s="526"/>
      <c r="D386" s="526"/>
      <c r="E386" s="526"/>
      <c r="F386" s="526"/>
      <c r="G386" s="527"/>
    </row>
    <row r="387" spans="2:7" ht="15.75">
      <c r="B387" s="525"/>
      <c r="C387" s="526"/>
      <c r="D387" s="526"/>
      <c r="E387" s="526"/>
      <c r="F387" s="526"/>
      <c r="G387" s="527"/>
    </row>
    <row r="388" spans="2:7" ht="15.75">
      <c r="B388" s="525"/>
      <c r="C388" s="526"/>
      <c r="D388" s="526"/>
      <c r="E388" s="526"/>
      <c r="F388" s="526"/>
      <c r="G388" s="527"/>
    </row>
    <row r="389" spans="2:7" ht="15.75">
      <c r="B389" s="525"/>
      <c r="C389" s="526"/>
      <c r="D389" s="526"/>
      <c r="E389" s="526"/>
      <c r="F389" s="526"/>
      <c r="G389" s="527"/>
    </row>
    <row r="390" spans="2:7" ht="15.75">
      <c r="B390" s="525"/>
      <c r="C390" s="526"/>
      <c r="D390" s="526"/>
      <c r="E390" s="526"/>
      <c r="F390" s="526"/>
      <c r="G390" s="527"/>
    </row>
    <row r="391" spans="2:7" ht="15.75">
      <c r="B391" s="525"/>
      <c r="C391" s="526"/>
      <c r="D391" s="526"/>
      <c r="E391" s="526"/>
      <c r="F391" s="526"/>
      <c r="G391" s="527"/>
    </row>
    <row r="392" spans="2:7" ht="15.75">
      <c r="B392" s="525"/>
      <c r="C392" s="526"/>
      <c r="D392" s="526"/>
      <c r="E392" s="526"/>
      <c r="F392" s="526"/>
      <c r="G392" s="527"/>
    </row>
    <row r="393" spans="2:7" ht="15.75">
      <c r="B393" s="525"/>
      <c r="C393" s="526"/>
      <c r="D393" s="526"/>
      <c r="E393" s="526"/>
      <c r="F393" s="526"/>
      <c r="G393" s="527"/>
    </row>
    <row r="394" spans="2:7" ht="15.75">
      <c r="B394" s="525"/>
      <c r="C394" s="526"/>
      <c r="D394" s="526"/>
      <c r="E394" s="526"/>
      <c r="F394" s="526"/>
      <c r="G394" s="527"/>
    </row>
    <row r="395" spans="2:7" ht="15.75">
      <c r="B395" s="525"/>
      <c r="C395" s="526"/>
      <c r="D395" s="526"/>
      <c r="E395" s="526"/>
      <c r="F395" s="526"/>
      <c r="G395" s="527"/>
    </row>
    <row r="396" spans="2:7" ht="15.75">
      <c r="B396" s="525"/>
      <c r="C396" s="526"/>
      <c r="D396" s="526"/>
      <c r="E396" s="526"/>
      <c r="F396" s="526"/>
      <c r="G396" s="527"/>
    </row>
    <row r="397" spans="2:7" ht="15.75">
      <c r="B397" s="525"/>
      <c r="C397" s="526"/>
      <c r="D397" s="526"/>
      <c r="E397" s="526"/>
      <c r="F397" s="526"/>
      <c r="G397" s="527"/>
    </row>
    <row r="398" spans="2:7" ht="15.75">
      <c r="B398" s="525"/>
      <c r="C398" s="526"/>
      <c r="D398" s="526"/>
      <c r="E398" s="526"/>
      <c r="F398" s="526"/>
      <c r="G398" s="527"/>
    </row>
    <row r="399" spans="2:7" ht="15.75">
      <c r="B399" s="525"/>
      <c r="C399" s="526"/>
      <c r="D399" s="526"/>
      <c r="E399" s="526"/>
      <c r="F399" s="526"/>
      <c r="G399" s="527"/>
    </row>
    <row r="400" spans="2:7" ht="15.75">
      <c r="B400" s="525"/>
      <c r="C400" s="526"/>
      <c r="D400" s="526"/>
      <c r="E400" s="526"/>
      <c r="F400" s="526"/>
      <c r="G400" s="527"/>
    </row>
    <row r="401" spans="2:7" ht="15.75">
      <c r="B401" s="525"/>
      <c r="C401" s="526"/>
      <c r="D401" s="526"/>
      <c r="E401" s="526"/>
      <c r="F401" s="526"/>
      <c r="G401" s="527"/>
    </row>
    <row r="402" spans="2:7" ht="15.75">
      <c r="B402" s="525"/>
      <c r="C402" s="526"/>
      <c r="D402" s="526"/>
      <c r="E402" s="526"/>
      <c r="F402" s="526"/>
      <c r="G402" s="527"/>
    </row>
    <row r="403" spans="2:7" ht="15.75">
      <c r="B403" s="525"/>
      <c r="C403" s="526"/>
      <c r="D403" s="526"/>
      <c r="E403" s="526"/>
      <c r="F403" s="526"/>
      <c r="G403" s="527"/>
    </row>
    <row r="404" spans="2:7" ht="15.75">
      <c r="B404" s="525"/>
      <c r="C404" s="526"/>
      <c r="D404" s="526"/>
      <c r="E404" s="526"/>
      <c r="F404" s="526"/>
      <c r="G404" s="527"/>
    </row>
    <row r="405" spans="2:7" ht="15.75">
      <c r="B405" s="525"/>
      <c r="C405" s="526"/>
      <c r="D405" s="526"/>
      <c r="E405" s="526"/>
      <c r="F405" s="526"/>
      <c r="G405" s="527"/>
    </row>
    <row r="406" spans="2:7" ht="15.75">
      <c r="B406" s="525"/>
      <c r="C406" s="526"/>
      <c r="D406" s="526"/>
      <c r="E406" s="526"/>
      <c r="F406" s="526"/>
      <c r="G406" s="527"/>
    </row>
    <row r="407" spans="2:7" ht="15.75">
      <c r="B407" s="525"/>
      <c r="C407" s="526"/>
      <c r="D407" s="526"/>
      <c r="E407" s="526"/>
      <c r="F407" s="526"/>
      <c r="G407" s="527"/>
    </row>
    <row r="408" spans="2:7" ht="15.75">
      <c r="B408" s="525"/>
      <c r="C408" s="526"/>
      <c r="D408" s="526"/>
      <c r="E408" s="526"/>
      <c r="F408" s="526"/>
      <c r="G408" s="527"/>
    </row>
    <row r="409" spans="2:7" ht="15.75">
      <c r="B409" s="525"/>
      <c r="C409" s="526"/>
      <c r="D409" s="526"/>
      <c r="E409" s="526"/>
      <c r="F409" s="526"/>
      <c r="G409" s="527"/>
    </row>
    <row r="410" spans="2:7" ht="15.75">
      <c r="B410" s="525"/>
      <c r="C410" s="526"/>
      <c r="D410" s="526"/>
      <c r="E410" s="526"/>
      <c r="F410" s="526"/>
      <c r="G410" s="527"/>
    </row>
    <row r="411" spans="2:7" ht="15.75">
      <c r="B411" s="525"/>
      <c r="C411" s="526"/>
      <c r="D411" s="526"/>
      <c r="E411" s="526"/>
      <c r="F411" s="526"/>
      <c r="G411" s="527"/>
    </row>
    <row r="412" spans="2:7" ht="15.75">
      <c r="B412" s="525"/>
      <c r="C412" s="526"/>
      <c r="D412" s="526"/>
      <c r="E412" s="526"/>
      <c r="F412" s="526"/>
      <c r="G412" s="527"/>
    </row>
    <row r="413" spans="2:7" ht="15.75">
      <c r="B413" s="525"/>
      <c r="C413" s="526"/>
      <c r="D413" s="526"/>
      <c r="E413" s="526"/>
      <c r="F413" s="526"/>
      <c r="G413" s="527"/>
    </row>
    <row r="414" spans="2:7" ht="15.75">
      <c r="B414" s="525"/>
      <c r="C414" s="526"/>
      <c r="D414" s="526"/>
      <c r="E414" s="526"/>
      <c r="F414" s="526"/>
      <c r="G414" s="527"/>
    </row>
    <row r="415" spans="2:7" ht="15.75">
      <c r="B415" s="525"/>
      <c r="C415" s="526"/>
      <c r="D415" s="526"/>
      <c r="E415" s="526"/>
      <c r="F415" s="526"/>
      <c r="G415" s="527"/>
    </row>
    <row r="416" spans="2:7" ht="15.75">
      <c r="B416" s="525"/>
      <c r="C416" s="526"/>
      <c r="D416" s="526"/>
      <c r="E416" s="526"/>
      <c r="F416" s="526"/>
      <c r="G416" s="527"/>
    </row>
    <row r="417" spans="2:7" ht="15.75">
      <c r="B417" s="525"/>
      <c r="C417" s="526"/>
      <c r="D417" s="526"/>
      <c r="E417" s="526"/>
      <c r="F417" s="526"/>
      <c r="G417" s="527"/>
    </row>
    <row r="418" spans="2:7" ht="15.75">
      <c r="B418" s="525"/>
      <c r="C418" s="526"/>
      <c r="D418" s="526"/>
      <c r="E418" s="526"/>
      <c r="F418" s="526"/>
      <c r="G418" s="527"/>
    </row>
    <row r="419" spans="2:7" ht="15.75">
      <c r="B419" s="525"/>
      <c r="C419" s="526"/>
      <c r="D419" s="526"/>
      <c r="E419" s="526"/>
      <c r="F419" s="526"/>
      <c r="G419" s="527"/>
    </row>
    <row r="420" spans="2:7" ht="15.75">
      <c r="B420" s="525"/>
      <c r="C420" s="526"/>
      <c r="D420" s="526"/>
      <c r="E420" s="526"/>
      <c r="F420" s="526"/>
      <c r="G420" s="527"/>
    </row>
    <row r="421" spans="2:7" ht="15.75">
      <c r="B421" s="525"/>
      <c r="C421" s="526"/>
      <c r="D421" s="526"/>
      <c r="E421" s="526"/>
      <c r="F421" s="526"/>
      <c r="G421" s="527"/>
    </row>
    <row r="422" spans="2:7" ht="15.75">
      <c r="B422" s="525"/>
      <c r="C422" s="526"/>
      <c r="D422" s="526"/>
      <c r="E422" s="526"/>
      <c r="F422" s="526"/>
      <c r="G422" s="527"/>
    </row>
    <row r="423" spans="2:7" ht="15.75">
      <c r="B423" s="525"/>
      <c r="C423" s="526"/>
      <c r="D423" s="526"/>
      <c r="E423" s="526"/>
      <c r="F423" s="526"/>
      <c r="G423" s="527"/>
    </row>
    <row r="424" spans="2:7" ht="15.75">
      <c r="B424" s="525"/>
      <c r="C424" s="526"/>
      <c r="D424" s="526"/>
      <c r="E424" s="526"/>
      <c r="F424" s="526"/>
      <c r="G424" s="527"/>
    </row>
    <row r="425" spans="2:7" ht="15.75">
      <c r="B425" s="525"/>
      <c r="C425" s="526"/>
      <c r="D425" s="526"/>
      <c r="E425" s="526"/>
      <c r="F425" s="526"/>
      <c r="G425" s="527"/>
    </row>
    <row r="426" spans="2:7" ht="15.75">
      <c r="B426" s="525"/>
      <c r="C426" s="526"/>
      <c r="D426" s="526"/>
      <c r="E426" s="526"/>
      <c r="F426" s="526"/>
      <c r="G426" s="527"/>
    </row>
    <row r="427" spans="2:7" ht="15.75">
      <c r="B427" s="525"/>
      <c r="C427" s="526"/>
      <c r="D427" s="526"/>
      <c r="E427" s="526"/>
      <c r="F427" s="526"/>
      <c r="G427" s="527"/>
    </row>
    <row r="428" spans="2:7" ht="15.75">
      <c r="B428" s="525"/>
      <c r="C428" s="526"/>
      <c r="D428" s="526"/>
      <c r="E428" s="526"/>
      <c r="F428" s="526"/>
      <c r="G428" s="527"/>
    </row>
    <row r="429" spans="2:7" ht="15.75">
      <c r="B429" s="525"/>
      <c r="C429" s="526"/>
      <c r="D429" s="526"/>
      <c r="E429" s="526"/>
      <c r="F429" s="526"/>
      <c r="G429" s="527"/>
    </row>
    <row r="430" spans="2:7" ht="15.75">
      <c r="B430" s="525"/>
      <c r="C430" s="526"/>
      <c r="D430" s="526"/>
      <c r="E430" s="526"/>
      <c r="F430" s="526"/>
      <c r="G430" s="527"/>
    </row>
    <row r="431" spans="2:7" ht="15.75">
      <c r="B431" s="525"/>
      <c r="C431" s="526"/>
      <c r="D431" s="526"/>
      <c r="E431" s="526"/>
      <c r="F431" s="526"/>
      <c r="G431" s="527"/>
    </row>
    <row r="432" spans="2:7" ht="15.75">
      <c r="B432" s="525"/>
      <c r="C432" s="526"/>
      <c r="D432" s="526"/>
      <c r="E432" s="526"/>
      <c r="F432" s="526"/>
      <c r="G432" s="527"/>
    </row>
    <row r="433" spans="2:7" ht="15.75">
      <c r="B433" s="525"/>
      <c r="C433" s="526"/>
      <c r="D433" s="526"/>
      <c r="E433" s="526"/>
      <c r="F433" s="526"/>
      <c r="G433" s="527"/>
    </row>
    <row r="434" spans="2:7" ht="15.75">
      <c r="B434" s="525"/>
      <c r="C434" s="526"/>
      <c r="D434" s="526"/>
      <c r="E434" s="526"/>
      <c r="F434" s="526"/>
      <c r="G434" s="527"/>
    </row>
    <row r="435" spans="2:7" ht="15.75">
      <c r="B435" s="525"/>
      <c r="C435" s="526"/>
      <c r="D435" s="526"/>
      <c r="E435" s="526"/>
      <c r="F435" s="526"/>
      <c r="G435" s="527"/>
    </row>
    <row r="436" spans="2:7" ht="15.75">
      <c r="B436" s="525"/>
      <c r="C436" s="526"/>
      <c r="D436" s="526"/>
      <c r="E436" s="526"/>
      <c r="F436" s="526"/>
      <c r="G436" s="527"/>
    </row>
    <row r="437" spans="2:7" ht="15.75">
      <c r="B437" s="525"/>
      <c r="C437" s="526"/>
      <c r="D437" s="526"/>
      <c r="E437" s="526"/>
      <c r="F437" s="526"/>
      <c r="G437" s="527"/>
    </row>
    <row r="438" spans="2:7" ht="15.75">
      <c r="B438" s="525"/>
      <c r="C438" s="526"/>
      <c r="D438" s="526"/>
      <c r="E438" s="526"/>
      <c r="F438" s="526"/>
      <c r="G438" s="527"/>
    </row>
    <row r="439" spans="2:7" ht="15.75">
      <c r="B439" s="525"/>
      <c r="C439" s="526"/>
      <c r="D439" s="526"/>
      <c r="E439" s="526"/>
      <c r="F439" s="526"/>
      <c r="G439" s="527"/>
    </row>
    <row r="440" spans="2:7" ht="15.75">
      <c r="B440" s="525"/>
      <c r="C440" s="526"/>
      <c r="D440" s="526"/>
      <c r="E440" s="526"/>
      <c r="F440" s="526"/>
      <c r="G440" s="527"/>
    </row>
    <row r="441" spans="2:7" ht="15.75">
      <c r="B441" s="525"/>
      <c r="C441" s="526"/>
      <c r="D441" s="526"/>
      <c r="E441" s="526"/>
      <c r="F441" s="526"/>
      <c r="G441" s="527"/>
    </row>
    <row r="442" spans="2:7" ht="15.75">
      <c r="B442" s="525"/>
      <c r="C442" s="526"/>
      <c r="D442" s="526"/>
      <c r="E442" s="526"/>
      <c r="F442" s="526"/>
      <c r="G442" s="527"/>
    </row>
    <row r="443" spans="2:7" ht="15.75">
      <c r="B443" s="525"/>
      <c r="C443" s="526"/>
      <c r="D443" s="526"/>
      <c r="E443" s="526"/>
      <c r="F443" s="526"/>
      <c r="G443" s="527"/>
    </row>
    <row r="444" spans="2:7" ht="15.75">
      <c r="B444" s="525"/>
      <c r="C444" s="526"/>
      <c r="D444" s="526"/>
      <c r="E444" s="526"/>
      <c r="F444" s="526"/>
      <c r="G444" s="527"/>
    </row>
    <row r="445" spans="2:7" ht="15.75">
      <c r="B445" s="525"/>
      <c r="C445" s="526"/>
      <c r="D445" s="526"/>
      <c r="E445" s="526"/>
      <c r="F445" s="526"/>
      <c r="G445" s="527"/>
    </row>
    <row r="446" spans="2:7" ht="15.75">
      <c r="B446" s="525"/>
      <c r="C446" s="526"/>
      <c r="D446" s="526"/>
      <c r="E446" s="526"/>
      <c r="F446" s="526"/>
      <c r="G446" s="527"/>
    </row>
    <row r="447" spans="2:7" ht="15.75">
      <c r="B447" s="525"/>
      <c r="C447" s="526"/>
      <c r="D447" s="526"/>
      <c r="E447" s="526"/>
      <c r="F447" s="526"/>
      <c r="G447" s="527"/>
    </row>
    <row r="448" spans="2:7" ht="15.75">
      <c r="B448" s="525"/>
      <c r="C448" s="526"/>
      <c r="D448" s="526"/>
      <c r="E448" s="526"/>
      <c r="F448" s="526"/>
      <c r="G448" s="527"/>
    </row>
    <row r="449" spans="2:7" ht="15.75">
      <c r="B449" s="525"/>
      <c r="C449" s="526"/>
      <c r="D449" s="526"/>
      <c r="E449" s="526"/>
      <c r="F449" s="526"/>
      <c r="G449" s="527"/>
    </row>
    <row r="450" spans="2:7" ht="15.75">
      <c r="B450" s="525"/>
      <c r="C450" s="526"/>
      <c r="D450" s="526"/>
      <c r="E450" s="526"/>
      <c r="F450" s="526"/>
      <c r="G450" s="527"/>
    </row>
    <row r="451" spans="2:7" ht="15.75">
      <c r="B451" s="525"/>
      <c r="C451" s="526"/>
      <c r="D451" s="526"/>
      <c r="E451" s="526"/>
      <c r="F451" s="526"/>
      <c r="G451" s="527"/>
    </row>
    <row r="452" spans="2:7" ht="15.75">
      <c r="B452" s="525"/>
      <c r="C452" s="526"/>
      <c r="D452" s="526"/>
      <c r="E452" s="526"/>
      <c r="F452" s="526"/>
      <c r="G452" s="527"/>
    </row>
    <row r="453" spans="2:7" ht="15.75">
      <c r="B453" s="525"/>
      <c r="C453" s="526"/>
      <c r="D453" s="526"/>
      <c r="E453" s="526"/>
      <c r="F453" s="526"/>
      <c r="G453" s="527"/>
    </row>
    <row r="454" spans="2:7" ht="15.75">
      <c r="B454" s="525"/>
      <c r="C454" s="526"/>
      <c r="D454" s="526"/>
      <c r="E454" s="526"/>
      <c r="F454" s="526"/>
      <c r="G454" s="527"/>
    </row>
    <row r="455" spans="2:7" ht="15.75">
      <c r="B455" s="525"/>
      <c r="C455" s="526"/>
      <c r="D455" s="526"/>
      <c r="E455" s="526"/>
      <c r="F455" s="526"/>
      <c r="G455" s="527"/>
    </row>
    <row r="456" spans="2:7" ht="15.75">
      <c r="B456" s="525"/>
      <c r="C456" s="526"/>
      <c r="D456" s="526"/>
      <c r="E456" s="526"/>
      <c r="F456" s="526"/>
      <c r="G456" s="527"/>
    </row>
    <row r="457" spans="2:7" ht="15.75">
      <c r="B457" s="525"/>
      <c r="C457" s="526"/>
      <c r="D457" s="526"/>
      <c r="E457" s="526"/>
      <c r="F457" s="526"/>
      <c r="G457" s="527"/>
    </row>
    <row r="458" spans="2:7" ht="15.75">
      <c r="B458" s="525"/>
      <c r="C458" s="526"/>
      <c r="D458" s="526"/>
      <c r="E458" s="526"/>
      <c r="F458" s="526"/>
      <c r="G458" s="527"/>
    </row>
    <row r="459" spans="2:7" ht="15.75">
      <c r="B459" s="525"/>
      <c r="C459" s="526"/>
      <c r="D459" s="526"/>
      <c r="E459" s="526"/>
      <c r="F459" s="526"/>
      <c r="G459" s="527"/>
    </row>
    <row r="460" spans="2:7" ht="15.75">
      <c r="B460" s="525"/>
      <c r="C460" s="526"/>
      <c r="D460" s="526"/>
      <c r="E460" s="526"/>
      <c r="F460" s="526"/>
      <c r="G460" s="527"/>
    </row>
    <row r="461" spans="2:7" ht="15.75">
      <c r="B461" s="525"/>
      <c r="C461" s="526"/>
      <c r="D461" s="526"/>
      <c r="E461" s="526"/>
      <c r="F461" s="526"/>
      <c r="G461" s="527"/>
    </row>
    <row r="462" spans="2:7" ht="15.75">
      <c r="B462" s="525"/>
      <c r="C462" s="526"/>
      <c r="D462" s="526"/>
      <c r="E462" s="526"/>
      <c r="F462" s="526"/>
      <c r="G462" s="527"/>
    </row>
    <row r="463" spans="2:7" ht="15.75">
      <c r="B463" s="525"/>
      <c r="C463" s="526"/>
      <c r="D463" s="526"/>
      <c r="E463" s="526"/>
      <c r="F463" s="526"/>
      <c r="G463" s="527"/>
    </row>
    <row r="464" spans="2:7" ht="15.75">
      <c r="B464" s="525"/>
      <c r="C464" s="526"/>
      <c r="D464" s="526"/>
      <c r="E464" s="526"/>
      <c r="F464" s="526"/>
      <c r="G464" s="527"/>
    </row>
    <row r="465" spans="2:7" ht="15.75">
      <c r="B465" s="525"/>
      <c r="C465" s="526"/>
      <c r="D465" s="526"/>
      <c r="E465" s="526"/>
      <c r="F465" s="526"/>
      <c r="G465" s="527"/>
    </row>
    <row r="466" spans="2:7" ht="15.75">
      <c r="B466" s="525"/>
      <c r="C466" s="526"/>
      <c r="D466" s="526"/>
      <c r="E466" s="526"/>
      <c r="F466" s="526"/>
      <c r="G466" s="527"/>
    </row>
    <row r="467" spans="2:7" ht="15.75">
      <c r="B467" s="525"/>
      <c r="C467" s="526"/>
      <c r="D467" s="526"/>
      <c r="E467" s="526"/>
      <c r="F467" s="526"/>
      <c r="G467" s="527"/>
    </row>
    <row r="468" spans="2:7" ht="15.75">
      <c r="B468" s="525"/>
      <c r="C468" s="526"/>
      <c r="D468" s="526"/>
      <c r="E468" s="526"/>
      <c r="F468" s="526"/>
      <c r="G468" s="527"/>
    </row>
    <row r="469" spans="2:7" ht="15.75">
      <c r="B469" s="528"/>
      <c r="C469" s="526"/>
      <c r="D469" s="526"/>
      <c r="E469" s="526"/>
      <c r="F469" s="526"/>
      <c r="G469" s="527"/>
    </row>
    <row r="470" spans="2:7" ht="15.75">
      <c r="B470" s="528"/>
      <c r="C470" s="526"/>
      <c r="D470" s="526"/>
      <c r="E470" s="526"/>
      <c r="F470" s="526"/>
      <c r="G470" s="527"/>
    </row>
    <row r="471" spans="2:7" ht="15.75">
      <c r="B471" s="528"/>
      <c r="C471" s="526"/>
      <c r="D471" s="526"/>
      <c r="E471" s="526"/>
      <c r="F471" s="526"/>
      <c r="G471" s="527"/>
    </row>
    <row r="472" spans="2:7" ht="15.75">
      <c r="B472" s="528"/>
      <c r="C472" s="526"/>
      <c r="D472" s="526"/>
      <c r="E472" s="526"/>
      <c r="F472" s="526"/>
      <c r="G472" s="527"/>
    </row>
    <row r="473" spans="2:7" ht="15.75">
      <c r="B473" s="528"/>
      <c r="C473" s="526"/>
      <c r="D473" s="526"/>
      <c r="E473" s="526"/>
      <c r="F473" s="526"/>
      <c r="G473" s="527"/>
    </row>
    <row r="474" spans="2:7" ht="15.75">
      <c r="B474" s="528"/>
      <c r="C474" s="526"/>
      <c r="D474" s="526"/>
      <c r="E474" s="526"/>
      <c r="F474" s="526"/>
      <c r="G474" s="527"/>
    </row>
    <row r="475" spans="2:7" ht="15.75">
      <c r="B475" s="528"/>
      <c r="C475" s="526"/>
      <c r="D475" s="526"/>
      <c r="E475" s="526"/>
      <c r="F475" s="526"/>
      <c r="G475" s="527"/>
    </row>
    <row r="476" spans="2:7" ht="15.75">
      <c r="B476" s="528"/>
      <c r="C476" s="526"/>
      <c r="D476" s="526"/>
      <c r="E476" s="526"/>
      <c r="F476" s="526"/>
      <c r="G476" s="527"/>
    </row>
    <row r="477" spans="2:7" ht="15.75">
      <c r="B477" s="528"/>
      <c r="C477" s="526"/>
      <c r="D477" s="526"/>
      <c r="E477" s="526"/>
      <c r="F477" s="526"/>
      <c r="G477" s="527"/>
    </row>
    <row r="478" spans="2:7" ht="15.75">
      <c r="B478" s="528"/>
      <c r="C478" s="526"/>
      <c r="D478" s="526"/>
      <c r="E478" s="526"/>
      <c r="F478" s="526"/>
      <c r="G478" s="527"/>
    </row>
    <row r="479" spans="2:7" ht="15.75">
      <c r="B479" s="528"/>
      <c r="C479" s="526"/>
      <c r="D479" s="526"/>
      <c r="E479" s="526"/>
      <c r="F479" s="526"/>
      <c r="G479" s="527"/>
    </row>
    <row r="480" spans="2:7" ht="15.75">
      <c r="B480" s="528"/>
      <c r="C480" s="526"/>
      <c r="D480" s="526"/>
      <c r="E480" s="526"/>
      <c r="F480" s="526"/>
      <c r="G480" s="527"/>
    </row>
    <row r="481" spans="2:7" ht="15.75">
      <c r="B481" s="528"/>
      <c r="C481" s="526"/>
      <c r="D481" s="526"/>
      <c r="E481" s="526"/>
      <c r="F481" s="526"/>
      <c r="G481" s="527"/>
    </row>
    <row r="482" spans="2:7" ht="15.75">
      <c r="B482" s="528"/>
      <c r="C482" s="526"/>
      <c r="D482" s="526"/>
      <c r="E482" s="526"/>
      <c r="F482" s="526"/>
      <c r="G482" s="527"/>
    </row>
    <row r="483" spans="2:7" ht="15.75">
      <c r="B483" s="528"/>
      <c r="C483" s="526"/>
      <c r="D483" s="526"/>
      <c r="E483" s="526"/>
      <c r="F483" s="526"/>
      <c r="G483" s="527"/>
    </row>
    <row r="484" spans="2:7" ht="15.75">
      <c r="B484" s="528"/>
      <c r="C484" s="526"/>
      <c r="D484" s="526"/>
      <c r="E484" s="526"/>
      <c r="F484" s="526"/>
      <c r="G484" s="527"/>
    </row>
    <row r="485" spans="2:7" ht="15.75">
      <c r="B485" s="528"/>
      <c r="C485" s="526"/>
      <c r="D485" s="526"/>
      <c r="E485" s="526"/>
      <c r="F485" s="526"/>
      <c r="G485" s="527"/>
    </row>
    <row r="486" spans="2:7" ht="15.75">
      <c r="B486" s="528"/>
      <c r="C486" s="526"/>
      <c r="D486" s="526"/>
      <c r="E486" s="526"/>
      <c r="F486" s="526"/>
      <c r="G486" s="527"/>
    </row>
    <row r="487" spans="2:7" ht="15.75">
      <c r="B487" s="528"/>
      <c r="C487" s="526"/>
      <c r="D487" s="526"/>
      <c r="E487" s="526"/>
      <c r="F487" s="526"/>
      <c r="G487" s="527"/>
    </row>
    <row r="488" spans="2:7" ht="15.75">
      <c r="B488" s="528"/>
      <c r="C488" s="526"/>
      <c r="D488" s="526"/>
      <c r="E488" s="526"/>
      <c r="F488" s="526"/>
      <c r="G488" s="527"/>
    </row>
    <row r="489" spans="2:7" ht="15.75">
      <c r="B489" s="528"/>
      <c r="C489" s="526"/>
      <c r="D489" s="526"/>
      <c r="E489" s="526"/>
      <c r="F489" s="526"/>
      <c r="G489" s="527"/>
    </row>
    <row r="490" spans="2:7" ht="15.75">
      <c r="B490" s="528"/>
      <c r="C490" s="526"/>
      <c r="D490" s="526"/>
      <c r="E490" s="526"/>
      <c r="F490" s="526"/>
      <c r="G490" s="527"/>
    </row>
    <row r="491" spans="2:7" ht="15.75">
      <c r="B491" s="528"/>
      <c r="C491" s="526"/>
      <c r="D491" s="526"/>
      <c r="E491" s="526"/>
      <c r="F491" s="526"/>
      <c r="G491" s="527"/>
    </row>
    <row r="492" spans="2:7" ht="15.75">
      <c r="B492" s="528"/>
      <c r="C492" s="526"/>
      <c r="D492" s="526"/>
      <c r="E492" s="526"/>
      <c r="F492" s="526"/>
      <c r="G492" s="527"/>
    </row>
    <row r="493" spans="2:7" ht="15.75">
      <c r="B493" s="528"/>
      <c r="C493" s="526"/>
      <c r="D493" s="526"/>
      <c r="E493" s="526"/>
      <c r="F493" s="526"/>
      <c r="G493" s="527"/>
    </row>
    <row r="494" spans="2:7" ht="15.75">
      <c r="B494" s="528"/>
      <c r="C494" s="526"/>
      <c r="D494" s="526"/>
      <c r="E494" s="526"/>
      <c r="F494" s="526"/>
      <c r="G494" s="527"/>
    </row>
    <row r="495" spans="2:7" ht="15.75">
      <c r="B495" s="528"/>
      <c r="C495" s="526"/>
      <c r="D495" s="526"/>
      <c r="E495" s="526"/>
      <c r="F495" s="526"/>
      <c r="G495" s="527"/>
    </row>
    <row r="496" spans="2:7" ht="15.75">
      <c r="B496" s="528"/>
      <c r="C496" s="526"/>
      <c r="D496" s="526"/>
      <c r="E496" s="526"/>
      <c r="F496" s="526"/>
      <c r="G496" s="527"/>
    </row>
    <row r="497" spans="2:7" ht="15.75">
      <c r="B497" s="528"/>
      <c r="C497" s="526"/>
      <c r="D497" s="526"/>
      <c r="E497" s="526"/>
      <c r="F497" s="526"/>
      <c r="G497" s="527"/>
    </row>
    <row r="498" spans="2:7" ht="15.75">
      <c r="B498" s="528"/>
      <c r="C498" s="526"/>
      <c r="D498" s="526"/>
      <c r="E498" s="526"/>
      <c r="F498" s="526"/>
      <c r="G498" s="527"/>
    </row>
    <row r="499" spans="2:7" ht="15.75">
      <c r="B499" s="528"/>
      <c r="C499" s="526"/>
      <c r="D499" s="526"/>
      <c r="E499" s="526"/>
      <c r="F499" s="526"/>
      <c r="G499" s="527"/>
    </row>
    <row r="500" spans="2:7" ht="15.75">
      <c r="B500" s="528"/>
      <c r="C500" s="526"/>
      <c r="D500" s="526"/>
      <c r="E500" s="526"/>
      <c r="F500" s="526"/>
      <c r="G500" s="527"/>
    </row>
    <row r="501" spans="2:7" ht="15.75">
      <c r="B501" s="528"/>
      <c r="C501" s="526"/>
      <c r="D501" s="526"/>
      <c r="E501" s="526"/>
      <c r="F501" s="526"/>
      <c r="G501" s="527"/>
    </row>
    <row r="502" spans="2:7" ht="15.75">
      <c r="B502" s="528"/>
      <c r="C502" s="526"/>
      <c r="D502" s="526"/>
      <c r="E502" s="526"/>
      <c r="F502" s="526"/>
      <c r="G502" s="527"/>
    </row>
    <row r="503" spans="2:7" ht="15.75">
      <c r="B503" s="528"/>
      <c r="C503" s="526"/>
      <c r="D503" s="526"/>
      <c r="E503" s="526"/>
      <c r="F503" s="526"/>
      <c r="G503" s="527"/>
    </row>
    <row r="504" spans="2:7" ht="15.75">
      <c r="B504" s="528"/>
      <c r="C504" s="526"/>
      <c r="D504" s="526"/>
      <c r="E504" s="526"/>
      <c r="F504" s="526"/>
      <c r="G504" s="527"/>
    </row>
    <row r="505" spans="2:7" ht="15.75">
      <c r="B505" s="528"/>
      <c r="C505" s="526"/>
      <c r="D505" s="526"/>
      <c r="E505" s="526"/>
      <c r="F505" s="526"/>
      <c r="G505" s="527"/>
    </row>
    <row r="506" spans="2:7" ht="15.75">
      <c r="B506" s="528"/>
      <c r="C506" s="526"/>
      <c r="D506" s="526"/>
      <c r="E506" s="526"/>
      <c r="F506" s="526"/>
      <c r="G506" s="527"/>
    </row>
    <row r="507" spans="2:7" ht="15.75">
      <c r="B507" s="528"/>
      <c r="C507" s="526"/>
      <c r="D507" s="526"/>
      <c r="E507" s="526"/>
      <c r="F507" s="526"/>
      <c r="G507" s="527"/>
    </row>
    <row r="508" spans="2:7" ht="15.75">
      <c r="B508" s="528"/>
      <c r="C508" s="526"/>
      <c r="D508" s="526"/>
      <c r="E508" s="526"/>
      <c r="F508" s="526"/>
      <c r="G508" s="527"/>
    </row>
    <row r="509" spans="2:7" ht="15.75">
      <c r="B509" s="528"/>
      <c r="C509" s="526"/>
      <c r="D509" s="526"/>
      <c r="E509" s="526"/>
      <c r="F509" s="526"/>
      <c r="G509" s="527"/>
    </row>
    <row r="510" spans="2:7" ht="15.75">
      <c r="B510" s="528"/>
      <c r="C510" s="526"/>
      <c r="D510" s="526"/>
      <c r="E510" s="526"/>
      <c r="F510" s="526"/>
      <c r="G510" s="527"/>
    </row>
    <row r="511" spans="2:7" ht="15.75">
      <c r="B511" s="528"/>
      <c r="C511" s="526"/>
      <c r="D511" s="526"/>
      <c r="E511" s="526"/>
      <c r="F511" s="526"/>
      <c r="G511" s="527"/>
    </row>
    <row r="512" spans="2:7" ht="15.75">
      <c r="B512" s="528"/>
      <c r="C512" s="526"/>
      <c r="D512" s="526"/>
      <c r="E512" s="526"/>
      <c r="F512" s="526"/>
      <c r="G512" s="527"/>
    </row>
    <row r="513" spans="2:7" ht="15.75">
      <c r="B513" s="528"/>
      <c r="C513" s="526"/>
      <c r="D513" s="526"/>
      <c r="E513" s="526"/>
      <c r="F513" s="526"/>
      <c r="G513" s="527"/>
    </row>
    <row r="514" spans="2:7" ht="15.75">
      <c r="B514" s="528"/>
      <c r="C514" s="526"/>
      <c r="D514" s="526"/>
      <c r="E514" s="526"/>
      <c r="F514" s="526"/>
      <c r="G514" s="527"/>
    </row>
    <row r="515" spans="2:7" ht="15.75">
      <c r="B515" s="528"/>
      <c r="C515" s="526"/>
      <c r="D515" s="526"/>
      <c r="E515" s="526"/>
      <c r="F515" s="526"/>
      <c r="G515" s="527"/>
    </row>
    <row r="516" spans="2:7" ht="15.75">
      <c r="B516" s="528"/>
      <c r="C516" s="526"/>
      <c r="D516" s="526"/>
      <c r="E516" s="526"/>
      <c r="F516" s="526"/>
      <c r="G516" s="527"/>
    </row>
    <row r="517" spans="2:7" ht="15.75">
      <c r="B517" s="528"/>
      <c r="C517" s="526"/>
      <c r="D517" s="526"/>
      <c r="E517" s="526"/>
      <c r="F517" s="526"/>
      <c r="G517" s="527"/>
    </row>
    <row r="518" spans="2:7" ht="15.75">
      <c r="B518" s="528"/>
      <c r="C518" s="526"/>
      <c r="D518" s="526"/>
      <c r="E518" s="526"/>
      <c r="F518" s="526"/>
      <c r="G518" s="527"/>
    </row>
    <row r="519" spans="2:7" ht="15.75">
      <c r="B519" s="528"/>
      <c r="C519" s="526"/>
      <c r="D519" s="526"/>
      <c r="E519" s="526"/>
      <c r="F519" s="526"/>
      <c r="G519" s="527"/>
    </row>
    <row r="520" spans="2:7" ht="15.75">
      <c r="B520" s="528"/>
      <c r="C520" s="526"/>
      <c r="D520" s="526"/>
      <c r="E520" s="526"/>
      <c r="F520" s="526"/>
      <c r="G520" s="527"/>
    </row>
    <row r="521" spans="2:7" ht="15.75">
      <c r="B521" s="528"/>
      <c r="C521" s="526"/>
      <c r="D521" s="526"/>
      <c r="E521" s="526"/>
      <c r="F521" s="526"/>
      <c r="G521" s="527"/>
    </row>
    <row r="522" spans="2:7" ht="15.75">
      <c r="B522" s="528"/>
      <c r="C522" s="526"/>
      <c r="D522" s="526"/>
      <c r="E522" s="526"/>
      <c r="F522" s="526"/>
      <c r="G522" s="527"/>
    </row>
    <row r="523" spans="2:7" ht="15.75">
      <c r="B523" s="528"/>
      <c r="C523" s="526"/>
      <c r="D523" s="526"/>
      <c r="E523" s="526"/>
      <c r="F523" s="526"/>
      <c r="G523" s="527"/>
    </row>
    <row r="524" spans="2:7" ht="15.75">
      <c r="B524" s="528"/>
      <c r="C524" s="526"/>
      <c r="D524" s="526"/>
      <c r="E524" s="526"/>
      <c r="F524" s="526"/>
      <c r="G524" s="527"/>
    </row>
    <row r="525" spans="2:7" ht="15.75">
      <c r="B525" s="528"/>
      <c r="C525" s="526"/>
      <c r="D525" s="526"/>
      <c r="E525" s="526"/>
      <c r="F525" s="526"/>
      <c r="G525" s="527"/>
    </row>
    <row r="526" spans="2:7" ht="15.75">
      <c r="B526" s="528"/>
      <c r="C526" s="526"/>
      <c r="D526" s="526"/>
      <c r="E526" s="526"/>
      <c r="F526" s="526"/>
      <c r="G526" s="527"/>
    </row>
    <row r="527" spans="2:7" ht="15.75">
      <c r="B527" s="528"/>
      <c r="C527" s="526"/>
      <c r="D527" s="526"/>
      <c r="E527" s="526"/>
      <c r="F527" s="526"/>
      <c r="G527" s="527"/>
    </row>
    <row r="528" spans="2:7" ht="15.75">
      <c r="B528" s="528"/>
      <c r="C528" s="526"/>
      <c r="D528" s="526"/>
      <c r="E528" s="526"/>
      <c r="F528" s="526"/>
      <c r="G528" s="527"/>
    </row>
    <row r="529" spans="2:7" ht="15.75">
      <c r="B529" s="528"/>
      <c r="C529" s="526"/>
      <c r="D529" s="526"/>
      <c r="E529" s="526"/>
      <c r="F529" s="526"/>
      <c r="G529" s="527"/>
    </row>
    <row r="530" spans="2:7" ht="15.75">
      <c r="B530" s="528"/>
      <c r="C530" s="526"/>
      <c r="D530" s="526"/>
      <c r="E530" s="526"/>
      <c r="F530" s="526"/>
      <c r="G530" s="527"/>
    </row>
    <row r="531" spans="2:7" ht="15.75">
      <c r="B531" s="528"/>
      <c r="C531" s="526"/>
      <c r="D531" s="526"/>
      <c r="E531" s="526"/>
      <c r="F531" s="526"/>
      <c r="G531" s="527"/>
    </row>
    <row r="532" spans="2:7" ht="15.75">
      <c r="B532" s="528"/>
      <c r="C532" s="526"/>
      <c r="D532" s="526"/>
      <c r="E532" s="526"/>
      <c r="F532" s="526"/>
      <c r="G532" s="527"/>
    </row>
    <row r="533" spans="2:7" ht="15.75">
      <c r="B533" s="528"/>
      <c r="C533" s="526"/>
      <c r="D533" s="526"/>
      <c r="E533" s="526"/>
      <c r="F533" s="526"/>
      <c r="G533" s="527"/>
    </row>
    <row r="534" spans="2:7" ht="15.75">
      <c r="B534" s="528"/>
      <c r="C534" s="526"/>
      <c r="D534" s="526"/>
      <c r="E534" s="526"/>
      <c r="F534" s="526"/>
      <c r="G534" s="527"/>
    </row>
    <row r="535" spans="2:7" ht="15.75">
      <c r="B535" s="528"/>
      <c r="C535" s="526"/>
      <c r="D535" s="526"/>
      <c r="E535" s="526"/>
      <c r="F535" s="526"/>
      <c r="G535" s="527"/>
    </row>
    <row r="536" spans="2:7" ht="15.75">
      <c r="B536" s="528"/>
      <c r="C536" s="526"/>
      <c r="D536" s="526"/>
      <c r="E536" s="526"/>
      <c r="F536" s="526"/>
      <c r="G536" s="527"/>
    </row>
    <row r="537" spans="2:7" ht="15.75">
      <c r="B537" s="528"/>
      <c r="C537" s="526"/>
      <c r="D537" s="526"/>
      <c r="E537" s="526"/>
      <c r="F537" s="526"/>
      <c r="G537" s="527"/>
    </row>
    <row r="538" spans="2:7" ht="15.75">
      <c r="B538" s="528"/>
      <c r="C538" s="526"/>
      <c r="D538" s="526"/>
      <c r="E538" s="526"/>
      <c r="F538" s="526"/>
      <c r="G538" s="527"/>
    </row>
    <row r="539" spans="2:7" ht="15.75">
      <c r="B539" s="528"/>
      <c r="C539" s="526"/>
      <c r="D539" s="526"/>
      <c r="E539" s="526"/>
      <c r="F539" s="526"/>
      <c r="G539" s="527"/>
    </row>
    <row r="540" spans="2:7" ht="15.75">
      <c r="B540" s="528"/>
      <c r="C540" s="526"/>
      <c r="D540" s="526"/>
      <c r="E540" s="526"/>
      <c r="F540" s="526"/>
      <c r="G540" s="527"/>
    </row>
    <row r="541" spans="2:7" ht="15.75">
      <c r="B541" s="528"/>
      <c r="C541" s="526"/>
      <c r="D541" s="526"/>
      <c r="E541" s="526"/>
      <c r="F541" s="526"/>
      <c r="G541" s="527"/>
    </row>
    <row r="542" spans="2:7" ht="15.75">
      <c r="B542" s="528"/>
      <c r="C542" s="526"/>
      <c r="D542" s="526"/>
      <c r="E542" s="526"/>
      <c r="F542" s="526"/>
      <c r="G542" s="527"/>
    </row>
    <row r="543" spans="2:7" ht="15.75">
      <c r="B543" s="528"/>
      <c r="C543" s="526"/>
      <c r="D543" s="526"/>
      <c r="E543" s="526"/>
      <c r="F543" s="526"/>
      <c r="G543" s="527"/>
    </row>
    <row r="544" spans="2:7" ht="15.75">
      <c r="B544" s="528"/>
      <c r="C544" s="526"/>
      <c r="D544" s="526"/>
      <c r="E544" s="526"/>
      <c r="F544" s="526"/>
      <c r="G544" s="527"/>
    </row>
    <row r="545" spans="2:7" ht="15.75">
      <c r="B545" s="528"/>
      <c r="C545" s="526"/>
      <c r="D545" s="526"/>
      <c r="E545" s="526"/>
      <c r="F545" s="526"/>
      <c r="G545" s="527"/>
    </row>
    <row r="546" spans="2:7" ht="15.75">
      <c r="B546" s="528"/>
      <c r="C546" s="526"/>
      <c r="D546" s="526"/>
      <c r="E546" s="526"/>
      <c r="F546" s="526"/>
      <c r="G546" s="527"/>
    </row>
    <row r="547" spans="2:7" ht="15.75">
      <c r="B547" s="528"/>
      <c r="C547" s="526"/>
      <c r="D547" s="526"/>
      <c r="E547" s="526"/>
      <c r="F547" s="526"/>
      <c r="G547" s="527"/>
    </row>
    <row r="548" spans="2:7" ht="15.75">
      <c r="B548" s="528"/>
      <c r="C548" s="526"/>
      <c r="D548" s="526"/>
      <c r="E548" s="526"/>
      <c r="F548" s="526"/>
      <c r="G548" s="527"/>
    </row>
    <row r="549" spans="2:7" ht="15.75">
      <c r="B549" s="528"/>
      <c r="C549" s="526"/>
      <c r="D549" s="526"/>
      <c r="E549" s="526"/>
      <c r="F549" s="526"/>
      <c r="G549" s="529"/>
    </row>
    <row r="550" spans="2:7" ht="15.75">
      <c r="B550" s="528"/>
      <c r="C550" s="526"/>
      <c r="D550" s="526"/>
      <c r="E550" s="526"/>
      <c r="F550" s="526"/>
      <c r="G550" s="529"/>
    </row>
    <row r="551" spans="2:7" ht="15.75">
      <c r="B551" s="528"/>
      <c r="C551" s="526"/>
      <c r="D551" s="526"/>
      <c r="E551" s="526"/>
      <c r="F551" s="526"/>
      <c r="G551" s="529"/>
    </row>
    <row r="552" spans="2:7" ht="15.75">
      <c r="B552" s="528"/>
      <c r="C552" s="526"/>
      <c r="D552" s="526"/>
      <c r="E552" s="526"/>
      <c r="F552" s="526"/>
      <c r="G552" s="529"/>
    </row>
    <row r="553" spans="2:7" ht="15.75">
      <c r="B553" s="528"/>
      <c r="C553" s="526"/>
      <c r="D553" s="526"/>
      <c r="E553" s="526"/>
      <c r="F553" s="526"/>
      <c r="G553" s="529"/>
    </row>
    <row r="554" spans="2:7" ht="15.75">
      <c r="B554" s="528"/>
      <c r="C554" s="526"/>
      <c r="D554" s="526"/>
      <c r="E554" s="526"/>
      <c r="F554" s="526"/>
      <c r="G554" s="529"/>
    </row>
    <row r="555" spans="2:7" ht="15.75">
      <c r="B555" s="528"/>
      <c r="C555" s="526"/>
      <c r="D555" s="526"/>
      <c r="E555" s="526"/>
      <c r="F555" s="526"/>
      <c r="G555" s="529"/>
    </row>
    <row r="556" spans="2:7" ht="15.75">
      <c r="B556" s="528"/>
      <c r="C556" s="526"/>
      <c r="D556" s="526"/>
      <c r="E556" s="526"/>
      <c r="F556" s="526"/>
      <c r="G556" s="529"/>
    </row>
    <row r="557" spans="2:7" ht="15.75">
      <c r="B557" s="528"/>
      <c r="C557" s="526"/>
      <c r="D557" s="526"/>
      <c r="E557" s="526"/>
      <c r="F557" s="526"/>
      <c r="G557" s="529"/>
    </row>
    <row r="558" spans="2:7" ht="15.75">
      <c r="B558" s="528"/>
      <c r="C558" s="526"/>
      <c r="D558" s="526"/>
      <c r="E558" s="526"/>
      <c r="F558" s="526"/>
      <c r="G558" s="529"/>
    </row>
    <row r="559" spans="2:7" ht="15.75">
      <c r="B559" s="528"/>
      <c r="C559" s="526"/>
      <c r="D559" s="526"/>
      <c r="E559" s="526"/>
      <c r="F559" s="526"/>
      <c r="G559" s="529"/>
    </row>
    <row r="560" spans="2:7" ht="15.75">
      <c r="B560" s="528"/>
      <c r="C560" s="526"/>
      <c r="D560" s="526"/>
      <c r="E560" s="526"/>
      <c r="F560" s="526"/>
      <c r="G560" s="529"/>
    </row>
    <row r="561" spans="2:7" ht="15.75">
      <c r="B561" s="528"/>
      <c r="C561" s="526"/>
      <c r="D561" s="526"/>
      <c r="E561" s="526"/>
      <c r="F561" s="526"/>
      <c r="G561" s="529"/>
    </row>
    <row r="562" spans="2:7" ht="15.75">
      <c r="B562" s="528"/>
      <c r="C562" s="526"/>
      <c r="D562" s="526"/>
      <c r="E562" s="526"/>
      <c r="F562" s="526"/>
      <c r="G562" s="529"/>
    </row>
    <row r="563" spans="2:7" ht="15.75">
      <c r="B563" s="528"/>
      <c r="C563" s="526"/>
      <c r="D563" s="526"/>
      <c r="E563" s="526"/>
      <c r="F563" s="526"/>
      <c r="G563" s="529"/>
    </row>
    <row r="564" spans="2:7" ht="15.75">
      <c r="B564" s="528"/>
      <c r="C564" s="526"/>
      <c r="D564" s="526"/>
      <c r="E564" s="526"/>
      <c r="F564" s="526"/>
      <c r="G564" s="529"/>
    </row>
    <row r="565" spans="2:7" ht="15.75">
      <c r="B565" s="528"/>
      <c r="C565" s="526"/>
      <c r="D565" s="526"/>
      <c r="E565" s="526"/>
      <c r="F565" s="526"/>
      <c r="G565" s="529"/>
    </row>
    <row r="566" spans="2:7" ht="15.75">
      <c r="B566" s="528"/>
      <c r="C566" s="526"/>
      <c r="D566" s="526"/>
      <c r="E566" s="526"/>
      <c r="F566" s="526"/>
      <c r="G566" s="529"/>
    </row>
    <row r="567" spans="2:7" ht="15.75">
      <c r="B567" s="528"/>
      <c r="C567" s="526"/>
      <c r="D567" s="526"/>
      <c r="E567" s="526"/>
      <c r="F567" s="526"/>
      <c r="G567" s="529"/>
    </row>
    <row r="568" spans="2:7" ht="15.75">
      <c r="B568" s="528"/>
      <c r="C568" s="526"/>
      <c r="D568" s="526"/>
      <c r="E568" s="526"/>
      <c r="F568" s="526"/>
      <c r="G568" s="529"/>
    </row>
    <row r="569" spans="2:7" ht="15.75">
      <c r="B569" s="528"/>
      <c r="C569" s="526"/>
      <c r="D569" s="526"/>
      <c r="E569" s="526"/>
      <c r="F569" s="526"/>
      <c r="G569" s="529"/>
    </row>
    <row r="570" spans="2:7" ht="15.75">
      <c r="B570" s="528"/>
      <c r="C570" s="526"/>
      <c r="D570" s="526"/>
      <c r="E570" s="526"/>
      <c r="F570" s="526"/>
      <c r="G570" s="529"/>
    </row>
    <row r="571" spans="2:7" ht="15.75">
      <c r="B571" s="528"/>
      <c r="C571" s="526"/>
      <c r="D571" s="526"/>
      <c r="E571" s="526"/>
      <c r="F571" s="526"/>
      <c r="G571" s="529"/>
    </row>
    <row r="572" spans="2:7" ht="15.75">
      <c r="B572" s="528"/>
      <c r="C572" s="526"/>
      <c r="D572" s="526"/>
      <c r="E572" s="526"/>
      <c r="F572" s="526"/>
      <c r="G572" s="529"/>
    </row>
    <row r="573" spans="2:7" ht="15.75">
      <c r="B573" s="528"/>
      <c r="C573" s="526"/>
      <c r="D573" s="526"/>
      <c r="E573" s="526"/>
      <c r="F573" s="526"/>
      <c r="G573" s="529"/>
    </row>
    <row r="574" spans="2:7" ht="15.75">
      <c r="B574" s="528"/>
      <c r="C574" s="526"/>
      <c r="D574" s="526"/>
      <c r="E574" s="526"/>
      <c r="F574" s="526"/>
      <c r="G574" s="529"/>
    </row>
    <row r="575" spans="2:7" ht="15.75">
      <c r="B575" s="528"/>
      <c r="C575" s="526"/>
      <c r="D575" s="526"/>
      <c r="E575" s="526"/>
      <c r="F575" s="526"/>
      <c r="G575" s="529"/>
    </row>
    <row r="576" spans="2:7" ht="15.75">
      <c r="B576" s="528"/>
      <c r="C576" s="526"/>
      <c r="D576" s="526"/>
      <c r="E576" s="526"/>
      <c r="F576" s="526"/>
      <c r="G576" s="529"/>
    </row>
    <row r="577" spans="2:7" ht="15.75">
      <c r="B577" s="528"/>
      <c r="C577" s="526"/>
      <c r="D577" s="526"/>
      <c r="E577" s="526"/>
      <c r="F577" s="526"/>
      <c r="G577" s="529"/>
    </row>
    <row r="578" spans="2:7" ht="15.75">
      <c r="B578" s="528"/>
      <c r="C578" s="526"/>
      <c r="D578" s="526"/>
      <c r="E578" s="526"/>
      <c r="F578" s="526"/>
      <c r="G578" s="529"/>
    </row>
    <row r="579" spans="2:7" ht="15.75">
      <c r="B579" s="528"/>
      <c r="C579" s="526"/>
      <c r="D579" s="526"/>
      <c r="E579" s="526"/>
      <c r="F579" s="526"/>
      <c r="G579" s="529"/>
    </row>
    <row r="580" spans="2:7" ht="15.75">
      <c r="B580" s="528"/>
      <c r="C580" s="526"/>
      <c r="D580" s="526"/>
      <c r="E580" s="526"/>
      <c r="F580" s="526"/>
      <c r="G580" s="529"/>
    </row>
    <row r="581" spans="2:7" ht="15.75">
      <c r="B581" s="528"/>
      <c r="C581" s="526"/>
      <c r="D581" s="526"/>
      <c r="E581" s="526"/>
      <c r="F581" s="526"/>
      <c r="G581" s="529"/>
    </row>
    <row r="582" spans="2:7" ht="15.75">
      <c r="B582" s="528"/>
      <c r="C582" s="526"/>
      <c r="D582" s="526"/>
      <c r="E582" s="526"/>
      <c r="F582" s="526"/>
      <c r="G582" s="529"/>
    </row>
    <row r="583" spans="2:7" ht="15.75">
      <c r="B583" s="528"/>
      <c r="C583" s="526"/>
      <c r="D583" s="526"/>
      <c r="E583" s="526"/>
      <c r="F583" s="526"/>
      <c r="G583" s="529"/>
    </row>
    <row r="584" spans="2:7" ht="15.75">
      <c r="B584" s="528"/>
      <c r="C584" s="526"/>
      <c r="D584" s="526"/>
      <c r="E584" s="526"/>
      <c r="F584" s="526"/>
      <c r="G584" s="529"/>
    </row>
    <row r="585" spans="2:7" ht="15.75">
      <c r="B585" s="528"/>
      <c r="C585" s="526"/>
      <c r="D585" s="526"/>
      <c r="E585" s="526"/>
      <c r="F585" s="526"/>
      <c r="G585" s="529"/>
    </row>
    <row r="586" spans="2:7" ht="15.75">
      <c r="B586" s="528"/>
      <c r="C586" s="526"/>
      <c r="D586" s="526"/>
      <c r="E586" s="526"/>
      <c r="F586" s="526"/>
      <c r="G586" s="529"/>
    </row>
    <row r="587" spans="2:7" ht="15.75">
      <c r="B587" s="528"/>
      <c r="C587" s="526"/>
      <c r="D587" s="526"/>
      <c r="E587" s="526"/>
      <c r="F587" s="526"/>
      <c r="G587" s="529"/>
    </row>
    <row r="588" spans="2:7" ht="15.75">
      <c r="B588" s="528"/>
      <c r="C588" s="526"/>
      <c r="D588" s="526"/>
      <c r="E588" s="526"/>
      <c r="F588" s="526"/>
      <c r="G588" s="529"/>
    </row>
    <row r="589" spans="2:7" ht="15.75">
      <c r="B589" s="528"/>
      <c r="C589" s="526"/>
      <c r="D589" s="526"/>
      <c r="E589" s="526"/>
      <c r="F589" s="526"/>
      <c r="G589" s="529"/>
    </row>
    <row r="590" spans="2:7" ht="15.75">
      <c r="B590" s="528"/>
      <c r="C590" s="526"/>
      <c r="D590" s="526"/>
      <c r="E590" s="526"/>
      <c r="F590" s="526"/>
      <c r="G590" s="529"/>
    </row>
    <row r="591" spans="2:7" ht="15.75">
      <c r="B591" s="528"/>
      <c r="C591" s="526"/>
      <c r="D591" s="526"/>
      <c r="E591" s="526"/>
      <c r="F591" s="526"/>
      <c r="G591" s="529"/>
    </row>
    <row r="592" spans="2:7" ht="15.75">
      <c r="B592" s="528"/>
      <c r="C592" s="526"/>
      <c r="D592" s="526"/>
      <c r="E592" s="526"/>
      <c r="F592" s="526"/>
      <c r="G592" s="529"/>
    </row>
    <row r="593" spans="2:7" ht="15.75">
      <c r="B593" s="528"/>
      <c r="C593" s="526"/>
      <c r="D593" s="526"/>
      <c r="E593" s="526"/>
      <c r="F593" s="526"/>
      <c r="G593" s="529"/>
    </row>
    <row r="594" spans="2:7" ht="15.75">
      <c r="B594" s="528"/>
      <c r="C594" s="526"/>
      <c r="D594" s="526"/>
      <c r="E594" s="526"/>
      <c r="F594" s="526"/>
      <c r="G594" s="529"/>
    </row>
    <row r="595" spans="2:7" ht="15.75">
      <c r="B595" s="528"/>
      <c r="C595" s="526"/>
      <c r="D595" s="526"/>
      <c r="E595" s="526"/>
      <c r="F595" s="526"/>
      <c r="G595" s="529"/>
    </row>
    <row r="596" spans="2:7" ht="15.75">
      <c r="B596" s="528"/>
      <c r="C596" s="526"/>
      <c r="D596" s="526"/>
      <c r="E596" s="526"/>
      <c r="F596" s="526"/>
      <c r="G596" s="529"/>
    </row>
    <row r="597" spans="2:7" ht="15.75">
      <c r="B597" s="528"/>
      <c r="C597" s="526"/>
      <c r="D597" s="526"/>
      <c r="E597" s="526"/>
      <c r="F597" s="526"/>
      <c r="G597" s="529"/>
    </row>
    <row r="598" spans="2:7" ht="15.75">
      <c r="B598" s="528"/>
      <c r="C598" s="526"/>
      <c r="D598" s="526"/>
      <c r="E598" s="526"/>
      <c r="F598" s="526"/>
      <c r="G598" s="529"/>
    </row>
    <row r="599" spans="2:7" ht="15.75">
      <c r="B599" s="528"/>
      <c r="C599" s="526"/>
      <c r="D599" s="526"/>
      <c r="E599" s="526"/>
      <c r="F599" s="526"/>
      <c r="G599" s="529"/>
    </row>
    <row r="600" spans="2:7" ht="15.75">
      <c r="B600" s="528"/>
      <c r="C600" s="526"/>
      <c r="D600" s="526"/>
      <c r="E600" s="526"/>
      <c r="F600" s="526"/>
      <c r="G600" s="529"/>
    </row>
    <row r="601" spans="2:7" ht="15.75">
      <c r="B601" s="528"/>
      <c r="C601" s="526"/>
      <c r="D601" s="526"/>
      <c r="E601" s="526"/>
      <c r="F601" s="526"/>
      <c r="G601" s="529"/>
    </row>
    <row r="602" spans="2:7" ht="15.75">
      <c r="B602" s="528"/>
      <c r="C602" s="526"/>
      <c r="D602" s="526"/>
      <c r="E602" s="526"/>
      <c r="F602" s="526"/>
      <c r="G602" s="529"/>
    </row>
    <row r="603" spans="2:7" ht="15.75">
      <c r="B603" s="528"/>
      <c r="C603" s="526"/>
      <c r="D603" s="526"/>
      <c r="E603" s="526"/>
      <c r="F603" s="526"/>
      <c r="G603" s="529"/>
    </row>
    <row r="604" spans="2:7" ht="15.75">
      <c r="B604" s="528"/>
      <c r="C604" s="526"/>
      <c r="D604" s="526"/>
      <c r="E604" s="526"/>
      <c r="F604" s="526"/>
      <c r="G604" s="529"/>
    </row>
    <row r="605" spans="2:7" ht="15.75">
      <c r="B605" s="528"/>
      <c r="C605" s="526"/>
      <c r="D605" s="526"/>
      <c r="E605" s="526"/>
      <c r="F605" s="526"/>
      <c r="G605" s="529"/>
    </row>
    <row r="606" spans="2:7" ht="15.75">
      <c r="B606" s="528"/>
      <c r="C606" s="526"/>
      <c r="D606" s="526"/>
      <c r="E606" s="526"/>
      <c r="F606" s="526"/>
      <c r="G606" s="529"/>
    </row>
    <row r="607" spans="2:7" ht="15.75">
      <c r="B607" s="528"/>
      <c r="C607" s="526"/>
      <c r="D607" s="526"/>
      <c r="E607" s="526"/>
      <c r="F607" s="526"/>
      <c r="G607" s="529"/>
    </row>
    <row r="608" spans="2:7" ht="15.75">
      <c r="B608" s="528"/>
      <c r="C608" s="526"/>
      <c r="D608" s="526"/>
      <c r="E608" s="526"/>
      <c r="F608" s="526"/>
      <c r="G608" s="529"/>
    </row>
    <row r="609" spans="2:7" ht="15.75">
      <c r="B609" s="528"/>
      <c r="C609" s="526"/>
      <c r="D609" s="526"/>
      <c r="E609" s="526"/>
      <c r="F609" s="526"/>
      <c r="G609" s="529"/>
    </row>
    <row r="610" spans="2:7" ht="15.75">
      <c r="B610" s="528"/>
      <c r="C610" s="526"/>
      <c r="D610" s="526"/>
      <c r="E610" s="526"/>
      <c r="F610" s="526"/>
      <c r="G610" s="529"/>
    </row>
    <row r="611" spans="2:7" ht="15.75">
      <c r="B611" s="528"/>
      <c r="C611" s="526"/>
      <c r="D611" s="526"/>
      <c r="E611" s="526"/>
      <c r="F611" s="526"/>
      <c r="G611" s="529"/>
    </row>
    <row r="612" spans="2:7" ht="15.75">
      <c r="B612" s="528"/>
      <c r="C612" s="526"/>
      <c r="D612" s="526"/>
      <c r="E612" s="526"/>
      <c r="F612" s="526"/>
      <c r="G612" s="529"/>
    </row>
    <row r="613" spans="2:7" ht="15.75">
      <c r="B613" s="528"/>
      <c r="C613" s="526"/>
      <c r="D613" s="526"/>
      <c r="E613" s="526"/>
      <c r="F613" s="526"/>
      <c r="G613" s="529"/>
    </row>
    <row r="614" spans="2:7" ht="15.75">
      <c r="B614" s="528"/>
      <c r="C614" s="526"/>
      <c r="D614" s="526"/>
      <c r="E614" s="526"/>
      <c r="F614" s="526"/>
      <c r="G614" s="529"/>
    </row>
    <row r="615" spans="2:7" ht="15.75">
      <c r="B615" s="528"/>
      <c r="C615" s="526"/>
      <c r="D615" s="526"/>
      <c r="E615" s="526"/>
      <c r="F615" s="526"/>
      <c r="G615" s="529"/>
    </row>
    <row r="616" spans="2:7" ht="15.75">
      <c r="B616" s="528"/>
      <c r="C616" s="526"/>
      <c r="D616" s="526"/>
      <c r="E616" s="526"/>
      <c r="F616" s="526"/>
      <c r="G616" s="529"/>
    </row>
    <row r="617" spans="2:7" ht="15.75">
      <c r="B617" s="528"/>
      <c r="C617" s="526"/>
      <c r="D617" s="526"/>
      <c r="E617" s="526"/>
      <c r="F617" s="526"/>
      <c r="G617" s="529"/>
    </row>
    <row r="618" spans="2:7" ht="15.75">
      <c r="B618" s="528"/>
      <c r="C618" s="526"/>
      <c r="D618" s="526"/>
      <c r="E618" s="526"/>
      <c r="F618" s="526"/>
      <c r="G618" s="529"/>
    </row>
    <row r="619" spans="2:7" ht="15.75">
      <c r="B619" s="528"/>
      <c r="C619" s="526"/>
      <c r="D619" s="526"/>
      <c r="E619" s="526"/>
      <c r="F619" s="526"/>
      <c r="G619" s="529"/>
    </row>
    <row r="620" spans="2:7" ht="15.75">
      <c r="B620" s="528"/>
      <c r="C620" s="526"/>
      <c r="D620" s="526"/>
      <c r="E620" s="526"/>
      <c r="F620" s="526"/>
      <c r="G620" s="529"/>
    </row>
    <row r="621" spans="2:7" ht="15.75">
      <c r="B621" s="528"/>
      <c r="C621" s="526"/>
      <c r="D621" s="526"/>
      <c r="E621" s="526"/>
      <c r="F621" s="526"/>
      <c r="G621" s="529"/>
    </row>
    <row r="622" spans="2:7" ht="15.75">
      <c r="B622" s="528"/>
      <c r="C622" s="526"/>
      <c r="D622" s="526"/>
      <c r="E622" s="526"/>
      <c r="F622" s="526"/>
      <c r="G622" s="529"/>
    </row>
    <row r="623" spans="2:7" ht="15.75">
      <c r="B623" s="528"/>
      <c r="C623" s="526"/>
      <c r="D623" s="526"/>
      <c r="E623" s="526"/>
      <c r="F623" s="526"/>
      <c r="G623" s="529"/>
    </row>
    <row r="624" spans="2:7" ht="15.75">
      <c r="B624" s="528"/>
      <c r="C624" s="526"/>
      <c r="D624" s="526"/>
      <c r="E624" s="526"/>
      <c r="F624" s="526"/>
      <c r="G624" s="529"/>
    </row>
    <row r="625" spans="2:7" ht="15.75">
      <c r="B625" s="528"/>
      <c r="C625" s="526"/>
      <c r="D625" s="526"/>
      <c r="E625" s="526"/>
      <c r="F625" s="526"/>
      <c r="G625" s="529"/>
    </row>
    <row r="626" spans="2:7" ht="15.75">
      <c r="B626" s="528"/>
      <c r="C626" s="526"/>
      <c r="D626" s="526"/>
      <c r="E626" s="526"/>
      <c r="F626" s="526"/>
      <c r="G626" s="529"/>
    </row>
    <row r="627" spans="2:7" ht="15.75">
      <c r="B627" s="528"/>
      <c r="C627" s="526"/>
      <c r="D627" s="526"/>
      <c r="E627" s="526"/>
      <c r="F627" s="526"/>
      <c r="G627" s="529"/>
    </row>
    <row r="628" spans="2:7" ht="15.75">
      <c r="B628" s="528"/>
      <c r="C628" s="526"/>
      <c r="D628" s="526"/>
      <c r="E628" s="526"/>
      <c r="F628" s="526"/>
      <c r="G628" s="529"/>
    </row>
    <row r="629" spans="2:7" ht="15.75">
      <c r="B629" s="528"/>
      <c r="C629" s="526"/>
      <c r="D629" s="526"/>
      <c r="E629" s="526"/>
      <c r="F629" s="526"/>
      <c r="G629" s="529"/>
    </row>
    <row r="630" spans="2:7" ht="15.75">
      <c r="B630" s="528"/>
      <c r="C630" s="526"/>
      <c r="D630" s="526"/>
      <c r="E630" s="526"/>
      <c r="F630" s="526"/>
      <c r="G630" s="529"/>
    </row>
    <row r="631" spans="2:7" ht="15.75">
      <c r="B631" s="528"/>
      <c r="C631" s="526"/>
      <c r="D631" s="526"/>
      <c r="E631" s="526"/>
      <c r="F631" s="526"/>
      <c r="G631" s="529"/>
    </row>
    <row r="632" spans="2:7" ht="15.75">
      <c r="B632" s="528"/>
      <c r="C632" s="526"/>
      <c r="D632" s="526"/>
      <c r="E632" s="526"/>
      <c r="F632" s="526"/>
      <c r="G632" s="529"/>
    </row>
    <row r="633" spans="2:7" ht="15.75">
      <c r="B633" s="528"/>
      <c r="C633" s="526"/>
      <c r="D633" s="526"/>
      <c r="E633" s="526"/>
      <c r="F633" s="526"/>
      <c r="G633" s="529"/>
    </row>
    <row r="634" spans="2:7" ht="15.75">
      <c r="B634" s="528"/>
      <c r="C634" s="526"/>
      <c r="D634" s="526"/>
      <c r="E634" s="526"/>
      <c r="F634" s="526"/>
      <c r="G634" s="529"/>
    </row>
    <row r="635" spans="2:7" ht="15.75">
      <c r="B635" s="528"/>
      <c r="C635" s="526"/>
      <c r="D635" s="526"/>
      <c r="E635" s="526"/>
      <c r="F635" s="526"/>
      <c r="G635" s="529"/>
    </row>
    <row r="636" spans="2:7" ht="15.75">
      <c r="B636" s="528"/>
      <c r="C636" s="526"/>
      <c r="D636" s="526"/>
      <c r="E636" s="526"/>
      <c r="F636" s="526"/>
      <c r="G636" s="529"/>
    </row>
    <row r="637" spans="2:7" ht="15.75">
      <c r="B637" s="528"/>
      <c r="C637" s="526"/>
      <c r="D637" s="526"/>
      <c r="E637" s="526"/>
      <c r="F637" s="526"/>
      <c r="G637" s="529"/>
    </row>
    <row r="638" spans="2:7" ht="15.75">
      <c r="B638" s="528"/>
      <c r="C638" s="526"/>
      <c r="D638" s="526"/>
      <c r="E638" s="526"/>
      <c r="F638" s="526"/>
      <c r="G638" s="529"/>
    </row>
    <row r="639" spans="2:7" ht="15.75">
      <c r="B639" s="528"/>
      <c r="C639" s="526"/>
      <c r="D639" s="526"/>
      <c r="E639" s="526"/>
      <c r="F639" s="526"/>
      <c r="G639" s="529"/>
    </row>
    <row r="640" spans="2:7" ht="15.75">
      <c r="B640" s="528"/>
      <c r="C640" s="526"/>
      <c r="D640" s="526"/>
      <c r="E640" s="526"/>
      <c r="F640" s="526"/>
      <c r="G640" s="529"/>
    </row>
    <row r="641" spans="2:7" ht="15.75">
      <c r="B641" s="528"/>
      <c r="C641" s="526"/>
      <c r="D641" s="526"/>
      <c r="E641" s="526"/>
      <c r="F641" s="526"/>
      <c r="G641" s="529"/>
    </row>
    <row r="642" spans="2:7" ht="15.75">
      <c r="B642" s="528"/>
      <c r="C642" s="526"/>
      <c r="D642" s="526"/>
      <c r="E642" s="526"/>
      <c r="F642" s="526"/>
      <c r="G642" s="529"/>
    </row>
    <row r="643" spans="2:7" ht="15.75">
      <c r="B643" s="528"/>
      <c r="C643" s="526"/>
      <c r="D643" s="526"/>
      <c r="E643" s="526"/>
      <c r="F643" s="526"/>
      <c r="G643" s="529"/>
    </row>
    <row r="644" spans="2:7" ht="15.75">
      <c r="B644" s="528"/>
      <c r="C644" s="526"/>
      <c r="D644" s="526"/>
      <c r="E644" s="526"/>
      <c r="F644" s="526"/>
      <c r="G644" s="529"/>
    </row>
    <row r="645" spans="2:7" ht="15.75">
      <c r="B645" s="528"/>
      <c r="C645" s="526"/>
      <c r="D645" s="526"/>
      <c r="E645" s="526"/>
      <c r="F645" s="526"/>
      <c r="G645" s="529"/>
    </row>
    <row r="646" spans="2:7" ht="15.75">
      <c r="B646" s="528"/>
      <c r="C646" s="526"/>
      <c r="D646" s="526"/>
      <c r="E646" s="526"/>
      <c r="F646" s="526"/>
      <c r="G646" s="529"/>
    </row>
    <row r="647" spans="2:7" ht="15.75">
      <c r="B647" s="528"/>
      <c r="C647" s="526"/>
      <c r="D647" s="526"/>
      <c r="E647" s="526"/>
      <c r="F647" s="526"/>
      <c r="G647" s="529"/>
    </row>
    <row r="648" spans="2:7" ht="15.75">
      <c r="B648" s="528"/>
      <c r="C648" s="526"/>
      <c r="D648" s="526"/>
      <c r="E648" s="526"/>
      <c r="F648" s="526"/>
      <c r="G648" s="529"/>
    </row>
    <row r="649" spans="2:7" ht="15.75">
      <c r="B649" s="528"/>
      <c r="C649" s="526"/>
      <c r="D649" s="526"/>
      <c r="E649" s="526"/>
      <c r="F649" s="526"/>
      <c r="G649" s="529"/>
    </row>
    <row r="650" spans="2:7" ht="15.75">
      <c r="B650" s="528"/>
      <c r="C650" s="526"/>
      <c r="D650" s="526"/>
      <c r="E650" s="526"/>
      <c r="F650" s="526"/>
      <c r="G650" s="529"/>
    </row>
    <row r="651" spans="2:7" ht="15.75">
      <c r="B651" s="528"/>
      <c r="C651" s="526"/>
      <c r="D651" s="526"/>
      <c r="E651" s="526"/>
      <c r="F651" s="526"/>
      <c r="G651" s="529"/>
    </row>
    <row r="652" spans="2:7" ht="15.75">
      <c r="B652" s="528"/>
      <c r="C652" s="526"/>
      <c r="D652" s="526"/>
      <c r="E652" s="526"/>
      <c r="F652" s="526"/>
      <c r="G652" s="529"/>
    </row>
    <row r="653" spans="2:7" ht="15.75">
      <c r="B653" s="528"/>
      <c r="C653" s="526"/>
      <c r="D653" s="526"/>
      <c r="E653" s="526"/>
      <c r="F653" s="526"/>
      <c r="G653" s="529"/>
    </row>
    <row r="654" spans="2:7" ht="15.75">
      <c r="B654" s="528"/>
      <c r="C654" s="526"/>
      <c r="D654" s="526"/>
      <c r="E654" s="526"/>
      <c r="F654" s="526"/>
      <c r="G654" s="529"/>
    </row>
    <row r="655" spans="2:7" ht="15.75">
      <c r="B655" s="528"/>
      <c r="C655" s="526"/>
      <c r="D655" s="526"/>
      <c r="E655" s="526"/>
      <c r="F655" s="526"/>
      <c r="G655" s="529"/>
    </row>
    <row r="656" spans="2:7" ht="15.75">
      <c r="B656" s="528"/>
      <c r="C656" s="526"/>
      <c r="D656" s="526"/>
      <c r="E656" s="526"/>
      <c r="F656" s="526"/>
      <c r="G656" s="529"/>
    </row>
    <row r="657" spans="2:7" ht="15.75">
      <c r="B657" s="528"/>
      <c r="C657" s="526"/>
      <c r="D657" s="526"/>
      <c r="E657" s="526"/>
      <c r="F657" s="526"/>
      <c r="G657" s="529"/>
    </row>
    <row r="658" spans="2:7" ht="15.75">
      <c r="B658" s="528"/>
      <c r="C658" s="526"/>
      <c r="D658" s="526"/>
      <c r="E658" s="526"/>
      <c r="F658" s="526"/>
      <c r="G658" s="529"/>
    </row>
    <row r="659" spans="2:7" ht="15.75">
      <c r="B659" s="528"/>
      <c r="C659" s="526"/>
      <c r="D659" s="526"/>
      <c r="E659" s="526"/>
      <c r="F659" s="526"/>
      <c r="G659" s="529"/>
    </row>
    <row r="660" spans="2:7" ht="15.75">
      <c r="B660" s="528"/>
      <c r="C660" s="526"/>
      <c r="D660" s="526"/>
      <c r="E660" s="526"/>
      <c r="F660" s="526"/>
      <c r="G660" s="529"/>
    </row>
    <row r="661" spans="2:7" ht="15.75">
      <c r="B661" s="528"/>
      <c r="C661" s="526"/>
      <c r="D661" s="526"/>
      <c r="E661" s="526"/>
      <c r="F661" s="526"/>
      <c r="G661" s="529"/>
    </row>
    <row r="662" spans="2:7" ht="15.75">
      <c r="B662" s="528"/>
      <c r="C662" s="526"/>
      <c r="D662" s="526"/>
      <c r="E662" s="526"/>
      <c r="F662" s="526"/>
      <c r="G662" s="529"/>
    </row>
    <row r="663" spans="2:7" ht="15.75">
      <c r="B663" s="528"/>
      <c r="C663" s="526"/>
      <c r="D663" s="526"/>
      <c r="E663" s="526"/>
      <c r="F663" s="526"/>
      <c r="G663" s="529"/>
    </row>
    <row r="664" spans="2:7" ht="15.75">
      <c r="B664" s="528"/>
      <c r="C664" s="526"/>
      <c r="D664" s="526"/>
      <c r="E664" s="526"/>
      <c r="F664" s="526"/>
      <c r="G664" s="529"/>
    </row>
    <row r="665" spans="2:7" ht="15.75">
      <c r="B665" s="528"/>
      <c r="C665" s="526"/>
      <c r="D665" s="526"/>
      <c r="E665" s="526"/>
      <c r="F665" s="526"/>
      <c r="G665" s="529"/>
    </row>
    <row r="666" spans="2:7" ht="15.75">
      <c r="B666" s="528"/>
      <c r="C666" s="526"/>
      <c r="D666" s="526"/>
      <c r="E666" s="526"/>
      <c r="F666" s="526"/>
      <c r="G666" s="529"/>
    </row>
    <row r="667" spans="2:7" ht="15.75">
      <c r="B667" s="528"/>
      <c r="C667" s="526"/>
      <c r="D667" s="526"/>
      <c r="E667" s="526"/>
      <c r="F667" s="526"/>
      <c r="G667" s="529"/>
    </row>
    <row r="668" spans="2:7" ht="15.75">
      <c r="B668" s="528"/>
      <c r="C668" s="526"/>
      <c r="D668" s="526"/>
      <c r="E668" s="526"/>
      <c r="F668" s="526"/>
      <c r="G668" s="529"/>
    </row>
    <row r="669" spans="2:7" ht="15.75">
      <c r="B669" s="528"/>
      <c r="C669" s="526"/>
      <c r="D669" s="526"/>
      <c r="E669" s="526"/>
      <c r="F669" s="526"/>
      <c r="G669" s="529"/>
    </row>
    <row r="670" spans="2:7" ht="15.75">
      <c r="B670" s="528"/>
      <c r="C670" s="526"/>
      <c r="D670" s="526"/>
      <c r="E670" s="526"/>
      <c r="F670" s="526"/>
      <c r="G670" s="529"/>
    </row>
    <row r="671" spans="2:7" ht="15.75">
      <c r="B671" s="528"/>
      <c r="C671" s="526"/>
      <c r="D671" s="526"/>
      <c r="E671" s="526"/>
      <c r="F671" s="526"/>
      <c r="G671" s="529"/>
    </row>
    <row r="672" spans="2:7" ht="15.75">
      <c r="B672" s="528"/>
      <c r="C672" s="526"/>
      <c r="D672" s="526"/>
      <c r="E672" s="526"/>
      <c r="F672" s="526"/>
      <c r="G672" s="529"/>
    </row>
    <row r="673" spans="2:7" ht="15.75">
      <c r="B673" s="528"/>
      <c r="C673" s="526"/>
      <c r="D673" s="526"/>
      <c r="E673" s="526"/>
      <c r="F673" s="526"/>
      <c r="G673" s="529"/>
    </row>
    <row r="674" spans="2:7" ht="15.75">
      <c r="B674" s="528"/>
      <c r="C674" s="526"/>
      <c r="D674" s="526"/>
      <c r="E674" s="526"/>
      <c r="F674" s="526"/>
      <c r="G674" s="529"/>
    </row>
    <row r="675" spans="2:7" ht="15.75">
      <c r="B675" s="528"/>
      <c r="C675" s="526"/>
      <c r="D675" s="526"/>
      <c r="E675" s="526"/>
      <c r="F675" s="526"/>
      <c r="G675" s="529"/>
    </row>
    <row r="676" spans="2:7" ht="15.75">
      <c r="B676" s="528"/>
      <c r="C676" s="526"/>
      <c r="D676" s="526"/>
      <c r="E676" s="526"/>
      <c r="F676" s="526"/>
      <c r="G676" s="529"/>
    </row>
    <row r="677" spans="2:7" ht="15.75">
      <c r="B677" s="528"/>
      <c r="C677" s="526"/>
      <c r="D677" s="526"/>
      <c r="E677" s="526"/>
      <c r="F677" s="526"/>
      <c r="G677" s="529"/>
    </row>
    <row r="678" spans="2:7" ht="15.75">
      <c r="B678" s="528"/>
      <c r="C678" s="526"/>
      <c r="D678" s="526"/>
      <c r="E678" s="526"/>
      <c r="F678" s="526"/>
      <c r="G678" s="529"/>
    </row>
    <row r="679" spans="2:7" ht="15.75">
      <c r="B679" s="528"/>
      <c r="C679" s="526"/>
      <c r="D679" s="526"/>
      <c r="E679" s="526"/>
      <c r="F679" s="526"/>
      <c r="G679" s="529"/>
    </row>
    <row r="680" spans="2:7" ht="15.75">
      <c r="B680" s="528"/>
      <c r="C680" s="526"/>
      <c r="D680" s="526"/>
      <c r="E680" s="526"/>
      <c r="F680" s="526"/>
      <c r="G680" s="529"/>
    </row>
    <row r="681" spans="2:7" ht="15.75">
      <c r="B681" s="528"/>
      <c r="C681" s="526"/>
      <c r="D681" s="526"/>
      <c r="E681" s="526"/>
      <c r="F681" s="526"/>
      <c r="G681" s="529"/>
    </row>
    <row r="682" spans="2:7" ht="15.75">
      <c r="B682" s="528"/>
      <c r="C682" s="526"/>
      <c r="D682" s="526"/>
      <c r="E682" s="526"/>
      <c r="F682" s="526"/>
      <c r="G682" s="529"/>
    </row>
    <row r="683" spans="2:7" ht="15.75">
      <c r="B683" s="528"/>
      <c r="C683" s="526"/>
      <c r="D683" s="526"/>
      <c r="E683" s="526"/>
      <c r="F683" s="526"/>
      <c r="G683" s="529"/>
    </row>
    <row r="684" spans="2:7" ht="15.75">
      <c r="B684" s="528"/>
      <c r="C684" s="526"/>
      <c r="D684" s="526"/>
      <c r="E684" s="526"/>
      <c r="F684" s="526"/>
      <c r="G684" s="529"/>
    </row>
    <row r="685" spans="2:7" ht="15.75">
      <c r="B685" s="528"/>
      <c r="C685" s="526"/>
      <c r="D685" s="526"/>
      <c r="E685" s="526"/>
      <c r="F685" s="526"/>
      <c r="G685" s="529"/>
    </row>
    <row r="686" spans="2:7" ht="15.75">
      <c r="B686" s="528"/>
      <c r="C686" s="526"/>
      <c r="D686" s="526"/>
      <c r="E686" s="526"/>
      <c r="F686" s="526"/>
      <c r="G686" s="529"/>
    </row>
    <row r="687" spans="2:7" ht="15.75">
      <c r="B687" s="528"/>
      <c r="C687" s="526"/>
      <c r="D687" s="526"/>
      <c r="E687" s="526"/>
      <c r="F687" s="526"/>
      <c r="G687" s="529"/>
    </row>
    <row r="688" spans="2:7" ht="15.75">
      <c r="B688" s="528"/>
      <c r="C688" s="526"/>
      <c r="D688" s="526"/>
      <c r="E688" s="526"/>
      <c r="F688" s="526"/>
      <c r="G688" s="529"/>
    </row>
    <row r="689" spans="2:7" ht="15.75">
      <c r="B689" s="528"/>
      <c r="C689" s="526"/>
      <c r="D689" s="526"/>
      <c r="E689" s="526"/>
      <c r="F689" s="526"/>
      <c r="G689" s="529"/>
    </row>
    <row r="690" spans="2:7" ht="15.75">
      <c r="B690" s="528"/>
      <c r="C690" s="526"/>
      <c r="D690" s="526"/>
      <c r="E690" s="526"/>
      <c r="F690" s="526"/>
      <c r="G690" s="529"/>
    </row>
    <row r="691" spans="2:7" ht="15.75">
      <c r="B691" s="528"/>
      <c r="C691" s="526"/>
      <c r="D691" s="526"/>
      <c r="E691" s="526"/>
      <c r="F691" s="526"/>
      <c r="G691" s="529"/>
    </row>
    <row r="692" spans="2:7" ht="15.75">
      <c r="B692" s="528"/>
      <c r="C692" s="526"/>
      <c r="D692" s="526"/>
      <c r="E692" s="526"/>
      <c r="F692" s="526"/>
      <c r="G692" s="529"/>
    </row>
    <row r="693" spans="2:7" ht="15.75">
      <c r="B693" s="528"/>
      <c r="C693" s="526"/>
      <c r="D693" s="526"/>
      <c r="E693" s="526"/>
      <c r="F693" s="526"/>
      <c r="G693" s="529"/>
    </row>
    <row r="694" spans="2:7" ht="15.75">
      <c r="B694" s="528"/>
      <c r="C694" s="526"/>
      <c r="D694" s="526"/>
      <c r="E694" s="526"/>
      <c r="F694" s="526"/>
      <c r="G694" s="529"/>
    </row>
    <row r="695" spans="2:7" ht="15.75">
      <c r="B695" s="528"/>
      <c r="C695" s="526"/>
      <c r="D695" s="526"/>
      <c r="E695" s="526"/>
      <c r="F695" s="526"/>
      <c r="G695" s="529"/>
    </row>
    <row r="696" spans="2:7" ht="15.75">
      <c r="B696" s="528"/>
      <c r="C696" s="526"/>
      <c r="D696" s="526"/>
      <c r="E696" s="526"/>
      <c r="F696" s="526"/>
      <c r="G696" s="529"/>
    </row>
    <row r="697" spans="2:7" ht="15.75">
      <c r="B697" s="528"/>
      <c r="C697" s="526"/>
      <c r="D697" s="526"/>
      <c r="E697" s="526"/>
      <c r="F697" s="526"/>
      <c r="G697" s="529"/>
    </row>
    <row r="698" spans="2:7" ht="15.75">
      <c r="B698" s="528"/>
      <c r="C698" s="526"/>
      <c r="D698" s="526"/>
      <c r="E698" s="526"/>
      <c r="F698" s="526"/>
      <c r="G698" s="529"/>
    </row>
    <row r="699" spans="2:7" ht="15.75">
      <c r="B699" s="528"/>
      <c r="C699" s="526"/>
      <c r="D699" s="526"/>
      <c r="E699" s="526"/>
      <c r="F699" s="526"/>
      <c r="G699" s="529"/>
    </row>
    <row r="700" spans="2:7" ht="15.75">
      <c r="B700" s="528"/>
      <c r="C700" s="526"/>
      <c r="D700" s="526"/>
      <c r="E700" s="526"/>
      <c r="F700" s="526"/>
      <c r="G700" s="529"/>
    </row>
    <row r="701" spans="2:7" ht="15.75">
      <c r="B701" s="528"/>
      <c r="C701" s="526"/>
      <c r="D701" s="526"/>
      <c r="E701" s="526"/>
      <c r="F701" s="526"/>
      <c r="G701" s="529"/>
    </row>
    <row r="702" spans="2:7" ht="15.75">
      <c r="B702" s="528"/>
      <c r="C702" s="526"/>
      <c r="D702" s="526"/>
      <c r="E702" s="526"/>
      <c r="F702" s="526"/>
      <c r="G702" s="529"/>
    </row>
    <row r="703" spans="2:7" ht="15.75">
      <c r="B703" s="528"/>
      <c r="C703" s="526"/>
      <c r="D703" s="526"/>
      <c r="E703" s="526"/>
      <c r="F703" s="526"/>
      <c r="G703" s="529"/>
    </row>
    <row r="704" spans="2:7" ht="15.75">
      <c r="B704" s="528"/>
      <c r="C704" s="526"/>
      <c r="D704" s="526"/>
      <c r="E704" s="526"/>
      <c r="F704" s="526"/>
      <c r="G704" s="529"/>
    </row>
    <row r="705" spans="2:7" ht="15.75">
      <c r="B705" s="528"/>
      <c r="C705" s="526"/>
      <c r="D705" s="526"/>
      <c r="E705" s="526"/>
      <c r="F705" s="526"/>
      <c r="G705" s="529"/>
    </row>
    <row r="706" spans="2:7" ht="15.75">
      <c r="B706" s="528"/>
      <c r="C706" s="526"/>
      <c r="D706" s="526"/>
      <c r="E706" s="526"/>
      <c r="F706" s="526"/>
      <c r="G706" s="529"/>
    </row>
    <row r="707" spans="2:7" ht="15.75">
      <c r="B707" s="528"/>
      <c r="C707" s="526"/>
      <c r="D707" s="526"/>
      <c r="E707" s="526"/>
      <c r="F707" s="526"/>
      <c r="G707" s="529"/>
    </row>
    <row r="708" spans="2:7" ht="15.75">
      <c r="B708" s="528"/>
      <c r="C708" s="526"/>
      <c r="D708" s="526"/>
      <c r="E708" s="526"/>
      <c r="F708" s="526"/>
      <c r="G708" s="529"/>
    </row>
    <row r="709" spans="2:7" ht="15.75">
      <c r="B709" s="528"/>
      <c r="C709" s="526"/>
      <c r="D709" s="526"/>
      <c r="E709" s="526"/>
      <c r="F709" s="526"/>
      <c r="G709" s="529"/>
    </row>
    <row r="710" spans="2:7" ht="15.75">
      <c r="B710" s="528"/>
      <c r="C710" s="526"/>
      <c r="D710" s="526"/>
      <c r="E710" s="526"/>
      <c r="F710" s="526"/>
      <c r="G710" s="529"/>
    </row>
    <row r="711" spans="2:7" ht="15.75">
      <c r="B711" s="528"/>
      <c r="C711" s="526"/>
      <c r="D711" s="526"/>
      <c r="E711" s="526"/>
      <c r="F711" s="526"/>
      <c r="G711" s="529"/>
    </row>
    <row r="712" spans="2:7" ht="15.75">
      <c r="B712" s="528"/>
      <c r="C712" s="526"/>
      <c r="D712" s="526"/>
      <c r="E712" s="526"/>
      <c r="F712" s="526"/>
      <c r="G712" s="529"/>
    </row>
    <row r="713" spans="2:7" ht="15.75">
      <c r="B713" s="528"/>
      <c r="C713" s="526"/>
      <c r="D713" s="526"/>
      <c r="E713" s="526"/>
      <c r="F713" s="526"/>
      <c r="G713" s="529"/>
    </row>
    <row r="714" spans="2:7" ht="15.75">
      <c r="B714" s="528"/>
      <c r="C714" s="526"/>
      <c r="D714" s="526"/>
      <c r="E714" s="526"/>
      <c r="F714" s="526"/>
      <c r="G714" s="529"/>
    </row>
    <row r="715" spans="2:7" ht="15.75">
      <c r="B715" s="528"/>
      <c r="C715" s="526"/>
      <c r="D715" s="526"/>
      <c r="E715" s="526"/>
      <c r="F715" s="526"/>
      <c r="G715" s="529"/>
    </row>
    <row r="716" spans="2:7" ht="15.75">
      <c r="B716" s="528"/>
      <c r="C716" s="526"/>
      <c r="D716" s="526"/>
      <c r="E716" s="526"/>
      <c r="F716" s="526"/>
      <c r="G716" s="529"/>
    </row>
    <row r="717" spans="2:7" ht="15.75">
      <c r="B717" s="528"/>
      <c r="C717" s="526"/>
      <c r="D717" s="526"/>
      <c r="E717" s="526"/>
      <c r="F717" s="526"/>
      <c r="G717" s="529"/>
    </row>
    <row r="718" spans="2:7" ht="15.75">
      <c r="B718" s="528"/>
      <c r="C718" s="526"/>
      <c r="D718" s="526"/>
      <c r="E718" s="526"/>
      <c r="F718" s="526"/>
      <c r="G718" s="529"/>
    </row>
    <row r="719" spans="2:7" ht="15.75">
      <c r="B719" s="528"/>
      <c r="C719" s="526"/>
      <c r="D719" s="526"/>
      <c r="E719" s="526"/>
      <c r="F719" s="526"/>
      <c r="G719" s="529"/>
    </row>
    <row r="720" spans="2:7" ht="15.75">
      <c r="B720" s="528"/>
      <c r="C720" s="526"/>
      <c r="D720" s="526"/>
      <c r="E720" s="526"/>
      <c r="F720" s="526"/>
      <c r="G720" s="529"/>
    </row>
    <row r="721" spans="2:7" ht="15.75">
      <c r="B721" s="528"/>
      <c r="C721" s="526"/>
      <c r="D721" s="526"/>
      <c r="E721" s="526"/>
      <c r="F721" s="526"/>
      <c r="G721" s="529"/>
    </row>
    <row r="722" spans="2:7" ht="15.75">
      <c r="B722" s="528"/>
      <c r="C722" s="526"/>
      <c r="D722" s="526"/>
      <c r="E722" s="526"/>
      <c r="F722" s="526"/>
      <c r="G722" s="529"/>
    </row>
    <row r="723" spans="2:7" ht="15.75">
      <c r="B723" s="528"/>
      <c r="C723" s="526"/>
      <c r="D723" s="526"/>
      <c r="E723" s="526"/>
      <c r="F723" s="526"/>
      <c r="G723" s="529"/>
    </row>
    <row r="724" spans="2:7" ht="15.75">
      <c r="B724" s="528"/>
      <c r="C724" s="526"/>
      <c r="D724" s="526"/>
      <c r="E724" s="526"/>
      <c r="F724" s="526"/>
      <c r="G724" s="529"/>
    </row>
    <row r="725" spans="2:7" ht="15.75">
      <c r="B725" s="528"/>
      <c r="C725" s="526"/>
      <c r="D725" s="526"/>
      <c r="E725" s="526"/>
      <c r="F725" s="526"/>
      <c r="G725" s="529"/>
    </row>
    <row r="726" spans="2:7" ht="15.75">
      <c r="B726" s="528"/>
      <c r="C726" s="526"/>
      <c r="D726" s="526"/>
      <c r="E726" s="526"/>
      <c r="F726" s="526"/>
      <c r="G726" s="529"/>
    </row>
    <row r="727" spans="2:7" ht="15.75">
      <c r="B727" s="528"/>
      <c r="C727" s="526"/>
      <c r="D727" s="526"/>
      <c r="E727" s="526"/>
      <c r="F727" s="526"/>
      <c r="G727" s="529"/>
    </row>
    <row r="728" spans="2:7" ht="15.75">
      <c r="B728" s="528"/>
      <c r="C728" s="526"/>
      <c r="D728" s="526"/>
      <c r="E728" s="526"/>
      <c r="F728" s="526"/>
      <c r="G728" s="529"/>
    </row>
    <row r="729" spans="2:7" ht="15.75">
      <c r="B729" s="528"/>
      <c r="C729" s="526"/>
      <c r="D729" s="526"/>
      <c r="E729" s="526"/>
      <c r="F729" s="526"/>
      <c r="G729" s="529"/>
    </row>
    <row r="730" spans="2:7" ht="15.75">
      <c r="B730" s="528"/>
      <c r="C730" s="526"/>
      <c r="D730" s="526"/>
      <c r="E730" s="526"/>
      <c r="F730" s="526"/>
      <c r="G730" s="529"/>
    </row>
    <row r="731" spans="2:7" ht="15.75">
      <c r="B731" s="528"/>
      <c r="C731" s="526"/>
      <c r="D731" s="526"/>
      <c r="E731" s="526"/>
      <c r="F731" s="526"/>
      <c r="G731" s="529"/>
    </row>
    <row r="732" spans="2:7" ht="15.75">
      <c r="B732" s="528"/>
      <c r="C732" s="526"/>
      <c r="D732" s="526"/>
      <c r="E732" s="526"/>
      <c r="F732" s="526"/>
      <c r="G732" s="529"/>
    </row>
    <row r="733" spans="2:7" ht="15.75">
      <c r="B733" s="528"/>
      <c r="C733" s="526"/>
      <c r="D733" s="526"/>
      <c r="E733" s="526"/>
      <c r="F733" s="526"/>
      <c r="G733" s="529"/>
    </row>
    <row r="734" spans="2:7" ht="15.75">
      <c r="B734" s="528"/>
      <c r="C734" s="526"/>
      <c r="D734" s="526"/>
      <c r="E734" s="526"/>
      <c r="F734" s="526"/>
      <c r="G734" s="529"/>
    </row>
    <row r="735" spans="2:7" ht="15.75">
      <c r="B735" s="528"/>
      <c r="C735" s="526"/>
      <c r="D735" s="526"/>
      <c r="E735" s="526"/>
      <c r="F735" s="526"/>
      <c r="G735" s="529"/>
    </row>
    <row r="736" spans="2:7" ht="15.75">
      <c r="B736" s="528"/>
      <c r="C736" s="526"/>
      <c r="D736" s="526"/>
      <c r="E736" s="526"/>
      <c r="F736" s="526"/>
      <c r="G736" s="529"/>
    </row>
    <row r="737" spans="2:7" ht="15.75">
      <c r="B737" s="528"/>
      <c r="C737" s="526"/>
      <c r="D737" s="526"/>
      <c r="E737" s="526"/>
      <c r="F737" s="526"/>
      <c r="G737" s="529"/>
    </row>
    <row r="738" spans="2:7" ht="15.75">
      <c r="B738" s="528"/>
      <c r="C738" s="526"/>
      <c r="D738" s="526"/>
      <c r="E738" s="526"/>
      <c r="F738" s="526"/>
      <c r="G738" s="529"/>
    </row>
    <row r="739" spans="2:7" ht="15.75">
      <c r="B739" s="528"/>
      <c r="C739" s="526"/>
      <c r="D739" s="526"/>
      <c r="E739" s="526"/>
      <c r="F739" s="526"/>
      <c r="G739" s="529"/>
    </row>
    <row r="740" spans="2:7" ht="15.75">
      <c r="B740" s="528"/>
      <c r="C740" s="526"/>
      <c r="D740" s="526"/>
      <c r="E740" s="526"/>
      <c r="F740" s="526"/>
      <c r="G740" s="529"/>
    </row>
    <row r="741" spans="2:7" ht="15.75">
      <c r="B741" s="528"/>
      <c r="C741" s="526"/>
      <c r="D741" s="526"/>
      <c r="E741" s="526"/>
      <c r="F741" s="526"/>
      <c r="G741" s="529"/>
    </row>
    <row r="742" spans="2:7" ht="15.75">
      <c r="B742" s="528"/>
      <c r="C742" s="526"/>
      <c r="D742" s="526"/>
      <c r="E742" s="526"/>
      <c r="F742" s="526"/>
      <c r="G742" s="529"/>
    </row>
    <row r="743" spans="2:7" ht="15.75">
      <c r="B743" s="528"/>
      <c r="C743" s="526"/>
      <c r="D743" s="526"/>
      <c r="E743" s="526"/>
      <c r="F743" s="526"/>
      <c r="G743" s="529"/>
    </row>
    <row r="744" spans="2:7" ht="15.75">
      <c r="B744" s="528"/>
      <c r="C744" s="526"/>
      <c r="D744" s="526"/>
      <c r="E744" s="526"/>
      <c r="F744" s="526"/>
      <c r="G744" s="529"/>
    </row>
    <row r="745" spans="2:7" ht="15.75">
      <c r="B745" s="528"/>
      <c r="C745" s="526"/>
      <c r="D745" s="526"/>
      <c r="E745" s="526"/>
      <c r="F745" s="526"/>
      <c r="G745" s="529"/>
    </row>
    <row r="746" spans="2:7" ht="15.75">
      <c r="B746" s="528"/>
      <c r="C746" s="526"/>
      <c r="D746" s="526"/>
      <c r="E746" s="526"/>
      <c r="F746" s="526"/>
      <c r="G746" s="529"/>
    </row>
    <row r="747" spans="2:7" ht="15.75">
      <c r="B747" s="528"/>
      <c r="C747" s="526"/>
      <c r="D747" s="526"/>
      <c r="E747" s="526"/>
      <c r="F747" s="526"/>
      <c r="G747" s="529"/>
    </row>
    <row r="748" spans="2:7" ht="15.75">
      <c r="B748" s="528"/>
      <c r="C748" s="526"/>
      <c r="D748" s="526"/>
      <c r="E748" s="526"/>
      <c r="F748" s="526"/>
      <c r="G748" s="529"/>
    </row>
    <row r="749" spans="2:7" ht="15.75">
      <c r="B749" s="528"/>
      <c r="C749" s="526"/>
      <c r="D749" s="526"/>
      <c r="E749" s="526"/>
      <c r="F749" s="526"/>
      <c r="G749" s="529"/>
    </row>
    <row r="750" spans="2:7" ht="15.75">
      <c r="B750" s="528"/>
      <c r="C750" s="526"/>
      <c r="D750" s="526"/>
      <c r="E750" s="526"/>
      <c r="F750" s="526"/>
      <c r="G750" s="529"/>
    </row>
    <row r="751" spans="2:7" ht="15.75">
      <c r="B751" s="528"/>
      <c r="C751" s="526"/>
      <c r="D751" s="526"/>
      <c r="E751" s="526"/>
      <c r="F751" s="526"/>
      <c r="G751" s="529"/>
    </row>
    <row r="752" spans="2:7" ht="15.75">
      <c r="B752" s="528"/>
      <c r="C752" s="526"/>
      <c r="D752" s="526"/>
      <c r="E752" s="526"/>
      <c r="F752" s="526"/>
      <c r="G752" s="529"/>
    </row>
    <row r="753" spans="2:7" ht="15.75">
      <c r="B753" s="528"/>
      <c r="C753" s="526"/>
      <c r="D753" s="526"/>
      <c r="E753" s="526"/>
      <c r="F753" s="526"/>
      <c r="G753" s="529"/>
    </row>
    <row r="754" spans="2:7" ht="15.75">
      <c r="B754" s="528"/>
      <c r="C754" s="526"/>
      <c r="D754" s="526"/>
      <c r="E754" s="526"/>
      <c r="F754" s="526"/>
      <c r="G754" s="529"/>
    </row>
    <row r="755" spans="2:7" ht="15.75">
      <c r="B755" s="528"/>
      <c r="C755" s="526"/>
      <c r="D755" s="526"/>
      <c r="E755" s="526"/>
      <c r="F755" s="526"/>
      <c r="G755" s="529"/>
    </row>
    <row r="756" spans="2:7" ht="15.75">
      <c r="B756" s="528"/>
      <c r="C756" s="526"/>
      <c r="D756" s="526"/>
      <c r="E756" s="526"/>
      <c r="F756" s="526"/>
      <c r="G756" s="529"/>
    </row>
    <row r="757" spans="2:7" ht="15.75">
      <c r="B757" s="528"/>
      <c r="C757" s="526"/>
      <c r="D757" s="526"/>
      <c r="E757" s="526"/>
      <c r="F757" s="526"/>
      <c r="G757" s="529"/>
    </row>
    <row r="758" spans="2:7" ht="15.75">
      <c r="B758" s="528"/>
      <c r="C758" s="526"/>
      <c r="D758" s="526"/>
      <c r="E758" s="526"/>
      <c r="F758" s="526"/>
      <c r="G758" s="529"/>
    </row>
    <row r="759" spans="2:7" ht="15.75">
      <c r="B759" s="528"/>
      <c r="C759" s="526"/>
      <c r="D759" s="526"/>
      <c r="E759" s="526"/>
      <c r="F759" s="526"/>
      <c r="G759" s="529"/>
    </row>
    <row r="760" spans="2:7" ht="15.75">
      <c r="B760" s="528"/>
      <c r="C760" s="526"/>
      <c r="D760" s="526"/>
      <c r="E760" s="526"/>
      <c r="F760" s="526"/>
      <c r="G760" s="529"/>
    </row>
    <row r="761" spans="2:7" ht="15.75">
      <c r="B761" s="528"/>
      <c r="C761" s="526"/>
      <c r="D761" s="526"/>
      <c r="E761" s="526"/>
      <c r="F761" s="526"/>
      <c r="G761" s="529"/>
    </row>
    <row r="762" spans="2:7" ht="15.75">
      <c r="B762" s="528"/>
      <c r="C762" s="526"/>
      <c r="D762" s="526"/>
      <c r="E762" s="526"/>
      <c r="F762" s="526"/>
      <c r="G762" s="529"/>
    </row>
    <row r="763" spans="2:7" ht="15.75">
      <c r="B763" s="528"/>
      <c r="C763" s="526"/>
      <c r="D763" s="526"/>
      <c r="E763" s="526"/>
      <c r="F763" s="526"/>
      <c r="G763" s="529"/>
    </row>
    <row r="764" spans="2:7" ht="15.75">
      <c r="B764" s="528"/>
      <c r="C764" s="526"/>
      <c r="D764" s="526"/>
      <c r="E764" s="526"/>
      <c r="F764" s="526"/>
      <c r="G764" s="529"/>
    </row>
    <row r="765" spans="2:7" ht="15.75">
      <c r="B765" s="528"/>
      <c r="C765" s="526"/>
      <c r="D765" s="526"/>
      <c r="E765" s="526"/>
      <c r="F765" s="526"/>
      <c r="G765" s="529"/>
    </row>
    <row r="766" spans="2:7" ht="15.75">
      <c r="B766" s="528"/>
      <c r="C766" s="526"/>
      <c r="D766" s="526"/>
      <c r="E766" s="526"/>
      <c r="F766" s="526"/>
      <c r="G766" s="529"/>
    </row>
    <row r="767" spans="2:7" ht="15.75">
      <c r="B767" s="528"/>
      <c r="C767" s="526"/>
      <c r="D767" s="526"/>
      <c r="E767" s="526"/>
      <c r="F767" s="526"/>
      <c r="G767" s="529"/>
    </row>
    <row r="768" spans="2:7" ht="15.75">
      <c r="B768" s="528"/>
      <c r="C768" s="526"/>
      <c r="D768" s="526"/>
      <c r="E768" s="526"/>
      <c r="F768" s="526"/>
      <c r="G768" s="529"/>
    </row>
    <row r="769" spans="2:7" ht="15.75">
      <c r="B769" s="528"/>
      <c r="C769" s="526"/>
      <c r="D769" s="526"/>
      <c r="E769" s="526"/>
      <c r="F769" s="526"/>
      <c r="G769" s="529"/>
    </row>
    <row r="770" spans="2:7" ht="15.75">
      <c r="B770" s="528"/>
      <c r="C770" s="526"/>
      <c r="D770" s="526"/>
      <c r="E770" s="526"/>
      <c r="F770" s="526"/>
      <c r="G770" s="529"/>
    </row>
    <row r="771" spans="2:7" ht="15.75">
      <c r="B771" s="528"/>
      <c r="C771" s="526"/>
      <c r="D771" s="526"/>
      <c r="E771" s="526"/>
      <c r="F771" s="526"/>
      <c r="G771" s="529"/>
    </row>
    <row r="772" spans="2:7" ht="15.75">
      <c r="B772" s="528"/>
      <c r="C772" s="526"/>
      <c r="D772" s="526"/>
      <c r="E772" s="526"/>
      <c r="F772" s="526"/>
      <c r="G772" s="529"/>
    </row>
    <row r="773" spans="2:7" ht="15.75">
      <c r="B773" s="528"/>
      <c r="C773" s="526"/>
      <c r="D773" s="526"/>
      <c r="E773" s="526"/>
      <c r="F773" s="526"/>
      <c r="G773" s="529"/>
    </row>
    <row r="774" spans="2:7" ht="15.75">
      <c r="B774" s="528"/>
      <c r="C774" s="526"/>
      <c r="D774" s="526"/>
      <c r="E774" s="526"/>
      <c r="F774" s="526"/>
      <c r="G774" s="529"/>
    </row>
    <row r="775" spans="2:7" ht="15.75">
      <c r="B775" s="528"/>
      <c r="C775" s="526"/>
      <c r="D775" s="526"/>
      <c r="E775" s="526"/>
      <c r="F775" s="526"/>
      <c r="G775" s="529"/>
    </row>
    <row r="776" spans="2:7" ht="15.75">
      <c r="B776" s="528"/>
      <c r="C776" s="526"/>
      <c r="D776" s="526"/>
      <c r="E776" s="526"/>
      <c r="F776" s="526"/>
      <c r="G776" s="529"/>
    </row>
    <row r="777" spans="2:7" ht="15.75">
      <c r="B777" s="528"/>
      <c r="C777" s="526"/>
      <c r="D777" s="526"/>
      <c r="E777" s="526"/>
      <c r="F777" s="526"/>
      <c r="G777" s="529"/>
    </row>
    <row r="778" spans="2:7" ht="15.75">
      <c r="B778" s="528"/>
      <c r="C778" s="526"/>
      <c r="D778" s="526"/>
      <c r="E778" s="526"/>
      <c r="F778" s="526"/>
      <c r="G778" s="529"/>
    </row>
    <row r="779" spans="2:7" ht="15.75">
      <c r="B779" s="528"/>
      <c r="C779" s="526"/>
      <c r="D779" s="526"/>
      <c r="E779" s="526"/>
      <c r="F779" s="526"/>
      <c r="G779" s="529"/>
    </row>
    <row r="780" spans="2:7" ht="15.75">
      <c r="B780" s="528"/>
      <c r="C780" s="526"/>
      <c r="D780" s="526"/>
      <c r="E780" s="526"/>
      <c r="F780" s="526"/>
      <c r="G780" s="529"/>
    </row>
    <row r="781" spans="2:7" ht="15.75">
      <c r="B781" s="528"/>
      <c r="C781" s="526"/>
      <c r="D781" s="526"/>
      <c r="E781" s="526"/>
      <c r="F781" s="526"/>
      <c r="G781" s="529"/>
    </row>
    <row r="782" spans="2:7" ht="15.75">
      <c r="B782" s="528"/>
      <c r="C782" s="526"/>
      <c r="D782" s="526"/>
      <c r="E782" s="526"/>
      <c r="F782" s="526"/>
      <c r="G782" s="529"/>
    </row>
    <row r="783" spans="2:7" ht="15.75">
      <c r="B783" s="528"/>
      <c r="C783" s="526"/>
      <c r="D783" s="526"/>
      <c r="E783" s="526"/>
      <c r="F783" s="526"/>
      <c r="G783" s="529"/>
    </row>
    <row r="784" spans="2:7" ht="15.75">
      <c r="B784" s="528"/>
      <c r="C784" s="526"/>
      <c r="D784" s="526"/>
      <c r="E784" s="526"/>
      <c r="F784" s="526"/>
      <c r="G784" s="529"/>
    </row>
    <row r="785" spans="2:7" ht="15.75">
      <c r="B785" s="528"/>
      <c r="C785" s="526"/>
      <c r="D785" s="526"/>
      <c r="E785" s="526"/>
      <c r="F785" s="526"/>
      <c r="G785" s="529"/>
    </row>
    <row r="786" spans="2:7" ht="15.75">
      <c r="B786" s="528"/>
      <c r="C786" s="526"/>
      <c r="D786" s="526"/>
      <c r="E786" s="526"/>
      <c r="F786" s="526"/>
      <c r="G786" s="529"/>
    </row>
    <row r="787" spans="2:7" ht="15.75">
      <c r="B787" s="528"/>
      <c r="C787" s="526"/>
      <c r="D787" s="526"/>
      <c r="E787" s="526"/>
      <c r="F787" s="526"/>
      <c r="G787" s="529"/>
    </row>
    <row r="788" spans="2:7" ht="15.75">
      <c r="B788" s="528"/>
      <c r="C788" s="526"/>
      <c r="D788" s="526"/>
      <c r="E788" s="526"/>
      <c r="F788" s="526"/>
      <c r="G788" s="529"/>
    </row>
    <row r="789" spans="2:7" ht="15.75">
      <c r="B789" s="528"/>
      <c r="C789" s="526"/>
      <c r="D789" s="526"/>
      <c r="E789" s="526"/>
      <c r="F789" s="526"/>
      <c r="G789" s="529"/>
    </row>
    <row r="790" spans="2:7" ht="15.75">
      <c r="B790" s="528"/>
      <c r="C790" s="526"/>
      <c r="D790" s="526"/>
      <c r="E790" s="526"/>
      <c r="F790" s="526"/>
      <c r="G790" s="529"/>
    </row>
    <row r="791" spans="2:7" ht="15.75">
      <c r="B791" s="528"/>
      <c r="C791" s="526"/>
      <c r="D791" s="526"/>
      <c r="E791" s="526"/>
      <c r="F791" s="526"/>
      <c r="G791" s="529"/>
    </row>
    <row r="792" spans="2:7" ht="15.75">
      <c r="B792" s="528"/>
      <c r="C792" s="526"/>
      <c r="D792" s="526"/>
      <c r="E792" s="526"/>
      <c r="F792" s="526"/>
      <c r="G792" s="529"/>
    </row>
    <row r="793" spans="2:7" ht="15.75">
      <c r="B793" s="528"/>
      <c r="C793" s="526"/>
      <c r="D793" s="526"/>
      <c r="E793" s="526"/>
      <c r="F793" s="526"/>
      <c r="G793" s="529"/>
    </row>
    <row r="794" spans="2:7" ht="15.75">
      <c r="B794" s="528"/>
      <c r="C794" s="526"/>
      <c r="D794" s="526"/>
      <c r="E794" s="526"/>
      <c r="F794" s="526"/>
      <c r="G794" s="529"/>
    </row>
    <row r="795" spans="2:7" ht="15.75">
      <c r="B795" s="528"/>
      <c r="C795" s="526"/>
      <c r="D795" s="526"/>
      <c r="E795" s="526"/>
      <c r="F795" s="526"/>
      <c r="G795" s="529"/>
    </row>
    <row r="796" spans="2:7" ht="15.75">
      <c r="B796" s="528"/>
      <c r="C796" s="526"/>
      <c r="D796" s="526"/>
      <c r="E796" s="526"/>
      <c r="F796" s="526"/>
      <c r="G796" s="529"/>
    </row>
    <row r="797" spans="2:7" ht="15.75">
      <c r="B797" s="528"/>
      <c r="C797" s="526"/>
      <c r="D797" s="526"/>
      <c r="E797" s="526"/>
      <c r="F797" s="526"/>
      <c r="G797" s="529"/>
    </row>
    <row r="798" spans="2:7" ht="15.75">
      <c r="B798" s="528"/>
      <c r="C798" s="526"/>
      <c r="D798" s="526"/>
      <c r="E798" s="526"/>
      <c r="F798" s="526"/>
      <c r="G798" s="529"/>
    </row>
    <row r="799" spans="2:7" ht="15.75">
      <c r="B799" s="528"/>
      <c r="C799" s="526"/>
      <c r="D799" s="526"/>
      <c r="E799" s="526"/>
      <c r="F799" s="526"/>
      <c r="G799" s="529"/>
    </row>
    <row r="800" spans="2:7" ht="15.75">
      <c r="B800" s="528"/>
      <c r="C800" s="526"/>
      <c r="D800" s="526"/>
      <c r="E800" s="526"/>
      <c r="F800" s="526"/>
      <c r="G800" s="529"/>
    </row>
    <row r="801" spans="2:7" ht="15.75">
      <c r="B801" s="528"/>
      <c r="C801" s="526"/>
      <c r="D801" s="526"/>
      <c r="E801" s="526"/>
      <c r="F801" s="526"/>
      <c r="G801" s="529"/>
    </row>
    <row r="802" spans="2:7" ht="15.75">
      <c r="B802" s="528"/>
      <c r="C802" s="526"/>
      <c r="D802" s="526"/>
      <c r="E802" s="526"/>
      <c r="F802" s="526"/>
      <c r="G802" s="529"/>
    </row>
    <row r="803" spans="2:7" ht="15.75">
      <c r="B803" s="528"/>
      <c r="C803" s="526"/>
      <c r="D803" s="526"/>
      <c r="E803" s="526"/>
      <c r="F803" s="526"/>
      <c r="G803" s="529"/>
    </row>
    <row r="804" spans="2:7" ht="15.75">
      <c r="B804" s="528"/>
      <c r="C804" s="526"/>
      <c r="D804" s="526"/>
      <c r="E804" s="526"/>
      <c r="F804" s="526"/>
      <c r="G804" s="529"/>
    </row>
    <row r="805" spans="2:7" ht="15.75">
      <c r="B805" s="528"/>
      <c r="C805" s="526"/>
      <c r="D805" s="526"/>
      <c r="E805" s="526"/>
      <c r="F805" s="526"/>
      <c r="G805" s="529"/>
    </row>
    <row r="806" spans="2:7" ht="15.75">
      <c r="B806" s="528"/>
      <c r="C806" s="526"/>
      <c r="D806" s="526"/>
      <c r="E806" s="526"/>
      <c r="F806" s="526"/>
      <c r="G806" s="529"/>
    </row>
    <row r="807" spans="2:7" ht="15.75">
      <c r="B807" s="528"/>
      <c r="C807" s="526"/>
      <c r="D807" s="526"/>
      <c r="E807" s="526"/>
      <c r="F807" s="526"/>
      <c r="G807" s="529"/>
    </row>
    <row r="808" spans="2:7" ht="15.75">
      <c r="B808" s="528"/>
      <c r="C808" s="526"/>
      <c r="D808" s="526"/>
      <c r="E808" s="526"/>
      <c r="F808" s="526"/>
      <c r="G808" s="529"/>
    </row>
    <row r="809" spans="2:7" ht="15.75">
      <c r="B809" s="528"/>
      <c r="C809" s="526"/>
      <c r="D809" s="526"/>
      <c r="E809" s="526"/>
      <c r="F809" s="526"/>
      <c r="G809" s="529"/>
    </row>
    <row r="810" spans="2:7" ht="15.75">
      <c r="B810" s="528"/>
      <c r="C810" s="526"/>
      <c r="D810" s="526"/>
      <c r="E810" s="526"/>
      <c r="F810" s="526"/>
      <c r="G810" s="529"/>
    </row>
    <row r="811" spans="2:7" ht="15.75">
      <c r="B811" s="528"/>
      <c r="C811" s="526"/>
      <c r="D811" s="526"/>
      <c r="E811" s="526"/>
      <c r="F811" s="526"/>
      <c r="G811" s="529"/>
    </row>
    <row r="812" spans="2:7" ht="15.75">
      <c r="B812" s="528"/>
      <c r="C812" s="526"/>
      <c r="D812" s="526"/>
      <c r="E812" s="526"/>
      <c r="F812" s="526"/>
      <c r="G812" s="529"/>
    </row>
    <row r="813" spans="2:7" ht="15.75">
      <c r="B813" s="528"/>
      <c r="C813" s="526"/>
      <c r="D813" s="526"/>
      <c r="E813" s="526"/>
      <c r="F813" s="526"/>
      <c r="G813" s="529"/>
    </row>
    <row r="814" spans="2:7" ht="15.75">
      <c r="B814" s="528"/>
      <c r="C814" s="526"/>
      <c r="D814" s="526"/>
      <c r="E814" s="526"/>
      <c r="F814" s="526"/>
      <c r="G814" s="529"/>
    </row>
    <row r="815" spans="2:7" ht="15.75">
      <c r="B815" s="528"/>
      <c r="C815" s="526"/>
      <c r="D815" s="526"/>
      <c r="E815" s="526"/>
      <c r="F815" s="526"/>
      <c r="G815" s="529"/>
    </row>
    <row r="816" spans="2:7" ht="15.75">
      <c r="B816" s="528"/>
      <c r="C816" s="526"/>
      <c r="D816" s="526"/>
      <c r="E816" s="526"/>
      <c r="F816" s="526"/>
      <c r="G816" s="529"/>
    </row>
    <row r="817" spans="2:7" ht="15.75">
      <c r="B817" s="528"/>
      <c r="C817" s="526"/>
      <c r="D817" s="526"/>
      <c r="E817" s="526"/>
      <c r="F817" s="526"/>
      <c r="G817" s="529"/>
    </row>
    <row r="818" spans="2:7" ht="15.75">
      <c r="B818" s="528"/>
      <c r="C818" s="526"/>
      <c r="D818" s="526"/>
      <c r="E818" s="526"/>
      <c r="F818" s="526"/>
      <c r="G818" s="529"/>
    </row>
    <row r="819" spans="2:7" ht="15.75">
      <c r="B819" s="528"/>
      <c r="C819" s="526"/>
      <c r="D819" s="526"/>
      <c r="E819" s="526"/>
      <c r="F819" s="526"/>
      <c r="G819" s="529"/>
    </row>
    <row r="820" spans="2:7" ht="15.75">
      <c r="B820" s="528"/>
      <c r="C820" s="526"/>
      <c r="D820" s="526"/>
      <c r="E820" s="526"/>
      <c r="F820" s="526"/>
      <c r="G820" s="529"/>
    </row>
    <row r="821" spans="2:7" ht="15.75">
      <c r="B821" s="528"/>
      <c r="C821" s="526"/>
      <c r="D821" s="526"/>
      <c r="E821" s="526"/>
      <c r="F821" s="526"/>
      <c r="G821" s="529"/>
    </row>
    <row r="822" spans="2:7" ht="15.75">
      <c r="B822" s="528"/>
      <c r="C822" s="526"/>
      <c r="D822" s="526"/>
      <c r="E822" s="526"/>
      <c r="F822" s="526"/>
      <c r="G822" s="529"/>
    </row>
    <row r="823" spans="2:7" ht="15.75">
      <c r="B823" s="528"/>
      <c r="C823" s="526"/>
      <c r="D823" s="526"/>
      <c r="E823" s="526"/>
      <c r="F823" s="526"/>
      <c r="G823" s="529"/>
    </row>
    <row r="824" spans="2:7" ht="15.75">
      <c r="B824" s="528"/>
      <c r="C824" s="526"/>
      <c r="D824" s="526"/>
      <c r="E824" s="526"/>
      <c r="F824" s="526"/>
      <c r="G824" s="529"/>
    </row>
    <row r="825" spans="2:7" ht="15.75">
      <c r="B825" s="528"/>
      <c r="C825" s="526"/>
      <c r="D825" s="526"/>
      <c r="E825" s="526"/>
      <c r="F825" s="526"/>
      <c r="G825" s="529"/>
    </row>
    <row r="826" spans="2:7" ht="15.75">
      <c r="B826" s="528"/>
      <c r="C826" s="526"/>
      <c r="D826" s="526"/>
      <c r="E826" s="526"/>
      <c r="F826" s="526"/>
      <c r="G826" s="529"/>
    </row>
    <row r="827" spans="2:7" ht="15.75">
      <c r="B827" s="528"/>
      <c r="C827" s="526"/>
      <c r="D827" s="526"/>
      <c r="E827" s="526"/>
      <c r="F827" s="526"/>
      <c r="G827" s="529"/>
    </row>
    <row r="828" spans="2:7" ht="15.75">
      <c r="B828" s="528"/>
      <c r="C828" s="526"/>
      <c r="D828" s="526"/>
      <c r="E828" s="526"/>
      <c r="F828" s="526"/>
      <c r="G828" s="529"/>
    </row>
    <row r="829" spans="2:7" ht="15.75">
      <c r="B829" s="528"/>
      <c r="C829" s="526"/>
      <c r="D829" s="526"/>
      <c r="E829" s="526"/>
      <c r="F829" s="526"/>
      <c r="G829" s="529"/>
    </row>
    <row r="830" spans="2:7" ht="15.75">
      <c r="B830" s="528"/>
      <c r="C830" s="526"/>
      <c r="D830" s="526"/>
      <c r="E830" s="526"/>
      <c r="F830" s="526"/>
      <c r="G830" s="529"/>
    </row>
    <row r="831" spans="2:7" ht="15.75">
      <c r="B831" s="528"/>
      <c r="C831" s="526"/>
      <c r="D831" s="526"/>
      <c r="E831" s="526"/>
      <c r="F831" s="526"/>
      <c r="G831" s="529"/>
    </row>
    <row r="832" spans="2:7" ht="15.75">
      <c r="B832" s="528"/>
      <c r="C832" s="526"/>
      <c r="D832" s="526"/>
      <c r="E832" s="526"/>
      <c r="F832" s="526"/>
      <c r="G832" s="529"/>
    </row>
    <row r="833" spans="2:7" ht="15.75">
      <c r="B833" s="528"/>
      <c r="C833" s="526"/>
      <c r="D833" s="526"/>
      <c r="E833" s="526"/>
      <c r="F833" s="526"/>
      <c r="G833" s="529"/>
    </row>
    <row r="834" spans="2:7" ht="15.75">
      <c r="B834" s="528"/>
      <c r="C834" s="526"/>
      <c r="D834" s="526"/>
      <c r="E834" s="526"/>
      <c r="F834" s="526"/>
      <c r="G834" s="529"/>
    </row>
    <row r="835" spans="2:7" ht="15.75">
      <c r="B835" s="528"/>
      <c r="C835" s="526"/>
      <c r="D835" s="526"/>
      <c r="E835" s="526"/>
      <c r="F835" s="526"/>
      <c r="G835" s="529"/>
    </row>
    <row r="836" spans="2:7" ht="15.75">
      <c r="B836" s="528"/>
      <c r="C836" s="526"/>
      <c r="D836" s="526"/>
      <c r="E836" s="526"/>
      <c r="F836" s="526"/>
      <c r="G836" s="529"/>
    </row>
    <row r="837" spans="2:7" ht="15.75">
      <c r="B837" s="528"/>
      <c r="C837" s="526"/>
      <c r="D837" s="526"/>
      <c r="E837" s="526"/>
      <c r="F837" s="526"/>
      <c r="G837" s="529"/>
    </row>
    <row r="838" spans="2:7" ht="15.75">
      <c r="B838" s="528"/>
      <c r="C838" s="526"/>
      <c r="D838" s="526"/>
      <c r="E838" s="526"/>
      <c r="F838" s="526"/>
      <c r="G838" s="529"/>
    </row>
    <row r="839" spans="2:7" ht="15.75">
      <c r="B839" s="528"/>
      <c r="C839" s="526"/>
      <c r="D839" s="526"/>
      <c r="E839" s="526"/>
      <c r="F839" s="526"/>
      <c r="G839" s="529"/>
    </row>
    <row r="840" spans="2:7" ht="15.75">
      <c r="B840" s="528"/>
      <c r="C840" s="526"/>
      <c r="D840" s="526"/>
      <c r="E840" s="526"/>
      <c r="F840" s="526"/>
      <c r="G840" s="529"/>
    </row>
    <row r="841" spans="2:7" ht="15.75">
      <c r="B841" s="528"/>
      <c r="C841" s="526"/>
      <c r="D841" s="526"/>
      <c r="E841" s="526"/>
      <c r="F841" s="526"/>
      <c r="G841" s="529"/>
    </row>
    <row r="842" spans="2:7" ht="15.75">
      <c r="B842" s="528"/>
      <c r="C842" s="526"/>
      <c r="D842" s="526"/>
      <c r="E842" s="526"/>
      <c r="F842" s="526"/>
      <c r="G842" s="529"/>
    </row>
    <row r="843" spans="2:7" ht="15.75">
      <c r="B843" s="528"/>
      <c r="C843" s="526"/>
      <c r="D843" s="526"/>
      <c r="E843" s="526"/>
      <c r="F843" s="526"/>
      <c r="G843" s="529"/>
    </row>
    <row r="844" spans="2:7" ht="15.75">
      <c r="B844" s="528"/>
      <c r="C844" s="526"/>
      <c r="D844" s="526"/>
      <c r="E844" s="526"/>
      <c r="F844" s="526"/>
      <c r="G844" s="529"/>
    </row>
    <row r="845" spans="2:7" ht="15.75">
      <c r="B845" s="528"/>
      <c r="C845" s="526"/>
      <c r="D845" s="526"/>
      <c r="E845" s="526"/>
      <c r="F845" s="526"/>
      <c r="G845" s="529"/>
    </row>
    <row r="846" spans="2:7" ht="15.75">
      <c r="B846" s="528"/>
      <c r="C846" s="526"/>
      <c r="D846" s="526"/>
      <c r="E846" s="526"/>
      <c r="F846" s="526"/>
      <c r="G846" s="529"/>
    </row>
    <row r="847" spans="2:7" ht="15.75">
      <c r="B847" s="528"/>
      <c r="C847" s="526"/>
      <c r="D847" s="526"/>
      <c r="E847" s="526"/>
      <c r="F847" s="526"/>
      <c r="G847" s="529"/>
    </row>
    <row r="848" spans="2:7" ht="15.75">
      <c r="B848" s="528"/>
      <c r="C848" s="526"/>
      <c r="D848" s="526"/>
      <c r="E848" s="526"/>
      <c r="F848" s="526"/>
      <c r="G848" s="529"/>
    </row>
    <row r="849" spans="2:7" ht="15.75">
      <c r="B849" s="528"/>
      <c r="C849" s="526"/>
      <c r="D849" s="526"/>
      <c r="E849" s="526"/>
      <c r="F849" s="526"/>
      <c r="G849" s="529"/>
    </row>
    <row r="850" spans="2:7" ht="15.75">
      <c r="B850" s="528"/>
      <c r="C850" s="526"/>
      <c r="D850" s="526"/>
      <c r="E850" s="526"/>
      <c r="F850" s="526"/>
      <c r="G850" s="529"/>
    </row>
    <row r="851" spans="2:7" ht="15.75">
      <c r="B851" s="528"/>
      <c r="C851" s="526"/>
      <c r="D851" s="526"/>
      <c r="E851" s="526"/>
      <c r="F851" s="526"/>
      <c r="G851" s="529"/>
    </row>
    <row r="852" spans="2:7" ht="15.75">
      <c r="B852" s="528"/>
      <c r="C852" s="526"/>
      <c r="D852" s="526"/>
      <c r="E852" s="526"/>
      <c r="F852" s="526"/>
      <c r="G852" s="529"/>
    </row>
    <row r="853" spans="2:7" ht="15.75">
      <c r="B853" s="528"/>
      <c r="C853" s="526"/>
      <c r="D853" s="526"/>
      <c r="E853" s="526"/>
      <c r="F853" s="526"/>
      <c r="G853" s="529"/>
    </row>
    <row r="854" spans="2:7" ht="15.75">
      <c r="B854" s="528"/>
      <c r="C854" s="526"/>
      <c r="D854" s="526"/>
      <c r="E854" s="526"/>
      <c r="F854" s="526"/>
      <c r="G854" s="529"/>
    </row>
    <row r="855" spans="2:7" ht="15.75">
      <c r="B855" s="528"/>
      <c r="C855" s="526"/>
      <c r="D855" s="526"/>
      <c r="E855" s="526"/>
      <c r="F855" s="526"/>
      <c r="G855" s="529"/>
    </row>
    <row r="856" spans="2:7" ht="15.75">
      <c r="B856" s="528"/>
      <c r="C856" s="526"/>
      <c r="D856" s="526"/>
      <c r="E856" s="526"/>
      <c r="F856" s="526"/>
      <c r="G856" s="529"/>
    </row>
    <row r="857" spans="2:7" ht="15.75">
      <c r="B857" s="528"/>
      <c r="C857" s="526"/>
      <c r="D857" s="526"/>
      <c r="E857" s="526"/>
      <c r="F857" s="526"/>
      <c r="G857" s="529"/>
    </row>
    <row r="858" spans="2:7" ht="15.75">
      <c r="B858" s="528"/>
      <c r="C858" s="526"/>
      <c r="D858" s="526"/>
      <c r="E858" s="526"/>
      <c r="F858" s="526"/>
      <c r="G858" s="529"/>
    </row>
    <row r="859" spans="2:7" ht="15.75">
      <c r="B859" s="528"/>
      <c r="C859" s="526"/>
      <c r="D859" s="526"/>
      <c r="E859" s="526"/>
      <c r="F859" s="526"/>
      <c r="G859" s="529"/>
    </row>
    <row r="860" spans="2:7" ht="15.75">
      <c r="B860" s="528"/>
      <c r="C860" s="526"/>
      <c r="D860" s="526"/>
      <c r="E860" s="526"/>
      <c r="F860" s="526"/>
      <c r="G860" s="529"/>
    </row>
    <row r="861" spans="2:7" ht="15.75">
      <c r="B861" s="528"/>
      <c r="C861" s="526"/>
      <c r="D861" s="526"/>
      <c r="E861" s="526"/>
      <c r="F861" s="526"/>
      <c r="G861" s="529"/>
    </row>
    <row r="862" spans="2:7" ht="15.75">
      <c r="B862" s="528"/>
      <c r="C862" s="526"/>
      <c r="D862" s="526"/>
      <c r="E862" s="526"/>
      <c r="F862" s="526"/>
      <c r="G862" s="529"/>
    </row>
    <row r="863" spans="2:7" ht="15.75">
      <c r="B863" s="528"/>
      <c r="C863" s="526"/>
      <c r="D863" s="526"/>
      <c r="E863" s="526"/>
      <c r="F863" s="526"/>
      <c r="G863" s="529"/>
    </row>
    <row r="864" spans="2:7" ht="15.75">
      <c r="B864" s="528"/>
      <c r="C864" s="526"/>
      <c r="D864" s="526"/>
      <c r="E864" s="526"/>
      <c r="F864" s="526"/>
      <c r="G864" s="529"/>
    </row>
    <row r="865" spans="2:7" ht="15.75">
      <c r="B865" s="528"/>
      <c r="C865" s="526"/>
      <c r="D865" s="526"/>
      <c r="E865" s="526"/>
      <c r="F865" s="526"/>
      <c r="G865" s="529"/>
    </row>
    <row r="866" spans="2:7" ht="15.75">
      <c r="B866" s="528"/>
      <c r="C866" s="526"/>
      <c r="D866" s="526"/>
      <c r="E866" s="526"/>
      <c r="F866" s="526"/>
      <c r="G866" s="529"/>
    </row>
    <row r="867" spans="2:7" ht="15.75">
      <c r="B867" s="528"/>
      <c r="C867" s="526"/>
      <c r="D867" s="526"/>
      <c r="E867" s="526"/>
      <c r="F867" s="526"/>
      <c r="G867" s="529"/>
    </row>
    <row r="868" spans="2:7" ht="15.75">
      <c r="B868" s="528"/>
      <c r="C868" s="526"/>
      <c r="D868" s="526"/>
      <c r="E868" s="526"/>
      <c r="F868" s="526"/>
      <c r="G868" s="529"/>
    </row>
    <row r="869" spans="2:7" ht="15.75">
      <c r="B869" s="528"/>
      <c r="C869" s="526"/>
      <c r="D869" s="526"/>
      <c r="E869" s="526"/>
      <c r="F869" s="526"/>
      <c r="G869" s="529"/>
    </row>
    <row r="870" spans="2:7" ht="15.75">
      <c r="B870" s="528"/>
      <c r="C870" s="526"/>
      <c r="D870" s="526"/>
      <c r="E870" s="526"/>
      <c r="F870" s="526"/>
      <c r="G870" s="529"/>
    </row>
    <row r="871" spans="2:7" ht="15.75">
      <c r="B871" s="528"/>
      <c r="C871" s="526"/>
      <c r="D871" s="526"/>
      <c r="E871" s="526"/>
      <c r="F871" s="526"/>
      <c r="G871" s="529"/>
    </row>
    <row r="872" spans="2:7" ht="15.75">
      <c r="B872" s="528"/>
      <c r="C872" s="526"/>
      <c r="D872" s="526"/>
      <c r="E872" s="526"/>
      <c r="F872" s="526"/>
      <c r="G872" s="529"/>
    </row>
    <row r="873" spans="2:7" ht="15.75">
      <c r="B873" s="528"/>
      <c r="C873" s="526"/>
      <c r="D873" s="526"/>
      <c r="E873" s="526"/>
      <c r="F873" s="526"/>
      <c r="G873" s="529"/>
    </row>
    <row r="874" spans="2:7" ht="15.75">
      <c r="B874" s="528"/>
      <c r="C874" s="526"/>
      <c r="D874" s="526"/>
      <c r="E874" s="526"/>
      <c r="F874" s="526"/>
      <c r="G874" s="529"/>
    </row>
    <row r="875" spans="2:7" ht="15.75">
      <c r="B875" s="528"/>
      <c r="C875" s="526"/>
      <c r="D875" s="526"/>
      <c r="E875" s="526"/>
      <c r="F875" s="526"/>
      <c r="G875" s="529"/>
    </row>
    <row r="876" spans="2:7" ht="15.75">
      <c r="B876" s="528"/>
      <c r="C876" s="526"/>
      <c r="D876" s="526"/>
      <c r="E876" s="526"/>
      <c r="F876" s="526"/>
      <c r="G876" s="529"/>
    </row>
    <row r="877" spans="2:7" ht="15.75">
      <c r="B877" s="528"/>
      <c r="C877" s="526"/>
      <c r="D877" s="526"/>
      <c r="E877" s="526"/>
      <c r="F877" s="526"/>
      <c r="G877" s="529"/>
    </row>
    <row r="878" spans="2:7" ht="15.75">
      <c r="B878" s="528"/>
      <c r="C878" s="526"/>
      <c r="D878" s="526"/>
      <c r="E878" s="526"/>
      <c r="F878" s="526"/>
      <c r="G878" s="529"/>
    </row>
    <row r="879" spans="2:7" ht="15.75">
      <c r="B879" s="528"/>
      <c r="C879" s="526"/>
      <c r="D879" s="526"/>
      <c r="E879" s="526"/>
      <c r="F879" s="526"/>
      <c r="G879" s="529"/>
    </row>
    <row r="880" spans="2:7" ht="15.75">
      <c r="B880" s="528"/>
      <c r="C880" s="526"/>
      <c r="D880" s="526"/>
      <c r="E880" s="526"/>
      <c r="F880" s="526"/>
      <c r="G880" s="529"/>
    </row>
    <row r="881" spans="2:7" ht="15.75">
      <c r="B881" s="528"/>
      <c r="C881" s="526"/>
      <c r="D881" s="526"/>
      <c r="E881" s="526"/>
      <c r="F881" s="526"/>
      <c r="G881" s="529"/>
    </row>
    <row r="882" spans="2:7" ht="15.75">
      <c r="B882" s="528"/>
      <c r="C882" s="526"/>
      <c r="D882" s="526"/>
      <c r="E882" s="526"/>
      <c r="F882" s="526"/>
      <c r="G882" s="529"/>
    </row>
    <row r="883" spans="2:7" ht="15.75">
      <c r="B883" s="528"/>
      <c r="C883" s="526"/>
      <c r="D883" s="526"/>
      <c r="E883" s="526"/>
      <c r="F883" s="526"/>
      <c r="G883" s="529"/>
    </row>
    <row r="884" spans="2:7" ht="15.75">
      <c r="B884" s="528"/>
      <c r="C884" s="526"/>
      <c r="D884" s="526"/>
      <c r="E884" s="526"/>
      <c r="F884" s="526"/>
      <c r="G884" s="529"/>
    </row>
    <row r="885" spans="2:7" ht="15.75">
      <c r="B885" s="528"/>
      <c r="C885" s="526"/>
      <c r="D885" s="526"/>
      <c r="E885" s="526"/>
      <c r="F885" s="526"/>
      <c r="G885" s="529"/>
    </row>
    <row r="886" spans="2:7" ht="15.75">
      <c r="B886" s="528"/>
      <c r="C886" s="526"/>
      <c r="D886" s="526"/>
      <c r="E886" s="526"/>
      <c r="F886" s="526"/>
      <c r="G886" s="529"/>
    </row>
    <row r="887" spans="2:7" ht="15.75">
      <c r="B887" s="528"/>
      <c r="C887" s="526"/>
      <c r="D887" s="526"/>
      <c r="E887" s="526"/>
      <c r="F887" s="526"/>
      <c r="G887" s="529"/>
    </row>
    <row r="888" spans="2:7" ht="15.75">
      <c r="B888" s="528"/>
      <c r="C888" s="526"/>
      <c r="D888" s="526"/>
      <c r="E888" s="526"/>
      <c r="F888" s="526"/>
      <c r="G888" s="529"/>
    </row>
    <row r="889" spans="2:7" ht="15.75">
      <c r="B889" s="528"/>
      <c r="C889" s="526"/>
      <c r="D889" s="526"/>
      <c r="E889" s="526"/>
      <c r="F889" s="526"/>
      <c r="G889" s="529"/>
    </row>
    <row r="890" spans="2:7" ht="15.75">
      <c r="B890" s="528"/>
      <c r="C890" s="526"/>
      <c r="D890" s="526"/>
      <c r="E890" s="526"/>
      <c r="F890" s="526"/>
      <c r="G890" s="529"/>
    </row>
    <row r="891" spans="2:7" ht="15.75">
      <c r="B891" s="528"/>
      <c r="C891" s="526"/>
      <c r="D891" s="526"/>
      <c r="E891" s="526"/>
      <c r="F891" s="526"/>
      <c r="G891" s="529"/>
    </row>
    <row r="892" spans="2:7" ht="15.75">
      <c r="B892" s="528"/>
      <c r="C892" s="526"/>
      <c r="D892" s="526"/>
      <c r="E892" s="526"/>
      <c r="F892" s="526"/>
      <c r="G892" s="529"/>
    </row>
    <row r="893" spans="2:7" ht="15.75">
      <c r="B893" s="528"/>
      <c r="C893" s="526"/>
      <c r="D893" s="526"/>
      <c r="E893" s="526"/>
      <c r="F893" s="526"/>
      <c r="G893" s="529"/>
    </row>
    <row r="894" spans="2:7" ht="15.75">
      <c r="B894" s="528"/>
      <c r="C894" s="526"/>
      <c r="D894" s="526"/>
      <c r="E894" s="526"/>
      <c r="F894" s="526"/>
      <c r="G894" s="529"/>
    </row>
    <row r="895" spans="2:7" ht="15.75">
      <c r="B895" s="528"/>
      <c r="C895" s="526"/>
      <c r="D895" s="526"/>
      <c r="E895" s="526"/>
      <c r="F895" s="526"/>
      <c r="G895" s="529"/>
    </row>
    <row r="896" spans="2:7" ht="15.75">
      <c r="B896" s="528"/>
      <c r="C896" s="526"/>
      <c r="D896" s="526"/>
      <c r="E896" s="526"/>
      <c r="F896" s="526"/>
      <c r="G896" s="529"/>
    </row>
    <row r="897" spans="2:7" ht="15.75">
      <c r="B897" s="528"/>
      <c r="C897" s="526"/>
      <c r="D897" s="526"/>
      <c r="E897" s="526"/>
      <c r="F897" s="526"/>
      <c r="G897" s="529"/>
    </row>
    <row r="898" spans="2:7" ht="15.75">
      <c r="B898" s="528"/>
      <c r="C898" s="526"/>
      <c r="D898" s="526"/>
      <c r="E898" s="526"/>
      <c r="F898" s="526"/>
      <c r="G898" s="529"/>
    </row>
    <row r="899" spans="2:7" ht="15.75">
      <c r="B899" s="528"/>
      <c r="C899" s="526"/>
      <c r="D899" s="526"/>
      <c r="E899" s="526"/>
      <c r="F899" s="526"/>
      <c r="G899" s="529"/>
    </row>
    <row r="900" spans="2:7" ht="15.75">
      <c r="B900" s="528"/>
      <c r="C900" s="526"/>
      <c r="D900" s="526"/>
      <c r="E900" s="526"/>
      <c r="F900" s="526"/>
      <c r="G900" s="529"/>
    </row>
    <row r="901" spans="2:7" ht="15.75">
      <c r="B901" s="528"/>
      <c r="C901" s="526"/>
      <c r="D901" s="526"/>
      <c r="E901" s="526"/>
      <c r="F901" s="526"/>
      <c r="G901" s="529"/>
    </row>
    <row r="902" spans="2:7" ht="15.75">
      <c r="B902" s="528"/>
      <c r="C902" s="526"/>
      <c r="D902" s="526"/>
      <c r="E902" s="526"/>
      <c r="F902" s="526"/>
      <c r="G902" s="529"/>
    </row>
    <row r="903" spans="2:7" ht="15.75">
      <c r="B903" s="528"/>
      <c r="C903" s="526"/>
      <c r="D903" s="526"/>
      <c r="E903" s="526"/>
      <c r="F903" s="526"/>
      <c r="G903" s="529"/>
    </row>
    <row r="904" spans="2:7" ht="15.75">
      <c r="B904" s="528"/>
      <c r="C904" s="526"/>
      <c r="D904" s="526"/>
      <c r="E904" s="526"/>
      <c r="F904" s="526"/>
      <c r="G904" s="529"/>
    </row>
    <row r="905" spans="2:7" ht="15.75">
      <c r="B905" s="528"/>
      <c r="C905" s="526"/>
      <c r="D905" s="526"/>
      <c r="E905" s="526"/>
      <c r="F905" s="526"/>
      <c r="G905" s="529"/>
    </row>
    <row r="906" spans="2:7" ht="15.75">
      <c r="B906" s="528"/>
      <c r="C906" s="526"/>
      <c r="D906" s="526"/>
      <c r="E906" s="526"/>
      <c r="F906" s="526"/>
      <c r="G906" s="529"/>
    </row>
    <row r="907" spans="2:7" ht="15.75">
      <c r="B907" s="528"/>
      <c r="C907" s="526"/>
      <c r="D907" s="526"/>
      <c r="E907" s="526"/>
      <c r="F907" s="526"/>
      <c r="G907" s="529"/>
    </row>
    <row r="908" spans="2:7" ht="15.75">
      <c r="B908" s="528"/>
      <c r="C908" s="526"/>
      <c r="D908" s="526"/>
      <c r="E908" s="526"/>
      <c r="F908" s="526"/>
      <c r="G908" s="529"/>
    </row>
    <row r="909" spans="2:7" ht="15.75">
      <c r="B909" s="528"/>
      <c r="C909" s="526"/>
      <c r="D909" s="526"/>
      <c r="E909" s="526"/>
      <c r="F909" s="526"/>
      <c r="G909" s="529"/>
    </row>
    <row r="910" spans="2:7" ht="15.75">
      <c r="B910" s="528"/>
      <c r="C910" s="526"/>
      <c r="D910" s="526"/>
      <c r="E910" s="526"/>
      <c r="F910" s="526"/>
      <c r="G910" s="529"/>
    </row>
    <row r="911" spans="2:7" ht="15.75">
      <c r="B911" s="528"/>
      <c r="C911" s="526"/>
      <c r="D911" s="526"/>
      <c r="E911" s="526"/>
      <c r="F911" s="526"/>
      <c r="G911" s="529"/>
    </row>
    <row r="912" spans="2:7" ht="15.75">
      <c r="B912" s="528"/>
      <c r="C912" s="526"/>
      <c r="D912" s="526"/>
      <c r="E912" s="526"/>
      <c r="F912" s="526"/>
      <c r="G912" s="529"/>
    </row>
    <row r="913" spans="2:7" ht="15.75">
      <c r="B913" s="528"/>
      <c r="C913" s="526"/>
      <c r="D913" s="526"/>
      <c r="E913" s="526"/>
      <c r="F913" s="526"/>
      <c r="G913" s="529"/>
    </row>
    <row r="914" spans="2:7" ht="15.75">
      <c r="B914" s="528"/>
      <c r="C914" s="526"/>
      <c r="D914" s="526"/>
      <c r="E914" s="526"/>
      <c r="F914" s="526"/>
      <c r="G914" s="529"/>
    </row>
    <row r="915" spans="2:7" ht="15.75">
      <c r="B915" s="528"/>
      <c r="C915" s="526"/>
      <c r="D915" s="526"/>
      <c r="E915" s="526"/>
      <c r="F915" s="526"/>
      <c r="G915" s="529"/>
    </row>
    <row r="916" spans="2:7" ht="15.75">
      <c r="B916" s="528"/>
      <c r="C916" s="526"/>
      <c r="D916" s="526"/>
      <c r="E916" s="526"/>
      <c r="F916" s="526"/>
      <c r="G916" s="529"/>
    </row>
    <row r="917" spans="2:7" ht="15.75">
      <c r="B917" s="528"/>
      <c r="C917" s="526"/>
      <c r="D917" s="526"/>
      <c r="E917" s="526"/>
      <c r="F917" s="526"/>
      <c r="G917" s="529"/>
    </row>
    <row r="918" spans="2:7" ht="15.75">
      <c r="B918" s="528"/>
      <c r="C918" s="526"/>
      <c r="D918" s="526"/>
      <c r="E918" s="526"/>
      <c r="F918" s="526"/>
      <c r="G918" s="529"/>
    </row>
    <row r="919" spans="2:7" ht="15.75">
      <c r="B919" s="528"/>
      <c r="C919" s="526"/>
      <c r="D919" s="526"/>
      <c r="E919" s="526"/>
      <c r="F919" s="526"/>
      <c r="G919" s="529"/>
    </row>
    <row r="920" spans="2:7" ht="15.75">
      <c r="B920" s="528"/>
      <c r="C920" s="526"/>
      <c r="D920" s="526"/>
      <c r="E920" s="526"/>
      <c r="F920" s="526"/>
      <c r="G920" s="529"/>
    </row>
    <row r="921" spans="2:7" ht="15.75">
      <c r="B921" s="528"/>
      <c r="C921" s="526"/>
      <c r="D921" s="526"/>
      <c r="E921" s="526"/>
      <c r="F921" s="526"/>
      <c r="G921" s="529"/>
    </row>
    <row r="922" spans="2:7" ht="15.75">
      <c r="B922" s="528"/>
      <c r="C922" s="526"/>
      <c r="D922" s="526"/>
      <c r="E922" s="526"/>
      <c r="F922" s="526"/>
      <c r="G922" s="529"/>
    </row>
    <row r="923" spans="2:7" ht="15.75">
      <c r="B923" s="528"/>
      <c r="C923" s="526"/>
      <c r="D923" s="526"/>
      <c r="E923" s="526"/>
      <c r="F923" s="526"/>
      <c r="G923" s="529"/>
    </row>
    <row r="924" spans="2:7" ht="15.75">
      <c r="B924" s="528"/>
      <c r="C924" s="526"/>
      <c r="D924" s="526"/>
      <c r="E924" s="526"/>
      <c r="F924" s="526"/>
      <c r="G924" s="529"/>
    </row>
    <row r="925" spans="2:7" ht="15.75">
      <c r="B925" s="528"/>
      <c r="C925" s="526"/>
      <c r="D925" s="526"/>
      <c r="E925" s="526"/>
      <c r="F925" s="526"/>
      <c r="G925" s="529"/>
    </row>
    <row r="926" spans="2:7" ht="15.75">
      <c r="B926" s="528"/>
      <c r="C926" s="526"/>
      <c r="D926" s="526"/>
      <c r="E926" s="526"/>
      <c r="F926" s="526"/>
      <c r="G926" s="529"/>
    </row>
    <row r="927" spans="2:7" ht="15.75">
      <c r="B927" s="528"/>
      <c r="C927" s="526"/>
      <c r="D927" s="526"/>
      <c r="E927" s="526"/>
      <c r="F927" s="526"/>
      <c r="G927" s="529"/>
    </row>
    <row r="928" spans="2:7" ht="15.75">
      <c r="B928" s="528"/>
      <c r="C928" s="526"/>
      <c r="D928" s="526"/>
      <c r="E928" s="526"/>
      <c r="F928" s="526"/>
      <c r="G928" s="529"/>
    </row>
    <row r="929" spans="2:7" ht="15.75">
      <c r="B929" s="528"/>
      <c r="C929" s="526"/>
      <c r="D929" s="526"/>
      <c r="E929" s="526"/>
      <c r="F929" s="526"/>
      <c r="G929" s="529"/>
    </row>
    <row r="930" spans="2:7" ht="15.75">
      <c r="B930" s="528"/>
      <c r="C930" s="526"/>
      <c r="D930" s="526"/>
      <c r="E930" s="526"/>
      <c r="F930" s="526"/>
      <c r="G930" s="529"/>
    </row>
    <row r="931" spans="2:7" ht="15.75">
      <c r="B931" s="528"/>
      <c r="C931" s="526"/>
      <c r="D931" s="526"/>
      <c r="E931" s="526"/>
      <c r="F931" s="526"/>
      <c r="G931" s="529"/>
    </row>
    <row r="932" spans="2:7" ht="15.75">
      <c r="B932" s="528"/>
      <c r="C932" s="526"/>
      <c r="D932" s="526"/>
      <c r="E932" s="526"/>
      <c r="F932" s="526"/>
      <c r="G932" s="529"/>
    </row>
    <row r="933" spans="2:7" ht="15.75">
      <c r="B933" s="528"/>
      <c r="C933" s="526"/>
      <c r="D933" s="526"/>
      <c r="E933" s="526"/>
      <c r="F933" s="526"/>
      <c r="G933" s="529"/>
    </row>
    <row r="934" spans="2:7" ht="15.75">
      <c r="B934" s="528"/>
      <c r="C934" s="526"/>
      <c r="D934" s="526"/>
      <c r="E934" s="526"/>
      <c r="F934" s="526"/>
      <c r="G934" s="529"/>
    </row>
    <row r="935" spans="2:7" ht="15.75">
      <c r="B935" s="528"/>
      <c r="C935" s="526"/>
      <c r="D935" s="526"/>
      <c r="E935" s="526"/>
      <c r="F935" s="526"/>
      <c r="G935" s="529"/>
    </row>
    <row r="936" spans="2:7" ht="15.75">
      <c r="B936" s="528"/>
      <c r="C936" s="526"/>
      <c r="D936" s="526"/>
      <c r="E936" s="526"/>
      <c r="F936" s="526"/>
      <c r="G936" s="529"/>
    </row>
    <row r="937" spans="2:7" ht="15.75">
      <c r="B937" s="528"/>
      <c r="C937" s="526"/>
      <c r="D937" s="526"/>
      <c r="E937" s="526"/>
      <c r="F937" s="526"/>
      <c r="G937" s="529"/>
    </row>
    <row r="938" spans="2:7" ht="15.75">
      <c r="B938" s="528"/>
      <c r="C938" s="526"/>
      <c r="D938" s="526"/>
      <c r="E938" s="526"/>
      <c r="F938" s="526"/>
      <c r="G938" s="529"/>
    </row>
    <row r="939" spans="2:7" ht="15.75">
      <c r="B939" s="528"/>
      <c r="C939" s="526"/>
      <c r="D939" s="526"/>
      <c r="E939" s="526"/>
      <c r="F939" s="526"/>
      <c r="G939" s="529"/>
    </row>
    <row r="940" spans="2:7" ht="15.75">
      <c r="B940" s="528"/>
      <c r="C940" s="526"/>
      <c r="D940" s="526"/>
      <c r="E940" s="526"/>
      <c r="F940" s="526"/>
      <c r="G940" s="529"/>
    </row>
    <row r="941" spans="2:7" ht="15.75">
      <c r="B941" s="528"/>
      <c r="C941" s="526"/>
      <c r="D941" s="526"/>
      <c r="E941" s="526"/>
      <c r="F941" s="526"/>
      <c r="G941" s="529"/>
    </row>
    <row r="942" spans="2:7" ht="15.75">
      <c r="B942" s="528"/>
      <c r="C942" s="526"/>
      <c r="D942" s="526"/>
      <c r="E942" s="526"/>
      <c r="F942" s="526"/>
      <c r="G942" s="529"/>
    </row>
    <row r="943" spans="2:7" ht="15.75">
      <c r="B943" s="528"/>
      <c r="C943" s="526"/>
      <c r="D943" s="526"/>
      <c r="E943" s="526"/>
      <c r="F943" s="526"/>
      <c r="G943" s="529"/>
    </row>
    <row r="944" spans="2:7" ht="15.75">
      <c r="B944" s="528"/>
      <c r="C944" s="526"/>
      <c r="D944" s="526"/>
      <c r="E944" s="526"/>
      <c r="F944" s="526"/>
      <c r="G944" s="529"/>
    </row>
    <row r="945" spans="2:7" ht="15.75">
      <c r="B945" s="528"/>
      <c r="C945" s="526"/>
      <c r="D945" s="526"/>
      <c r="E945" s="526"/>
      <c r="F945" s="526"/>
      <c r="G945" s="529"/>
    </row>
    <row r="946" spans="2:7" ht="15.75">
      <c r="B946" s="528"/>
      <c r="C946" s="526"/>
      <c r="D946" s="526"/>
      <c r="E946" s="526"/>
      <c r="F946" s="526"/>
      <c r="G946" s="529"/>
    </row>
    <row r="947" spans="2:7" ht="15.75">
      <c r="B947" s="528"/>
      <c r="C947" s="526"/>
      <c r="D947" s="526"/>
      <c r="E947" s="526"/>
      <c r="F947" s="526"/>
      <c r="G947" s="529"/>
    </row>
    <row r="948" spans="2:7" ht="15.75">
      <c r="B948" s="528"/>
      <c r="C948" s="526"/>
      <c r="D948" s="526"/>
      <c r="E948" s="526"/>
      <c r="F948" s="526"/>
      <c r="G948" s="529"/>
    </row>
    <row r="949" spans="2:7" ht="15.75">
      <c r="B949" s="528"/>
      <c r="C949" s="526"/>
      <c r="D949" s="526"/>
      <c r="E949" s="526"/>
      <c r="F949" s="526"/>
      <c r="G949" s="529"/>
    </row>
    <row r="950" spans="2:7" ht="15.75">
      <c r="B950" s="528"/>
      <c r="C950" s="526"/>
      <c r="D950" s="526"/>
      <c r="E950" s="526"/>
      <c r="F950" s="526"/>
      <c r="G950" s="529"/>
    </row>
    <row r="951" spans="2:7" ht="15.75">
      <c r="B951" s="528"/>
      <c r="C951" s="526"/>
      <c r="D951" s="526"/>
      <c r="E951" s="526"/>
      <c r="F951" s="526"/>
      <c r="G951" s="529"/>
    </row>
    <row r="952" spans="2:7" ht="15.75">
      <c r="B952" s="528"/>
      <c r="C952" s="526"/>
      <c r="D952" s="526"/>
      <c r="E952" s="526"/>
      <c r="F952" s="526"/>
      <c r="G952" s="529"/>
    </row>
    <row r="953" spans="2:7" ht="15.75">
      <c r="B953" s="528"/>
      <c r="C953" s="526"/>
      <c r="D953" s="526"/>
      <c r="E953" s="526"/>
      <c r="F953" s="526"/>
      <c r="G953" s="529"/>
    </row>
    <row r="954" spans="2:7" ht="15.75">
      <c r="B954" s="528"/>
      <c r="C954" s="526"/>
      <c r="D954" s="526"/>
      <c r="E954" s="526"/>
      <c r="F954" s="526"/>
      <c r="G954" s="529"/>
    </row>
    <row r="955" spans="2:7" ht="15.75">
      <c r="B955" s="528"/>
      <c r="C955" s="526"/>
      <c r="D955" s="526"/>
      <c r="E955" s="526"/>
      <c r="F955" s="526"/>
      <c r="G955" s="529"/>
    </row>
    <row r="956" spans="2:7" ht="15.75">
      <c r="B956" s="528"/>
      <c r="C956" s="526"/>
      <c r="D956" s="526"/>
      <c r="E956" s="526"/>
      <c r="F956" s="526"/>
      <c r="G956" s="529"/>
    </row>
    <row r="957" spans="2:7" ht="15.75">
      <c r="B957" s="528"/>
      <c r="C957" s="526"/>
      <c r="D957" s="526"/>
      <c r="E957" s="526"/>
      <c r="F957" s="526"/>
      <c r="G957" s="529"/>
    </row>
    <row r="958" spans="2:7" ht="15.75">
      <c r="B958" s="528"/>
      <c r="C958" s="526"/>
      <c r="D958" s="526"/>
      <c r="E958" s="526"/>
      <c r="F958" s="526"/>
      <c r="G958" s="529"/>
    </row>
    <row r="959" spans="2:7" ht="15.75">
      <c r="B959" s="528"/>
      <c r="C959" s="526"/>
      <c r="D959" s="526"/>
      <c r="E959" s="526"/>
      <c r="F959" s="526"/>
      <c r="G959" s="529"/>
    </row>
    <row r="960" spans="2:7" ht="15.75">
      <c r="B960" s="528"/>
      <c r="C960" s="526"/>
      <c r="D960" s="526"/>
      <c r="E960" s="526"/>
      <c r="F960" s="526"/>
      <c r="G960" s="529"/>
    </row>
    <row r="961" spans="2:7" ht="15.75">
      <c r="B961" s="528"/>
      <c r="C961" s="526"/>
      <c r="D961" s="526"/>
      <c r="E961" s="526"/>
      <c r="F961" s="526"/>
      <c r="G961" s="529"/>
    </row>
    <row r="962" spans="2:7" ht="15.75">
      <c r="B962" s="528"/>
      <c r="C962" s="526"/>
      <c r="D962" s="526"/>
      <c r="E962" s="526"/>
      <c r="F962" s="526"/>
      <c r="G962" s="529"/>
    </row>
    <row r="963" spans="2:7" ht="15.75">
      <c r="B963" s="528"/>
      <c r="C963" s="526"/>
      <c r="D963" s="526"/>
      <c r="E963" s="526"/>
      <c r="F963" s="526"/>
      <c r="G963" s="529"/>
    </row>
    <row r="964" spans="2:7" ht="15.75">
      <c r="B964" s="528"/>
      <c r="C964" s="526"/>
      <c r="D964" s="526"/>
      <c r="E964" s="526"/>
      <c r="F964" s="526"/>
      <c r="G964" s="529"/>
    </row>
    <row r="965" spans="2:7" ht="15.75">
      <c r="B965" s="528"/>
      <c r="C965" s="526"/>
      <c r="D965" s="526"/>
      <c r="E965" s="526"/>
      <c r="F965" s="526"/>
      <c r="G965" s="529"/>
    </row>
    <row r="966" spans="2:7" ht="15.75">
      <c r="B966" s="528"/>
      <c r="C966" s="526"/>
      <c r="D966" s="526"/>
      <c r="E966" s="526"/>
      <c r="F966" s="526"/>
      <c r="G966" s="529"/>
    </row>
    <row r="967" spans="2:7" ht="15.75">
      <c r="B967" s="528"/>
      <c r="C967" s="526"/>
      <c r="D967" s="526"/>
      <c r="E967" s="526"/>
      <c r="F967" s="526"/>
      <c r="G967" s="529"/>
    </row>
    <row r="968" spans="2:7" ht="15.75">
      <c r="B968" s="528"/>
      <c r="C968" s="526"/>
      <c r="D968" s="526"/>
      <c r="E968" s="526"/>
      <c r="F968" s="526"/>
      <c r="G968" s="529"/>
    </row>
    <row r="969" spans="2:7" ht="15.75">
      <c r="B969" s="528"/>
      <c r="C969" s="526"/>
      <c r="D969" s="526"/>
      <c r="E969" s="526"/>
      <c r="F969" s="526"/>
      <c r="G969" s="529"/>
    </row>
    <row r="970" spans="2:7" ht="15.75">
      <c r="B970" s="528"/>
      <c r="C970" s="526"/>
      <c r="D970" s="526"/>
      <c r="E970" s="526"/>
      <c r="F970" s="526"/>
      <c r="G970" s="529"/>
    </row>
    <row r="971" spans="2:7" ht="15.75">
      <c r="B971" s="528"/>
      <c r="C971" s="526"/>
      <c r="D971" s="526"/>
      <c r="E971" s="526"/>
      <c r="F971" s="526"/>
      <c r="G971" s="529"/>
    </row>
    <row r="972" spans="2:7" ht="15.75">
      <c r="B972" s="528"/>
      <c r="C972" s="526"/>
      <c r="D972" s="526"/>
      <c r="E972" s="526"/>
      <c r="F972" s="526"/>
      <c r="G972" s="529"/>
    </row>
    <row r="973" spans="2:7" ht="15.75">
      <c r="B973" s="528"/>
      <c r="C973" s="526"/>
      <c r="D973" s="526"/>
      <c r="E973" s="526"/>
      <c r="F973" s="526"/>
      <c r="G973" s="529"/>
    </row>
    <row r="974" spans="2:7" ht="15.75">
      <c r="B974" s="528"/>
      <c r="C974" s="526"/>
      <c r="D974" s="526"/>
      <c r="E974" s="526"/>
      <c r="F974" s="526"/>
      <c r="G974" s="529"/>
    </row>
    <row r="975" spans="2:7" ht="15.75">
      <c r="B975" s="528"/>
      <c r="C975" s="526"/>
      <c r="D975" s="526"/>
      <c r="E975" s="526"/>
      <c r="F975" s="526"/>
      <c r="G975" s="529"/>
    </row>
    <row r="976" spans="2:7" ht="15.75">
      <c r="B976" s="528"/>
      <c r="C976" s="526"/>
      <c r="D976" s="526"/>
      <c r="E976" s="526"/>
      <c r="F976" s="526"/>
      <c r="G976" s="529"/>
    </row>
    <row r="977" spans="2:7" ht="15.75">
      <c r="B977" s="528"/>
      <c r="C977" s="526"/>
      <c r="D977" s="526"/>
      <c r="E977" s="526"/>
      <c r="F977" s="526"/>
      <c r="G977" s="529"/>
    </row>
    <row r="978" spans="2:7" ht="15.75">
      <c r="B978" s="528"/>
      <c r="C978" s="526"/>
      <c r="D978" s="526"/>
      <c r="E978" s="526"/>
      <c r="F978" s="526"/>
      <c r="G978" s="529"/>
    </row>
    <row r="979" spans="2:7" ht="15.75">
      <c r="B979" s="528"/>
      <c r="C979" s="526"/>
      <c r="D979" s="526"/>
      <c r="E979" s="526"/>
      <c r="F979" s="526"/>
      <c r="G979" s="529"/>
    </row>
    <row r="980" spans="2:7" ht="15.75">
      <c r="B980" s="528"/>
      <c r="C980" s="526"/>
      <c r="D980" s="526"/>
      <c r="E980" s="526"/>
      <c r="F980" s="526"/>
      <c r="G980" s="529"/>
    </row>
    <row r="981" spans="2:7" ht="15.75">
      <c r="B981" s="528"/>
      <c r="C981" s="526"/>
      <c r="D981" s="526"/>
      <c r="E981" s="526"/>
      <c r="F981" s="526"/>
      <c r="G981" s="529"/>
    </row>
    <row r="982" spans="2:7" ht="15.75">
      <c r="B982" s="36"/>
      <c r="C982" s="37"/>
      <c r="D982" s="37"/>
      <c r="E982" s="37"/>
      <c r="F982" s="37"/>
      <c r="G982" s="35"/>
    </row>
    <row r="983" spans="2:7" ht="15.75">
      <c r="B983" s="36"/>
      <c r="C983" s="37"/>
      <c r="D983" s="37"/>
      <c r="E983" s="37"/>
      <c r="F983" s="37"/>
      <c r="G983" s="35"/>
    </row>
    <row r="984" spans="2:7" ht="15.75">
      <c r="B984" s="36"/>
      <c r="C984" s="37"/>
      <c r="D984" s="37"/>
      <c r="E984" s="37"/>
      <c r="F984" s="37"/>
      <c r="G984" s="35"/>
    </row>
    <row r="985" spans="2:7" ht="15.75">
      <c r="B985" s="36"/>
      <c r="C985" s="37"/>
      <c r="D985" s="37"/>
      <c r="E985" s="37"/>
      <c r="F985" s="37"/>
      <c r="G985" s="35"/>
    </row>
    <row r="986" spans="2:7" ht="15.75">
      <c r="B986" s="36"/>
      <c r="C986" s="37"/>
      <c r="D986" s="37"/>
      <c r="E986" s="37"/>
      <c r="F986" s="37"/>
      <c r="G986" s="35"/>
    </row>
    <row r="987" spans="2:7" ht="15.75">
      <c r="B987" s="36"/>
      <c r="C987" s="37"/>
      <c r="D987" s="37"/>
      <c r="E987" s="37"/>
      <c r="F987" s="37"/>
      <c r="G987" s="35"/>
    </row>
    <row r="988" spans="2:7" ht="15.75">
      <c r="B988" s="36"/>
      <c r="C988" s="37"/>
      <c r="D988" s="37"/>
      <c r="E988" s="37"/>
      <c r="F988" s="37"/>
      <c r="G988" s="35"/>
    </row>
    <row r="989" spans="2:7" ht="15.75">
      <c r="B989" s="36"/>
      <c r="C989" s="37"/>
      <c r="D989" s="37"/>
      <c r="E989" s="37"/>
      <c r="F989" s="37"/>
      <c r="G989" s="35"/>
    </row>
    <row r="990" spans="2:7" ht="15.75">
      <c r="B990" s="36"/>
      <c r="C990" s="37"/>
      <c r="D990" s="37"/>
      <c r="E990" s="37"/>
      <c r="F990" s="37"/>
      <c r="G990" s="35"/>
    </row>
    <row r="991" spans="2:7" ht="15.75">
      <c r="B991" s="36"/>
      <c r="C991" s="37"/>
      <c r="D991" s="37"/>
      <c r="E991" s="37"/>
      <c r="F991" s="37"/>
      <c r="G991" s="35"/>
    </row>
    <row r="992" spans="2:7" ht="15.75">
      <c r="B992" s="36"/>
      <c r="C992" s="37"/>
      <c r="D992" s="37"/>
      <c r="E992" s="37"/>
      <c r="F992" s="37"/>
      <c r="G992" s="35"/>
    </row>
    <row r="993" spans="2:7" ht="15.75">
      <c r="B993" s="36"/>
      <c r="C993" s="37"/>
      <c r="D993" s="37"/>
      <c r="E993" s="37"/>
      <c r="F993" s="37"/>
      <c r="G993" s="35"/>
    </row>
    <row r="994" spans="2:7" ht="15.75">
      <c r="B994" s="36"/>
      <c r="C994" s="37"/>
      <c r="D994" s="37"/>
      <c r="E994" s="37"/>
      <c r="F994" s="37"/>
      <c r="G994" s="35"/>
    </row>
    <row r="995" spans="2:7" ht="15.75">
      <c r="B995" s="36"/>
      <c r="C995" s="37"/>
      <c r="D995" s="37"/>
      <c r="E995" s="37"/>
      <c r="F995" s="37"/>
      <c r="G995" s="35"/>
    </row>
    <row r="996" spans="2:7" ht="15.75">
      <c r="B996" s="36"/>
      <c r="C996" s="37"/>
      <c r="D996" s="37"/>
      <c r="E996" s="37"/>
      <c r="F996" s="37"/>
      <c r="G996" s="35"/>
    </row>
    <row r="997" spans="2:7" ht="15.75">
      <c r="B997" s="36"/>
      <c r="C997" s="37"/>
      <c r="D997" s="37"/>
      <c r="E997" s="37"/>
      <c r="F997" s="37"/>
      <c r="G997" s="35"/>
    </row>
    <row r="998" spans="2:7" ht="15.75">
      <c r="B998" s="36"/>
      <c r="C998" s="37"/>
      <c r="D998" s="37"/>
      <c r="E998" s="37"/>
      <c r="F998" s="37"/>
      <c r="G998" s="35"/>
    </row>
    <row r="999" spans="2:7" ht="15.75">
      <c r="B999" s="36"/>
      <c r="C999" s="37"/>
      <c r="D999" s="37"/>
      <c r="E999" s="37"/>
      <c r="F999" s="37"/>
      <c r="G999" s="35"/>
    </row>
    <row r="1000" spans="2:7" ht="15.75">
      <c r="B1000" s="36"/>
      <c r="C1000" s="37"/>
      <c r="D1000" s="37"/>
      <c r="E1000" s="37"/>
      <c r="F1000" s="37"/>
      <c r="G1000" s="35"/>
    </row>
    <row r="1001" spans="2:7" ht="15.75">
      <c r="B1001" s="36"/>
      <c r="C1001" s="37"/>
      <c r="D1001" s="37"/>
      <c r="E1001" s="37"/>
      <c r="F1001" s="37"/>
      <c r="G1001" s="35"/>
    </row>
    <row r="1002" spans="2:7" ht="15.75">
      <c r="B1002" s="36"/>
      <c r="C1002" s="37"/>
      <c r="D1002" s="37"/>
      <c r="E1002" s="37"/>
      <c r="F1002" s="37"/>
      <c r="G1002" s="35"/>
    </row>
    <row r="1003" spans="2:7" ht="15.75">
      <c r="B1003" s="36"/>
      <c r="C1003" s="37"/>
      <c r="D1003" s="37"/>
      <c r="E1003" s="37"/>
      <c r="F1003" s="37"/>
      <c r="G1003" s="35"/>
    </row>
    <row r="1004" spans="2:7" ht="15.75">
      <c r="B1004" s="36"/>
      <c r="C1004" s="37"/>
      <c r="D1004" s="37"/>
      <c r="E1004" s="37"/>
      <c r="F1004" s="37"/>
      <c r="G1004" s="35"/>
    </row>
    <row r="1005" spans="2:7" ht="15.75">
      <c r="B1005" s="36"/>
      <c r="C1005" s="37"/>
      <c r="D1005" s="37"/>
      <c r="E1005" s="37"/>
      <c r="F1005" s="37"/>
      <c r="G1005" s="35"/>
    </row>
    <row r="1006" spans="2:7" ht="15.75">
      <c r="B1006" s="36"/>
      <c r="C1006" s="37"/>
      <c r="D1006" s="37"/>
      <c r="E1006" s="37"/>
      <c r="F1006" s="37"/>
      <c r="G1006" s="35"/>
    </row>
    <row r="1007" spans="3:7" ht="15.75">
      <c r="C1007" s="37"/>
      <c r="D1007" s="37"/>
      <c r="E1007" s="37"/>
      <c r="F1007" s="37"/>
      <c r="G1007" s="35"/>
    </row>
    <row r="1008" spans="3:7" ht="15.75">
      <c r="C1008" s="37"/>
      <c r="D1008" s="37"/>
      <c r="E1008" s="37"/>
      <c r="F1008" s="37"/>
      <c r="G1008" s="35"/>
    </row>
    <row r="1009" spans="3:7" ht="15.75">
      <c r="C1009" s="37"/>
      <c r="D1009" s="37"/>
      <c r="E1009" s="37"/>
      <c r="F1009" s="37"/>
      <c r="G1009" s="35"/>
    </row>
    <row r="1010" spans="3:7" ht="15.75">
      <c r="C1010" s="37"/>
      <c r="D1010" s="37"/>
      <c r="E1010" s="37"/>
      <c r="F1010" s="37"/>
      <c r="G1010" s="35"/>
    </row>
    <row r="1011" spans="3:7" ht="15.75">
      <c r="C1011" s="37"/>
      <c r="D1011" s="37"/>
      <c r="E1011" s="37"/>
      <c r="F1011" s="37"/>
      <c r="G1011" s="35"/>
    </row>
    <row r="1012" spans="3:7" ht="15.75">
      <c r="C1012" s="37"/>
      <c r="D1012" s="37"/>
      <c r="E1012" s="37"/>
      <c r="F1012" s="37"/>
      <c r="G1012" s="35"/>
    </row>
    <row r="1013" spans="3:7" ht="15.75">
      <c r="C1013" s="37"/>
      <c r="D1013" s="37"/>
      <c r="E1013" s="37"/>
      <c r="F1013" s="37"/>
      <c r="G1013" s="35"/>
    </row>
    <row r="1014" spans="3:7" ht="15.75">
      <c r="C1014" s="37"/>
      <c r="D1014" s="37"/>
      <c r="E1014" s="37"/>
      <c r="F1014" s="37"/>
      <c r="G1014" s="35"/>
    </row>
    <row r="1015" spans="3:7" ht="15.75">
      <c r="C1015" s="37"/>
      <c r="D1015" s="37"/>
      <c r="E1015" s="37"/>
      <c r="F1015" s="37"/>
      <c r="G1015" s="35"/>
    </row>
    <row r="1016" spans="3:7" ht="15.75">
      <c r="C1016" s="37"/>
      <c r="D1016" s="37"/>
      <c r="E1016" s="37"/>
      <c r="F1016" s="37"/>
      <c r="G1016" s="35"/>
    </row>
    <row r="1017" spans="3:7" ht="15.75">
      <c r="C1017" s="37"/>
      <c r="D1017" s="37"/>
      <c r="E1017" s="37"/>
      <c r="F1017" s="37"/>
      <c r="G1017" s="35"/>
    </row>
    <row r="1018" spans="3:7" ht="15.75">
      <c r="C1018" s="37"/>
      <c r="D1018" s="37"/>
      <c r="E1018" s="37"/>
      <c r="F1018" s="37"/>
      <c r="G1018" s="35"/>
    </row>
    <row r="1019" spans="3:7" ht="15.75">
      <c r="C1019" s="37"/>
      <c r="D1019" s="37"/>
      <c r="E1019" s="37"/>
      <c r="F1019" s="37"/>
      <c r="G1019" s="35"/>
    </row>
    <row r="1020" spans="3:7" ht="15.75">
      <c r="C1020" s="37"/>
      <c r="D1020" s="37"/>
      <c r="E1020" s="37"/>
      <c r="F1020" s="37"/>
      <c r="G1020" s="35"/>
    </row>
    <row r="1021" spans="3:7" ht="15.75">
      <c r="C1021" s="37"/>
      <c r="D1021" s="37"/>
      <c r="E1021" s="37"/>
      <c r="F1021" s="37"/>
      <c r="G1021" s="35"/>
    </row>
    <row r="1022" spans="3:7" ht="15.75">
      <c r="C1022" s="37"/>
      <c r="D1022" s="37"/>
      <c r="E1022" s="37"/>
      <c r="F1022" s="37"/>
      <c r="G1022" s="35"/>
    </row>
    <row r="1023" spans="3:7" ht="15.75">
      <c r="C1023" s="37"/>
      <c r="D1023" s="37"/>
      <c r="E1023" s="37"/>
      <c r="F1023" s="37"/>
      <c r="G1023" s="35"/>
    </row>
    <row r="1024" spans="3:7" ht="15.75">
      <c r="C1024" s="37"/>
      <c r="D1024" s="37"/>
      <c r="E1024" s="37"/>
      <c r="F1024" s="37"/>
      <c r="G1024" s="35"/>
    </row>
    <row r="1025" spans="3:7" ht="15.75">
      <c r="C1025" s="37"/>
      <c r="D1025" s="37"/>
      <c r="E1025" s="37"/>
      <c r="F1025" s="37"/>
      <c r="G1025" s="35"/>
    </row>
    <row r="1026" spans="3:7" ht="15.75">
      <c r="C1026" s="37"/>
      <c r="D1026" s="37"/>
      <c r="E1026" s="37"/>
      <c r="F1026" s="37"/>
      <c r="G1026" s="35"/>
    </row>
    <row r="1027" spans="3:7" ht="15.75">
      <c r="C1027" s="37"/>
      <c r="D1027" s="37"/>
      <c r="E1027" s="37"/>
      <c r="F1027" s="37"/>
      <c r="G1027" s="35"/>
    </row>
    <row r="1028" spans="3:7" ht="15.75">
      <c r="C1028" s="37"/>
      <c r="D1028" s="37"/>
      <c r="E1028" s="37"/>
      <c r="F1028" s="37"/>
      <c r="G1028" s="35"/>
    </row>
    <row r="1029" spans="3:7" ht="15.75">
      <c r="C1029" s="37"/>
      <c r="D1029" s="37"/>
      <c r="E1029" s="37"/>
      <c r="F1029" s="37"/>
      <c r="G1029" s="35"/>
    </row>
    <row r="1030" spans="3:7" ht="15.75">
      <c r="C1030" s="37"/>
      <c r="D1030" s="37"/>
      <c r="E1030" s="37"/>
      <c r="F1030" s="37"/>
      <c r="G1030" s="35"/>
    </row>
    <row r="1031" spans="3:7" ht="15.75">
      <c r="C1031" s="37"/>
      <c r="D1031" s="37"/>
      <c r="E1031" s="37"/>
      <c r="F1031" s="37"/>
      <c r="G1031" s="35"/>
    </row>
    <row r="1032" spans="3:7" ht="15.75">
      <c r="C1032" s="37"/>
      <c r="D1032" s="37"/>
      <c r="E1032" s="37"/>
      <c r="F1032" s="37"/>
      <c r="G1032" s="35"/>
    </row>
    <row r="1033" spans="3:7" ht="15.75">
      <c r="C1033" s="37"/>
      <c r="D1033" s="37"/>
      <c r="E1033" s="37"/>
      <c r="F1033" s="37"/>
      <c r="G1033" s="35"/>
    </row>
    <row r="1034" spans="3:7" ht="15.75">
      <c r="C1034" s="37"/>
      <c r="D1034" s="37"/>
      <c r="E1034" s="37"/>
      <c r="F1034" s="37"/>
      <c r="G1034" s="35"/>
    </row>
    <row r="1035" spans="3:7" ht="15.75">
      <c r="C1035" s="37"/>
      <c r="D1035" s="37"/>
      <c r="E1035" s="37"/>
      <c r="F1035" s="37"/>
      <c r="G1035" s="35"/>
    </row>
    <row r="1036" spans="3:7" ht="15.75">
      <c r="C1036" s="37"/>
      <c r="D1036" s="37"/>
      <c r="E1036" s="37"/>
      <c r="F1036" s="37"/>
      <c r="G1036" s="35"/>
    </row>
    <row r="1037" spans="3:7" ht="15.75">
      <c r="C1037" s="37"/>
      <c r="D1037" s="37"/>
      <c r="E1037" s="37"/>
      <c r="F1037" s="37"/>
      <c r="G1037" s="35"/>
    </row>
    <row r="1038" spans="3:7" ht="15.75">
      <c r="C1038" s="37"/>
      <c r="D1038" s="37"/>
      <c r="E1038" s="37"/>
      <c r="F1038" s="37"/>
      <c r="G1038" s="35"/>
    </row>
    <row r="1039" spans="3:7" ht="15.75">
      <c r="C1039" s="37"/>
      <c r="D1039" s="37"/>
      <c r="E1039" s="37"/>
      <c r="F1039" s="37"/>
      <c r="G1039" s="35"/>
    </row>
    <row r="1040" spans="3:7" ht="15.75">
      <c r="C1040" s="37"/>
      <c r="D1040" s="37"/>
      <c r="E1040" s="37"/>
      <c r="F1040" s="37"/>
      <c r="G1040" s="35"/>
    </row>
    <row r="1041" spans="3:7" ht="15.75">
      <c r="C1041" s="37"/>
      <c r="D1041" s="37"/>
      <c r="E1041" s="37"/>
      <c r="F1041" s="37"/>
      <c r="G1041" s="35"/>
    </row>
    <row r="1042" spans="3:7" ht="15.75">
      <c r="C1042" s="37"/>
      <c r="D1042" s="37"/>
      <c r="E1042" s="37"/>
      <c r="F1042" s="37"/>
      <c r="G1042" s="35"/>
    </row>
    <row r="1043" spans="3:7" ht="15.75">
      <c r="C1043" s="37"/>
      <c r="D1043" s="37"/>
      <c r="E1043" s="37"/>
      <c r="F1043" s="37"/>
      <c r="G1043" s="35"/>
    </row>
    <row r="1044" spans="3:7" ht="15.75">
      <c r="C1044" s="37"/>
      <c r="D1044" s="37"/>
      <c r="E1044" s="37"/>
      <c r="F1044" s="37"/>
      <c r="G1044" s="35"/>
    </row>
    <row r="1045" spans="3:7" ht="15.75">
      <c r="C1045" s="37"/>
      <c r="D1045" s="37"/>
      <c r="E1045" s="37"/>
      <c r="F1045" s="37"/>
      <c r="G1045" s="35"/>
    </row>
    <row r="1046" spans="3:7" ht="15.75">
      <c r="C1046" s="37"/>
      <c r="D1046" s="37"/>
      <c r="E1046" s="37"/>
      <c r="F1046" s="37"/>
      <c r="G1046" s="35"/>
    </row>
    <row r="1047" spans="3:7" ht="15.75">
      <c r="C1047" s="37"/>
      <c r="D1047" s="37"/>
      <c r="E1047" s="37"/>
      <c r="F1047" s="37"/>
      <c r="G1047" s="35"/>
    </row>
    <row r="1048" spans="3:7" ht="15.75">
      <c r="C1048" s="37"/>
      <c r="D1048" s="37"/>
      <c r="E1048" s="37"/>
      <c r="F1048" s="37"/>
      <c r="G1048" s="35"/>
    </row>
    <row r="1049" spans="3:7" ht="15.75">
      <c r="C1049" s="37"/>
      <c r="D1049" s="37"/>
      <c r="E1049" s="37"/>
      <c r="F1049" s="37"/>
      <c r="G1049" s="35"/>
    </row>
    <row r="1050" spans="3:7" ht="15.75">
      <c r="C1050" s="37"/>
      <c r="D1050" s="37"/>
      <c r="E1050" s="37"/>
      <c r="F1050" s="37"/>
      <c r="G1050" s="35"/>
    </row>
    <row r="1051" spans="3:7" ht="15.75">
      <c r="C1051" s="37"/>
      <c r="D1051" s="37"/>
      <c r="E1051" s="37"/>
      <c r="F1051" s="37"/>
      <c r="G1051" s="35"/>
    </row>
    <row r="1052" spans="3:7" ht="15.75">
      <c r="C1052" s="37"/>
      <c r="D1052" s="37"/>
      <c r="E1052" s="37"/>
      <c r="F1052" s="37"/>
      <c r="G1052" s="35"/>
    </row>
    <row r="1053" spans="3:7" ht="15.75">
      <c r="C1053" s="37"/>
      <c r="D1053" s="37"/>
      <c r="E1053" s="37"/>
      <c r="F1053" s="37"/>
      <c r="G1053" s="35"/>
    </row>
    <row r="1054" spans="3:7" ht="15.75">
      <c r="C1054" s="37"/>
      <c r="D1054" s="37"/>
      <c r="E1054" s="37"/>
      <c r="F1054" s="37"/>
      <c r="G1054" s="35"/>
    </row>
    <row r="1055" spans="3:7" ht="15.75">
      <c r="C1055" s="37"/>
      <c r="D1055" s="37"/>
      <c r="E1055" s="37"/>
      <c r="F1055" s="37"/>
      <c r="G1055" s="35"/>
    </row>
    <row r="1056" spans="3:7" ht="15.75">
      <c r="C1056" s="37"/>
      <c r="D1056" s="37"/>
      <c r="E1056" s="37"/>
      <c r="F1056" s="37"/>
      <c r="G1056" s="35"/>
    </row>
    <row r="1057" spans="3:7" ht="15.75">
      <c r="C1057" s="37"/>
      <c r="D1057" s="37"/>
      <c r="E1057" s="37"/>
      <c r="F1057" s="37"/>
      <c r="G1057" s="35"/>
    </row>
    <row r="1058" spans="3:7" ht="15.75">
      <c r="C1058" s="37"/>
      <c r="D1058" s="37"/>
      <c r="E1058" s="37"/>
      <c r="F1058" s="37"/>
      <c r="G1058" s="35"/>
    </row>
    <row r="1059" spans="3:7" ht="15.75">
      <c r="C1059" s="37"/>
      <c r="D1059" s="37"/>
      <c r="E1059" s="37"/>
      <c r="F1059" s="37"/>
      <c r="G1059" s="35"/>
    </row>
    <row r="1060" spans="3:7" ht="15.75">
      <c r="C1060" s="37"/>
      <c r="D1060" s="37"/>
      <c r="E1060" s="37"/>
      <c r="F1060" s="37"/>
      <c r="G1060" s="35"/>
    </row>
    <row r="1061" spans="3:7" ht="15.75">
      <c r="C1061" s="37"/>
      <c r="D1061" s="37"/>
      <c r="E1061" s="37"/>
      <c r="F1061" s="37"/>
      <c r="G1061" s="35"/>
    </row>
    <row r="1062" spans="3:7" ht="15.75">
      <c r="C1062" s="37"/>
      <c r="D1062" s="37"/>
      <c r="E1062" s="37"/>
      <c r="F1062" s="37"/>
      <c r="G1062" s="35"/>
    </row>
    <row r="1063" spans="3:7" ht="15.75">
      <c r="C1063" s="37"/>
      <c r="D1063" s="37"/>
      <c r="E1063" s="37"/>
      <c r="F1063" s="37"/>
      <c r="G1063" s="35"/>
    </row>
    <row r="1064" spans="3:7" ht="15.75">
      <c r="C1064" s="37"/>
      <c r="D1064" s="37"/>
      <c r="E1064" s="37"/>
      <c r="F1064" s="37"/>
      <c r="G1064" s="35"/>
    </row>
    <row r="1065" spans="3:7" ht="15.75">
      <c r="C1065" s="37"/>
      <c r="D1065" s="37"/>
      <c r="E1065" s="37"/>
      <c r="F1065" s="37"/>
      <c r="G1065" s="35"/>
    </row>
    <row r="1066" spans="3:7" ht="15.75">
      <c r="C1066" s="37"/>
      <c r="D1066" s="37"/>
      <c r="E1066" s="37"/>
      <c r="F1066" s="37"/>
      <c r="G1066" s="35"/>
    </row>
    <row r="1067" spans="3:7" ht="15.75">
      <c r="C1067" s="37"/>
      <c r="D1067" s="37"/>
      <c r="E1067" s="37"/>
      <c r="F1067" s="37"/>
      <c r="G1067" s="35"/>
    </row>
    <row r="1068" spans="3:7" ht="15.75">
      <c r="C1068" s="37"/>
      <c r="D1068" s="37"/>
      <c r="E1068" s="37"/>
      <c r="F1068" s="37"/>
      <c r="G1068" s="35"/>
    </row>
    <row r="1069" spans="3:7" ht="15.75">
      <c r="C1069" s="37"/>
      <c r="D1069" s="37"/>
      <c r="E1069" s="37"/>
      <c r="F1069" s="37"/>
      <c r="G1069" s="35"/>
    </row>
    <row r="1070" spans="3:7" ht="15.75">
      <c r="C1070" s="37"/>
      <c r="D1070" s="37"/>
      <c r="E1070" s="37"/>
      <c r="F1070" s="37"/>
      <c r="G1070" s="35"/>
    </row>
    <row r="1071" spans="3:7" ht="15.75">
      <c r="C1071" s="37"/>
      <c r="D1071" s="37"/>
      <c r="E1071" s="37"/>
      <c r="F1071" s="37"/>
      <c r="G1071" s="35"/>
    </row>
    <row r="1072" spans="3:7" ht="15.75">
      <c r="C1072" s="37"/>
      <c r="D1072" s="37"/>
      <c r="E1072" s="37"/>
      <c r="F1072" s="37"/>
      <c r="G1072" s="35"/>
    </row>
    <row r="1073" spans="3:7" ht="15.75">
      <c r="C1073" s="37"/>
      <c r="D1073" s="37"/>
      <c r="E1073" s="37"/>
      <c r="F1073" s="37"/>
      <c r="G1073" s="35"/>
    </row>
    <row r="1074" spans="3:7" ht="15.75">
      <c r="C1074" s="37"/>
      <c r="D1074" s="37"/>
      <c r="E1074" s="37"/>
      <c r="F1074" s="37"/>
      <c r="G1074" s="35"/>
    </row>
    <row r="1075" spans="3:7" ht="15.75">
      <c r="C1075" s="37"/>
      <c r="D1075" s="37"/>
      <c r="E1075" s="37"/>
      <c r="F1075" s="37"/>
      <c r="G1075" s="35"/>
    </row>
    <row r="1076" spans="3:7" ht="15.75">
      <c r="C1076" s="37"/>
      <c r="D1076" s="37"/>
      <c r="E1076" s="37"/>
      <c r="F1076" s="37"/>
      <c r="G1076" s="35"/>
    </row>
    <row r="1077" spans="3:7" ht="15.75">
      <c r="C1077" s="37"/>
      <c r="D1077" s="37"/>
      <c r="E1077" s="37"/>
      <c r="F1077" s="37"/>
      <c r="G1077" s="35"/>
    </row>
    <row r="1078" spans="3:7" ht="15.75">
      <c r="C1078" s="37"/>
      <c r="D1078" s="37"/>
      <c r="E1078" s="37"/>
      <c r="F1078" s="37"/>
      <c r="G1078" s="35"/>
    </row>
    <row r="1079" spans="3:7" ht="15.75">
      <c r="C1079" s="37"/>
      <c r="D1079" s="37"/>
      <c r="E1079" s="37"/>
      <c r="F1079" s="37"/>
      <c r="G1079" s="35"/>
    </row>
    <row r="1080" spans="3:7" ht="15.75">
      <c r="C1080" s="37"/>
      <c r="D1080" s="37"/>
      <c r="E1080" s="37"/>
      <c r="F1080" s="37"/>
      <c r="G1080" s="35"/>
    </row>
    <row r="1081" spans="3:7" ht="15.75">
      <c r="C1081" s="37"/>
      <c r="D1081" s="37"/>
      <c r="E1081" s="37"/>
      <c r="F1081" s="37"/>
      <c r="G1081" s="35"/>
    </row>
    <row r="1082" spans="3:7" ht="15.75">
      <c r="C1082" s="37"/>
      <c r="D1082" s="37"/>
      <c r="E1082" s="37"/>
      <c r="F1082" s="37"/>
      <c r="G1082" s="35"/>
    </row>
    <row r="1083" spans="3:7" ht="15.75">
      <c r="C1083" s="37"/>
      <c r="D1083" s="37"/>
      <c r="E1083" s="37"/>
      <c r="F1083" s="37"/>
      <c r="G1083" s="35"/>
    </row>
    <row r="1084" spans="3:7" ht="15.75">
      <c r="C1084" s="37"/>
      <c r="D1084" s="37"/>
      <c r="E1084" s="37"/>
      <c r="F1084" s="37"/>
      <c r="G1084" s="35"/>
    </row>
    <row r="1085" spans="3:7" ht="15.75">
      <c r="C1085" s="37"/>
      <c r="D1085" s="37"/>
      <c r="E1085" s="37"/>
      <c r="F1085" s="37"/>
      <c r="G1085" s="35"/>
    </row>
    <row r="1086" spans="3:7" ht="15.75">
      <c r="C1086" s="37"/>
      <c r="D1086" s="37"/>
      <c r="E1086" s="37"/>
      <c r="F1086" s="37"/>
      <c r="G1086" s="35"/>
    </row>
    <row r="1087" spans="3:7" ht="15.75">
      <c r="C1087" s="37"/>
      <c r="D1087" s="37"/>
      <c r="E1087" s="37"/>
      <c r="F1087" s="37"/>
      <c r="G1087" s="35"/>
    </row>
    <row r="1088" spans="3:7" ht="15.75">
      <c r="C1088" s="37"/>
      <c r="D1088" s="37"/>
      <c r="E1088" s="37"/>
      <c r="F1088" s="37"/>
      <c r="G1088" s="35"/>
    </row>
    <row r="1089" spans="3:7" ht="15.75">
      <c r="C1089" s="37"/>
      <c r="D1089" s="37"/>
      <c r="E1089" s="37"/>
      <c r="F1089" s="37"/>
      <c r="G1089" s="35"/>
    </row>
    <row r="1090" spans="3:7" ht="15.75">
      <c r="C1090" s="37"/>
      <c r="D1090" s="37"/>
      <c r="E1090" s="37"/>
      <c r="F1090" s="37"/>
      <c r="G1090" s="35"/>
    </row>
    <row r="1091" spans="3:7" ht="15.75">
      <c r="C1091" s="37"/>
      <c r="D1091" s="37"/>
      <c r="E1091" s="37"/>
      <c r="F1091" s="37"/>
      <c r="G1091" s="35"/>
    </row>
    <row r="1092" spans="3:7" ht="15.75">
      <c r="C1092" s="37"/>
      <c r="D1092" s="37"/>
      <c r="E1092" s="37"/>
      <c r="F1092" s="37"/>
      <c r="G1092" s="35"/>
    </row>
    <row r="1093" spans="3:7" ht="15.75">
      <c r="C1093" s="37"/>
      <c r="D1093" s="37"/>
      <c r="E1093" s="37"/>
      <c r="F1093" s="37"/>
      <c r="G1093" s="35"/>
    </row>
    <row r="1094" spans="3:7" ht="15.75">
      <c r="C1094" s="37"/>
      <c r="D1094" s="37"/>
      <c r="E1094" s="37"/>
      <c r="F1094" s="37"/>
      <c r="G1094" s="35"/>
    </row>
    <row r="1095" spans="3:7" ht="15.75">
      <c r="C1095" s="37"/>
      <c r="D1095" s="37"/>
      <c r="E1095" s="37"/>
      <c r="F1095" s="37"/>
      <c r="G1095" s="35"/>
    </row>
    <row r="1096" spans="3:7" ht="15.75">
      <c r="C1096" s="37"/>
      <c r="D1096" s="37"/>
      <c r="E1096" s="37"/>
      <c r="F1096" s="37"/>
      <c r="G1096" s="35"/>
    </row>
    <row r="1097" spans="3:7" ht="15.75">
      <c r="C1097" s="37"/>
      <c r="D1097" s="37"/>
      <c r="E1097" s="37"/>
      <c r="F1097" s="37"/>
      <c r="G1097" s="35"/>
    </row>
    <row r="1098" spans="3:7" ht="15.75">
      <c r="C1098" s="37"/>
      <c r="D1098" s="37"/>
      <c r="E1098" s="37"/>
      <c r="F1098" s="37"/>
      <c r="G1098" s="35"/>
    </row>
    <row r="1099" spans="3:7" ht="15.75">
      <c r="C1099" s="37"/>
      <c r="D1099" s="37"/>
      <c r="E1099" s="37"/>
      <c r="F1099" s="37"/>
      <c r="G1099" s="35"/>
    </row>
    <row r="1100" spans="3:7" ht="15.75">
      <c r="C1100" s="37"/>
      <c r="D1100" s="37"/>
      <c r="E1100" s="37"/>
      <c r="F1100" s="37"/>
      <c r="G1100" s="35"/>
    </row>
    <row r="1101" spans="3:7" ht="15.75">
      <c r="C1101" s="37"/>
      <c r="D1101" s="37"/>
      <c r="E1101" s="37"/>
      <c r="F1101" s="37"/>
      <c r="G1101" s="35"/>
    </row>
    <row r="1102" spans="3:7" ht="15.75">
      <c r="C1102" s="37"/>
      <c r="D1102" s="37"/>
      <c r="E1102" s="37"/>
      <c r="F1102" s="37"/>
      <c r="G1102" s="35"/>
    </row>
    <row r="1103" spans="3:7" ht="15.75">
      <c r="C1103" s="37"/>
      <c r="D1103" s="37"/>
      <c r="E1103" s="37"/>
      <c r="F1103" s="37"/>
      <c r="G1103" s="35"/>
    </row>
    <row r="1104" spans="3:7" ht="15.75">
      <c r="C1104" s="37"/>
      <c r="D1104" s="37"/>
      <c r="E1104" s="37"/>
      <c r="F1104" s="37"/>
      <c r="G1104" s="35"/>
    </row>
    <row r="1105" spans="3:7" ht="15.75">
      <c r="C1105" s="37"/>
      <c r="D1105" s="37"/>
      <c r="E1105" s="37"/>
      <c r="F1105" s="37"/>
      <c r="G1105" s="35"/>
    </row>
    <row r="1106" spans="3:7" ht="15.75">
      <c r="C1106" s="37"/>
      <c r="D1106" s="37"/>
      <c r="E1106" s="37"/>
      <c r="F1106" s="37"/>
      <c r="G1106" s="35"/>
    </row>
    <row r="1107" spans="3:7" ht="15.75">
      <c r="C1107" s="37"/>
      <c r="D1107" s="37"/>
      <c r="E1107" s="37"/>
      <c r="F1107" s="37"/>
      <c r="G1107" s="35"/>
    </row>
    <row r="1108" spans="3:7" ht="15.75">
      <c r="C1108" s="37"/>
      <c r="D1108" s="37"/>
      <c r="E1108" s="37"/>
      <c r="F1108" s="37"/>
      <c r="G1108" s="35"/>
    </row>
    <row r="1109" spans="3:7" ht="15.75">
      <c r="C1109" s="37"/>
      <c r="D1109" s="37"/>
      <c r="E1109" s="37"/>
      <c r="F1109" s="37"/>
      <c r="G1109" s="35"/>
    </row>
    <row r="1110" spans="3:7" ht="15.75">
      <c r="C1110" s="37"/>
      <c r="D1110" s="37"/>
      <c r="E1110" s="37"/>
      <c r="F1110" s="37"/>
      <c r="G1110" s="35"/>
    </row>
    <row r="1111" spans="3:7" ht="15.75">
      <c r="C1111" s="37"/>
      <c r="D1111" s="37"/>
      <c r="E1111" s="37"/>
      <c r="F1111" s="37"/>
      <c r="G1111" s="35"/>
    </row>
    <row r="1112" spans="3:7" ht="15.75">
      <c r="C1112" s="37"/>
      <c r="D1112" s="37"/>
      <c r="E1112" s="37"/>
      <c r="F1112" s="37"/>
      <c r="G1112" s="35"/>
    </row>
    <row r="1113" spans="3:7" ht="15.75">
      <c r="C1113" s="37"/>
      <c r="D1113" s="37"/>
      <c r="E1113" s="37"/>
      <c r="F1113" s="37"/>
      <c r="G1113" s="35"/>
    </row>
    <row r="1114" spans="3:7" ht="15.75">
      <c r="C1114" s="37"/>
      <c r="D1114" s="37"/>
      <c r="E1114" s="37"/>
      <c r="F1114" s="37"/>
      <c r="G1114" s="35"/>
    </row>
    <row r="1115" spans="3:7" ht="15.75">
      <c r="C1115" s="37"/>
      <c r="D1115" s="37"/>
      <c r="E1115" s="37"/>
      <c r="F1115" s="37"/>
      <c r="G1115" s="35"/>
    </row>
    <row r="1116" spans="3:7" ht="15.75">
      <c r="C1116" s="37"/>
      <c r="D1116" s="37"/>
      <c r="E1116" s="37"/>
      <c r="F1116" s="37"/>
      <c r="G1116" s="35"/>
    </row>
    <row r="1117" spans="3:7" ht="15.75">
      <c r="C1117" s="37"/>
      <c r="D1117" s="37"/>
      <c r="E1117" s="37"/>
      <c r="F1117" s="37"/>
      <c r="G1117" s="35"/>
    </row>
    <row r="1118" spans="3:7" ht="15.75">
      <c r="C1118" s="37"/>
      <c r="D1118" s="37"/>
      <c r="E1118" s="37"/>
      <c r="F1118" s="37"/>
      <c r="G1118" s="35"/>
    </row>
    <row r="1119" spans="3:7" ht="15.75">
      <c r="C1119" s="37"/>
      <c r="D1119" s="37"/>
      <c r="E1119" s="37"/>
      <c r="F1119" s="37"/>
      <c r="G1119" s="35"/>
    </row>
    <row r="1120" spans="3:7" ht="15.75">
      <c r="C1120" s="37"/>
      <c r="D1120" s="37"/>
      <c r="E1120" s="37"/>
      <c r="F1120" s="37"/>
      <c r="G1120" s="35"/>
    </row>
    <row r="1121" spans="3:7" ht="15.75">
      <c r="C1121" s="37"/>
      <c r="D1121" s="37"/>
      <c r="E1121" s="37"/>
      <c r="F1121" s="37"/>
      <c r="G1121" s="35"/>
    </row>
    <row r="1122" spans="3:7" ht="15.75">
      <c r="C1122" s="37"/>
      <c r="D1122" s="37"/>
      <c r="E1122" s="37"/>
      <c r="F1122" s="37"/>
      <c r="G1122" s="35"/>
    </row>
    <row r="1123" spans="3:7" ht="15.75">
      <c r="C1123" s="37"/>
      <c r="D1123" s="37"/>
      <c r="E1123" s="37"/>
      <c r="F1123" s="37"/>
      <c r="G1123" s="35"/>
    </row>
    <row r="1124" spans="3:7" ht="15.75">
      <c r="C1124" s="37"/>
      <c r="D1124" s="37"/>
      <c r="E1124" s="37"/>
      <c r="F1124" s="37"/>
      <c r="G1124" s="35"/>
    </row>
    <row r="1125" spans="3:7" ht="15.75">
      <c r="C1125" s="37"/>
      <c r="D1125" s="37"/>
      <c r="E1125" s="37"/>
      <c r="F1125" s="37"/>
      <c r="G1125" s="35"/>
    </row>
    <row r="1126" spans="3:7" ht="15.75">
      <c r="C1126" s="37"/>
      <c r="D1126" s="37"/>
      <c r="E1126" s="37"/>
      <c r="F1126" s="37"/>
      <c r="G1126" s="35"/>
    </row>
    <row r="1127" spans="3:7" ht="15.75">
      <c r="C1127" s="37"/>
      <c r="D1127" s="37"/>
      <c r="E1127" s="37"/>
      <c r="F1127" s="37"/>
      <c r="G1127" s="35"/>
    </row>
    <row r="1128" spans="3:7" ht="15.75">
      <c r="C1128" s="37"/>
      <c r="D1128" s="37"/>
      <c r="E1128" s="37"/>
      <c r="F1128" s="37"/>
      <c r="G1128" s="35"/>
    </row>
    <row r="1129" spans="3:7" ht="15.75">
      <c r="C1129" s="37"/>
      <c r="D1129" s="37"/>
      <c r="E1129" s="37"/>
      <c r="F1129" s="37"/>
      <c r="G1129" s="35"/>
    </row>
    <row r="1130" spans="3:7" ht="15.75">
      <c r="C1130" s="37"/>
      <c r="D1130" s="37"/>
      <c r="E1130" s="37"/>
      <c r="F1130" s="37"/>
      <c r="G1130" s="35"/>
    </row>
    <row r="1131" spans="3:7" ht="15.75">
      <c r="C1131" s="37"/>
      <c r="D1131" s="37"/>
      <c r="E1131" s="37"/>
      <c r="F1131" s="37"/>
      <c r="G1131" s="35"/>
    </row>
    <row r="1132" spans="3:7" ht="15.75">
      <c r="C1132" s="37"/>
      <c r="D1132" s="37"/>
      <c r="E1132" s="37"/>
      <c r="F1132" s="37"/>
      <c r="G1132" s="35"/>
    </row>
    <row r="1133" spans="3:7" ht="15.75">
      <c r="C1133" s="37"/>
      <c r="D1133" s="37"/>
      <c r="E1133" s="37"/>
      <c r="F1133" s="37"/>
      <c r="G1133" s="35"/>
    </row>
    <row r="1134" spans="3:7" ht="15.75">
      <c r="C1134" s="37"/>
      <c r="D1134" s="37"/>
      <c r="E1134" s="37"/>
      <c r="F1134" s="37"/>
      <c r="G1134" s="35"/>
    </row>
    <row r="1135" spans="3:7" ht="15.75">
      <c r="C1135" s="37"/>
      <c r="D1135" s="37"/>
      <c r="E1135" s="37"/>
      <c r="F1135" s="37"/>
      <c r="G1135" s="35"/>
    </row>
    <row r="1136" spans="3:7" ht="15.75">
      <c r="C1136" s="37"/>
      <c r="D1136" s="37"/>
      <c r="E1136" s="37"/>
      <c r="F1136" s="37"/>
      <c r="G1136" s="35"/>
    </row>
    <row r="1137" spans="3:7" ht="15.75">
      <c r="C1137" s="37"/>
      <c r="D1137" s="37"/>
      <c r="E1137" s="37"/>
      <c r="F1137" s="37"/>
      <c r="G1137" s="35"/>
    </row>
    <row r="1138" spans="3:7" ht="15.75">
      <c r="C1138" s="37"/>
      <c r="D1138" s="37"/>
      <c r="E1138" s="37"/>
      <c r="F1138" s="37"/>
      <c r="G1138" s="35"/>
    </row>
    <row r="1139" spans="3:7" ht="15.75">
      <c r="C1139" s="37"/>
      <c r="D1139" s="37"/>
      <c r="E1139" s="37"/>
      <c r="F1139" s="37"/>
      <c r="G1139" s="35"/>
    </row>
    <row r="1140" spans="3:7" ht="15.75">
      <c r="C1140" s="37"/>
      <c r="D1140" s="37"/>
      <c r="E1140" s="37"/>
      <c r="F1140" s="37"/>
      <c r="G1140" s="35"/>
    </row>
    <row r="1141" spans="3:7" ht="15.75">
      <c r="C1141" s="37"/>
      <c r="D1141" s="37"/>
      <c r="E1141" s="37"/>
      <c r="F1141" s="37"/>
      <c r="G1141" s="35"/>
    </row>
    <row r="1142" spans="3:7" ht="15.75">
      <c r="C1142" s="37"/>
      <c r="D1142" s="37"/>
      <c r="E1142" s="37"/>
      <c r="F1142" s="37"/>
      <c r="G1142" s="35"/>
    </row>
    <row r="1143" spans="3:7" ht="15.75">
      <c r="C1143" s="37"/>
      <c r="D1143" s="37"/>
      <c r="E1143" s="37"/>
      <c r="F1143" s="37"/>
      <c r="G1143" s="35"/>
    </row>
    <row r="1144" spans="3:7" ht="15.75">
      <c r="C1144" s="37"/>
      <c r="D1144" s="37"/>
      <c r="E1144" s="37"/>
      <c r="F1144" s="37"/>
      <c r="G1144" s="35"/>
    </row>
    <row r="1145" spans="3:7" ht="15.75">
      <c r="C1145" s="37"/>
      <c r="D1145" s="37"/>
      <c r="E1145" s="37"/>
      <c r="F1145" s="37"/>
      <c r="G1145" s="35"/>
    </row>
    <row r="1146" spans="3:7" ht="15.75">
      <c r="C1146" s="37"/>
      <c r="D1146" s="37"/>
      <c r="E1146" s="37"/>
      <c r="F1146" s="37"/>
      <c r="G1146" s="35"/>
    </row>
    <row r="1147" spans="3:7" ht="15.75">
      <c r="C1147" s="37"/>
      <c r="D1147" s="37"/>
      <c r="E1147" s="37"/>
      <c r="F1147" s="37"/>
      <c r="G1147" s="35"/>
    </row>
    <row r="1148" spans="3:7" ht="15.75">
      <c r="C1148" s="37"/>
      <c r="D1148" s="37"/>
      <c r="E1148" s="37"/>
      <c r="F1148" s="37"/>
      <c r="G1148" s="35"/>
    </row>
    <row r="1149" spans="3:7" ht="15.75">
      <c r="C1149" s="37"/>
      <c r="D1149" s="37"/>
      <c r="E1149" s="37"/>
      <c r="F1149" s="37"/>
      <c r="G1149" s="35"/>
    </row>
    <row r="1150" spans="3:7" ht="15.75">
      <c r="C1150" s="37"/>
      <c r="D1150" s="37"/>
      <c r="E1150" s="37"/>
      <c r="F1150" s="37"/>
      <c r="G1150" s="35"/>
    </row>
    <row r="1151" spans="3:7" ht="15.75">
      <c r="C1151" s="37"/>
      <c r="D1151" s="37"/>
      <c r="E1151" s="37"/>
      <c r="F1151" s="37"/>
      <c r="G1151" s="35"/>
    </row>
    <row r="1152" spans="3:7" ht="15.75">
      <c r="C1152" s="37"/>
      <c r="D1152" s="37"/>
      <c r="E1152" s="37"/>
      <c r="F1152" s="37"/>
      <c r="G1152" s="35"/>
    </row>
    <row r="1153" spans="3:7" ht="15.75">
      <c r="C1153" s="37"/>
      <c r="D1153" s="37"/>
      <c r="E1153" s="37"/>
      <c r="F1153" s="37"/>
      <c r="G1153" s="35"/>
    </row>
    <row r="1154" spans="3:7" ht="15.75">
      <c r="C1154" s="37"/>
      <c r="D1154" s="37"/>
      <c r="E1154" s="37"/>
      <c r="F1154" s="37"/>
      <c r="G1154" s="35"/>
    </row>
    <row r="1155" spans="3:7" ht="15.75">
      <c r="C1155" s="37"/>
      <c r="D1155" s="37"/>
      <c r="E1155" s="37"/>
      <c r="F1155" s="37"/>
      <c r="G1155" s="35"/>
    </row>
    <row r="1156" spans="3:7" ht="15.75">
      <c r="C1156" s="37"/>
      <c r="D1156" s="37"/>
      <c r="E1156" s="37"/>
      <c r="F1156" s="37"/>
      <c r="G1156" s="35"/>
    </row>
    <row r="1157" spans="3:7" ht="15.75">
      <c r="C1157" s="37"/>
      <c r="D1157" s="37"/>
      <c r="E1157" s="37"/>
      <c r="F1157" s="37"/>
      <c r="G1157" s="35"/>
    </row>
    <row r="1158" spans="3:7" ht="15.75">
      <c r="C1158" s="37"/>
      <c r="D1158" s="37"/>
      <c r="E1158" s="37"/>
      <c r="F1158" s="37"/>
      <c r="G1158" s="35"/>
    </row>
    <row r="1159" spans="3:7" ht="15.75">
      <c r="C1159" s="37"/>
      <c r="D1159" s="37"/>
      <c r="E1159" s="37"/>
      <c r="F1159" s="37"/>
      <c r="G1159" s="35"/>
    </row>
    <row r="1160" spans="3:7" ht="15.75">
      <c r="C1160" s="37"/>
      <c r="D1160" s="37"/>
      <c r="E1160" s="37"/>
      <c r="F1160" s="37"/>
      <c r="G1160" s="35"/>
    </row>
    <row r="1161" spans="3:7" ht="15.75">
      <c r="C1161" s="37"/>
      <c r="D1161" s="37"/>
      <c r="E1161" s="37"/>
      <c r="F1161" s="37"/>
      <c r="G1161" s="35"/>
    </row>
    <row r="1162" spans="3:7" ht="15.75">
      <c r="C1162" s="37"/>
      <c r="D1162" s="37"/>
      <c r="E1162" s="37"/>
      <c r="F1162" s="37"/>
      <c r="G1162" s="35"/>
    </row>
    <row r="1163" spans="3:7" ht="15.75">
      <c r="C1163" s="37"/>
      <c r="D1163" s="37"/>
      <c r="E1163" s="37"/>
      <c r="F1163" s="37"/>
      <c r="G1163" s="35"/>
    </row>
    <row r="1164" spans="3:7" ht="15.75">
      <c r="C1164" s="37"/>
      <c r="D1164" s="37"/>
      <c r="E1164" s="37"/>
      <c r="F1164" s="37"/>
      <c r="G1164" s="35"/>
    </row>
    <row r="1165" spans="3:7" ht="15.75">
      <c r="C1165" s="37"/>
      <c r="D1165" s="37"/>
      <c r="E1165" s="37"/>
      <c r="F1165" s="37"/>
      <c r="G1165" s="35"/>
    </row>
    <row r="1166" spans="3:7" ht="15.75">
      <c r="C1166" s="37"/>
      <c r="D1166" s="37"/>
      <c r="E1166" s="37"/>
      <c r="F1166" s="37"/>
      <c r="G1166" s="35"/>
    </row>
    <row r="1167" spans="3:7" ht="15.75">
      <c r="C1167" s="37"/>
      <c r="D1167" s="37"/>
      <c r="E1167" s="37"/>
      <c r="F1167" s="37"/>
      <c r="G1167" s="35"/>
    </row>
    <row r="1168" spans="3:7" ht="15.75">
      <c r="C1168" s="37"/>
      <c r="D1168" s="37"/>
      <c r="E1168" s="37"/>
      <c r="F1168" s="37"/>
      <c r="G1168" s="35"/>
    </row>
    <row r="1169" spans="3:7" ht="15.75">
      <c r="C1169" s="37"/>
      <c r="D1169" s="37"/>
      <c r="E1169" s="37"/>
      <c r="F1169" s="37"/>
      <c r="G1169" s="35"/>
    </row>
    <row r="1170" spans="3:7" ht="15.75">
      <c r="C1170" s="37"/>
      <c r="D1170" s="37"/>
      <c r="E1170" s="37"/>
      <c r="F1170" s="37"/>
      <c r="G1170" s="35"/>
    </row>
    <row r="1171" spans="3:7" ht="15.75">
      <c r="C1171" s="37"/>
      <c r="D1171" s="37"/>
      <c r="E1171" s="37"/>
      <c r="F1171" s="37"/>
      <c r="G1171" s="35"/>
    </row>
    <row r="1172" spans="3:7" ht="15.75">
      <c r="C1172" s="37"/>
      <c r="D1172" s="37"/>
      <c r="E1172" s="37"/>
      <c r="F1172" s="37"/>
      <c r="G1172" s="35"/>
    </row>
    <row r="1173" spans="3:7" ht="15.75">
      <c r="C1173" s="37"/>
      <c r="D1173" s="37"/>
      <c r="E1173" s="37"/>
      <c r="F1173" s="37"/>
      <c r="G1173" s="35"/>
    </row>
    <row r="1174" spans="3:7" ht="15.75">
      <c r="C1174" s="37"/>
      <c r="D1174" s="37"/>
      <c r="E1174" s="37"/>
      <c r="F1174" s="37"/>
      <c r="G1174" s="35"/>
    </row>
    <row r="1175" spans="3:7" ht="15.75">
      <c r="C1175" s="37"/>
      <c r="D1175" s="37"/>
      <c r="E1175" s="37"/>
      <c r="F1175" s="37"/>
      <c r="G1175" s="35"/>
    </row>
    <row r="1176" spans="3:7" ht="15.75">
      <c r="C1176" s="37"/>
      <c r="D1176" s="37"/>
      <c r="E1176" s="37"/>
      <c r="F1176" s="37"/>
      <c r="G1176" s="35"/>
    </row>
    <row r="1177" spans="3:7" ht="15.75">
      <c r="C1177" s="37"/>
      <c r="D1177" s="37"/>
      <c r="E1177" s="37"/>
      <c r="F1177" s="37"/>
      <c r="G1177" s="35"/>
    </row>
    <row r="1178" spans="3:7" ht="15.75">
      <c r="C1178" s="37"/>
      <c r="D1178" s="37"/>
      <c r="E1178" s="37"/>
      <c r="F1178" s="37"/>
      <c r="G1178" s="35"/>
    </row>
    <row r="1179" spans="3:7" ht="15.75">
      <c r="C1179" s="37"/>
      <c r="D1179" s="37"/>
      <c r="E1179" s="37"/>
      <c r="F1179" s="37"/>
      <c r="G1179" s="35"/>
    </row>
    <row r="1180" spans="3:7" ht="15.75">
      <c r="C1180" s="37"/>
      <c r="D1180" s="37"/>
      <c r="E1180" s="37"/>
      <c r="F1180" s="37"/>
      <c r="G1180" s="35"/>
    </row>
    <row r="1181" spans="3:7" ht="15.75">
      <c r="C1181" s="37"/>
      <c r="D1181" s="37"/>
      <c r="E1181" s="37"/>
      <c r="F1181" s="37"/>
      <c r="G1181" s="35"/>
    </row>
    <row r="1182" spans="3:7" ht="15.75">
      <c r="C1182" s="37"/>
      <c r="D1182" s="37"/>
      <c r="E1182" s="37"/>
      <c r="F1182" s="37"/>
      <c r="G1182" s="35"/>
    </row>
    <row r="1183" spans="3:7" ht="15.75">
      <c r="C1183" s="37"/>
      <c r="D1183" s="37"/>
      <c r="E1183" s="37"/>
      <c r="F1183" s="37"/>
      <c r="G1183" s="35"/>
    </row>
    <row r="1184" spans="3:7" ht="15.75">
      <c r="C1184" s="37"/>
      <c r="D1184" s="37"/>
      <c r="E1184" s="37"/>
      <c r="F1184" s="37"/>
      <c r="G1184" s="35"/>
    </row>
    <row r="1185" spans="3:7" ht="15.75">
      <c r="C1185" s="37"/>
      <c r="D1185" s="37"/>
      <c r="E1185" s="37"/>
      <c r="F1185" s="37"/>
      <c r="G1185" s="35"/>
    </row>
    <row r="1186" spans="3:7" ht="15.75">
      <c r="C1186" s="37"/>
      <c r="D1186" s="37"/>
      <c r="E1186" s="37"/>
      <c r="F1186" s="37"/>
      <c r="G1186" s="35"/>
    </row>
    <row r="1187" spans="3:7" ht="15.75">
      <c r="C1187" s="37"/>
      <c r="D1187" s="37"/>
      <c r="E1187" s="37"/>
      <c r="F1187" s="37"/>
      <c r="G1187" s="35"/>
    </row>
    <row r="1188" spans="3:7" ht="15.75">
      <c r="C1188" s="37"/>
      <c r="D1188" s="37"/>
      <c r="E1188" s="37"/>
      <c r="F1188" s="37"/>
      <c r="G1188" s="35"/>
    </row>
    <row r="1189" spans="3:7" ht="15.75">
      <c r="C1189" s="37"/>
      <c r="D1189" s="37"/>
      <c r="E1189" s="37"/>
      <c r="F1189" s="37"/>
      <c r="G1189" s="35"/>
    </row>
    <row r="1190" spans="3:7" ht="15.75">
      <c r="C1190" s="37"/>
      <c r="D1190" s="37"/>
      <c r="E1190" s="37"/>
      <c r="F1190" s="37"/>
      <c r="G1190" s="35"/>
    </row>
    <row r="1191" spans="3:7" ht="15.75">
      <c r="C1191" s="37"/>
      <c r="D1191" s="37"/>
      <c r="E1191" s="37"/>
      <c r="F1191" s="37"/>
      <c r="G1191" s="35"/>
    </row>
    <row r="1192" spans="3:7" ht="15.75">
      <c r="C1192" s="37"/>
      <c r="D1192" s="37"/>
      <c r="E1192" s="37"/>
      <c r="F1192" s="37"/>
      <c r="G1192" s="35"/>
    </row>
    <row r="1193" spans="3:7" ht="15.75">
      <c r="C1193" s="37"/>
      <c r="D1193" s="37"/>
      <c r="E1193" s="37"/>
      <c r="F1193" s="37"/>
      <c r="G1193" s="35"/>
    </row>
    <row r="1194" spans="3:7" ht="15.75">
      <c r="C1194" s="37"/>
      <c r="D1194" s="37"/>
      <c r="E1194" s="37"/>
      <c r="F1194" s="37"/>
      <c r="G1194" s="35"/>
    </row>
    <row r="1195" spans="3:7" ht="15.75">
      <c r="C1195" s="37"/>
      <c r="D1195" s="37"/>
      <c r="E1195" s="37"/>
      <c r="F1195" s="37"/>
      <c r="G1195" s="35"/>
    </row>
    <row r="1196" spans="3:7" ht="15.75">
      <c r="C1196" s="37"/>
      <c r="D1196" s="37"/>
      <c r="E1196" s="37"/>
      <c r="F1196" s="37"/>
      <c r="G1196" s="35"/>
    </row>
    <row r="1197" spans="3:7" ht="15.75">
      <c r="C1197" s="37"/>
      <c r="D1197" s="37"/>
      <c r="E1197" s="37"/>
      <c r="F1197" s="37"/>
      <c r="G1197" s="35"/>
    </row>
    <row r="1198" spans="3:7" ht="15.75">
      <c r="C1198" s="37"/>
      <c r="D1198" s="37"/>
      <c r="E1198" s="37"/>
      <c r="F1198" s="37"/>
      <c r="G1198" s="35"/>
    </row>
    <row r="1199" spans="3:7" ht="15.75">
      <c r="C1199" s="37"/>
      <c r="D1199" s="37"/>
      <c r="E1199" s="37"/>
      <c r="F1199" s="37"/>
      <c r="G1199" s="35"/>
    </row>
    <row r="1200" spans="3:7" ht="15.75">
      <c r="C1200" s="37"/>
      <c r="D1200" s="37"/>
      <c r="E1200" s="37"/>
      <c r="F1200" s="37"/>
      <c r="G1200" s="35"/>
    </row>
    <row r="1201" spans="3:7" ht="15.75">
      <c r="C1201" s="37"/>
      <c r="D1201" s="37"/>
      <c r="E1201" s="37"/>
      <c r="F1201" s="37"/>
      <c r="G1201" s="35"/>
    </row>
    <row r="1202" spans="3:7" ht="15.75">
      <c r="C1202" s="37"/>
      <c r="D1202" s="37"/>
      <c r="E1202" s="37"/>
      <c r="F1202" s="37"/>
      <c r="G1202" s="35"/>
    </row>
    <row r="1203" spans="3:7" ht="15.75">
      <c r="C1203" s="37"/>
      <c r="D1203" s="37"/>
      <c r="E1203" s="37"/>
      <c r="F1203" s="37"/>
      <c r="G1203" s="35"/>
    </row>
    <row r="1204" spans="3:7" ht="15.75">
      <c r="C1204" s="37"/>
      <c r="D1204" s="37"/>
      <c r="E1204" s="37"/>
      <c r="F1204" s="37"/>
      <c r="G1204" s="35"/>
    </row>
    <row r="1205" spans="3:7" ht="15.75">
      <c r="C1205" s="37"/>
      <c r="D1205" s="37"/>
      <c r="E1205" s="37"/>
      <c r="F1205" s="37"/>
      <c r="G1205" s="35"/>
    </row>
    <row r="1206" spans="3:7" ht="15.75">
      <c r="C1206" s="37"/>
      <c r="D1206" s="37"/>
      <c r="E1206" s="37"/>
      <c r="F1206" s="37"/>
      <c r="G1206" s="35"/>
    </row>
    <row r="1207" spans="3:7" ht="15.75">
      <c r="C1207" s="37"/>
      <c r="D1207" s="37"/>
      <c r="E1207" s="37"/>
      <c r="F1207" s="37"/>
      <c r="G1207" s="35"/>
    </row>
    <row r="1208" spans="3:7" ht="15.75">
      <c r="C1208" s="37"/>
      <c r="D1208" s="37"/>
      <c r="E1208" s="37"/>
      <c r="F1208" s="37"/>
      <c r="G1208" s="35"/>
    </row>
    <row r="1209" spans="3:7" ht="15.75">
      <c r="C1209" s="37"/>
      <c r="D1209" s="37"/>
      <c r="E1209" s="37"/>
      <c r="F1209" s="37"/>
      <c r="G1209" s="35"/>
    </row>
    <row r="1210" spans="3:7" ht="15.75">
      <c r="C1210" s="37"/>
      <c r="D1210" s="37"/>
      <c r="E1210" s="37"/>
      <c r="F1210" s="37"/>
      <c r="G1210" s="35"/>
    </row>
    <row r="1211" spans="3:7" ht="15.75">
      <c r="C1211" s="37"/>
      <c r="D1211" s="37"/>
      <c r="E1211" s="37"/>
      <c r="F1211" s="37"/>
      <c r="G1211" s="35"/>
    </row>
    <row r="1212" spans="3:7" ht="15.75">
      <c r="C1212" s="37"/>
      <c r="D1212" s="37"/>
      <c r="E1212" s="37"/>
      <c r="F1212" s="37"/>
      <c r="G1212" s="35"/>
    </row>
    <row r="1213" spans="3:7" ht="15.75">
      <c r="C1213" s="37"/>
      <c r="D1213" s="37"/>
      <c r="E1213" s="37"/>
      <c r="F1213" s="37"/>
      <c r="G1213" s="35"/>
    </row>
    <row r="1214" spans="3:7" ht="15.75">
      <c r="C1214" s="37"/>
      <c r="D1214" s="37"/>
      <c r="E1214" s="37"/>
      <c r="F1214" s="37"/>
      <c r="G1214" s="35"/>
    </row>
    <row r="1215" spans="3:7" ht="15.75">
      <c r="C1215" s="37"/>
      <c r="D1215" s="37"/>
      <c r="E1215" s="37"/>
      <c r="F1215" s="37"/>
      <c r="G1215" s="35"/>
    </row>
    <row r="1216" spans="3:7" ht="15.75">
      <c r="C1216" s="37"/>
      <c r="D1216" s="37"/>
      <c r="E1216" s="37"/>
      <c r="F1216" s="37"/>
      <c r="G1216" s="35"/>
    </row>
    <row r="1217" spans="3:7" ht="15.75">
      <c r="C1217" s="37"/>
      <c r="D1217" s="37"/>
      <c r="E1217" s="37"/>
      <c r="F1217" s="37"/>
      <c r="G1217" s="35"/>
    </row>
    <row r="1218" spans="3:7" ht="15.75">
      <c r="C1218" s="37"/>
      <c r="D1218" s="37"/>
      <c r="E1218" s="37"/>
      <c r="F1218" s="37"/>
      <c r="G1218" s="35"/>
    </row>
    <row r="1219" spans="3:7" ht="15.75">
      <c r="C1219" s="37"/>
      <c r="D1219" s="37"/>
      <c r="E1219" s="37"/>
      <c r="F1219" s="37"/>
      <c r="G1219" s="35"/>
    </row>
    <row r="1220" spans="3:7" ht="15.75">
      <c r="C1220" s="37"/>
      <c r="D1220" s="37"/>
      <c r="E1220" s="37"/>
      <c r="F1220" s="37"/>
      <c r="G1220" s="35"/>
    </row>
    <row r="1221" spans="3:7" ht="15.75">
      <c r="C1221" s="37"/>
      <c r="D1221" s="37"/>
      <c r="E1221" s="37"/>
      <c r="F1221" s="37"/>
      <c r="G1221" s="35"/>
    </row>
    <row r="1222" spans="3:7" ht="15.75">
      <c r="C1222" s="37"/>
      <c r="D1222" s="37"/>
      <c r="E1222" s="37"/>
      <c r="F1222" s="37"/>
      <c r="G1222" s="35"/>
    </row>
    <row r="1223" spans="3:7" ht="15.75">
      <c r="C1223" s="37"/>
      <c r="D1223" s="37"/>
      <c r="E1223" s="37"/>
      <c r="F1223" s="37"/>
      <c r="G1223" s="35"/>
    </row>
    <row r="1224" spans="3:7" ht="15.75">
      <c r="C1224" s="37"/>
      <c r="D1224" s="37"/>
      <c r="E1224" s="37"/>
      <c r="F1224" s="37"/>
      <c r="G1224" s="35"/>
    </row>
    <row r="1225" spans="3:7" ht="15.75">
      <c r="C1225" s="37"/>
      <c r="D1225" s="37"/>
      <c r="E1225" s="37"/>
      <c r="F1225" s="37"/>
      <c r="G1225" s="35"/>
    </row>
    <row r="1226" spans="3:7" ht="15.75">
      <c r="C1226" s="37"/>
      <c r="D1226" s="37"/>
      <c r="E1226" s="37"/>
      <c r="F1226" s="37"/>
      <c r="G1226" s="35"/>
    </row>
    <row r="1227" spans="3:7" ht="15.75">
      <c r="C1227" s="37"/>
      <c r="D1227" s="37"/>
      <c r="E1227" s="37"/>
      <c r="F1227" s="37"/>
      <c r="G1227" s="35"/>
    </row>
    <row r="1228" spans="3:7" ht="15.75">
      <c r="C1228" s="37"/>
      <c r="D1228" s="37"/>
      <c r="E1228" s="37"/>
      <c r="F1228" s="37"/>
      <c r="G1228" s="35"/>
    </row>
    <row r="1229" spans="3:7" ht="15.75">
      <c r="C1229" s="37"/>
      <c r="D1229" s="37"/>
      <c r="E1229" s="37"/>
      <c r="F1229" s="37"/>
      <c r="G1229" s="35"/>
    </row>
    <row r="1230" spans="3:7" ht="15.75">
      <c r="C1230" s="37"/>
      <c r="D1230" s="37"/>
      <c r="E1230" s="37"/>
      <c r="F1230" s="37"/>
      <c r="G1230" s="35"/>
    </row>
    <row r="1231" spans="3:7" ht="15.75">
      <c r="C1231" s="37"/>
      <c r="D1231" s="37"/>
      <c r="E1231" s="37"/>
      <c r="F1231" s="37"/>
      <c r="G1231" s="35"/>
    </row>
    <row r="1232" spans="3:7" ht="15.75">
      <c r="C1232" s="37"/>
      <c r="D1232" s="37"/>
      <c r="E1232" s="37"/>
      <c r="F1232" s="37"/>
      <c r="G1232" s="35"/>
    </row>
    <row r="1233" spans="3:7" ht="15.75">
      <c r="C1233" s="37"/>
      <c r="D1233" s="37"/>
      <c r="E1233" s="37"/>
      <c r="F1233" s="37"/>
      <c r="G1233" s="35"/>
    </row>
    <row r="1234" spans="3:7" ht="15.75">
      <c r="C1234" s="37"/>
      <c r="D1234" s="37"/>
      <c r="E1234" s="37"/>
      <c r="F1234" s="37"/>
      <c r="G1234" s="35"/>
    </row>
    <row r="1235" spans="3:7" ht="15.75">
      <c r="C1235" s="37"/>
      <c r="D1235" s="37"/>
      <c r="E1235" s="37"/>
      <c r="F1235" s="37"/>
      <c r="G1235" s="35"/>
    </row>
    <row r="1236" spans="3:7" ht="15.75">
      <c r="C1236" s="37"/>
      <c r="D1236" s="37"/>
      <c r="E1236" s="37"/>
      <c r="F1236" s="37"/>
      <c r="G1236" s="35"/>
    </row>
    <row r="1237" spans="3:7" ht="15.75">
      <c r="C1237" s="37"/>
      <c r="D1237" s="37"/>
      <c r="E1237" s="37"/>
      <c r="F1237" s="37"/>
      <c r="G1237" s="35"/>
    </row>
    <row r="1238" spans="3:7" ht="15.75">
      <c r="C1238" s="37"/>
      <c r="D1238" s="37"/>
      <c r="E1238" s="37"/>
      <c r="F1238" s="37"/>
      <c r="G1238" s="35"/>
    </row>
    <row r="1239" spans="3:7" ht="15.75">
      <c r="C1239" s="37"/>
      <c r="D1239" s="37"/>
      <c r="E1239" s="37"/>
      <c r="F1239" s="37"/>
      <c r="G1239" s="35"/>
    </row>
    <row r="1240" spans="3:7" ht="15.75">
      <c r="C1240" s="37"/>
      <c r="D1240" s="37"/>
      <c r="E1240" s="37"/>
      <c r="F1240" s="37"/>
      <c r="G1240" s="35"/>
    </row>
    <row r="1241" spans="3:7" ht="15.75">
      <c r="C1241" s="37"/>
      <c r="D1241" s="37"/>
      <c r="E1241" s="37"/>
      <c r="F1241" s="37"/>
      <c r="G1241" s="35"/>
    </row>
    <row r="1242" spans="3:7" ht="15.75">
      <c r="C1242" s="37"/>
      <c r="D1242" s="37"/>
      <c r="E1242" s="37"/>
      <c r="F1242" s="37"/>
      <c r="G1242" s="35"/>
    </row>
    <row r="1243" spans="3:7" ht="15.75">
      <c r="C1243" s="37"/>
      <c r="D1243" s="37"/>
      <c r="E1243" s="37"/>
      <c r="F1243" s="37"/>
      <c r="G1243" s="35"/>
    </row>
    <row r="1244" spans="3:7" ht="15.75">
      <c r="C1244" s="37"/>
      <c r="D1244" s="37"/>
      <c r="E1244" s="37"/>
      <c r="F1244" s="37"/>
      <c r="G1244" s="35"/>
    </row>
    <row r="1245" spans="3:7" ht="15.75">
      <c r="C1245" s="37"/>
      <c r="D1245" s="37"/>
      <c r="E1245" s="37"/>
      <c r="F1245" s="37"/>
      <c r="G1245" s="35"/>
    </row>
    <row r="1246" spans="3:7" ht="15.75">
      <c r="C1246" s="37"/>
      <c r="D1246" s="37"/>
      <c r="E1246" s="37"/>
      <c r="F1246" s="37"/>
      <c r="G1246" s="35"/>
    </row>
    <row r="1247" spans="3:7" ht="15.75">
      <c r="C1247" s="37"/>
      <c r="D1247" s="37"/>
      <c r="E1247" s="37"/>
      <c r="F1247" s="37"/>
      <c r="G1247" s="35"/>
    </row>
    <row r="1248" spans="3:7" ht="15.75">
      <c r="C1248" s="37"/>
      <c r="D1248" s="37"/>
      <c r="E1248" s="37"/>
      <c r="F1248" s="37"/>
      <c r="G1248" s="35"/>
    </row>
    <row r="1249" spans="3:7" ht="15.75">
      <c r="C1249" s="37"/>
      <c r="D1249" s="37"/>
      <c r="E1249" s="37"/>
      <c r="F1249" s="37"/>
      <c r="G1249" s="35"/>
    </row>
    <row r="1250" spans="3:7" ht="15.75">
      <c r="C1250" s="37"/>
      <c r="D1250" s="37"/>
      <c r="E1250" s="37"/>
      <c r="F1250" s="37"/>
      <c r="G1250" s="35"/>
    </row>
    <row r="1251" spans="3:7" ht="15.75">
      <c r="C1251" s="37"/>
      <c r="D1251" s="37"/>
      <c r="E1251" s="37"/>
      <c r="F1251" s="37"/>
      <c r="G1251" s="35"/>
    </row>
    <row r="1252" spans="3:7" ht="15.75">
      <c r="C1252" s="37"/>
      <c r="D1252" s="37"/>
      <c r="E1252" s="37"/>
      <c r="F1252" s="37"/>
      <c r="G1252" s="35"/>
    </row>
    <row r="1253" spans="3:7" ht="15.75">
      <c r="C1253" s="37"/>
      <c r="D1253" s="37"/>
      <c r="E1253" s="37"/>
      <c r="F1253" s="37"/>
      <c r="G1253" s="35"/>
    </row>
    <row r="1254" spans="3:7" ht="15.75">
      <c r="C1254" s="37"/>
      <c r="D1254" s="37"/>
      <c r="E1254" s="37"/>
      <c r="F1254" s="37"/>
      <c r="G1254" s="35"/>
    </row>
    <row r="1255" spans="3:7" ht="15.75">
      <c r="C1255" s="37"/>
      <c r="D1255" s="37"/>
      <c r="E1255" s="37"/>
      <c r="F1255" s="37"/>
      <c r="G1255" s="35"/>
    </row>
    <row r="1256" spans="3:7" ht="15.75">
      <c r="C1256" s="37"/>
      <c r="D1256" s="37"/>
      <c r="E1256" s="37"/>
      <c r="F1256" s="37"/>
      <c r="G1256" s="35"/>
    </row>
    <row r="1257" spans="3:6" ht="15.75">
      <c r="C1257" s="37"/>
      <c r="D1257" s="37"/>
      <c r="E1257" s="37"/>
      <c r="F1257" s="37"/>
    </row>
    <row r="1258" spans="3:6" ht="15.75">
      <c r="C1258" s="37"/>
      <c r="D1258" s="37"/>
      <c r="E1258" s="37"/>
      <c r="F1258" s="37"/>
    </row>
    <row r="1259" spans="3:6" ht="15.75">
      <c r="C1259" s="37"/>
      <c r="D1259" s="37"/>
      <c r="E1259" s="37"/>
      <c r="F1259" s="37"/>
    </row>
    <row r="1260" spans="3:6" ht="15.75">
      <c r="C1260" s="37"/>
      <c r="D1260" s="37"/>
      <c r="E1260" s="37"/>
      <c r="F1260" s="37"/>
    </row>
    <row r="1261" spans="3:6" ht="15.75">
      <c r="C1261" s="37"/>
      <c r="D1261" s="37"/>
      <c r="E1261" s="37"/>
      <c r="F1261" s="37"/>
    </row>
    <row r="1262" spans="3:6" ht="15.75">
      <c r="C1262" s="37"/>
      <c r="D1262" s="37"/>
      <c r="E1262" s="37"/>
      <c r="F1262" s="37"/>
    </row>
    <row r="1263" spans="3:6" ht="15.75">
      <c r="C1263" s="37"/>
      <c r="D1263" s="37"/>
      <c r="E1263" s="37"/>
      <c r="F1263" s="37"/>
    </row>
    <row r="1264" spans="3:6" ht="15.75">
      <c r="C1264" s="37"/>
      <c r="D1264" s="37"/>
      <c r="E1264" s="37"/>
      <c r="F1264" s="37"/>
    </row>
    <row r="1265" spans="3:6" ht="15.75">
      <c r="C1265" s="37"/>
      <c r="D1265" s="37"/>
      <c r="E1265" s="37"/>
      <c r="F1265" s="37"/>
    </row>
    <row r="1266" spans="3:6" ht="15.75">
      <c r="C1266" s="37"/>
      <c r="D1266" s="37"/>
      <c r="E1266" s="37"/>
      <c r="F1266" s="37"/>
    </row>
    <row r="1267" spans="3:6" ht="15.75">
      <c r="C1267" s="37"/>
      <c r="D1267" s="37"/>
      <c r="E1267" s="37"/>
      <c r="F1267" s="37"/>
    </row>
    <row r="1268" spans="3:6" ht="15.75">
      <c r="C1268" s="37"/>
      <c r="D1268" s="37"/>
      <c r="E1268" s="37"/>
      <c r="F1268" s="37"/>
    </row>
    <row r="1269" spans="3:6" ht="15.75">
      <c r="C1269" s="37"/>
      <c r="D1269" s="37"/>
      <c r="E1269" s="37"/>
      <c r="F1269" s="37"/>
    </row>
    <row r="1270" spans="3:6" ht="15.75">
      <c r="C1270" s="37"/>
      <c r="D1270" s="37"/>
      <c r="E1270" s="37"/>
      <c r="F1270" s="37"/>
    </row>
    <row r="1271" spans="3:6" ht="15.75">
      <c r="C1271" s="37"/>
      <c r="D1271" s="37"/>
      <c r="E1271" s="37"/>
      <c r="F1271" s="37"/>
    </row>
    <row r="1272" spans="3:6" ht="15.75">
      <c r="C1272" s="37"/>
      <c r="D1272" s="37"/>
      <c r="E1272" s="37"/>
      <c r="F1272" s="37"/>
    </row>
    <row r="1273" spans="3:6" ht="15.75">
      <c r="C1273" s="37"/>
      <c r="D1273" s="37"/>
      <c r="E1273" s="37"/>
      <c r="F1273" s="37"/>
    </row>
    <row r="1274" spans="3:6" ht="15.75">
      <c r="C1274" s="37"/>
      <c r="D1274" s="37"/>
      <c r="E1274" s="37"/>
      <c r="F1274" s="37"/>
    </row>
    <row r="1275" spans="3:6" ht="15.75">
      <c r="C1275" s="37"/>
      <c r="D1275" s="37"/>
      <c r="E1275" s="37"/>
      <c r="F1275" s="37"/>
    </row>
    <row r="1276" spans="3:6" ht="15.75">
      <c r="C1276" s="37"/>
      <c r="D1276" s="37"/>
      <c r="E1276" s="37"/>
      <c r="F1276" s="37"/>
    </row>
    <row r="1277" spans="3:6" ht="15.75">
      <c r="C1277" s="37"/>
      <c r="D1277" s="37"/>
      <c r="E1277" s="37"/>
      <c r="F1277" s="37"/>
    </row>
    <row r="1278" spans="3:6" ht="15.75">
      <c r="C1278" s="37"/>
      <c r="D1278" s="37"/>
      <c r="E1278" s="37"/>
      <c r="F1278" s="37"/>
    </row>
    <row r="1279" spans="3:6" ht="15.75">
      <c r="C1279" s="37"/>
      <c r="D1279" s="37"/>
      <c r="E1279" s="37"/>
      <c r="F1279" s="37"/>
    </row>
    <row r="1280" spans="3:6" ht="15.75">
      <c r="C1280" s="37"/>
      <c r="D1280" s="37"/>
      <c r="E1280" s="37"/>
      <c r="F1280" s="37"/>
    </row>
    <row r="1281" spans="3:6" ht="15.75">
      <c r="C1281" s="37"/>
      <c r="D1281" s="37"/>
      <c r="E1281" s="37"/>
      <c r="F1281" s="37"/>
    </row>
    <row r="1282" spans="3:6" ht="15.75">
      <c r="C1282" s="37"/>
      <c r="D1282" s="37"/>
      <c r="E1282" s="37"/>
      <c r="F1282" s="37"/>
    </row>
    <row r="1283" spans="3:6" ht="15.75">
      <c r="C1283" s="37"/>
      <c r="D1283" s="37"/>
      <c r="E1283" s="37"/>
      <c r="F1283" s="37"/>
    </row>
    <row r="1284" spans="3:6" ht="15.75">
      <c r="C1284" s="37"/>
      <c r="D1284" s="37"/>
      <c r="E1284" s="37"/>
      <c r="F1284" s="37"/>
    </row>
    <row r="1285" spans="3:6" ht="15.75">
      <c r="C1285" s="37"/>
      <c r="D1285" s="37"/>
      <c r="E1285" s="37"/>
      <c r="F1285" s="37"/>
    </row>
    <row r="1286" spans="3:6" ht="15.75">
      <c r="C1286" s="37"/>
      <c r="D1286" s="37"/>
      <c r="E1286" s="37"/>
      <c r="F1286" s="37"/>
    </row>
    <row r="1287" spans="3:6" ht="15.75">
      <c r="C1287" s="37"/>
      <c r="D1287" s="37"/>
      <c r="E1287" s="37"/>
      <c r="F1287" s="37"/>
    </row>
    <row r="1288" spans="3:6" ht="15.75">
      <c r="C1288" s="37"/>
      <c r="D1288" s="37"/>
      <c r="E1288" s="37"/>
      <c r="F1288" s="37"/>
    </row>
    <row r="1289" spans="3:6" ht="15.75">
      <c r="C1289" s="37"/>
      <c r="D1289" s="37"/>
      <c r="E1289" s="37"/>
      <c r="F1289" s="37"/>
    </row>
    <row r="1290" spans="3:6" ht="15.75">
      <c r="C1290" s="37"/>
      <c r="D1290" s="37"/>
      <c r="E1290" s="37"/>
      <c r="F1290" s="37"/>
    </row>
    <row r="1291" spans="3:6" ht="15.75">
      <c r="C1291" s="37"/>
      <c r="D1291" s="37"/>
      <c r="E1291" s="37"/>
      <c r="F1291" s="37"/>
    </row>
    <row r="1292" spans="3:6" ht="15.75">
      <c r="C1292" s="37"/>
      <c r="D1292" s="37"/>
      <c r="E1292" s="37"/>
      <c r="F1292" s="37"/>
    </row>
    <row r="1293" spans="3:6" ht="15.75">
      <c r="C1293" s="37"/>
      <c r="D1293" s="37"/>
      <c r="E1293" s="37"/>
      <c r="F1293" s="37"/>
    </row>
    <row r="1294" spans="3:6" ht="15.75">
      <c r="C1294" s="37"/>
      <c r="D1294" s="37"/>
      <c r="E1294" s="37"/>
      <c r="F1294" s="37"/>
    </row>
    <row r="1295" spans="3:6" ht="15.75">
      <c r="C1295" s="37"/>
      <c r="D1295" s="37"/>
      <c r="E1295" s="37"/>
      <c r="F1295" s="37"/>
    </row>
    <row r="1296" spans="3:6" ht="15.75">
      <c r="C1296" s="37"/>
      <c r="D1296" s="37"/>
      <c r="E1296" s="37"/>
      <c r="F1296" s="37"/>
    </row>
    <row r="1297" spans="3:6" ht="15.75">
      <c r="C1297" s="37"/>
      <c r="D1297" s="37"/>
      <c r="E1297" s="37"/>
      <c r="F1297" s="37"/>
    </row>
    <row r="1298" spans="3:6" ht="15.75">
      <c r="C1298" s="37"/>
      <c r="D1298" s="37"/>
      <c r="E1298" s="37"/>
      <c r="F1298" s="37"/>
    </row>
    <row r="1299" spans="3:6" ht="15.75">
      <c r="C1299" s="37"/>
      <c r="D1299" s="37"/>
      <c r="E1299" s="37"/>
      <c r="F1299" s="37"/>
    </row>
    <row r="1300" spans="3:6" ht="15.75">
      <c r="C1300" s="37"/>
      <c r="D1300" s="37"/>
      <c r="E1300" s="37"/>
      <c r="F1300" s="37"/>
    </row>
    <row r="1301" spans="3:6" ht="15.75">
      <c r="C1301" s="37"/>
      <c r="D1301" s="37"/>
      <c r="E1301" s="37"/>
      <c r="F1301" s="37"/>
    </row>
    <row r="1302" spans="3:6" ht="15.75">
      <c r="C1302" s="37"/>
      <c r="D1302" s="37"/>
      <c r="E1302" s="37"/>
      <c r="F1302" s="37"/>
    </row>
    <row r="1303" spans="3:6" ht="15.75">
      <c r="C1303" s="37"/>
      <c r="D1303" s="37"/>
      <c r="E1303" s="37"/>
      <c r="F1303" s="37"/>
    </row>
    <row r="1304" spans="3:6" ht="15.75">
      <c r="C1304" s="37"/>
      <c r="D1304" s="37"/>
      <c r="E1304" s="37"/>
      <c r="F1304" s="37"/>
    </row>
    <row r="1305" spans="3:6" ht="15.75">
      <c r="C1305" s="37"/>
      <c r="D1305" s="37"/>
      <c r="E1305" s="37"/>
      <c r="F1305" s="37"/>
    </row>
    <row r="1306" spans="3:6" ht="15.75">
      <c r="C1306" s="37"/>
      <c r="D1306" s="37"/>
      <c r="E1306" s="37"/>
      <c r="F1306" s="37"/>
    </row>
    <row r="1307" spans="3:6" ht="15.75">
      <c r="C1307" s="37"/>
      <c r="D1307" s="37"/>
      <c r="E1307" s="37"/>
      <c r="F1307" s="37"/>
    </row>
    <row r="1308" spans="3:6" ht="15.75">
      <c r="C1308" s="37"/>
      <c r="D1308" s="37"/>
      <c r="E1308" s="37"/>
      <c r="F1308" s="37"/>
    </row>
    <row r="1309" spans="3:6" ht="15.75">
      <c r="C1309" s="37"/>
      <c r="D1309" s="37"/>
      <c r="E1309" s="37"/>
      <c r="F1309" s="37"/>
    </row>
    <row r="1310" spans="3:6" ht="15.75">
      <c r="C1310" s="37"/>
      <c r="D1310" s="37"/>
      <c r="E1310" s="37"/>
      <c r="F1310" s="37"/>
    </row>
    <row r="1311" spans="3:6" ht="15.75">
      <c r="C1311" s="37"/>
      <c r="D1311" s="37"/>
      <c r="E1311" s="37"/>
      <c r="F1311" s="37"/>
    </row>
    <row r="1312" spans="3:6" ht="15.75">
      <c r="C1312" s="37"/>
      <c r="D1312" s="37"/>
      <c r="E1312" s="37"/>
      <c r="F1312" s="37"/>
    </row>
    <row r="1313" spans="3:6" ht="15.75">
      <c r="C1313" s="37"/>
      <c r="D1313" s="37"/>
      <c r="E1313" s="37"/>
      <c r="F1313" s="37"/>
    </row>
    <row r="1314" spans="3:6" ht="15.75">
      <c r="C1314" s="37"/>
      <c r="D1314" s="37"/>
      <c r="E1314" s="37"/>
      <c r="F1314" s="37"/>
    </row>
    <row r="1315" spans="3:6" ht="15.75">
      <c r="C1315" s="37"/>
      <c r="D1315" s="37"/>
      <c r="E1315" s="37"/>
      <c r="F1315" s="37"/>
    </row>
    <row r="1316" spans="3:6" ht="15.75">
      <c r="C1316" s="37"/>
      <c r="D1316" s="37"/>
      <c r="E1316" s="37"/>
      <c r="F1316" s="37"/>
    </row>
    <row r="1317" spans="3:6" ht="15.75">
      <c r="C1317" s="37"/>
      <c r="D1317" s="37"/>
      <c r="E1317" s="37"/>
      <c r="F1317" s="37"/>
    </row>
    <row r="1318" spans="3:6" ht="15.75">
      <c r="C1318" s="37"/>
      <c r="D1318" s="37"/>
      <c r="E1318" s="37"/>
      <c r="F1318" s="37"/>
    </row>
    <row r="1319" spans="3:6" ht="15.75">
      <c r="C1319" s="37"/>
      <c r="D1319" s="37"/>
      <c r="E1319" s="37"/>
      <c r="F1319" s="37"/>
    </row>
    <row r="1320" spans="3:6" ht="15.75">
      <c r="C1320" s="37"/>
      <c r="D1320" s="37"/>
      <c r="E1320" s="37"/>
      <c r="F1320" s="37"/>
    </row>
    <row r="1321" spans="3:6" ht="15.75">
      <c r="C1321" s="37"/>
      <c r="D1321" s="37"/>
      <c r="E1321" s="37"/>
      <c r="F1321" s="37"/>
    </row>
    <row r="1322" spans="3:6" ht="15.75">
      <c r="C1322" s="37"/>
      <c r="D1322" s="37"/>
      <c r="E1322" s="37"/>
      <c r="F1322" s="37"/>
    </row>
    <row r="1323" spans="3:6" ht="15.75">
      <c r="C1323" s="37"/>
      <c r="D1323" s="37"/>
      <c r="E1323" s="37"/>
      <c r="F1323" s="37"/>
    </row>
    <row r="1324" spans="3:6" ht="15.75">
      <c r="C1324" s="37"/>
      <c r="D1324" s="37"/>
      <c r="E1324" s="37"/>
      <c r="F1324" s="37"/>
    </row>
    <row r="1325" spans="3:6" ht="15.75">
      <c r="C1325" s="37"/>
      <c r="D1325" s="37"/>
      <c r="E1325" s="37"/>
      <c r="F1325" s="37"/>
    </row>
    <row r="1326" spans="3:6" ht="15.75">
      <c r="C1326" s="37"/>
      <c r="D1326" s="37"/>
      <c r="E1326" s="37"/>
      <c r="F1326" s="37"/>
    </row>
    <row r="1327" spans="3:6" ht="15.75">
      <c r="C1327" s="37"/>
      <c r="D1327" s="37"/>
      <c r="E1327" s="37"/>
      <c r="F1327" s="37"/>
    </row>
    <row r="1328" spans="3:6" ht="15.75">
      <c r="C1328" s="37"/>
      <c r="D1328" s="37"/>
      <c r="E1328" s="37"/>
      <c r="F1328" s="37"/>
    </row>
    <row r="1329" spans="3:6" ht="15.75">
      <c r="C1329" s="37"/>
      <c r="D1329" s="37"/>
      <c r="E1329" s="37"/>
      <c r="F1329" s="37"/>
    </row>
    <row r="1330" spans="3:6" ht="15.75">
      <c r="C1330" s="37"/>
      <c r="D1330" s="37"/>
      <c r="E1330" s="37"/>
      <c r="F1330" s="37"/>
    </row>
    <row r="1331" spans="3:6" ht="15.75">
      <c r="C1331" s="37"/>
      <c r="D1331" s="37"/>
      <c r="E1331" s="37"/>
      <c r="F1331" s="37"/>
    </row>
    <row r="1332" spans="3:6" ht="15.75">
      <c r="C1332" s="37"/>
      <c r="D1332" s="37"/>
      <c r="E1332" s="37"/>
      <c r="F1332" s="37"/>
    </row>
    <row r="1333" spans="3:6" ht="15.75">
      <c r="C1333" s="37"/>
      <c r="D1333" s="37"/>
      <c r="E1333" s="37"/>
      <c r="F1333" s="37"/>
    </row>
    <row r="1334" spans="3:6" ht="15.75">
      <c r="C1334" s="37"/>
      <c r="D1334" s="37"/>
      <c r="E1334" s="37"/>
      <c r="F1334" s="37"/>
    </row>
    <row r="1335" spans="3:6" ht="15.75">
      <c r="C1335" s="37"/>
      <c r="D1335" s="37"/>
      <c r="E1335" s="37"/>
      <c r="F1335" s="37"/>
    </row>
    <row r="1336" spans="3:6" ht="15.75">
      <c r="C1336" s="37"/>
      <c r="D1336" s="37"/>
      <c r="E1336" s="37"/>
      <c r="F1336" s="37"/>
    </row>
    <row r="1337" spans="3:6" ht="15.75">
      <c r="C1337" s="37"/>
      <c r="D1337" s="37"/>
      <c r="E1337" s="37"/>
      <c r="F1337" s="37"/>
    </row>
    <row r="1338" spans="3:6" ht="15.75">
      <c r="C1338" s="37"/>
      <c r="D1338" s="37"/>
      <c r="E1338" s="37"/>
      <c r="F1338" s="37"/>
    </row>
    <row r="1339" spans="3:6" ht="15.75">
      <c r="C1339" s="37"/>
      <c r="D1339" s="37"/>
      <c r="E1339" s="37"/>
      <c r="F1339" s="37"/>
    </row>
    <row r="1340" spans="3:6" ht="15.75">
      <c r="C1340" s="37"/>
      <c r="D1340" s="37"/>
      <c r="E1340" s="37"/>
      <c r="F1340" s="37"/>
    </row>
    <row r="1341" spans="3:6" ht="15.75">
      <c r="C1341" s="37"/>
      <c r="D1341" s="37"/>
      <c r="E1341" s="37"/>
      <c r="F1341" s="37"/>
    </row>
    <row r="1342" spans="3:6" ht="15.75">
      <c r="C1342" s="37"/>
      <c r="D1342" s="37"/>
      <c r="E1342" s="37"/>
      <c r="F1342" s="37"/>
    </row>
    <row r="1343" spans="3:6" ht="15.75">
      <c r="C1343" s="37"/>
      <c r="D1343" s="37"/>
      <c r="E1343" s="37"/>
      <c r="F1343" s="37"/>
    </row>
    <row r="1344" spans="3:6" ht="15.75">
      <c r="C1344" s="37"/>
      <c r="D1344" s="37"/>
      <c r="E1344" s="37"/>
      <c r="F1344" s="37"/>
    </row>
    <row r="1345" spans="3:6" ht="15.75">
      <c r="C1345" s="37"/>
      <c r="D1345" s="37"/>
      <c r="E1345" s="37"/>
      <c r="F1345" s="37"/>
    </row>
    <row r="1346" spans="3:6" ht="15.75">
      <c r="C1346" s="37"/>
      <c r="D1346" s="37"/>
      <c r="E1346" s="37"/>
      <c r="F1346" s="37"/>
    </row>
    <row r="1347" spans="3:6" ht="15.75">
      <c r="C1347" s="37"/>
      <c r="D1347" s="37"/>
      <c r="E1347" s="37"/>
      <c r="F1347" s="37"/>
    </row>
    <row r="1348" spans="3:6" ht="15.75">
      <c r="C1348" s="37"/>
      <c r="D1348" s="37"/>
      <c r="E1348" s="37"/>
      <c r="F1348" s="37"/>
    </row>
    <row r="1349" spans="3:6" ht="15.75">
      <c r="C1349" s="37"/>
      <c r="D1349" s="37"/>
      <c r="E1349" s="37"/>
      <c r="F1349" s="37"/>
    </row>
    <row r="1350" spans="3:6" ht="15.75">
      <c r="C1350" s="37"/>
      <c r="D1350" s="37"/>
      <c r="E1350" s="37"/>
      <c r="F1350" s="37"/>
    </row>
    <row r="1351" spans="3:6" ht="15.75">
      <c r="C1351" s="37"/>
      <c r="D1351" s="37"/>
      <c r="E1351" s="37"/>
      <c r="F1351" s="37"/>
    </row>
    <row r="1352" spans="3:6" ht="15.75">
      <c r="C1352" s="37"/>
      <c r="D1352" s="37"/>
      <c r="E1352" s="37"/>
      <c r="F1352" s="37"/>
    </row>
    <row r="1353" spans="3:6" ht="15.75">
      <c r="C1353" s="37"/>
      <c r="D1353" s="37"/>
      <c r="E1353" s="37"/>
      <c r="F1353" s="37"/>
    </row>
    <row r="1354" spans="3:6" ht="15.75">
      <c r="C1354" s="37"/>
      <c r="D1354" s="37"/>
      <c r="E1354" s="37"/>
      <c r="F1354" s="37"/>
    </row>
    <row r="1355" spans="3:6" ht="15.75">
      <c r="C1355" s="37"/>
      <c r="D1355" s="37"/>
      <c r="E1355" s="37"/>
      <c r="F1355" s="37"/>
    </row>
    <row r="1356" spans="3:6" ht="15.75">
      <c r="C1356" s="37"/>
      <c r="D1356" s="37"/>
      <c r="E1356" s="37"/>
      <c r="F1356" s="37"/>
    </row>
    <row r="1357" spans="3:6" ht="15.75">
      <c r="C1357" s="37"/>
      <c r="D1357" s="37"/>
      <c r="E1357" s="37"/>
      <c r="F1357" s="37"/>
    </row>
    <row r="1358" spans="3:6" ht="15.75">
      <c r="C1358" s="37"/>
      <c r="D1358" s="37"/>
      <c r="E1358" s="37"/>
      <c r="F1358" s="37"/>
    </row>
    <row r="1359" spans="3:6" ht="15.75">
      <c r="C1359" s="37"/>
      <c r="D1359" s="37"/>
      <c r="E1359" s="37"/>
      <c r="F1359" s="37"/>
    </row>
    <row r="1360" spans="3:6" ht="15.75">
      <c r="C1360" s="37"/>
      <c r="D1360" s="37"/>
      <c r="E1360" s="37"/>
      <c r="F1360" s="37"/>
    </row>
    <row r="1361" spans="3:6" ht="15.75">
      <c r="C1361" s="37"/>
      <c r="D1361" s="37"/>
      <c r="E1361" s="37"/>
      <c r="F1361" s="37"/>
    </row>
    <row r="1362" spans="3:6" ht="15.75">
      <c r="C1362" s="37"/>
      <c r="D1362" s="37"/>
      <c r="E1362" s="37"/>
      <c r="F1362" s="37"/>
    </row>
    <row r="1363" spans="3:6" ht="15.75">
      <c r="C1363" s="37"/>
      <c r="D1363" s="37"/>
      <c r="E1363" s="37"/>
      <c r="F1363" s="37"/>
    </row>
    <row r="1364" spans="3:6" ht="15.75">
      <c r="C1364" s="37"/>
      <c r="D1364" s="37"/>
      <c r="E1364" s="37"/>
      <c r="F1364" s="37"/>
    </row>
    <row r="1365" spans="3:6" ht="15.75">
      <c r="C1365" s="37"/>
      <c r="D1365" s="37"/>
      <c r="E1365" s="37"/>
      <c r="F1365" s="37"/>
    </row>
    <row r="1366" spans="3:6" ht="15.75">
      <c r="C1366" s="37"/>
      <c r="D1366" s="37"/>
      <c r="E1366" s="37"/>
      <c r="F1366" s="37"/>
    </row>
    <row r="1367" spans="3:6" ht="15.75">
      <c r="C1367" s="37"/>
      <c r="D1367" s="37"/>
      <c r="E1367" s="37"/>
      <c r="F1367" s="37"/>
    </row>
    <row r="1368" spans="3:6" ht="15.75">
      <c r="C1368" s="37"/>
      <c r="D1368" s="37"/>
      <c r="E1368" s="37"/>
      <c r="F1368" s="37"/>
    </row>
    <row r="1369" spans="3:6" ht="15.75">
      <c r="C1369" s="37"/>
      <c r="D1369" s="37"/>
      <c r="E1369" s="37"/>
      <c r="F1369" s="37"/>
    </row>
    <row r="1370" spans="3:6" ht="15.75">
      <c r="C1370" s="37"/>
      <c r="D1370" s="37"/>
      <c r="E1370" s="37"/>
      <c r="F1370" s="37"/>
    </row>
    <row r="1371" spans="3:6" ht="15.75">
      <c r="C1371" s="37"/>
      <c r="D1371" s="37"/>
      <c r="E1371" s="37"/>
      <c r="F1371" s="37"/>
    </row>
    <row r="1372" spans="3:6" ht="15.75">
      <c r="C1372" s="37"/>
      <c r="D1372" s="37"/>
      <c r="E1372" s="37"/>
      <c r="F1372" s="37"/>
    </row>
    <row r="1373" spans="3:6" ht="15.75">
      <c r="C1373" s="37"/>
      <c r="D1373" s="37"/>
      <c r="E1373" s="37"/>
      <c r="F1373" s="37"/>
    </row>
    <row r="1374" spans="3:6" ht="15.75">
      <c r="C1374" s="37"/>
      <c r="D1374" s="37"/>
      <c r="E1374" s="37"/>
      <c r="F1374" s="37"/>
    </row>
    <row r="1375" spans="3:6" ht="15.75">
      <c r="C1375" s="37"/>
      <c r="D1375" s="37"/>
      <c r="E1375" s="37"/>
      <c r="F1375" s="37"/>
    </row>
    <row r="1376" spans="3:6" ht="15.75">
      <c r="C1376" s="37"/>
      <c r="D1376" s="37"/>
      <c r="E1376" s="37"/>
      <c r="F1376" s="37"/>
    </row>
    <row r="1377" spans="3:6" ht="15.75">
      <c r="C1377" s="37"/>
      <c r="D1377" s="37"/>
      <c r="E1377" s="37"/>
      <c r="F1377" s="37"/>
    </row>
    <row r="1378" spans="3:6" ht="15.75">
      <c r="C1378" s="37"/>
      <c r="D1378" s="37"/>
      <c r="E1378" s="37"/>
      <c r="F1378" s="37"/>
    </row>
    <row r="1379" spans="3:6" ht="15.75">
      <c r="C1379" s="37"/>
      <c r="D1379" s="37"/>
      <c r="E1379" s="37"/>
      <c r="F1379" s="37"/>
    </row>
    <row r="1380" spans="3:6" ht="15.75">
      <c r="C1380" s="37"/>
      <c r="D1380" s="37"/>
      <c r="E1380" s="37"/>
      <c r="F1380" s="37"/>
    </row>
    <row r="1381" spans="3:6" ht="15.75">
      <c r="C1381" s="37"/>
      <c r="D1381" s="37"/>
      <c r="E1381" s="37"/>
      <c r="F1381" s="37"/>
    </row>
    <row r="1382" spans="3:6" ht="15.75">
      <c r="C1382" s="37"/>
      <c r="D1382" s="37"/>
      <c r="E1382" s="37"/>
      <c r="F1382" s="37"/>
    </row>
    <row r="1383" spans="3:6" ht="15.75">
      <c r="C1383" s="37"/>
      <c r="D1383" s="37"/>
      <c r="E1383" s="37"/>
      <c r="F1383" s="37"/>
    </row>
    <row r="1384" spans="3:6" ht="15.75">
      <c r="C1384" s="37"/>
      <c r="D1384" s="37"/>
      <c r="E1384" s="37"/>
      <c r="F1384" s="37"/>
    </row>
    <row r="1385" spans="3:6" ht="15.75">
      <c r="C1385" s="37"/>
      <c r="D1385" s="37"/>
      <c r="E1385" s="37"/>
      <c r="F1385" s="37"/>
    </row>
    <row r="1386" spans="3:6" ht="15.75">
      <c r="C1386" s="37"/>
      <c r="D1386" s="37"/>
      <c r="E1386" s="37"/>
      <c r="F1386" s="37"/>
    </row>
    <row r="1387" spans="3:6" ht="15.75">
      <c r="C1387" s="37"/>
      <c r="D1387" s="37"/>
      <c r="E1387" s="37"/>
      <c r="F1387" s="37"/>
    </row>
    <row r="1388" spans="3:6" ht="15.75">
      <c r="C1388" s="37"/>
      <c r="D1388" s="37"/>
      <c r="E1388" s="37"/>
      <c r="F1388" s="37"/>
    </row>
    <row r="1389" spans="3:6" ht="15.75">
      <c r="C1389" s="37"/>
      <c r="D1389" s="37"/>
      <c r="E1389" s="37"/>
      <c r="F1389" s="37"/>
    </row>
    <row r="1390" spans="3:6" ht="15.75">
      <c r="C1390" s="37"/>
      <c r="D1390" s="37"/>
      <c r="E1390" s="37"/>
      <c r="F1390" s="37"/>
    </row>
    <row r="1391" spans="3:6" ht="15.75">
      <c r="C1391" s="37"/>
      <c r="D1391" s="37"/>
      <c r="E1391" s="37"/>
      <c r="F1391" s="37"/>
    </row>
    <row r="1392" spans="3:6" ht="15.75">
      <c r="C1392" s="37"/>
      <c r="D1392" s="37"/>
      <c r="E1392" s="37"/>
      <c r="F1392" s="37"/>
    </row>
    <row r="1393" spans="3:6" ht="15.75">
      <c r="C1393" s="37"/>
      <c r="D1393" s="37"/>
      <c r="E1393" s="37"/>
      <c r="F1393" s="37"/>
    </row>
    <row r="1394" spans="3:6" ht="15.75">
      <c r="C1394" s="37"/>
      <c r="D1394" s="37"/>
      <c r="E1394" s="37"/>
      <c r="F1394" s="37"/>
    </row>
    <row r="1395" spans="3:6" ht="15.75">
      <c r="C1395" s="37"/>
      <c r="D1395" s="37"/>
      <c r="E1395" s="37"/>
      <c r="F1395" s="37"/>
    </row>
    <row r="1396" spans="3:6" ht="15.75">
      <c r="C1396" s="37"/>
      <c r="D1396" s="37"/>
      <c r="E1396" s="37"/>
      <c r="F1396" s="37"/>
    </row>
    <row r="1397" spans="3:6" ht="15.75">
      <c r="C1397" s="37"/>
      <c r="D1397" s="37"/>
      <c r="E1397" s="37"/>
      <c r="F1397" s="37"/>
    </row>
    <row r="1398" spans="3:6" ht="15.75">
      <c r="C1398" s="37"/>
      <c r="D1398" s="37"/>
      <c r="E1398" s="37"/>
      <c r="F1398" s="37"/>
    </row>
    <row r="1399" spans="3:6" ht="15.75">
      <c r="C1399" s="37"/>
      <c r="D1399" s="37"/>
      <c r="E1399" s="37"/>
      <c r="F1399" s="37"/>
    </row>
    <row r="1400" spans="3:6" ht="15.75">
      <c r="C1400" s="37"/>
      <c r="D1400" s="37"/>
      <c r="E1400" s="37"/>
      <c r="F1400" s="37"/>
    </row>
    <row r="1401" spans="3:6" ht="15.75">
      <c r="C1401" s="37"/>
      <c r="D1401" s="37"/>
      <c r="E1401" s="37"/>
      <c r="F1401" s="37"/>
    </row>
    <row r="1402" spans="3:6" ht="15.75">
      <c r="C1402" s="37"/>
      <c r="D1402" s="37"/>
      <c r="E1402" s="37"/>
      <c r="F1402" s="37"/>
    </row>
    <row r="1403" spans="3:6" ht="15.75">
      <c r="C1403" s="37"/>
      <c r="D1403" s="37"/>
      <c r="E1403" s="37"/>
      <c r="F1403" s="37"/>
    </row>
    <row r="1404" spans="3:6" ht="15.75">
      <c r="C1404" s="37"/>
      <c r="D1404" s="37"/>
      <c r="E1404" s="37"/>
      <c r="F1404" s="37"/>
    </row>
    <row r="1405" spans="3:6" ht="15.75">
      <c r="C1405" s="37"/>
      <c r="D1405" s="37"/>
      <c r="E1405" s="37"/>
      <c r="F1405" s="37"/>
    </row>
    <row r="1406" spans="3:6" ht="15.75">
      <c r="C1406" s="37"/>
      <c r="D1406" s="37"/>
      <c r="E1406" s="37"/>
      <c r="F1406" s="37"/>
    </row>
    <row r="1407" spans="3:6" ht="15.75">
      <c r="C1407" s="37"/>
      <c r="D1407" s="37"/>
      <c r="E1407" s="37"/>
      <c r="F1407" s="37"/>
    </row>
    <row r="1408" spans="3:6" ht="15.75">
      <c r="C1408" s="37"/>
      <c r="D1408" s="37"/>
      <c r="E1408" s="37"/>
      <c r="F1408" s="37"/>
    </row>
    <row r="1409" spans="3:6" ht="15.75">
      <c r="C1409" s="37"/>
      <c r="D1409" s="37"/>
      <c r="E1409" s="37"/>
      <c r="F1409" s="37"/>
    </row>
    <row r="1410" spans="3:6" ht="15.75">
      <c r="C1410" s="37"/>
      <c r="D1410" s="37"/>
      <c r="E1410" s="37"/>
      <c r="F1410" s="37"/>
    </row>
    <row r="1411" spans="3:6" ht="15.75">
      <c r="C1411" s="37"/>
      <c r="D1411" s="37"/>
      <c r="E1411" s="37"/>
      <c r="F1411" s="37"/>
    </row>
    <row r="1412" spans="3:6" ht="15.75">
      <c r="C1412" s="37"/>
      <c r="D1412" s="37"/>
      <c r="E1412" s="37"/>
      <c r="F1412" s="37"/>
    </row>
    <row r="1413" spans="3:6" ht="15.75">
      <c r="C1413" s="37"/>
      <c r="D1413" s="37"/>
      <c r="E1413" s="37"/>
      <c r="F1413" s="37"/>
    </row>
    <row r="1414" spans="3:6" ht="15.75">
      <c r="C1414" s="37"/>
      <c r="D1414" s="37"/>
      <c r="E1414" s="37"/>
      <c r="F1414" s="37"/>
    </row>
    <row r="1415" spans="3:6" ht="15.75">
      <c r="C1415" s="37"/>
      <c r="D1415" s="37"/>
      <c r="E1415" s="37"/>
      <c r="F1415" s="37"/>
    </row>
    <row r="1416" spans="3:6" ht="15.75">
      <c r="C1416" s="37"/>
      <c r="D1416" s="37"/>
      <c r="E1416" s="37"/>
      <c r="F1416" s="37"/>
    </row>
    <row r="1417" spans="3:6" ht="15.75">
      <c r="C1417" s="37"/>
      <c r="D1417" s="37"/>
      <c r="E1417" s="37"/>
      <c r="F1417" s="37"/>
    </row>
    <row r="1418" spans="3:6" ht="15.75">
      <c r="C1418" s="37"/>
      <c r="D1418" s="37"/>
      <c r="E1418" s="37"/>
      <c r="F1418" s="37"/>
    </row>
    <row r="1419" spans="3:6" ht="15.75">
      <c r="C1419" s="37"/>
      <c r="D1419" s="37"/>
      <c r="E1419" s="37"/>
      <c r="F1419" s="37"/>
    </row>
    <row r="1420" spans="3:6" ht="15.75">
      <c r="C1420" s="37"/>
      <c r="D1420" s="37"/>
      <c r="E1420" s="37"/>
      <c r="F1420" s="37"/>
    </row>
    <row r="1421" spans="3:6" ht="15.75">
      <c r="C1421" s="37"/>
      <c r="D1421" s="37"/>
      <c r="E1421" s="37"/>
      <c r="F1421" s="37"/>
    </row>
    <row r="1422" spans="3:6" ht="15.75">
      <c r="C1422" s="37"/>
      <c r="D1422" s="37"/>
      <c r="E1422" s="37"/>
      <c r="F1422" s="37"/>
    </row>
    <row r="1423" spans="3:6" ht="15.75">
      <c r="C1423" s="37"/>
      <c r="D1423" s="37"/>
      <c r="E1423" s="37"/>
      <c r="F1423" s="37"/>
    </row>
    <row r="1424" spans="3:6" ht="15.75">
      <c r="C1424" s="37"/>
      <c r="D1424" s="37"/>
      <c r="E1424" s="37"/>
      <c r="F1424" s="37"/>
    </row>
    <row r="1425" spans="3:6" ht="15.75">
      <c r="C1425" s="37"/>
      <c r="D1425" s="37"/>
      <c r="E1425" s="37"/>
      <c r="F1425" s="37"/>
    </row>
    <row r="1426" spans="3:6" ht="15.75">
      <c r="C1426" s="37"/>
      <c r="D1426" s="37"/>
      <c r="E1426" s="37"/>
      <c r="F1426" s="37"/>
    </row>
    <row r="1427" spans="3:6" ht="15.75">
      <c r="C1427" s="37"/>
      <c r="D1427" s="37"/>
      <c r="E1427" s="37"/>
      <c r="F1427" s="37"/>
    </row>
    <row r="1428" spans="3:6" ht="15.75">
      <c r="C1428" s="37"/>
      <c r="D1428" s="37"/>
      <c r="E1428" s="37"/>
      <c r="F1428" s="37"/>
    </row>
    <row r="1429" spans="3:6" ht="15.75">
      <c r="C1429" s="37"/>
      <c r="D1429" s="37"/>
      <c r="E1429" s="37"/>
      <c r="F1429" s="37"/>
    </row>
    <row r="1430" spans="3:6" ht="15.75">
      <c r="C1430" s="37"/>
      <c r="D1430" s="37"/>
      <c r="E1430" s="37"/>
      <c r="F1430" s="37"/>
    </row>
    <row r="1431" spans="3:6" ht="15.75">
      <c r="C1431" s="37"/>
      <c r="D1431" s="37"/>
      <c r="E1431" s="37"/>
      <c r="F1431" s="37"/>
    </row>
    <row r="1432" spans="3:6" ht="15.75">
      <c r="C1432" s="37"/>
      <c r="D1432" s="37"/>
      <c r="E1432" s="37"/>
      <c r="F1432" s="37"/>
    </row>
    <row r="1433" spans="3:6" ht="15.75">
      <c r="C1433" s="37"/>
      <c r="D1433" s="37"/>
      <c r="E1433" s="37"/>
      <c r="F1433" s="37"/>
    </row>
    <row r="1434" spans="3:6" ht="15.75">
      <c r="C1434" s="37"/>
      <c r="D1434" s="37"/>
      <c r="E1434" s="37"/>
      <c r="F1434" s="37"/>
    </row>
    <row r="1435" spans="3:6" ht="15.75">
      <c r="C1435" s="37"/>
      <c r="D1435" s="37"/>
      <c r="E1435" s="37"/>
      <c r="F1435" s="37"/>
    </row>
    <row r="1436" spans="3:6" ht="15.75">
      <c r="C1436" s="37"/>
      <c r="D1436" s="37"/>
      <c r="E1436" s="37"/>
      <c r="F1436" s="37"/>
    </row>
    <row r="1437" spans="3:6" ht="15.75">
      <c r="C1437" s="37"/>
      <c r="D1437" s="37"/>
      <c r="E1437" s="37"/>
      <c r="F1437" s="37"/>
    </row>
    <row r="1438" spans="3:6" ht="15.75">
      <c r="C1438" s="37"/>
      <c r="D1438" s="37"/>
      <c r="E1438" s="37"/>
      <c r="F1438" s="37"/>
    </row>
    <row r="1439" spans="3:6" ht="15.75">
      <c r="C1439" s="37"/>
      <c r="D1439" s="37"/>
      <c r="E1439" s="37"/>
      <c r="F1439" s="37"/>
    </row>
    <row r="1440" spans="3:6" ht="15.75">
      <c r="C1440" s="37"/>
      <c r="D1440" s="37"/>
      <c r="E1440" s="37"/>
      <c r="F1440" s="37"/>
    </row>
    <row r="1441" spans="3:6" ht="15.75">
      <c r="C1441" s="37"/>
      <c r="D1441" s="37"/>
      <c r="E1441" s="37"/>
      <c r="F1441" s="37"/>
    </row>
    <row r="1442" spans="3:6" ht="15.75">
      <c r="C1442" s="37"/>
      <c r="D1442" s="37"/>
      <c r="E1442" s="37"/>
      <c r="F1442" s="37"/>
    </row>
    <row r="1443" spans="3:6" ht="15.75">
      <c r="C1443" s="37"/>
      <c r="D1443" s="37"/>
      <c r="E1443" s="37"/>
      <c r="F1443" s="37"/>
    </row>
    <row r="1444" spans="3:6" ht="15.75">
      <c r="C1444" s="37"/>
      <c r="D1444" s="37"/>
      <c r="E1444" s="37"/>
      <c r="F1444" s="37"/>
    </row>
    <row r="1445" spans="3:6" ht="15.75">
      <c r="C1445" s="37"/>
      <c r="D1445" s="37"/>
      <c r="E1445" s="37"/>
      <c r="F1445" s="37"/>
    </row>
    <row r="1446" spans="3:6" ht="15.75">
      <c r="C1446" s="37"/>
      <c r="D1446" s="37"/>
      <c r="E1446" s="37"/>
      <c r="F1446" s="37"/>
    </row>
    <row r="1447" spans="3:6" ht="15.75">
      <c r="C1447" s="37"/>
      <c r="D1447" s="37"/>
      <c r="E1447" s="37"/>
      <c r="F1447" s="37"/>
    </row>
    <row r="1448" spans="3:6" ht="15.75">
      <c r="C1448" s="37"/>
      <c r="D1448" s="37"/>
      <c r="E1448" s="37"/>
      <c r="F1448" s="37"/>
    </row>
    <row r="1449" spans="3:6" ht="15.75">
      <c r="C1449" s="37"/>
      <c r="D1449" s="37"/>
      <c r="E1449" s="37"/>
      <c r="F1449" s="37"/>
    </row>
    <row r="1450" spans="3:6" ht="15.75">
      <c r="C1450" s="37"/>
      <c r="D1450" s="37"/>
      <c r="E1450" s="37"/>
      <c r="F1450" s="37"/>
    </row>
    <row r="1451" spans="3:6" ht="15.75">
      <c r="C1451" s="37"/>
      <c r="D1451" s="37"/>
      <c r="E1451" s="37"/>
      <c r="F1451" s="37"/>
    </row>
    <row r="1452" spans="3:6" ht="15.75">
      <c r="C1452" s="37"/>
      <c r="D1452" s="37"/>
      <c r="E1452" s="37"/>
      <c r="F1452" s="37"/>
    </row>
    <row r="1453" spans="3:6" ht="15.75">
      <c r="C1453" s="37"/>
      <c r="D1453" s="37"/>
      <c r="E1453" s="37"/>
      <c r="F1453" s="37"/>
    </row>
    <row r="1454" spans="3:6" ht="15.75">
      <c r="C1454" s="37"/>
      <c r="D1454" s="37"/>
      <c r="E1454" s="37"/>
      <c r="F1454" s="37"/>
    </row>
    <row r="1455" spans="3:6" ht="15.75">
      <c r="C1455" s="37"/>
      <c r="D1455" s="37"/>
      <c r="E1455" s="37"/>
      <c r="F1455" s="37"/>
    </row>
    <row r="1456" spans="3:6" ht="15.75">
      <c r="C1456" s="37"/>
      <c r="D1456" s="37"/>
      <c r="E1456" s="37"/>
      <c r="F1456" s="37"/>
    </row>
    <row r="1457" spans="3:6" ht="15.75">
      <c r="C1457" s="37"/>
      <c r="D1457" s="37"/>
      <c r="E1457" s="37"/>
      <c r="F1457" s="37"/>
    </row>
    <row r="1458" spans="3:6" ht="15.75">
      <c r="C1458" s="37"/>
      <c r="D1458" s="37"/>
      <c r="E1458" s="37"/>
      <c r="F1458" s="37"/>
    </row>
    <row r="1459" spans="3:6" ht="15.75">
      <c r="C1459" s="37"/>
      <c r="D1459" s="37"/>
      <c r="E1459" s="37"/>
      <c r="F1459" s="37"/>
    </row>
    <row r="1460" spans="3:6" ht="15.75">
      <c r="C1460" s="37"/>
      <c r="D1460" s="37"/>
      <c r="E1460" s="37"/>
      <c r="F1460" s="37"/>
    </row>
    <row r="1461" spans="3:6" ht="15.75">
      <c r="C1461" s="37"/>
      <c r="D1461" s="37"/>
      <c r="E1461" s="37"/>
      <c r="F1461" s="37"/>
    </row>
    <row r="1462" spans="3:6" ht="15.75">
      <c r="C1462" s="37"/>
      <c r="D1462" s="37"/>
      <c r="E1462" s="37"/>
      <c r="F1462" s="37"/>
    </row>
    <row r="1463" spans="3:6" ht="15.75">
      <c r="C1463" s="37"/>
      <c r="D1463" s="37"/>
      <c r="E1463" s="37"/>
      <c r="F1463" s="37"/>
    </row>
    <row r="1464" spans="3:6" ht="15.75">
      <c r="C1464" s="37"/>
      <c r="D1464" s="37"/>
      <c r="E1464" s="37"/>
      <c r="F1464" s="37"/>
    </row>
    <row r="1465" spans="3:6" ht="15.75">
      <c r="C1465" s="37"/>
      <c r="D1465" s="37"/>
      <c r="E1465" s="37"/>
      <c r="F1465" s="37"/>
    </row>
    <row r="1466" spans="3:6" ht="15.75">
      <c r="C1466" s="37"/>
      <c r="D1466" s="37"/>
      <c r="E1466" s="37"/>
      <c r="F1466" s="37"/>
    </row>
    <row r="1467" spans="3:6" ht="15.75">
      <c r="C1467" s="37"/>
      <c r="D1467" s="37"/>
      <c r="E1467" s="37"/>
      <c r="F1467" s="37"/>
    </row>
    <row r="1468" spans="3:6" ht="15.75">
      <c r="C1468" s="37"/>
      <c r="D1468" s="37"/>
      <c r="E1468" s="37"/>
      <c r="F1468" s="37"/>
    </row>
    <row r="1469" spans="3:6" ht="15.75">
      <c r="C1469" s="37"/>
      <c r="D1469" s="37"/>
      <c r="E1469" s="37"/>
      <c r="F1469" s="37"/>
    </row>
    <row r="1470" spans="3:6" ht="15.75">
      <c r="C1470" s="37"/>
      <c r="D1470" s="37"/>
      <c r="E1470" s="37"/>
      <c r="F1470" s="37"/>
    </row>
    <row r="1471" spans="3:6" ht="15.75">
      <c r="C1471" s="37"/>
      <c r="D1471" s="37"/>
      <c r="E1471" s="37"/>
      <c r="F1471" s="37"/>
    </row>
    <row r="1472" spans="3:6" ht="15.75">
      <c r="C1472" s="37"/>
      <c r="D1472" s="37"/>
      <c r="E1472" s="37"/>
      <c r="F1472" s="37"/>
    </row>
    <row r="1473" spans="3:6" ht="15.75">
      <c r="C1473" s="37"/>
      <c r="D1473" s="37"/>
      <c r="E1473" s="37"/>
      <c r="F1473" s="37"/>
    </row>
    <row r="1474" spans="3:6" ht="15.75">
      <c r="C1474" s="37"/>
      <c r="D1474" s="37"/>
      <c r="E1474" s="37"/>
      <c r="F1474" s="37"/>
    </row>
    <row r="1475" spans="3:6" ht="15.75">
      <c r="C1475" s="37"/>
      <c r="D1475" s="37"/>
      <c r="E1475" s="37"/>
      <c r="F1475" s="37"/>
    </row>
    <row r="1476" spans="3:6" ht="15.75">
      <c r="C1476" s="37"/>
      <c r="D1476" s="37"/>
      <c r="E1476" s="37"/>
      <c r="F1476" s="37"/>
    </row>
    <row r="1477" spans="3:6" ht="15.75">
      <c r="C1477" s="37"/>
      <c r="D1477" s="37"/>
      <c r="E1477" s="37"/>
      <c r="F1477" s="37"/>
    </row>
    <row r="1478" spans="3:6" ht="15.75">
      <c r="C1478" s="37"/>
      <c r="D1478" s="37"/>
      <c r="E1478" s="37"/>
      <c r="F1478" s="37"/>
    </row>
    <row r="1479" spans="3:6" ht="15.75">
      <c r="C1479" s="37"/>
      <c r="D1479" s="37"/>
      <c r="E1479" s="37"/>
      <c r="F1479" s="37"/>
    </row>
    <row r="1480" spans="3:6" ht="15.75">
      <c r="C1480" s="37"/>
      <c r="D1480" s="37"/>
      <c r="E1480" s="37"/>
      <c r="F1480" s="37"/>
    </row>
    <row r="1481" spans="3:6" ht="15.75">
      <c r="C1481" s="37"/>
      <c r="D1481" s="37"/>
      <c r="E1481" s="37"/>
      <c r="F1481" s="37"/>
    </row>
    <row r="1482" spans="3:6" ht="15.75">
      <c r="C1482" s="37"/>
      <c r="D1482" s="37"/>
      <c r="E1482" s="37"/>
      <c r="F1482" s="37"/>
    </row>
    <row r="1483" spans="3:6" ht="15.75">
      <c r="C1483" s="37"/>
      <c r="D1483" s="37"/>
      <c r="E1483" s="37"/>
      <c r="F1483" s="37"/>
    </row>
    <row r="1484" spans="3:6" ht="15.75">
      <c r="C1484" s="37"/>
      <c r="D1484" s="37"/>
      <c r="E1484" s="37"/>
      <c r="F1484" s="37"/>
    </row>
    <row r="1485" spans="3:6" ht="15.75">
      <c r="C1485" s="37"/>
      <c r="D1485" s="37"/>
      <c r="E1485" s="37"/>
      <c r="F1485" s="37"/>
    </row>
    <row r="1486" spans="3:6" ht="15.75">
      <c r="C1486" s="37"/>
      <c r="D1486" s="37"/>
      <c r="E1486" s="37"/>
      <c r="F1486" s="37"/>
    </row>
    <row r="1487" spans="3:6" ht="15.75">
      <c r="C1487" s="37"/>
      <c r="D1487" s="37"/>
      <c r="E1487" s="37"/>
      <c r="F1487" s="37"/>
    </row>
    <row r="1488" spans="3:6" ht="15.75">
      <c r="C1488" s="37"/>
      <c r="D1488" s="37"/>
      <c r="E1488" s="37"/>
      <c r="F1488" s="37"/>
    </row>
    <row r="1489" spans="3:6" ht="15.75">
      <c r="C1489" s="37"/>
      <c r="D1489" s="37"/>
      <c r="E1489" s="37"/>
      <c r="F1489" s="37"/>
    </row>
    <row r="1490" spans="3:6" ht="15.75">
      <c r="C1490" s="37"/>
      <c r="D1490" s="37"/>
      <c r="E1490" s="37"/>
      <c r="F1490" s="37"/>
    </row>
    <row r="1491" spans="3:6" ht="15.75">
      <c r="C1491" s="37"/>
      <c r="D1491" s="37"/>
      <c r="E1491" s="37"/>
      <c r="F1491" s="37"/>
    </row>
    <row r="1492" spans="3:6" ht="15.75">
      <c r="C1492" s="37"/>
      <c r="D1492" s="37"/>
      <c r="E1492" s="37"/>
      <c r="F1492" s="37"/>
    </row>
    <row r="1493" spans="3:6" ht="15.75">
      <c r="C1493" s="37"/>
      <c r="D1493" s="37"/>
      <c r="E1493" s="37"/>
      <c r="F1493" s="37"/>
    </row>
    <row r="1494" spans="3:6" ht="15.75">
      <c r="C1494" s="37"/>
      <c r="D1494" s="37"/>
      <c r="E1494" s="37"/>
      <c r="F1494" s="37"/>
    </row>
    <row r="1495" spans="3:6" ht="15.75">
      <c r="C1495" s="37"/>
      <c r="D1495" s="37"/>
      <c r="E1495" s="37"/>
      <c r="F1495" s="37"/>
    </row>
    <row r="1496" spans="3:6" ht="15.75">
      <c r="C1496" s="37"/>
      <c r="D1496" s="37"/>
      <c r="E1496" s="37"/>
      <c r="F1496" s="37"/>
    </row>
    <row r="1497" spans="3:6" ht="15.75">
      <c r="C1497" s="37"/>
      <c r="D1497" s="37"/>
      <c r="E1497" s="37"/>
      <c r="F1497" s="37"/>
    </row>
    <row r="1498" spans="3:6" ht="15.75">
      <c r="C1498" s="37"/>
      <c r="D1498" s="37"/>
      <c r="E1498" s="37"/>
      <c r="F1498" s="37"/>
    </row>
    <row r="1499" spans="3:6" ht="15.75">
      <c r="C1499" s="37"/>
      <c r="D1499" s="37"/>
      <c r="E1499" s="37"/>
      <c r="F1499" s="37"/>
    </row>
    <row r="1500" spans="3:6" ht="15.75">
      <c r="C1500" s="37"/>
      <c r="D1500" s="37"/>
      <c r="E1500" s="37"/>
      <c r="F1500" s="37"/>
    </row>
    <row r="1501" spans="3:6" ht="15.75">
      <c r="C1501" s="37"/>
      <c r="D1501" s="37"/>
      <c r="E1501" s="37"/>
      <c r="F1501" s="37"/>
    </row>
    <row r="1502" spans="3:6" ht="15.75">
      <c r="C1502" s="37"/>
      <c r="D1502" s="37"/>
      <c r="E1502" s="37"/>
      <c r="F1502" s="37"/>
    </row>
    <row r="1503" spans="3:6" ht="15.75">
      <c r="C1503" s="37"/>
      <c r="D1503" s="37"/>
      <c r="E1503" s="37"/>
      <c r="F1503" s="37"/>
    </row>
    <row r="1504" spans="3:6" ht="15.75">
      <c r="C1504" s="37"/>
      <c r="D1504" s="37"/>
      <c r="E1504" s="37"/>
      <c r="F1504" s="37"/>
    </row>
    <row r="1505" spans="3:6" ht="15.75">
      <c r="C1505" s="37"/>
      <c r="D1505" s="37"/>
      <c r="E1505" s="37"/>
      <c r="F1505" s="37"/>
    </row>
    <row r="1506" spans="3:6" ht="15.75">
      <c r="C1506" s="37"/>
      <c r="D1506" s="37"/>
      <c r="E1506" s="37"/>
      <c r="F1506" s="37"/>
    </row>
    <row r="1507" spans="3:6" ht="15.75">
      <c r="C1507" s="37"/>
      <c r="D1507" s="37"/>
      <c r="E1507" s="37"/>
      <c r="F1507" s="37"/>
    </row>
    <row r="1508" spans="3:6" ht="15.75">
      <c r="C1508" s="37"/>
      <c r="D1508" s="37"/>
      <c r="E1508" s="37"/>
      <c r="F1508" s="37"/>
    </row>
    <row r="1509" spans="3:6" ht="15.75">
      <c r="C1509" s="37"/>
      <c r="D1509" s="37"/>
      <c r="E1509" s="37"/>
      <c r="F1509" s="37"/>
    </row>
    <row r="1510" spans="3:6" ht="15.75">
      <c r="C1510" s="37"/>
      <c r="D1510" s="37"/>
      <c r="E1510" s="37"/>
      <c r="F1510" s="37"/>
    </row>
    <row r="1511" spans="3:6" ht="15.75">
      <c r="C1511" s="37"/>
      <c r="D1511" s="37"/>
      <c r="E1511" s="37"/>
      <c r="F1511" s="37"/>
    </row>
    <row r="1512" spans="3:6" ht="15.75">
      <c r="C1512" s="37"/>
      <c r="D1512" s="37"/>
      <c r="E1512" s="37"/>
      <c r="F1512" s="37"/>
    </row>
    <row r="1513" spans="3:6" ht="15.75">
      <c r="C1513" s="37"/>
      <c r="D1513" s="37"/>
      <c r="E1513" s="37"/>
      <c r="F1513" s="37"/>
    </row>
    <row r="1514" spans="3:6" ht="15.75">
      <c r="C1514" s="37"/>
      <c r="D1514" s="37"/>
      <c r="E1514" s="37"/>
      <c r="F1514" s="37"/>
    </row>
    <row r="1515" spans="3:6" ht="15.75">
      <c r="C1515" s="37"/>
      <c r="D1515" s="37"/>
      <c r="E1515" s="37"/>
      <c r="F1515" s="37"/>
    </row>
    <row r="1516" spans="3:6" ht="15.75">
      <c r="C1516" s="37"/>
      <c r="D1516" s="37"/>
      <c r="E1516" s="37"/>
      <c r="F1516" s="37"/>
    </row>
    <row r="1517" spans="3:6" ht="15.75">
      <c r="C1517" s="37"/>
      <c r="D1517" s="37"/>
      <c r="E1517" s="37"/>
      <c r="F1517" s="37"/>
    </row>
    <row r="1518" spans="3:6" ht="15.75">
      <c r="C1518" s="37"/>
      <c r="D1518" s="37"/>
      <c r="E1518" s="37"/>
      <c r="F1518" s="37"/>
    </row>
  </sheetData>
  <mergeCells count="2">
    <mergeCell ref="Q2:S2"/>
    <mergeCell ref="B2:G2"/>
  </mergeCells>
  <printOptions/>
  <pageMargins left="0.5" right="0.5" top="1" bottom="1" header="0.5" footer="0.5"/>
  <pageSetup fitToHeight="13" fitToWidth="1" horizontalDpi="600" verticalDpi="600" orientation="portrait" paperSize="5" r:id="rId1"/>
</worksheet>
</file>

<file path=xl/worksheets/sheet7.xml><?xml version="1.0" encoding="utf-8"?>
<worksheet xmlns="http://schemas.openxmlformats.org/spreadsheetml/2006/main" xmlns:r="http://schemas.openxmlformats.org/officeDocument/2006/relationships">
  <sheetPr codeName="Sheet12"/>
  <dimension ref="B6:J34"/>
  <sheetViews>
    <sheetView workbookViewId="0" topLeftCell="A1">
      <selection activeCell="E26" sqref="E26"/>
    </sheetView>
  </sheetViews>
  <sheetFormatPr defaultColWidth="9.00390625" defaultRowHeight="15.75"/>
  <cols>
    <col min="1" max="1" width="8.00390625" style="433" customWidth="1"/>
    <col min="2" max="2" width="35.25390625" style="433" customWidth="1"/>
    <col min="3" max="3" width="9.625" style="433" customWidth="1"/>
    <col min="4" max="4" width="8.875" style="433" customWidth="1"/>
    <col min="5" max="5" width="8.00390625" style="433" customWidth="1"/>
    <col min="6" max="6" width="28.375" style="433" customWidth="1"/>
    <col min="7" max="7" width="8.75390625" style="433" customWidth="1"/>
    <col min="8" max="8" width="13.75390625" style="433" customWidth="1"/>
    <col min="9" max="9" width="8.00390625" style="433" customWidth="1"/>
    <col min="10" max="10" width="41.875" style="433" customWidth="1"/>
    <col min="11" max="16384" width="8.00390625" style="433" customWidth="1"/>
  </cols>
  <sheetData>
    <row r="5" ht="13.5" thickBot="1"/>
    <row r="6" spans="2:10" ht="37.5" customHeight="1" thickBot="1">
      <c r="B6" s="439" t="s">
        <v>1273</v>
      </c>
      <c r="C6" s="440" t="s">
        <v>1274</v>
      </c>
      <c r="D6" s="441" t="s">
        <v>1275</v>
      </c>
      <c r="F6" s="795" t="s">
        <v>1276</v>
      </c>
      <c r="G6" s="796"/>
      <c r="J6" s="442" t="s">
        <v>1277</v>
      </c>
    </row>
    <row r="7" spans="2:10" ht="12.75">
      <c r="B7" s="443" t="s">
        <v>1278</v>
      </c>
      <c r="C7" s="444">
        <f>IF(Project_Cost&gt;0,Project_Cost,0)</f>
        <v>32000</v>
      </c>
      <c r="D7" s="445">
        <f>(IF(Project_Cost&lt;0,Project_Cost,0))*-1</f>
        <v>0</v>
      </c>
      <c r="F7" s="446" t="s">
        <v>1279</v>
      </c>
      <c r="G7" s="447">
        <f>'Site Audit'!AB13</f>
        <v>0.04</v>
      </c>
      <c r="J7" s="448" t="s">
        <v>1280</v>
      </c>
    </row>
    <row r="8" spans="2:10" ht="12.75">
      <c r="B8" s="533" t="s">
        <v>203</v>
      </c>
      <c r="C8" s="449">
        <f>IF(PV_Other_OM&gt;0,PV_Other_OM,0)</f>
        <v>0</v>
      </c>
      <c r="D8" s="450">
        <f>(IF(PV_Other_OM&lt;0,PV_Other_OM,0))*-1</f>
        <v>0</v>
      </c>
      <c r="F8" s="446" t="s">
        <v>1281</v>
      </c>
      <c r="G8" s="451">
        <f>'Site Audit'!AB14</f>
        <v>12</v>
      </c>
      <c r="J8" s="452" t="s">
        <v>1282</v>
      </c>
    </row>
    <row r="9" spans="2:10" ht="13.5" thickBot="1">
      <c r="B9" s="533" t="s">
        <v>204</v>
      </c>
      <c r="C9" s="449">
        <f>IF(PV_Gas_OM&gt;0,PV_Gas_OM,0)</f>
        <v>1295.6734382107284</v>
      </c>
      <c r="D9" s="450">
        <f>(IF(PV_Gas_OM&lt;0,PV_Gas_OM,0))*-1</f>
        <v>0</v>
      </c>
      <c r="F9" s="533" t="s">
        <v>209</v>
      </c>
      <c r="G9" s="453">
        <f>OandM</f>
        <v>0</v>
      </c>
      <c r="J9" s="452"/>
    </row>
    <row r="10" spans="2:10" ht="13.5" thickBot="1">
      <c r="B10" s="446" t="s">
        <v>1283</v>
      </c>
      <c r="C10" s="449">
        <f>IF(PV_ReLamp_Cost&gt;0,PV_ReLamp_Cost,0)</f>
        <v>0</v>
      </c>
      <c r="D10" s="450">
        <f>(IF(PV_ReLamp_Cost&lt;0,PV_ReLamp_Cost,0))*-1</f>
        <v>0</v>
      </c>
      <c r="F10" s="533" t="s">
        <v>203</v>
      </c>
      <c r="G10" s="454">
        <f>OandM*(1-((1/(1+DiscountRate))^MeasureLife))/DiscountRate</f>
        <v>0</v>
      </c>
      <c r="J10" s="452" t="s">
        <v>1284</v>
      </c>
    </row>
    <row r="11" spans="2:10" ht="12.75">
      <c r="B11" s="446" t="s">
        <v>1285</v>
      </c>
      <c r="C11" s="449">
        <f>IF(PV_Energy_Saved&lt;0,PV_Energy_Saved,0)</f>
        <v>0</v>
      </c>
      <c r="D11" s="450">
        <f>IF(PV_Energy_Saved&gt;0,PV_Energy_Saved,0)</f>
        <v>157455.2325291388</v>
      </c>
      <c r="J11" s="452" t="s">
        <v>1286</v>
      </c>
    </row>
    <row r="12" spans="2:10" ht="13.5" thickBot="1">
      <c r="B12" s="455" t="s">
        <v>1287</v>
      </c>
      <c r="C12" s="456">
        <f>SUM(C7:C11)</f>
        <v>33295.67343821073</v>
      </c>
      <c r="D12" s="457">
        <f>SUM(D7:D11)</f>
        <v>157455.2325291388</v>
      </c>
      <c r="J12" s="452" t="s">
        <v>1288</v>
      </c>
    </row>
    <row r="13" spans="3:8" ht="13.5" thickBot="1">
      <c r="C13" s="458"/>
      <c r="F13" s="459" t="s">
        <v>1283</v>
      </c>
      <c r="G13" s="454">
        <f>'Project Summary'!I18</f>
        <v>0</v>
      </c>
      <c r="H13" s="546" t="s">
        <v>202</v>
      </c>
    </row>
    <row r="14" spans="2:3" ht="13.5" thickBot="1">
      <c r="B14" s="460" t="s">
        <v>1289</v>
      </c>
      <c r="C14" s="461">
        <f>IF(AND(C12&gt;0,D12&gt;0),(D12/C12),"Infinite")</f>
        <v>4.728999784952247</v>
      </c>
    </row>
    <row r="16" ht="12.75">
      <c r="C16" s="545"/>
    </row>
    <row r="17" spans="3:4" ht="12.75">
      <c r="C17" s="544"/>
      <c r="D17" s="458"/>
    </row>
    <row r="22" ht="12.75">
      <c r="G22" s="544">
        <f>PV(DiscountRate,G8,G9)</f>
        <v>0</v>
      </c>
    </row>
    <row r="23" spans="7:9" ht="12.75">
      <c r="G23" s="547">
        <f aca="true" t="shared" si="0" ref="G23:G34">-$G$9</f>
        <v>0</v>
      </c>
      <c r="H23" s="462">
        <f aca="true" t="shared" si="1" ref="H23:H34">G23/(1+DiscountRate)^(I23)</f>
        <v>0</v>
      </c>
      <c r="I23" s="433">
        <v>1</v>
      </c>
    </row>
    <row r="24" spans="7:9" ht="12.75">
      <c r="G24" s="547">
        <f t="shared" si="0"/>
        <v>0</v>
      </c>
      <c r="H24" s="462">
        <f t="shared" si="1"/>
        <v>0</v>
      </c>
      <c r="I24" s="433">
        <v>2</v>
      </c>
    </row>
    <row r="25" spans="7:9" ht="12.75">
      <c r="G25" s="547">
        <f t="shared" si="0"/>
        <v>0</v>
      </c>
      <c r="H25" s="462">
        <f t="shared" si="1"/>
        <v>0</v>
      </c>
      <c r="I25" s="433">
        <v>3</v>
      </c>
    </row>
    <row r="26" spans="7:9" ht="12.75">
      <c r="G26" s="547">
        <f t="shared" si="0"/>
        <v>0</v>
      </c>
      <c r="H26" s="462">
        <f t="shared" si="1"/>
        <v>0</v>
      </c>
      <c r="I26" s="433">
        <v>4</v>
      </c>
    </row>
    <row r="27" spans="7:9" ht="12.75">
      <c r="G27" s="547">
        <f t="shared" si="0"/>
        <v>0</v>
      </c>
      <c r="H27" s="462">
        <f t="shared" si="1"/>
        <v>0</v>
      </c>
      <c r="I27" s="433">
        <v>5</v>
      </c>
    </row>
    <row r="28" spans="7:9" ht="12.75">
      <c r="G28" s="547">
        <f t="shared" si="0"/>
        <v>0</v>
      </c>
      <c r="H28" s="462">
        <f t="shared" si="1"/>
        <v>0</v>
      </c>
      <c r="I28" s="433">
        <v>6</v>
      </c>
    </row>
    <row r="29" spans="7:9" ht="12.75">
      <c r="G29" s="547">
        <f t="shared" si="0"/>
        <v>0</v>
      </c>
      <c r="H29" s="462">
        <f t="shared" si="1"/>
        <v>0</v>
      </c>
      <c r="I29" s="433">
        <v>7</v>
      </c>
    </row>
    <row r="30" spans="7:9" ht="12.75">
      <c r="G30" s="547">
        <f t="shared" si="0"/>
        <v>0</v>
      </c>
      <c r="H30" s="462">
        <f t="shared" si="1"/>
        <v>0</v>
      </c>
      <c r="I30" s="433">
        <v>8</v>
      </c>
    </row>
    <row r="31" spans="7:9" ht="12.75">
      <c r="G31" s="547">
        <f t="shared" si="0"/>
        <v>0</v>
      </c>
      <c r="H31" s="462">
        <f t="shared" si="1"/>
        <v>0</v>
      </c>
      <c r="I31" s="433">
        <v>9</v>
      </c>
    </row>
    <row r="32" spans="7:9" ht="12.75">
      <c r="G32" s="547">
        <f t="shared" si="0"/>
        <v>0</v>
      </c>
      <c r="H32" s="462">
        <f t="shared" si="1"/>
        <v>0</v>
      </c>
      <c r="I32" s="433">
        <v>10</v>
      </c>
    </row>
    <row r="33" spans="7:9" ht="12.75">
      <c r="G33" s="547">
        <f t="shared" si="0"/>
        <v>0</v>
      </c>
      <c r="H33" s="462">
        <f t="shared" si="1"/>
        <v>0</v>
      </c>
      <c r="I33" s="433">
        <v>11</v>
      </c>
    </row>
    <row r="34" spans="7:9" ht="12.75">
      <c r="G34" s="547">
        <f t="shared" si="0"/>
        <v>0</v>
      </c>
      <c r="H34" s="462">
        <f t="shared" si="1"/>
        <v>0</v>
      </c>
      <c r="I34" s="433">
        <v>12</v>
      </c>
    </row>
  </sheetData>
  <sheetProtection sheet="1" objects="1"/>
  <mergeCells count="1">
    <mergeCell ref="F6:G6"/>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3"/>
  <dimension ref="A1:Z34"/>
  <sheetViews>
    <sheetView zoomScale="103" zoomScaleNormal="103" workbookViewId="0" topLeftCell="A1">
      <pane xSplit="1" ySplit="4" topLeftCell="F5" activePane="bottomRight" state="frozen"/>
      <selection pane="topLeft" activeCell="B7" sqref="B7:B8"/>
      <selection pane="topRight" activeCell="B7" sqref="B7:B8"/>
      <selection pane="bottomLeft" activeCell="B7" sqref="B7:B8"/>
      <selection pane="bottomRight" activeCell="F2" sqref="F2"/>
    </sheetView>
  </sheetViews>
  <sheetFormatPr defaultColWidth="9.00390625" defaultRowHeight="15.75"/>
  <cols>
    <col min="1" max="1" width="8.00390625" style="433" customWidth="1"/>
    <col min="2" max="2" width="12.75390625" style="433" customWidth="1"/>
    <col min="3" max="3" width="9.00390625" style="433" customWidth="1"/>
    <col min="4" max="4" width="35.25390625" style="433" customWidth="1"/>
    <col min="5" max="5" width="21.25390625" style="433" customWidth="1"/>
    <col min="6" max="6" width="29.75390625" style="433" customWidth="1"/>
    <col min="7" max="9" width="10.00390625" style="433" customWidth="1"/>
    <col min="10" max="11" width="9.375" style="433" customWidth="1"/>
    <col min="12" max="12" width="13.75390625" style="433" customWidth="1"/>
    <col min="13" max="13" width="12.25390625" style="433" customWidth="1"/>
    <col min="14" max="14" width="15.25390625" style="433" customWidth="1"/>
    <col min="15" max="15" width="16.625" style="433" customWidth="1"/>
    <col min="16" max="16" width="14.875" style="433" customWidth="1"/>
    <col min="17" max="17" width="12.625" style="433" customWidth="1"/>
    <col min="18" max="18" width="9.125" style="433" customWidth="1"/>
    <col min="19" max="16384" width="8.00390625" style="433" customWidth="1"/>
  </cols>
  <sheetData>
    <row r="1" spans="4:26" ht="12.75">
      <c r="D1" s="463" t="s">
        <v>1290</v>
      </c>
      <c r="E1" s="463" t="s">
        <v>1291</v>
      </c>
      <c r="F1" s="464">
        <v>1</v>
      </c>
      <c r="G1" s="464">
        <v>2</v>
      </c>
      <c r="H1" s="464">
        <v>3</v>
      </c>
      <c r="I1" s="464">
        <v>4</v>
      </c>
      <c r="J1" s="464">
        <v>5</v>
      </c>
      <c r="K1" s="464">
        <v>6</v>
      </c>
      <c r="L1" s="464">
        <v>7</v>
      </c>
      <c r="M1" s="464">
        <v>8</v>
      </c>
      <c r="N1" s="464">
        <v>9</v>
      </c>
      <c r="O1" s="464">
        <v>10</v>
      </c>
      <c r="P1" s="464">
        <v>11</v>
      </c>
      <c r="Q1" s="464">
        <v>12</v>
      </c>
      <c r="R1" s="464">
        <v>13</v>
      </c>
      <c r="S1" s="464">
        <v>14</v>
      </c>
      <c r="T1" s="464">
        <v>15</v>
      </c>
      <c r="U1" s="464">
        <v>16</v>
      </c>
      <c r="V1" s="464">
        <v>17</v>
      </c>
      <c r="W1" s="464">
        <v>18</v>
      </c>
      <c r="X1" s="464">
        <v>19</v>
      </c>
      <c r="Y1" s="464">
        <v>20</v>
      </c>
      <c r="Z1" s="464">
        <v>21</v>
      </c>
    </row>
    <row r="2" spans="4:13" ht="39" thickBot="1">
      <c r="D2" s="548">
        <v>17</v>
      </c>
      <c r="E2" s="548">
        <v>3</v>
      </c>
      <c r="M2" s="465" t="s">
        <v>1292</v>
      </c>
    </row>
    <row r="3" spans="2:17" ht="26.25" customHeight="1">
      <c r="B3" s="797" t="s">
        <v>1241</v>
      </c>
      <c r="C3" s="798"/>
      <c r="D3" s="798"/>
      <c r="E3" s="467"/>
      <c r="G3" s="799" t="s">
        <v>1242</v>
      </c>
      <c r="H3" s="800"/>
      <c r="I3" s="800"/>
      <c r="J3" s="800"/>
      <c r="M3" s="468">
        <v>0.4645</v>
      </c>
      <c r="N3" s="801" t="s">
        <v>1293</v>
      </c>
      <c r="O3" s="801"/>
      <c r="P3" s="801"/>
      <c r="Q3" s="801"/>
    </row>
    <row r="4" spans="2:18" ht="76.5">
      <c r="B4" s="466" t="s">
        <v>1294</v>
      </c>
      <c r="C4" s="466" t="s">
        <v>1295</v>
      </c>
      <c r="D4" s="466" t="s">
        <v>1243</v>
      </c>
      <c r="E4" s="470" t="s">
        <v>1296</v>
      </c>
      <c r="F4" s="471" t="s">
        <v>1244</v>
      </c>
      <c r="G4" s="469" t="s">
        <v>1297</v>
      </c>
      <c r="H4" s="469" t="s">
        <v>1298</v>
      </c>
      <c r="I4" s="469" t="s">
        <v>1299</v>
      </c>
      <c r="J4" s="469" t="s">
        <v>1300</v>
      </c>
      <c r="K4" s="469" t="s">
        <v>1245</v>
      </c>
      <c r="L4" s="472" t="s">
        <v>1301</v>
      </c>
      <c r="M4" s="469" t="s">
        <v>95</v>
      </c>
      <c r="N4" s="469" t="s">
        <v>1297</v>
      </c>
      <c r="O4" s="469" t="s">
        <v>1298</v>
      </c>
      <c r="P4" s="469" t="s">
        <v>1299</v>
      </c>
      <c r="Q4" s="469" t="s">
        <v>1300</v>
      </c>
      <c r="R4" s="473" t="s">
        <v>96</v>
      </c>
    </row>
    <row r="5" spans="1:18" ht="12.75">
      <c r="A5" s="464">
        <v>1</v>
      </c>
      <c r="B5" s="433" t="s">
        <v>1246</v>
      </c>
      <c r="C5" s="433" t="s">
        <v>97</v>
      </c>
      <c r="D5" s="492" t="s">
        <v>1247</v>
      </c>
      <c r="E5" s="484" t="s">
        <v>1297</v>
      </c>
      <c r="F5" s="474" t="s">
        <v>1247</v>
      </c>
      <c r="G5" s="475">
        <v>0.9160819438382988</v>
      </c>
      <c r="H5" s="475">
        <v>1.02</v>
      </c>
      <c r="I5" s="475">
        <v>1.0792819438382986</v>
      </c>
      <c r="J5" s="475">
        <v>1</v>
      </c>
      <c r="K5" s="466">
        <v>4200</v>
      </c>
      <c r="L5" s="476">
        <v>-0.0081888</v>
      </c>
      <c r="M5" s="477">
        <f aca="true" t="shared" si="0" ref="M5:M26">$M$3*L5</f>
        <v>-0.0038036976</v>
      </c>
      <c r="N5" s="478" t="str">
        <f aca="true" t="shared" si="1" ref="N5:N20">CONCATENATE("Ex",C5,"ElecHt")</f>
        <v>ExLgOffElecHt</v>
      </c>
      <c r="O5" s="478" t="str">
        <f aca="true" t="shared" si="2" ref="O5:O20">CONCATENATE("Ex",C5,"HtPmpHt")</f>
        <v>ExLgOffHtPmpHt</v>
      </c>
      <c r="P5" s="478" t="str">
        <f aca="true" t="shared" si="3" ref="P5:P20">CONCATENATE("Ex",C5,"GasHt")</f>
        <v>ExLgOffGasHt</v>
      </c>
      <c r="Q5" s="474" t="str">
        <f aca="true" t="shared" si="4" ref="Q5:Q21">CONCATENATE("Ex",C5)</f>
        <v>ExLgOff</v>
      </c>
      <c r="R5" s="466">
        <v>12</v>
      </c>
    </row>
    <row r="6" spans="1:18" ht="12.75">
      <c r="A6" s="464">
        <v>2</v>
      </c>
      <c r="B6" s="433" t="s">
        <v>1248</v>
      </c>
      <c r="C6" s="433" t="s">
        <v>97</v>
      </c>
      <c r="D6" s="492" t="s">
        <v>1249</v>
      </c>
      <c r="E6" s="434" t="s">
        <v>1298</v>
      </c>
      <c r="F6" s="474" t="s">
        <v>1249</v>
      </c>
      <c r="G6" s="475">
        <v>0.9050711350751897</v>
      </c>
      <c r="H6" s="475">
        <v>1.02</v>
      </c>
      <c r="I6" s="475">
        <v>1.0682711350751894</v>
      </c>
      <c r="J6" s="475">
        <v>1</v>
      </c>
      <c r="K6" s="466">
        <v>3600</v>
      </c>
      <c r="L6" s="476">
        <v>-0.0081888</v>
      </c>
      <c r="M6" s="477">
        <f t="shared" si="0"/>
        <v>-0.0038036976</v>
      </c>
      <c r="N6" s="478" t="str">
        <f t="shared" si="1"/>
        <v>ExLgOffElecHt</v>
      </c>
      <c r="O6" s="478" t="str">
        <f t="shared" si="2"/>
        <v>ExLgOffHtPmpHt</v>
      </c>
      <c r="P6" s="478" t="str">
        <f t="shared" si="3"/>
        <v>ExLgOffGasHt</v>
      </c>
      <c r="Q6" s="474" t="str">
        <f t="shared" si="4"/>
        <v>ExLgOff</v>
      </c>
      <c r="R6" s="466">
        <v>12</v>
      </c>
    </row>
    <row r="7" spans="1:18" ht="12.75">
      <c r="A7" s="464">
        <v>3</v>
      </c>
      <c r="B7" s="433" t="s">
        <v>1250</v>
      </c>
      <c r="C7" s="433" t="s">
        <v>98</v>
      </c>
      <c r="D7" s="492" t="s">
        <v>1251</v>
      </c>
      <c r="E7" s="434" t="s">
        <v>1299</v>
      </c>
      <c r="F7" s="474" t="s">
        <v>1251</v>
      </c>
      <c r="G7" s="475">
        <v>0.6909042731200277</v>
      </c>
      <c r="H7" s="475">
        <v>0.955</v>
      </c>
      <c r="I7" s="475">
        <v>1.117037606453361</v>
      </c>
      <c r="J7" s="475">
        <v>1</v>
      </c>
      <c r="K7" s="466">
        <v>3000</v>
      </c>
      <c r="L7" s="476">
        <v>-0.021381866666666666</v>
      </c>
      <c r="M7" s="477">
        <f t="shared" si="0"/>
        <v>-0.009931877066666667</v>
      </c>
      <c r="N7" s="478" t="str">
        <f t="shared" si="1"/>
        <v>ExSmOffElecHt</v>
      </c>
      <c r="O7" s="478" t="str">
        <f t="shared" si="2"/>
        <v>ExSmOffHtPmpHt</v>
      </c>
      <c r="P7" s="478" t="str">
        <f t="shared" si="3"/>
        <v>ExSmOffGasHt</v>
      </c>
      <c r="Q7" s="474" t="str">
        <f t="shared" si="4"/>
        <v>ExSmOff</v>
      </c>
      <c r="R7" s="466">
        <v>12</v>
      </c>
    </row>
    <row r="8" spans="1:18" ht="12.75">
      <c r="A8" s="464">
        <v>4</v>
      </c>
      <c r="B8" s="433" t="s">
        <v>1252</v>
      </c>
      <c r="C8" s="433" t="s">
        <v>99</v>
      </c>
      <c r="D8" s="492" t="s">
        <v>1253</v>
      </c>
      <c r="E8" s="436" t="s">
        <v>1300</v>
      </c>
      <c r="F8" s="474" t="s">
        <v>1253</v>
      </c>
      <c r="G8" s="475">
        <v>0.8186099789007192</v>
      </c>
      <c r="H8" s="475">
        <v>1.025</v>
      </c>
      <c r="I8" s="475">
        <v>1.1178099789007192</v>
      </c>
      <c r="J8" s="475">
        <v>1</v>
      </c>
      <c r="K8" s="466">
        <v>4800</v>
      </c>
      <c r="L8" s="476">
        <v>-0.0150128</v>
      </c>
      <c r="M8" s="477">
        <f t="shared" si="0"/>
        <v>-0.0069734456</v>
      </c>
      <c r="N8" s="478" t="str">
        <f t="shared" si="1"/>
        <v>ExLgRetElecHt</v>
      </c>
      <c r="O8" s="478" t="str">
        <f t="shared" si="2"/>
        <v>ExLgRetHtPmpHt</v>
      </c>
      <c r="P8" s="478" t="str">
        <f t="shared" si="3"/>
        <v>ExLgRetGasHt</v>
      </c>
      <c r="Q8" s="474" t="str">
        <f t="shared" si="4"/>
        <v>ExLgRet</v>
      </c>
      <c r="R8" s="466">
        <v>12</v>
      </c>
    </row>
    <row r="9" spans="1:18" ht="12.75">
      <c r="A9" s="464">
        <v>5</v>
      </c>
      <c r="B9" s="433" t="s">
        <v>1254</v>
      </c>
      <c r="C9" s="433" t="s">
        <v>100</v>
      </c>
      <c r="D9" s="492" t="s">
        <v>1255</v>
      </c>
      <c r="E9" s="434"/>
      <c r="F9" s="474" t="s">
        <v>1255</v>
      </c>
      <c r="G9" s="475">
        <v>0.6808904630602128</v>
      </c>
      <c r="H9" s="475">
        <v>0.925</v>
      </c>
      <c r="I9" s="475">
        <v>1.034490463060213</v>
      </c>
      <c r="J9" s="475">
        <v>1</v>
      </c>
      <c r="K9" s="466">
        <v>3900</v>
      </c>
      <c r="L9" s="476">
        <v>-0.0177424</v>
      </c>
      <c r="M9" s="477">
        <f t="shared" si="0"/>
        <v>-0.0082413448</v>
      </c>
      <c r="N9" s="478" t="str">
        <f t="shared" si="1"/>
        <v>ExSmRetElecHt</v>
      </c>
      <c r="O9" s="478" t="str">
        <f t="shared" si="2"/>
        <v>ExSmRetHtPmpHt</v>
      </c>
      <c r="P9" s="478" t="str">
        <f t="shared" si="3"/>
        <v>ExSmRetGasHt</v>
      </c>
      <c r="Q9" s="474" t="str">
        <f t="shared" si="4"/>
        <v>ExSmRet</v>
      </c>
      <c r="R9" s="466">
        <v>12</v>
      </c>
    </row>
    <row r="10" spans="1:18" ht="12.75">
      <c r="A10" s="464">
        <v>6</v>
      </c>
      <c r="B10" s="433" t="s">
        <v>1256</v>
      </c>
      <c r="C10" s="433" t="s">
        <v>100</v>
      </c>
      <c r="D10" s="492" t="s">
        <v>1257</v>
      </c>
      <c r="E10" s="434"/>
      <c r="F10" s="474" t="s">
        <v>1257</v>
      </c>
      <c r="G10" s="475">
        <v>0.7630937094025019</v>
      </c>
      <c r="H10" s="475">
        <v>0.975</v>
      </c>
      <c r="I10" s="475">
        <v>1.0441603760691687</v>
      </c>
      <c r="J10" s="475">
        <v>1</v>
      </c>
      <c r="K10" s="466">
        <v>3400</v>
      </c>
      <c r="L10" s="476">
        <v>-0.014102933333333333</v>
      </c>
      <c r="M10" s="477">
        <f t="shared" si="0"/>
        <v>-0.006550812533333334</v>
      </c>
      <c r="N10" s="478" t="str">
        <f t="shared" si="1"/>
        <v>ExSmRetElecHt</v>
      </c>
      <c r="O10" s="478" t="str">
        <f t="shared" si="2"/>
        <v>ExSmRetHtPmpHt</v>
      </c>
      <c r="P10" s="478" t="str">
        <f t="shared" si="3"/>
        <v>ExSmRetGasHt</v>
      </c>
      <c r="Q10" s="474" t="str">
        <f t="shared" si="4"/>
        <v>ExSmRet</v>
      </c>
      <c r="R10" s="466">
        <v>12</v>
      </c>
    </row>
    <row r="11" spans="1:18" ht="12.75">
      <c r="A11" s="464">
        <v>7</v>
      </c>
      <c r="B11" s="433" t="s">
        <v>1258</v>
      </c>
      <c r="C11" s="433" t="s">
        <v>99</v>
      </c>
      <c r="D11" s="492" t="s">
        <v>1259</v>
      </c>
      <c r="E11" s="434"/>
      <c r="F11" s="474" t="s">
        <v>1259</v>
      </c>
      <c r="G11" s="475">
        <v>0.7107865827309866</v>
      </c>
      <c r="H11" s="475">
        <v>0.965</v>
      </c>
      <c r="I11" s="475">
        <v>1.100653249397653</v>
      </c>
      <c r="J11" s="475">
        <v>1</v>
      </c>
      <c r="K11" s="466">
        <v>4000</v>
      </c>
      <c r="L11" s="476">
        <v>-0.019562133333333332</v>
      </c>
      <c r="M11" s="477">
        <f t="shared" si="0"/>
        <v>-0.009086610933333333</v>
      </c>
      <c r="N11" s="478" t="str">
        <f t="shared" si="1"/>
        <v>ExLgRetElecHt</v>
      </c>
      <c r="O11" s="478" t="str">
        <f t="shared" si="2"/>
        <v>ExLgRetHtPmpHt</v>
      </c>
      <c r="P11" s="478" t="str">
        <f t="shared" si="3"/>
        <v>ExLgRetGasHt</v>
      </c>
      <c r="Q11" s="474" t="str">
        <f t="shared" si="4"/>
        <v>ExLgRet</v>
      </c>
      <c r="R11" s="466">
        <v>12</v>
      </c>
    </row>
    <row r="12" spans="1:18" ht="12.75">
      <c r="A12" s="464">
        <v>8</v>
      </c>
      <c r="B12" s="433" t="s">
        <v>1260</v>
      </c>
      <c r="C12" s="433" t="s">
        <v>685</v>
      </c>
      <c r="D12" s="492" t="s">
        <v>1261</v>
      </c>
      <c r="E12" s="434"/>
      <c r="F12" s="474" t="s">
        <v>1261</v>
      </c>
      <c r="G12" s="475">
        <v>0.568808219851503</v>
      </c>
      <c r="H12" s="475">
        <v>0.86</v>
      </c>
      <c r="I12" s="475">
        <v>1.004008219851503</v>
      </c>
      <c r="J12" s="475">
        <v>1</v>
      </c>
      <c r="K12" s="466">
        <v>2400</v>
      </c>
      <c r="L12" s="476">
        <v>-0.0218368</v>
      </c>
      <c r="M12" s="477">
        <f t="shared" si="0"/>
        <v>-0.010143193600000001</v>
      </c>
      <c r="N12" s="478" t="str">
        <f t="shared" si="1"/>
        <v>ExSchoolElecHt</v>
      </c>
      <c r="O12" s="478" t="str">
        <f t="shared" si="2"/>
        <v>ExSchoolHtPmpHt</v>
      </c>
      <c r="P12" s="478" t="str">
        <f t="shared" si="3"/>
        <v>ExSchoolGasHt</v>
      </c>
      <c r="Q12" s="474" t="str">
        <f t="shared" si="4"/>
        <v>ExSchool</v>
      </c>
      <c r="R12" s="466">
        <v>12</v>
      </c>
    </row>
    <row r="13" spans="1:18" ht="12.75">
      <c r="A13" s="464">
        <v>9</v>
      </c>
      <c r="B13" s="433" t="s">
        <v>1262</v>
      </c>
      <c r="C13" s="433" t="s">
        <v>685</v>
      </c>
      <c r="D13" s="492" t="s">
        <v>1229</v>
      </c>
      <c r="E13" s="434"/>
      <c r="F13" s="474" t="s">
        <v>1229</v>
      </c>
      <c r="G13" s="475">
        <v>0.6820632101244889</v>
      </c>
      <c r="H13" s="475">
        <v>0.955</v>
      </c>
      <c r="I13" s="475">
        <v>1.1081965434578223</v>
      </c>
      <c r="J13" s="475">
        <v>1</v>
      </c>
      <c r="K13" s="466">
        <v>3000</v>
      </c>
      <c r="L13" s="476">
        <v>-0.021381866666666666</v>
      </c>
      <c r="M13" s="477">
        <f t="shared" si="0"/>
        <v>-0.009931877066666667</v>
      </c>
      <c r="N13" s="478" t="str">
        <f t="shared" si="1"/>
        <v>ExSchoolElecHt</v>
      </c>
      <c r="O13" s="478" t="str">
        <f t="shared" si="2"/>
        <v>ExSchoolHtPmpHt</v>
      </c>
      <c r="P13" s="478" t="str">
        <f t="shared" si="3"/>
        <v>ExSchoolGasHt</v>
      </c>
      <c r="Q13" s="474" t="str">
        <f t="shared" si="4"/>
        <v>ExSchool</v>
      </c>
      <c r="R13" s="466">
        <v>12</v>
      </c>
    </row>
    <row r="14" spans="1:18" ht="12.75">
      <c r="A14" s="464">
        <v>10</v>
      </c>
      <c r="B14" s="433" t="s">
        <v>686</v>
      </c>
      <c r="C14" s="433" t="s">
        <v>101</v>
      </c>
      <c r="D14" s="492" t="s">
        <v>1230</v>
      </c>
      <c r="E14" s="434"/>
      <c r="F14" s="474" t="s">
        <v>1230</v>
      </c>
      <c r="G14" s="475">
        <v>0.61</v>
      </c>
      <c r="H14" s="475">
        <v>0.805</v>
      </c>
      <c r="I14" s="475">
        <v>0.9636000000000001</v>
      </c>
      <c r="J14" s="475">
        <v>1</v>
      </c>
      <c r="K14" s="466">
        <v>3500</v>
      </c>
      <c r="L14" s="476">
        <v>-0.0177424</v>
      </c>
      <c r="M14" s="477">
        <f t="shared" si="0"/>
        <v>-0.0082413448</v>
      </c>
      <c r="N14" s="478" t="str">
        <f t="shared" si="1"/>
        <v>ExWarehElecHt</v>
      </c>
      <c r="O14" s="478" t="str">
        <f t="shared" si="2"/>
        <v>ExWarehHtPmpHt</v>
      </c>
      <c r="P14" s="478" t="str">
        <f t="shared" si="3"/>
        <v>ExWarehGasHt</v>
      </c>
      <c r="Q14" s="474" t="str">
        <f t="shared" si="4"/>
        <v>ExWareh</v>
      </c>
      <c r="R14" s="466">
        <v>12</v>
      </c>
    </row>
    <row r="15" spans="1:18" ht="12.75">
      <c r="A15" s="464">
        <v>11</v>
      </c>
      <c r="B15" s="433" t="s">
        <v>1231</v>
      </c>
      <c r="C15" s="433" t="s">
        <v>102</v>
      </c>
      <c r="D15" s="492" t="s">
        <v>1232</v>
      </c>
      <c r="E15" s="434"/>
      <c r="F15" s="474" t="s">
        <v>1232</v>
      </c>
      <c r="G15" s="475">
        <v>0.8530066536973147</v>
      </c>
      <c r="H15" s="475">
        <v>0.97</v>
      </c>
      <c r="I15" s="475">
        <v>1.0524733203639813</v>
      </c>
      <c r="J15" s="475">
        <v>1</v>
      </c>
      <c r="K15" s="466">
        <v>6500</v>
      </c>
      <c r="L15" s="476">
        <v>-0.010008533333333333</v>
      </c>
      <c r="M15" s="477">
        <f t="shared" si="0"/>
        <v>-0.004648963733333333</v>
      </c>
      <c r="N15" s="478" t="str">
        <f t="shared" si="1"/>
        <v>ExGrocElecHt</v>
      </c>
      <c r="O15" s="478" t="str">
        <f t="shared" si="2"/>
        <v>ExGrocHtPmpHt</v>
      </c>
      <c r="P15" s="478" t="str">
        <f t="shared" si="3"/>
        <v>ExGrocGasHt</v>
      </c>
      <c r="Q15" s="474" t="str">
        <f t="shared" si="4"/>
        <v>ExGroc</v>
      </c>
      <c r="R15" s="466">
        <v>12</v>
      </c>
    </row>
    <row r="16" spans="1:18" ht="12.75">
      <c r="A16" s="464">
        <v>12</v>
      </c>
      <c r="B16" s="433" t="s">
        <v>1233</v>
      </c>
      <c r="C16" s="433" t="s">
        <v>102</v>
      </c>
      <c r="D16" s="492" t="s">
        <v>1234</v>
      </c>
      <c r="E16" s="434"/>
      <c r="F16" s="474" t="s">
        <v>1234</v>
      </c>
      <c r="G16" s="475">
        <v>0.6949739737475549</v>
      </c>
      <c r="H16" s="475">
        <v>0.945</v>
      </c>
      <c r="I16" s="475">
        <v>1.048573973747555</v>
      </c>
      <c r="J16" s="475">
        <v>1</v>
      </c>
      <c r="K16" s="466">
        <v>6500</v>
      </c>
      <c r="L16" s="476">
        <v>-0.0177424</v>
      </c>
      <c r="M16" s="477">
        <f t="shared" si="0"/>
        <v>-0.0082413448</v>
      </c>
      <c r="N16" s="478" t="str">
        <f t="shared" si="1"/>
        <v>ExGrocElecHt</v>
      </c>
      <c r="O16" s="478" t="str">
        <f t="shared" si="2"/>
        <v>ExGrocHtPmpHt</v>
      </c>
      <c r="P16" s="478" t="str">
        <f t="shared" si="3"/>
        <v>ExGrocGasHt</v>
      </c>
      <c r="Q16" s="474" t="str">
        <f t="shared" si="4"/>
        <v>ExGroc</v>
      </c>
      <c r="R16" s="466">
        <v>12</v>
      </c>
    </row>
    <row r="17" spans="1:18" ht="12.75">
      <c r="A17" s="464">
        <v>13</v>
      </c>
      <c r="B17" s="433" t="s">
        <v>684</v>
      </c>
      <c r="C17" s="433" t="s">
        <v>103</v>
      </c>
      <c r="D17" s="492" t="s">
        <v>1235</v>
      </c>
      <c r="E17" s="434"/>
      <c r="F17" s="474" t="s">
        <v>1235</v>
      </c>
      <c r="G17" s="475">
        <v>0.42513248540947907</v>
      </c>
      <c r="H17" s="475">
        <v>0.725</v>
      </c>
      <c r="I17" s="475">
        <v>0.9600658187428122</v>
      </c>
      <c r="J17" s="475">
        <v>1</v>
      </c>
      <c r="K17" s="466">
        <v>5000</v>
      </c>
      <c r="L17" s="476">
        <v>-0.026841066666666667</v>
      </c>
      <c r="M17" s="477">
        <f t="shared" si="0"/>
        <v>-0.012467675466666668</v>
      </c>
      <c r="N17" s="478" t="str">
        <f t="shared" si="1"/>
        <v>ExRestElecHt</v>
      </c>
      <c r="O17" s="478" t="str">
        <f t="shared" si="2"/>
        <v>ExRestHtPmpHt</v>
      </c>
      <c r="P17" s="478" t="str">
        <f t="shared" si="3"/>
        <v>ExRestGasHt</v>
      </c>
      <c r="Q17" s="474" t="str">
        <f t="shared" si="4"/>
        <v>ExRest</v>
      </c>
      <c r="R17" s="466">
        <v>12</v>
      </c>
    </row>
    <row r="18" spans="1:18" ht="12.75">
      <c r="A18" s="464">
        <v>14</v>
      </c>
      <c r="B18" s="433" t="s">
        <v>1236</v>
      </c>
      <c r="C18" s="433" t="s">
        <v>104</v>
      </c>
      <c r="D18" s="492" t="s">
        <v>429</v>
      </c>
      <c r="E18" s="434"/>
      <c r="F18" s="474" t="s">
        <v>429</v>
      </c>
      <c r="G18" s="475">
        <v>0.6852716245162727</v>
      </c>
      <c r="H18" s="475">
        <v>0.9</v>
      </c>
      <c r="I18" s="475">
        <v>1.0479382911829394</v>
      </c>
      <c r="J18" s="475">
        <v>1</v>
      </c>
      <c r="K18" s="466">
        <v>3600</v>
      </c>
      <c r="L18" s="476">
        <v>-0.018197333333333333</v>
      </c>
      <c r="M18" s="477">
        <f t="shared" si="0"/>
        <v>-0.008452661333333333</v>
      </c>
      <c r="N18" s="478" t="str">
        <f t="shared" si="1"/>
        <v>ExHotelElecHt</v>
      </c>
      <c r="O18" s="478" t="str">
        <f t="shared" si="2"/>
        <v>ExHotelHtPmpHt</v>
      </c>
      <c r="P18" s="478" t="str">
        <f t="shared" si="3"/>
        <v>ExHotelGasHt</v>
      </c>
      <c r="Q18" s="474" t="str">
        <f t="shared" si="4"/>
        <v>ExHotel</v>
      </c>
      <c r="R18" s="466">
        <v>12</v>
      </c>
    </row>
    <row r="19" spans="1:18" ht="12.75">
      <c r="A19" s="464">
        <v>15</v>
      </c>
      <c r="B19" s="433" t="s">
        <v>430</v>
      </c>
      <c r="C19" s="433" t="s">
        <v>682</v>
      </c>
      <c r="D19" s="492" t="s">
        <v>431</v>
      </c>
      <c r="E19" s="434"/>
      <c r="F19" s="474" t="s">
        <v>431</v>
      </c>
      <c r="G19" s="475">
        <v>0.2891258317121644</v>
      </c>
      <c r="H19" s="475">
        <v>0.65</v>
      </c>
      <c r="I19" s="475">
        <v>0.9419258317121644</v>
      </c>
      <c r="J19" s="475">
        <v>1</v>
      </c>
      <c r="K19" s="466">
        <v>5900</v>
      </c>
      <c r="L19" s="476">
        <v>-0.0327552</v>
      </c>
      <c r="M19" s="477">
        <f t="shared" si="0"/>
        <v>-0.0152147904</v>
      </c>
      <c r="N19" s="478" t="str">
        <f t="shared" si="1"/>
        <v>ExHealthElecHt</v>
      </c>
      <c r="O19" s="478" t="str">
        <f t="shared" si="2"/>
        <v>ExHealthHtPmpHt</v>
      </c>
      <c r="P19" s="478" t="str">
        <f t="shared" si="3"/>
        <v>ExHealthGasHt</v>
      </c>
      <c r="Q19" s="474" t="str">
        <f t="shared" si="4"/>
        <v>ExHealth</v>
      </c>
      <c r="R19" s="466">
        <v>12</v>
      </c>
    </row>
    <row r="20" spans="1:18" ht="12.75">
      <c r="A20" s="464">
        <v>16</v>
      </c>
      <c r="B20" s="433" t="s">
        <v>432</v>
      </c>
      <c r="C20" s="433" t="s">
        <v>682</v>
      </c>
      <c r="D20" s="492" t="s">
        <v>433</v>
      </c>
      <c r="E20" s="434"/>
      <c r="F20" s="474" t="s">
        <v>433</v>
      </c>
      <c r="G20" s="475">
        <v>0.9187378083673308</v>
      </c>
      <c r="H20" s="475">
        <v>1.02</v>
      </c>
      <c r="I20" s="475">
        <v>1.0819378083673306</v>
      </c>
      <c r="J20" s="475">
        <v>1</v>
      </c>
      <c r="K20" s="466">
        <v>3600</v>
      </c>
      <c r="L20" s="476">
        <v>-0.0081888</v>
      </c>
      <c r="M20" s="477">
        <f t="shared" si="0"/>
        <v>-0.0038036976</v>
      </c>
      <c r="N20" s="478" t="str">
        <f t="shared" si="1"/>
        <v>ExHealthElecHt</v>
      </c>
      <c r="O20" s="478" t="str">
        <f t="shared" si="2"/>
        <v>ExHealthHtPmpHt</v>
      </c>
      <c r="P20" s="478" t="str">
        <f t="shared" si="3"/>
        <v>ExHealthGasHt</v>
      </c>
      <c r="Q20" s="474" t="str">
        <f t="shared" si="4"/>
        <v>ExHealth</v>
      </c>
      <c r="R20" s="466">
        <v>12</v>
      </c>
    </row>
    <row r="21" spans="1:18" ht="12.75">
      <c r="A21" s="464">
        <v>17</v>
      </c>
      <c r="B21" s="433" t="s">
        <v>683</v>
      </c>
      <c r="C21" s="433" t="s">
        <v>105</v>
      </c>
      <c r="D21" s="492" t="s">
        <v>434</v>
      </c>
      <c r="E21" s="434"/>
      <c r="F21" s="474" t="s">
        <v>434</v>
      </c>
      <c r="G21" s="475">
        <v>0.8668048930028457</v>
      </c>
      <c r="H21" s="475">
        <v>1.02</v>
      </c>
      <c r="I21" s="475">
        <v>1.0300048930028456</v>
      </c>
      <c r="J21" s="475">
        <v>1</v>
      </c>
      <c r="K21" s="466">
        <v>4000</v>
      </c>
      <c r="L21" s="476">
        <v>-0.0081888</v>
      </c>
      <c r="M21" s="477">
        <f t="shared" si="0"/>
        <v>-0.0038036976</v>
      </c>
      <c r="N21" s="474" t="s">
        <v>1011</v>
      </c>
      <c r="O21" s="474" t="s">
        <v>1011</v>
      </c>
      <c r="P21" s="474" t="s">
        <v>1011</v>
      </c>
      <c r="Q21" s="474" t="str">
        <f t="shared" si="4"/>
        <v>ExCommLight</v>
      </c>
      <c r="R21" s="466">
        <v>12</v>
      </c>
    </row>
    <row r="22" spans="1:18" ht="12.75">
      <c r="A22" s="464">
        <v>18</v>
      </c>
      <c r="C22" s="433" t="s">
        <v>106</v>
      </c>
      <c r="D22" s="493" t="s">
        <v>107</v>
      </c>
      <c r="F22" s="474" t="s">
        <v>107</v>
      </c>
      <c r="G22" s="475">
        <v>0.61</v>
      </c>
      <c r="H22" s="475">
        <v>0.805</v>
      </c>
      <c r="I22" s="475">
        <v>0.9636000000000001</v>
      </c>
      <c r="J22" s="475">
        <v>1</v>
      </c>
      <c r="K22" s="466">
        <v>2250</v>
      </c>
      <c r="L22" s="476">
        <v>-0.0177424</v>
      </c>
      <c r="M22" s="477">
        <f t="shared" si="0"/>
        <v>-0.0082413448</v>
      </c>
      <c r="N22" s="474" t="s">
        <v>108</v>
      </c>
      <c r="O22" s="474" t="s">
        <v>108</v>
      </c>
      <c r="P22" s="474" t="s">
        <v>108</v>
      </c>
      <c r="Q22" s="474" t="s">
        <v>108</v>
      </c>
      <c r="R22" s="466">
        <v>12</v>
      </c>
    </row>
    <row r="23" spans="1:18" ht="12.75">
      <c r="A23" s="464">
        <v>19</v>
      </c>
      <c r="C23" s="433" t="s">
        <v>106</v>
      </c>
      <c r="D23" s="493" t="s">
        <v>759</v>
      </c>
      <c r="F23" s="474" t="s">
        <v>759</v>
      </c>
      <c r="G23" s="475">
        <v>0.61</v>
      </c>
      <c r="H23" s="475">
        <v>0.805</v>
      </c>
      <c r="I23" s="475">
        <v>0.9636000000000001</v>
      </c>
      <c r="J23" s="475">
        <v>1</v>
      </c>
      <c r="K23" s="466">
        <v>8400</v>
      </c>
      <c r="L23" s="476">
        <v>-0.0177424</v>
      </c>
      <c r="M23" s="477">
        <f t="shared" si="0"/>
        <v>-0.0082413448</v>
      </c>
      <c r="N23" s="474" t="s">
        <v>760</v>
      </c>
      <c r="O23" s="474" t="s">
        <v>760</v>
      </c>
      <c r="P23" s="474" t="s">
        <v>760</v>
      </c>
      <c r="Q23" s="474" t="s">
        <v>760</v>
      </c>
      <c r="R23" s="466">
        <v>12</v>
      </c>
    </row>
    <row r="24" spans="1:18" ht="12.75">
      <c r="A24" s="464">
        <v>20</v>
      </c>
      <c r="C24" s="433" t="s">
        <v>106</v>
      </c>
      <c r="D24" s="493" t="s">
        <v>761</v>
      </c>
      <c r="F24" s="474" t="s">
        <v>761</v>
      </c>
      <c r="G24" s="475">
        <v>0.61</v>
      </c>
      <c r="H24" s="475">
        <v>0.805</v>
      </c>
      <c r="I24" s="475">
        <v>0.9636000000000001</v>
      </c>
      <c r="J24" s="475">
        <v>1</v>
      </c>
      <c r="K24" s="466">
        <v>4500</v>
      </c>
      <c r="L24" s="476">
        <v>-0.0177424</v>
      </c>
      <c r="M24" s="477">
        <f t="shared" si="0"/>
        <v>-0.0082413448</v>
      </c>
      <c r="N24" s="474" t="s">
        <v>762</v>
      </c>
      <c r="O24" s="474" t="s">
        <v>762</v>
      </c>
      <c r="P24" s="474" t="s">
        <v>762</v>
      </c>
      <c r="Q24" s="474" t="s">
        <v>762</v>
      </c>
      <c r="R24" s="466">
        <v>12</v>
      </c>
    </row>
    <row r="25" spans="1:18" ht="12.75">
      <c r="A25" s="464">
        <v>21</v>
      </c>
      <c r="C25" s="433" t="s">
        <v>763</v>
      </c>
      <c r="D25" s="493" t="s">
        <v>764</v>
      </c>
      <c r="F25" s="474" t="s">
        <v>764</v>
      </c>
      <c r="G25" s="475">
        <v>1</v>
      </c>
      <c r="H25" s="475">
        <v>1</v>
      </c>
      <c r="I25" s="475">
        <v>1</v>
      </c>
      <c r="J25" s="475">
        <v>1</v>
      </c>
      <c r="K25" s="479">
        <v>8760</v>
      </c>
      <c r="L25" s="480">
        <v>0</v>
      </c>
      <c r="M25" s="481">
        <f t="shared" si="0"/>
        <v>0</v>
      </c>
      <c r="N25" s="474" t="str">
        <f aca="true" t="shared" si="5" ref="N25:Q26">$C25</f>
        <v>Flat</v>
      </c>
      <c r="O25" s="474" t="str">
        <f t="shared" si="5"/>
        <v>Flat</v>
      </c>
      <c r="P25" s="474" t="str">
        <f t="shared" si="5"/>
        <v>Flat</v>
      </c>
      <c r="Q25" s="474" t="str">
        <f t="shared" si="5"/>
        <v>Flat</v>
      </c>
      <c r="R25" s="466">
        <v>12</v>
      </c>
    </row>
    <row r="26" spans="1:18" ht="12.75">
      <c r="A26" s="464">
        <v>22</v>
      </c>
      <c r="C26" s="433" t="s">
        <v>765</v>
      </c>
      <c r="D26" s="493" t="s">
        <v>766</v>
      </c>
      <c r="F26" s="474" t="s">
        <v>766</v>
      </c>
      <c r="G26" s="475">
        <v>1</v>
      </c>
      <c r="H26" s="475">
        <v>1</v>
      </c>
      <c r="I26" s="475">
        <v>1</v>
      </c>
      <c r="J26" s="475">
        <v>1</v>
      </c>
      <c r="K26" s="479">
        <v>5400</v>
      </c>
      <c r="L26" s="480">
        <v>0</v>
      </c>
      <c r="M26" s="481">
        <f t="shared" si="0"/>
        <v>0</v>
      </c>
      <c r="N26" s="474" t="str">
        <f t="shared" si="5"/>
        <v>StreetLight</v>
      </c>
      <c r="O26" s="474" t="str">
        <f t="shared" si="5"/>
        <v>StreetLight</v>
      </c>
      <c r="P26" s="474" t="str">
        <f t="shared" si="5"/>
        <v>StreetLight</v>
      </c>
      <c r="Q26" s="474" t="str">
        <f t="shared" si="5"/>
        <v>StreetLight</v>
      </c>
      <c r="R26" s="466">
        <v>12</v>
      </c>
    </row>
    <row r="27" spans="1:4" ht="15">
      <c r="A27" s="464">
        <v>23</v>
      </c>
      <c r="D27" s="530"/>
    </row>
    <row r="28" spans="1:4" ht="15">
      <c r="A28" s="464">
        <v>24</v>
      </c>
      <c r="D28" s="530"/>
    </row>
    <row r="29" spans="1:4" ht="15">
      <c r="A29" s="464">
        <v>25</v>
      </c>
      <c r="D29" s="530"/>
    </row>
    <row r="30" spans="1:4" ht="15">
      <c r="A30" s="464">
        <v>26</v>
      </c>
      <c r="D30" s="530"/>
    </row>
    <row r="31" spans="1:4" ht="12.75">
      <c r="A31" s="464">
        <v>27</v>
      </c>
      <c r="D31" s="493"/>
    </row>
    <row r="32" spans="1:4" ht="12.75">
      <c r="A32" s="464">
        <v>28</v>
      </c>
      <c r="D32" s="493"/>
    </row>
    <row r="33" spans="1:4" ht="12.75">
      <c r="A33" s="464">
        <v>29</v>
      </c>
      <c r="D33" s="491"/>
    </row>
    <row r="34" spans="1:4" ht="12.75">
      <c r="A34" s="464">
        <v>30</v>
      </c>
      <c r="D34" s="491"/>
    </row>
  </sheetData>
  <sheetProtection sheet="1" objects="1"/>
  <mergeCells count="3">
    <mergeCell ref="B3:D3"/>
    <mergeCell ref="G3:J3"/>
    <mergeCell ref="N3:Q3"/>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codeName="Sheet14"/>
  <dimension ref="A1:D51"/>
  <sheetViews>
    <sheetView workbookViewId="0" topLeftCell="A1">
      <selection activeCell="E25" sqref="E25"/>
    </sheetView>
  </sheetViews>
  <sheetFormatPr defaultColWidth="9.00390625" defaultRowHeight="15.75"/>
  <cols>
    <col min="1" max="1" width="15.50390625" style="433" customWidth="1"/>
    <col min="2" max="2" width="60.125" style="433" customWidth="1"/>
    <col min="3" max="3" width="17.375" style="433" customWidth="1"/>
    <col min="4" max="4" width="12.125" style="433" customWidth="1"/>
    <col min="5" max="16384" width="8.00390625" style="433" customWidth="1"/>
  </cols>
  <sheetData>
    <row r="1" spans="1:2" ht="15.75">
      <c r="A1" s="433" t="s">
        <v>767</v>
      </c>
      <c r="B1" s="120" t="s">
        <v>1012</v>
      </c>
    </row>
    <row r="2" ht="13.5" thickBot="1">
      <c r="B2" s="552" t="s">
        <v>1018</v>
      </c>
    </row>
    <row r="3" spans="2:4" ht="51">
      <c r="B3" s="482" t="s">
        <v>768</v>
      </c>
      <c r="C3" s="482" t="s">
        <v>769</v>
      </c>
      <c r="D3" s="482" t="s">
        <v>770</v>
      </c>
    </row>
    <row r="4" spans="2:4" ht="12.75">
      <c r="B4" s="552" t="s">
        <v>1019</v>
      </c>
      <c r="C4" s="551" t="s">
        <v>1011</v>
      </c>
      <c r="D4" s="476">
        <v>0.46224000000000004</v>
      </c>
    </row>
    <row r="5" spans="2:4" ht="12.75">
      <c r="B5" s="552" t="s">
        <v>811</v>
      </c>
      <c r="C5" s="551" t="s">
        <v>812</v>
      </c>
      <c r="D5" s="476">
        <v>0.43012</v>
      </c>
    </row>
    <row r="6" spans="2:4" ht="12.75">
      <c r="B6" s="552" t="s">
        <v>813</v>
      </c>
      <c r="C6" s="551" t="s">
        <v>814</v>
      </c>
      <c r="D6" s="476">
        <v>0.4686</v>
      </c>
    </row>
    <row r="7" spans="2:4" ht="12.75">
      <c r="B7" s="552" t="s">
        <v>815</v>
      </c>
      <c r="C7" s="551" t="s">
        <v>816</v>
      </c>
      <c r="D7" s="476">
        <v>0.42378</v>
      </c>
    </row>
    <row r="8" spans="2:4" ht="12.75">
      <c r="B8" s="552" t="s">
        <v>817</v>
      </c>
      <c r="C8" s="551" t="s">
        <v>818</v>
      </c>
      <c r="D8" s="476">
        <v>0.43002</v>
      </c>
    </row>
    <row r="9" spans="2:4" ht="12.75">
      <c r="B9" s="552" t="s">
        <v>819</v>
      </c>
      <c r="C9" s="551" t="s">
        <v>820</v>
      </c>
      <c r="D9" s="476">
        <v>0.45966</v>
      </c>
    </row>
    <row r="10" spans="2:4" ht="12.75">
      <c r="B10" s="552" t="s">
        <v>987</v>
      </c>
      <c r="C10" s="551" t="s">
        <v>988</v>
      </c>
      <c r="D10" s="476">
        <v>0.6223000000000001</v>
      </c>
    </row>
    <row r="11" spans="2:4" ht="12.75">
      <c r="B11" s="552" t="s">
        <v>989</v>
      </c>
      <c r="C11" s="551" t="s">
        <v>990</v>
      </c>
      <c r="D11" s="476">
        <v>0.43944</v>
      </c>
    </row>
    <row r="12" spans="2:4" ht="12.75">
      <c r="B12" s="552" t="s">
        <v>991</v>
      </c>
      <c r="C12" s="551" t="s">
        <v>992</v>
      </c>
      <c r="D12" s="476">
        <v>0.4677</v>
      </c>
    </row>
    <row r="13" spans="2:4" ht="12.75">
      <c r="B13" s="552" t="s">
        <v>993</v>
      </c>
      <c r="C13" s="551" t="s">
        <v>994</v>
      </c>
      <c r="D13" s="476">
        <v>0.45980000000000004</v>
      </c>
    </row>
    <row r="14" spans="2:4" ht="12.75">
      <c r="B14" s="552" t="s">
        <v>995</v>
      </c>
      <c r="C14" s="551" t="s">
        <v>996</v>
      </c>
      <c r="D14" s="476">
        <v>0.50822</v>
      </c>
    </row>
    <row r="15" spans="2:4" ht="12.75">
      <c r="B15" s="552" t="s">
        <v>997</v>
      </c>
      <c r="C15" s="551" t="s">
        <v>998</v>
      </c>
      <c r="D15" s="476">
        <v>0.44824</v>
      </c>
    </row>
    <row r="16" spans="2:4" ht="12.75">
      <c r="B16" s="552" t="s">
        <v>999</v>
      </c>
      <c r="C16" s="551" t="s">
        <v>1000</v>
      </c>
      <c r="D16" s="476">
        <v>0.46314</v>
      </c>
    </row>
    <row r="17" spans="2:4" ht="12.75">
      <c r="B17" s="552" t="s">
        <v>1001</v>
      </c>
      <c r="C17" s="551" t="s">
        <v>1002</v>
      </c>
      <c r="D17" s="476">
        <v>0.46784</v>
      </c>
    </row>
    <row r="18" spans="2:4" ht="12.75">
      <c r="B18" s="552" t="s">
        <v>1003</v>
      </c>
      <c r="C18" s="551" t="s">
        <v>1004</v>
      </c>
      <c r="D18" s="476">
        <v>0.50966</v>
      </c>
    </row>
    <row r="19" spans="2:4" ht="12.75">
      <c r="B19" s="552" t="s">
        <v>1005</v>
      </c>
      <c r="C19" s="551" t="s">
        <v>1006</v>
      </c>
      <c r="D19" s="476">
        <v>0.4666</v>
      </c>
    </row>
    <row r="20" spans="2:4" ht="12.75">
      <c r="B20" s="552" t="s">
        <v>1007</v>
      </c>
      <c r="C20" s="551" t="s">
        <v>1008</v>
      </c>
      <c r="D20" s="476">
        <v>0.48412</v>
      </c>
    </row>
    <row r="21" spans="2:4" ht="12.75">
      <c r="B21" s="552" t="s">
        <v>1009</v>
      </c>
      <c r="C21" s="551" t="s">
        <v>1010</v>
      </c>
      <c r="D21" s="476">
        <v>0.45566</v>
      </c>
    </row>
    <row r="22" spans="2:4" ht="12.75">
      <c r="B22" s="552" t="s">
        <v>607</v>
      </c>
      <c r="C22" s="551" t="s">
        <v>608</v>
      </c>
      <c r="D22" s="476">
        <v>0.46234</v>
      </c>
    </row>
    <row r="23" spans="2:4" ht="12.75">
      <c r="B23" s="552" t="s">
        <v>609</v>
      </c>
      <c r="C23" s="551" t="s">
        <v>610</v>
      </c>
      <c r="D23" s="476">
        <v>0.45566</v>
      </c>
    </row>
    <row r="24" spans="2:4" ht="12.75">
      <c r="B24" s="552" t="s">
        <v>611</v>
      </c>
      <c r="C24" s="551" t="s">
        <v>612</v>
      </c>
      <c r="D24" s="476">
        <v>0.45676</v>
      </c>
    </row>
    <row r="25" spans="2:4" ht="12.75">
      <c r="B25" s="552" t="s">
        <v>1013</v>
      </c>
      <c r="C25" s="551" t="s">
        <v>1011</v>
      </c>
      <c r="D25" s="476">
        <v>0.46224000000000004</v>
      </c>
    </row>
    <row r="26" spans="2:4" ht="12.75">
      <c r="B26" s="552" t="s">
        <v>771</v>
      </c>
      <c r="C26" s="551" t="s">
        <v>772</v>
      </c>
      <c r="D26" s="476">
        <v>0.44023999999999996</v>
      </c>
    </row>
    <row r="27" spans="2:4" ht="12.75">
      <c r="B27" s="552" t="s">
        <v>773</v>
      </c>
      <c r="C27" s="551" t="s">
        <v>774</v>
      </c>
      <c r="D27" s="476">
        <v>0.49806</v>
      </c>
    </row>
    <row r="28" spans="2:4" ht="12.75">
      <c r="B28" s="552" t="s">
        <v>775</v>
      </c>
      <c r="C28" s="551" t="s">
        <v>776</v>
      </c>
      <c r="D28" s="476">
        <v>0.42888</v>
      </c>
    </row>
    <row r="29" spans="2:4" ht="12.75">
      <c r="B29" s="552" t="s">
        <v>777</v>
      </c>
      <c r="C29" s="551" t="s">
        <v>778</v>
      </c>
      <c r="D29" s="476">
        <v>0.43938</v>
      </c>
    </row>
    <row r="30" spans="2:4" ht="12.75">
      <c r="B30" s="552" t="s">
        <v>779</v>
      </c>
      <c r="C30" s="551" t="s">
        <v>780</v>
      </c>
      <c r="D30" s="476">
        <v>0.46434</v>
      </c>
    </row>
    <row r="31" spans="2:4" ht="12.75">
      <c r="B31" s="552" t="s">
        <v>781</v>
      </c>
      <c r="C31" s="551" t="s">
        <v>782</v>
      </c>
      <c r="D31" s="476">
        <v>0.5462400000000001</v>
      </c>
    </row>
    <row r="32" spans="2:4" ht="12.75">
      <c r="B32" s="552" t="s">
        <v>783</v>
      </c>
      <c r="C32" s="551" t="s">
        <v>784</v>
      </c>
      <c r="D32" s="476">
        <v>0.4395</v>
      </c>
    </row>
    <row r="33" spans="2:4" ht="12.75">
      <c r="B33" s="552" t="s">
        <v>785</v>
      </c>
      <c r="C33" s="551" t="s">
        <v>786</v>
      </c>
      <c r="D33" s="476">
        <v>0.4522</v>
      </c>
    </row>
    <row r="34" spans="2:4" ht="12.75">
      <c r="B34" s="552" t="s">
        <v>787</v>
      </c>
      <c r="C34" s="551" t="s">
        <v>788</v>
      </c>
      <c r="D34" s="476">
        <v>0.48394000000000004</v>
      </c>
    </row>
    <row r="35" spans="2:4" ht="12.75">
      <c r="B35" s="552" t="s">
        <v>789</v>
      </c>
      <c r="C35" s="551" t="s">
        <v>790</v>
      </c>
      <c r="D35" s="476">
        <v>0.47043999999999997</v>
      </c>
    </row>
    <row r="36" spans="2:4" ht="12.75">
      <c r="B36" s="552" t="s">
        <v>791</v>
      </c>
      <c r="C36" s="551" t="s">
        <v>792</v>
      </c>
      <c r="D36" s="476">
        <v>0.48022000000000004</v>
      </c>
    </row>
    <row r="37" spans="2:4" ht="12.75">
      <c r="B37" s="552" t="s">
        <v>793</v>
      </c>
      <c r="C37" s="551" t="s">
        <v>794</v>
      </c>
      <c r="D37" s="476">
        <v>0.43457999999999997</v>
      </c>
    </row>
    <row r="38" spans="2:4" ht="12.75">
      <c r="B38" s="552" t="s">
        <v>795</v>
      </c>
      <c r="C38" s="551" t="s">
        <v>796</v>
      </c>
      <c r="D38" s="476">
        <v>0.48547999999999997</v>
      </c>
    </row>
    <row r="39" spans="2:4" ht="12.75">
      <c r="B39" s="552" t="s">
        <v>797</v>
      </c>
      <c r="C39" s="551" t="s">
        <v>798</v>
      </c>
      <c r="D39" s="476">
        <v>0.43019999999999997</v>
      </c>
    </row>
    <row r="40" spans="2:4" ht="12.75">
      <c r="B40" s="552" t="s">
        <v>799</v>
      </c>
      <c r="C40" s="551" t="s">
        <v>800</v>
      </c>
      <c r="D40" s="476">
        <v>0.44314000000000003</v>
      </c>
    </row>
    <row r="41" spans="2:4" ht="12.75">
      <c r="B41" s="552" t="s">
        <v>801</v>
      </c>
      <c r="C41" s="551" t="s">
        <v>802</v>
      </c>
      <c r="D41" s="476">
        <v>0.51482</v>
      </c>
    </row>
    <row r="42" spans="2:4" ht="12.75">
      <c r="B42" s="552" t="s">
        <v>803</v>
      </c>
      <c r="C42" s="551" t="s">
        <v>804</v>
      </c>
      <c r="D42" s="476">
        <v>0.4606</v>
      </c>
    </row>
    <row r="43" spans="2:4" ht="12.75">
      <c r="B43" s="552" t="s">
        <v>805</v>
      </c>
      <c r="C43" s="551" t="s">
        <v>806</v>
      </c>
      <c r="D43" s="476">
        <v>0.48148</v>
      </c>
    </row>
    <row r="44" spans="2:4" ht="12.75">
      <c r="B44" s="552" t="s">
        <v>807</v>
      </c>
      <c r="C44" s="551" t="s">
        <v>808</v>
      </c>
      <c r="D44" s="476">
        <v>0.45498</v>
      </c>
    </row>
    <row r="45" spans="2:4" ht="12.75">
      <c r="B45" s="552" t="s">
        <v>809</v>
      </c>
      <c r="C45" s="551" t="s">
        <v>810</v>
      </c>
      <c r="D45" s="476">
        <v>0.46304</v>
      </c>
    </row>
    <row r="46" spans="2:4" ht="12.75">
      <c r="B46" s="474" t="s">
        <v>1014</v>
      </c>
      <c r="C46" s="474" t="s">
        <v>1015</v>
      </c>
      <c r="D46" s="476">
        <v>0.40406000000000003</v>
      </c>
    </row>
    <row r="47" spans="2:4" ht="12.75">
      <c r="B47" s="474" t="s">
        <v>1016</v>
      </c>
      <c r="C47" s="474" t="s">
        <v>1017</v>
      </c>
      <c r="D47" s="476">
        <v>0.44352</v>
      </c>
    </row>
    <row r="48" spans="2:4" ht="12.75">
      <c r="B48" s="474" t="s">
        <v>766</v>
      </c>
      <c r="C48" s="474" t="s">
        <v>765</v>
      </c>
      <c r="D48" s="476">
        <v>0.36022</v>
      </c>
    </row>
    <row r="49" spans="2:4" ht="12.75">
      <c r="B49" s="474" t="s">
        <v>613</v>
      </c>
      <c r="C49" s="474" t="s">
        <v>108</v>
      </c>
      <c r="D49" s="476">
        <v>0.492</v>
      </c>
    </row>
    <row r="50" spans="2:4" ht="12.75">
      <c r="B50" s="474" t="s">
        <v>614</v>
      </c>
      <c r="C50" s="474" t="s">
        <v>760</v>
      </c>
      <c r="D50" s="476">
        <v>0.4254</v>
      </c>
    </row>
    <row r="51" spans="2:4" ht="12.75">
      <c r="B51" s="474" t="s">
        <v>615</v>
      </c>
      <c r="C51" s="474" t="s">
        <v>762</v>
      </c>
      <c r="D51" s="476">
        <v>0.47816</v>
      </c>
    </row>
  </sheetData>
  <sheetProtection sheet="1" objects="1"/>
  <hyperlinks>
    <hyperlink ref="B1" r:id="rId1" display="https://www.ptr.nwcouncil.org/../../../../TE/RTF/Software/Deemed Calcs Final/PostFY06 Calcs/CreditCalc_kWh_FY07v1_7.xls"/>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Bonneville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ESO Drop-Down</dc:title>
  <dc:subject/>
  <dc:creator>Craig Ciranny</dc:creator>
  <cp:keywords/>
  <dc:description/>
  <cp:lastModifiedBy>rlc2138</cp:lastModifiedBy>
  <cp:lastPrinted>2006-09-22T23:26:13Z</cp:lastPrinted>
  <dcterms:created xsi:type="dcterms:W3CDTF">2002-09-20T19:14:56Z</dcterms:created>
  <dcterms:modified xsi:type="dcterms:W3CDTF">2007-01-03T19:55:29Z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