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65" windowHeight="8790" activeTab="7"/>
  </bookViews>
  <sheets>
    <sheet name="What is a fence section" sheetId="1" r:id="rId1"/>
    <sheet name="High Tensile wood posts" sheetId="2" r:id="rId2"/>
    <sheet name="High Tensile Fiber Rod posts" sheetId="3" r:id="rId3"/>
    <sheet name="HT Wire Drawing " sheetId="4" r:id="rId4"/>
    <sheet name="HT Elec. Drawing" sheetId="5" r:id="rId5"/>
    <sheet name="Barbed Wire wood and T-post" sheetId="6" r:id="rId6"/>
    <sheet name="Barbed Wire Drawing" sheetId="7" r:id="rId7"/>
    <sheet name="Woven Wire T-post and wood post" sheetId="8" r:id="rId8"/>
    <sheet name="Woven Wire Drawing" sheetId="9" r:id="rId9"/>
  </sheets>
  <definedNames/>
  <calcPr fullCalcOnLoad="1"/>
</workbook>
</file>

<file path=xl/comments2.xml><?xml version="1.0" encoding="utf-8"?>
<comments xmlns="http://schemas.openxmlformats.org/spreadsheetml/2006/main">
  <authors>
    <author>diane.pahl</author>
    <author>dan.snyder</author>
  </authors>
  <commentList>
    <comment ref="C9" authorId="0">
      <text>
        <r>
          <rPr>
            <sz val="12"/>
            <rFont val="Tahoma"/>
            <family val="0"/>
          </rPr>
          <t xml:space="preserve">100' maximum between posts.  50' is suggested.
</t>
        </r>
      </text>
    </comment>
    <comment ref="C10" authorId="0">
      <text>
        <r>
          <rPr>
            <sz val="8"/>
            <rFont val="Tahoma"/>
            <family val="2"/>
          </rPr>
          <t>4000' maximum on one strainer for perfectly level ground.  Subtract 1000' for every 90 degree corner and 500' for every rise or dip.</t>
        </r>
        <r>
          <rPr>
            <sz val="12"/>
            <rFont val="Tahoma"/>
            <family val="0"/>
          </rPr>
          <t xml:space="preserve">
</t>
        </r>
      </text>
    </comment>
    <comment ref="C11" authorId="0">
      <text>
        <r>
          <rPr>
            <sz val="8"/>
            <rFont val="Tahoma"/>
            <family val="2"/>
          </rPr>
          <t>See Fence standard (382) for minimums</t>
        </r>
        <r>
          <rPr>
            <sz val="12"/>
            <rFont val="Tahoma"/>
            <family val="0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>See Fence standard (382) for minimums</t>
        </r>
        <r>
          <rPr>
            <sz val="12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see picture below</t>
        </r>
        <r>
          <rPr>
            <sz val="12"/>
            <rFont val="Tahoma"/>
            <family val="0"/>
          </rPr>
          <t xml:space="preserve">
</t>
        </r>
      </text>
    </comment>
    <comment ref="A23" authorId="0">
      <text>
        <r>
          <rPr>
            <sz val="12"/>
            <rFont val="Tahoma"/>
            <family val="0"/>
          </rPr>
          <t xml:space="preserve">Minimum requirement
</t>
        </r>
      </text>
    </comment>
    <comment ref="A30" authorId="0">
      <text>
        <r>
          <rPr>
            <sz val="8"/>
            <rFont val="Tahoma"/>
            <family val="2"/>
          </rPr>
          <t xml:space="preserve">On fence section over 600' long place in middle of pull/resistance.  Use one strainer for every 4000'.  Subtract 1000 feet for every 90 degree corner and subtract 500 feet for every rise or dip &gt; 15 degrees.  </t>
        </r>
        <r>
          <rPr>
            <sz val="12"/>
            <rFont val="Tahoma"/>
            <family val="0"/>
          </rPr>
          <t xml:space="preserve">
</t>
        </r>
      </text>
    </comment>
    <comment ref="A25" authorId="1">
      <text>
        <r>
          <rPr>
            <sz val="8"/>
            <rFont val="Tahoma"/>
            <family val="0"/>
          </rPr>
          <t xml:space="preserve">These can be tube, pinlock, porcelein, etc.  Price accordingly.
</t>
        </r>
      </text>
    </comment>
    <comment ref="A31" authorId="1">
      <text>
        <r>
          <rPr>
            <sz val="8"/>
            <rFont val="Tahoma"/>
            <family val="0"/>
          </rPr>
          <t xml:space="preserve">A 3/8 inch galvanized spike (nail) may be used instead of a brace pin.
</t>
        </r>
      </text>
    </comment>
    <comment ref="A32" authorId="1">
      <text>
        <r>
          <rPr>
            <sz val="8"/>
            <rFont val="Tahoma"/>
            <family val="0"/>
          </rPr>
          <t xml:space="preserve">A 3/8 inch galvanized spike (nail) may be used instead of a brace pin.
</t>
        </r>
      </text>
    </comment>
    <comment ref="C16" authorId="1">
      <text>
        <r>
          <rPr>
            <sz val="8"/>
            <rFont val="Tahoma"/>
            <family val="0"/>
          </rPr>
          <t xml:space="preserve">If a pull assembly is needed for a upward elevation change of &gt; 15 degrees or more add it (them) as a single end (same post configuration).
</t>
        </r>
      </text>
    </comment>
    <comment ref="B35" authorId="0">
      <text>
        <r>
          <rPr>
            <sz val="12"/>
            <rFont val="Tahoma"/>
            <family val="0"/>
          </rPr>
          <t xml:space="preserve">enter size of gate
</t>
        </r>
      </text>
    </comment>
    <comment ref="B36" authorId="0">
      <text>
        <r>
          <rPr>
            <sz val="12"/>
            <rFont val="Tahoma"/>
            <family val="0"/>
          </rPr>
          <t xml:space="preserve">enter size of gate
</t>
        </r>
      </text>
    </comment>
    <comment ref="D42" authorId="0">
      <text>
        <r>
          <rPr>
            <sz val="12"/>
            <rFont val="Tahoma"/>
            <family val="0"/>
          </rPr>
          <t xml:space="preserve">enter dollar rate per hour
</t>
        </r>
      </text>
    </comment>
  </commentList>
</comments>
</file>

<file path=xl/comments3.xml><?xml version="1.0" encoding="utf-8"?>
<comments xmlns="http://schemas.openxmlformats.org/spreadsheetml/2006/main">
  <authors>
    <author>diane.pahl</author>
    <author>dan.snyder</author>
  </authors>
  <commentList>
    <comment ref="C9" authorId="0">
      <text>
        <r>
          <rPr>
            <sz val="12"/>
            <rFont val="Tahoma"/>
            <family val="0"/>
          </rPr>
          <t xml:space="preserve">33' spacing suggested.
</t>
        </r>
      </text>
    </comment>
    <comment ref="C10" authorId="0">
      <text>
        <r>
          <rPr>
            <sz val="8"/>
            <rFont val="Tahoma"/>
            <family val="2"/>
          </rPr>
          <t>4000' maximum on one strainer for perfectly level ground.  To calculate strainers needed:  Subtract 1000' for every 90 degree corner and 500' for every rise or dip.</t>
        </r>
        <r>
          <rPr>
            <sz val="12"/>
            <rFont val="Tahoma"/>
            <family val="0"/>
          </rPr>
          <t xml:space="preserve">
</t>
        </r>
      </text>
    </comment>
    <comment ref="C11" authorId="0">
      <text>
        <r>
          <rPr>
            <sz val="8"/>
            <rFont val="Tahoma"/>
            <family val="2"/>
          </rPr>
          <t>See Fence standard (382) for minimums</t>
        </r>
        <r>
          <rPr>
            <sz val="12"/>
            <rFont val="Tahoma"/>
            <family val="0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>See Fence standard (382) for minimums</t>
        </r>
        <r>
          <rPr>
            <sz val="12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see picture below</t>
        </r>
        <r>
          <rPr>
            <sz val="12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Any time the wire is tied off, ending a run.  Often used at gates, and on some corners.</t>
        </r>
      </text>
    </comment>
    <comment ref="A23" authorId="0">
      <text>
        <r>
          <rPr>
            <sz val="12"/>
            <rFont val="Tahoma"/>
            <family val="0"/>
          </rPr>
          <t xml:space="preserve">Minimum requirement
</t>
        </r>
      </text>
    </comment>
    <comment ref="A31" authorId="0">
      <text>
        <r>
          <rPr>
            <sz val="8"/>
            <rFont val="Tahoma"/>
            <family val="2"/>
          </rPr>
          <t xml:space="preserve">On fence section over 600' long place in middle of pull/resistance.  Use one strainer for every 4000'.  Subtract 1000 feet for every 90 degree corner and subtract 500 feet for every rise or dip &gt; 15 degrees.  </t>
        </r>
        <r>
          <rPr>
            <sz val="12"/>
            <rFont val="Tahoma"/>
            <family val="0"/>
          </rPr>
          <t xml:space="preserve">
</t>
        </r>
      </text>
    </comment>
    <comment ref="A25" authorId="1">
      <text>
        <r>
          <rPr>
            <sz val="8"/>
            <rFont val="Tahoma"/>
            <family val="0"/>
          </rPr>
          <t xml:space="preserve">These can be tube, pinlock, porcelein, etc.  Price accordingly.
</t>
        </r>
      </text>
    </comment>
    <comment ref="A32" authorId="1">
      <text>
        <r>
          <rPr>
            <sz val="8"/>
            <rFont val="Tahoma"/>
            <family val="0"/>
          </rPr>
          <t xml:space="preserve">A 3/8 inch galvanized spike (nail) may be used instead of a brace pin.
</t>
        </r>
      </text>
    </comment>
    <comment ref="A33" authorId="1">
      <text>
        <r>
          <rPr>
            <sz val="8"/>
            <rFont val="Tahoma"/>
            <family val="0"/>
          </rPr>
          <t xml:space="preserve">A 3/8 inch galvanized spike (nail) may be used instead of a brace pin.
</t>
        </r>
      </text>
    </comment>
    <comment ref="C16" authorId="1">
      <text>
        <r>
          <rPr>
            <sz val="8"/>
            <rFont val="Tahoma"/>
            <family val="0"/>
          </rPr>
          <t xml:space="preserve">If a pull assembly is needed for a upward elevation change of &gt; 15 degrees or more add it (them) as a single end (same post configuration).
</t>
        </r>
      </text>
    </comment>
    <comment ref="B36" authorId="0">
      <text>
        <r>
          <rPr>
            <sz val="12"/>
            <rFont val="Tahoma"/>
            <family val="0"/>
          </rPr>
          <t xml:space="preserve">enter size of gate
</t>
        </r>
      </text>
    </comment>
    <comment ref="B37" authorId="0">
      <text>
        <r>
          <rPr>
            <sz val="12"/>
            <rFont val="Tahoma"/>
            <family val="0"/>
          </rPr>
          <t xml:space="preserve">enter size of gate
</t>
        </r>
      </text>
    </comment>
    <comment ref="D43" authorId="0">
      <text>
        <r>
          <rPr>
            <sz val="12"/>
            <rFont val="Tahoma"/>
            <family val="0"/>
          </rPr>
          <t xml:space="preserve">enter dollar rate per hour
</t>
        </r>
      </text>
    </comment>
  </commentList>
</comments>
</file>

<file path=xl/comments6.xml><?xml version="1.0" encoding="utf-8"?>
<comments xmlns="http://schemas.openxmlformats.org/spreadsheetml/2006/main">
  <authors>
    <author>diane.pahl</author>
    <author>dan.snyder</author>
  </authors>
  <commentList>
    <comment ref="A21" authorId="0">
      <text>
        <r>
          <rPr>
            <sz val="11"/>
            <rFont val="Tahoma"/>
            <family val="2"/>
          </rPr>
          <t>Minimum requirement, this must be 15 1/2 ga. High Tensile Barbed Wire of two twisted strands.</t>
        </r>
        <r>
          <rPr>
            <sz val="12"/>
            <rFont val="Tahoma"/>
            <family val="0"/>
          </rPr>
          <t xml:space="preserve">
</t>
        </r>
      </text>
    </comment>
    <comment ref="B37" authorId="0">
      <text>
        <r>
          <rPr>
            <sz val="12"/>
            <rFont val="Tahoma"/>
            <family val="0"/>
          </rPr>
          <t xml:space="preserve">Average 1/4 mile section of fence ranges from 10 to 20 hours of labor. Consider contractor vs. novice fence builder.
</t>
        </r>
      </text>
    </comment>
    <comment ref="E37" authorId="0">
      <text>
        <r>
          <rPr>
            <sz val="12"/>
            <rFont val="Tahoma"/>
            <family val="0"/>
          </rPr>
          <t xml:space="preserve">If unknown use a minimum of $10 per hour
</t>
        </r>
      </text>
    </comment>
    <comment ref="C14" authorId="1">
      <text>
        <r>
          <rPr>
            <sz val="8"/>
            <rFont val="Tahoma"/>
            <family val="0"/>
          </rPr>
          <t xml:space="preserve">Pull Post Assemblies have the same configuaration as a single end.  Add them in with the single ends.
</t>
        </r>
      </text>
    </comment>
    <comment ref="A29" authorId="1">
      <text>
        <r>
          <rPr>
            <sz val="11"/>
            <rFont val="Tahoma"/>
            <family val="2"/>
          </rPr>
          <t>Tension Wire on Braces must be: One loop of 9 ga. Wire OR Double strand 12 ga. Smooth wire OR Two Loops of 12.5 ga. High Tensile Wire.</t>
        </r>
        <r>
          <rPr>
            <sz val="8"/>
            <rFont val="Tahoma"/>
            <family val="0"/>
          </rPr>
          <t xml:space="preserve">
</t>
        </r>
      </text>
    </comment>
    <comment ref="D29" authorId="1">
      <text>
        <r>
          <rPr>
            <sz val="11"/>
            <rFont val="Tahoma"/>
            <family val="2"/>
          </rPr>
          <t>Price based on using 12.5 ga. HT wire.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12"/>
            <rFont val="Tahoma"/>
            <family val="0"/>
          </rPr>
          <t xml:space="preserve">enter gate size
</t>
        </r>
      </text>
    </comment>
    <comment ref="B31" authorId="0">
      <text>
        <r>
          <rPr>
            <sz val="12"/>
            <rFont val="Tahoma"/>
            <family val="0"/>
          </rPr>
          <t xml:space="preserve">enter gate size
</t>
        </r>
      </text>
    </comment>
    <comment ref="D37" authorId="0">
      <text>
        <r>
          <rPr>
            <sz val="12"/>
            <rFont val="Tahoma"/>
            <family val="0"/>
          </rPr>
          <t xml:space="preserve">enter dollar rate per hour
</t>
        </r>
      </text>
    </comment>
  </commentList>
</comments>
</file>

<file path=xl/comments8.xml><?xml version="1.0" encoding="utf-8"?>
<comments xmlns="http://schemas.openxmlformats.org/spreadsheetml/2006/main">
  <authors>
    <author>diane.pahl</author>
    <author>dan.snyder</author>
  </authors>
  <commentList>
    <comment ref="B38" authorId="0">
      <text>
        <r>
          <rPr>
            <sz val="12"/>
            <rFont val="Tahoma"/>
            <family val="0"/>
          </rPr>
          <t xml:space="preserve">Average 1/4 mile section of fence ranges from 10 to 20 hours of labor. Consider contractor vs. novice fence builder.
</t>
        </r>
      </text>
    </comment>
    <comment ref="E38" authorId="0">
      <text>
        <r>
          <rPr>
            <sz val="12"/>
            <rFont val="Tahoma"/>
            <family val="0"/>
          </rPr>
          <t xml:space="preserve">If unknown use a minimum of $10 per hour
</t>
        </r>
      </text>
    </comment>
    <comment ref="D22" authorId="0">
      <text>
        <r>
          <rPr>
            <sz val="12"/>
            <rFont val="Tahoma"/>
            <family val="0"/>
          </rPr>
          <t xml:space="preserve">Use $160/roll for high tensile woven wire.
</t>
        </r>
      </text>
    </comment>
    <comment ref="C14" authorId="1">
      <text>
        <r>
          <rPr>
            <sz val="8"/>
            <rFont val="Tahoma"/>
            <family val="0"/>
          </rPr>
          <t xml:space="preserve">For every 660 feet a pull brace assembly must be used (H brace with 2 tension wires each direction)
</t>
        </r>
      </text>
    </comment>
    <comment ref="A23" authorId="1">
      <text>
        <r>
          <rPr>
            <sz val="8"/>
            <rFont val="Tahoma"/>
            <family val="0"/>
          </rPr>
          <t xml:space="preserve">These are for line posts only.  Every eighth line post must be a wooden 4 inch diameter post minimum.
</t>
        </r>
      </text>
    </comment>
    <comment ref="A30" authorId="1">
      <text>
        <r>
          <rPr>
            <sz val="11"/>
            <rFont val="Tahoma"/>
            <family val="2"/>
          </rPr>
          <t>Tension Wires on Braces must be: One loop of 9 ga. Wire, OR Double strand 12 ga. Smooth wire, OR Two loops of 12.5 ga. High Tensile Wire.</t>
        </r>
        <r>
          <rPr>
            <sz val="8"/>
            <rFont val="Tahoma"/>
            <family val="0"/>
          </rPr>
          <t xml:space="preserve">
</t>
        </r>
      </text>
    </comment>
    <comment ref="D30" authorId="1">
      <text>
        <r>
          <rPr>
            <sz val="11"/>
            <rFont val="Tahoma"/>
            <family val="2"/>
          </rPr>
          <t>Price based on 12.5 ga. HT Wire.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sz val="11"/>
            <rFont val="Tahoma"/>
            <family val="2"/>
          </rPr>
          <t>This is High Tensile Barbed Wire.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12"/>
            <rFont val="Tahoma"/>
            <family val="0"/>
          </rPr>
          <t xml:space="preserve">enter gate size
</t>
        </r>
      </text>
    </comment>
    <comment ref="B31" authorId="0">
      <text>
        <r>
          <rPr>
            <sz val="12"/>
            <rFont val="Tahoma"/>
            <family val="0"/>
          </rPr>
          <t xml:space="preserve">enter gate size
</t>
        </r>
      </text>
    </comment>
    <comment ref="D38" authorId="0">
      <text>
        <r>
          <rPr>
            <sz val="12"/>
            <rFont val="Tahoma"/>
            <family val="0"/>
          </rPr>
          <t xml:space="preserve">enter dollar rate per hour
</t>
        </r>
      </text>
    </comment>
  </commentList>
</comments>
</file>

<file path=xl/sharedStrings.xml><?xml version="1.0" encoding="utf-8"?>
<sst xmlns="http://schemas.openxmlformats.org/spreadsheetml/2006/main" count="372" uniqueCount="109">
  <si>
    <t>Edit only sections in green:</t>
  </si>
  <si>
    <t xml:space="preserve"> </t>
  </si>
  <si>
    <t>Name:</t>
  </si>
  <si>
    <t>Outside Permanent Fence</t>
  </si>
  <si>
    <t>County:</t>
  </si>
  <si>
    <t>Inside Semi-Permanent Fence</t>
  </si>
  <si>
    <t>Fence Description:</t>
  </si>
  <si>
    <t>Inside Temporary or Temporary Exclusion Fence</t>
  </si>
  <si>
    <t>Post Spacing=</t>
  </si>
  <si>
    <t>feet</t>
  </si>
  <si>
    <t>Fence Length=</t>
  </si>
  <si>
    <t>No. of wires=</t>
  </si>
  <si>
    <t>No. of wires hot=</t>
  </si>
  <si>
    <t>No. of sections=</t>
  </si>
  <si>
    <t>No. of double corners=</t>
  </si>
  <si>
    <t>each</t>
  </si>
  <si>
    <t>No. of single corners=</t>
  </si>
  <si>
    <t>No. of single ends=</t>
  </si>
  <si>
    <t>No. of double ends=</t>
  </si>
  <si>
    <t>Units</t>
  </si>
  <si>
    <t>Item</t>
  </si>
  <si>
    <t>Unit</t>
  </si>
  <si>
    <t>$/unit</t>
  </si>
  <si>
    <t>Needed</t>
  </si>
  <si>
    <t>Price</t>
  </si>
  <si>
    <t>ft</t>
  </si>
  <si>
    <t>4000' coils=</t>
  </si>
  <si>
    <t>crimping sleeve</t>
  </si>
  <si>
    <t>18" wrap round insul.</t>
  </si>
  <si>
    <t>New 4" treated post</t>
  </si>
  <si>
    <t>(includes braces</t>
  </si>
  <si>
    <t>New 6" treated post</t>
  </si>
  <si>
    <t>w/ ends, corners)</t>
  </si>
  <si>
    <t>Strainer</t>
  </si>
  <si>
    <t>5" brace pin</t>
  </si>
  <si>
    <t>10" brace pin</t>
  </si>
  <si>
    <t>class 3 galv. staples</t>
  </si>
  <si>
    <t>lb</t>
  </si>
  <si>
    <t>Post driving</t>
  </si>
  <si>
    <t>High Tensile Fence Estimate</t>
  </si>
  <si>
    <t>110K HT Wire cl. 3</t>
  </si>
  <si>
    <t xml:space="preserve">Labor: </t>
  </si>
  <si>
    <t xml:space="preserve">Hours </t>
  </si>
  <si>
    <t>Rate:</t>
  </si>
  <si>
    <t>Estimate:</t>
  </si>
  <si>
    <t>Supply &amp; Labor Total</t>
  </si>
  <si>
    <t>Barbed Wire Fence Estimate</t>
  </si>
  <si>
    <t>15 1/2 guage barbed wire</t>
  </si>
  <si>
    <t>rolls @ 330' each</t>
  </si>
  <si>
    <t>7' steel "T" posts</t>
  </si>
  <si>
    <t>Woven Wire Fence Estimate</t>
  </si>
  <si>
    <t>No. of Barbed Wires</t>
  </si>
  <si>
    <t>(one required above woven, add one if using below woven)</t>
  </si>
  <si>
    <t>stay wires shall be 12 1/2 guage or heavier.</t>
  </si>
  <si>
    <t>woven wire (see below*)</t>
  </si>
  <si>
    <t>*The top and bottom wires of the woven wire shall be 9 guage, or heavier, and the line and</t>
  </si>
  <si>
    <t>Per Foot:</t>
  </si>
  <si>
    <t>Labor and Materials Cost Estimate:</t>
  </si>
  <si>
    <t>Total for Materials:</t>
  </si>
  <si>
    <t>Material Costs</t>
  </si>
  <si>
    <t>New 5" treated post</t>
  </si>
  <si>
    <t>#single ends/pull braces=</t>
  </si>
  <si>
    <t>Exclusion Permanent Fence</t>
  </si>
  <si>
    <t>line post insulators</t>
  </si>
  <si>
    <t>Brace Tension Wires</t>
  </si>
  <si>
    <t>Barbed Wire must be two twisted strands of 12.5 ga. Regular wire or</t>
  </si>
  <si>
    <t>15.5 ga. HT wire with barbs of 14 ga. Min., two points min. and max. of 5 inches apart.</t>
  </si>
  <si>
    <t>12 Ft.</t>
  </si>
  <si>
    <t>14 Ft.</t>
  </si>
  <si>
    <t>16 Ft.</t>
  </si>
  <si>
    <t>Gates</t>
  </si>
  <si>
    <t>Assisted By:</t>
  </si>
  <si>
    <t>Gate Size</t>
  </si>
  <si>
    <t>2" Tubular Steel</t>
  </si>
  <si>
    <t>2" Tubular HD Steel</t>
  </si>
  <si>
    <t>Costs vary by supplier and location</t>
  </si>
  <si>
    <t>See table above for gate costs.</t>
  </si>
  <si>
    <t>Springs</t>
  </si>
  <si>
    <t>1 5/8" Tube Steel</t>
  </si>
  <si>
    <t>If Electric</t>
  </si>
  <si>
    <t>Ground Rods</t>
  </si>
  <si>
    <t>Energizer/Charger</t>
  </si>
  <si>
    <t>Electric fence</t>
  </si>
  <si>
    <t>warning signs</t>
  </si>
  <si>
    <t>$1.50 each</t>
  </si>
  <si>
    <t>$5-$8</t>
  </si>
  <si>
    <t>Fence Purpose:</t>
  </si>
  <si>
    <t>1 5/8" wire filled</t>
  </si>
  <si>
    <t>Fence Purpose</t>
  </si>
  <si>
    <t>Perimeter Permanent Fence</t>
  </si>
  <si>
    <t>Interior Permanent Fence</t>
  </si>
  <si>
    <t>Tension springs are used with a ratchet strain to set wire tension.</t>
  </si>
  <si>
    <t>Optional</t>
  </si>
  <si>
    <t>$120- $850</t>
  </si>
  <si>
    <t>Fiber Rod 6 ft length</t>
  </si>
  <si>
    <t>New 3" brace member</t>
  </si>
  <si>
    <t>Minimum of 2 crimping sleeves per wire per splice.</t>
  </si>
  <si>
    <t>Minimum 2 crimping sleeves per slice per wire.</t>
  </si>
  <si>
    <t>Example</t>
  </si>
  <si>
    <t>16 ft</t>
  </si>
  <si>
    <t>High Tensile Fence Estimate with fiber posts</t>
  </si>
  <si>
    <t>1/4 mile; one side only; exclusion from surface water or woods</t>
  </si>
  <si>
    <t>1/4 mile; one side only; exlusion from surface water or woods</t>
  </si>
  <si>
    <t>Determining the number of sections in a fence:</t>
  </si>
  <si>
    <t xml:space="preserve">A section is a complete run of fence, beginning at a tied end and ending where the wire is tied back on itself, usually at an end </t>
  </si>
  <si>
    <t>or gate post.  Sometimes, a double brace in line pull assembly will have the center post function as a tie off for the wires in each</t>
  </si>
  <si>
    <t>direction, and this would be another section example.</t>
  </si>
  <si>
    <t>Example above shows a run of hight tensile wire fence between two 6 inch diameter, 12 foot long posts set 7.5 ft as end posts.</t>
  </si>
  <si>
    <t>This is one section.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</si>
</sst>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"/>
    <numFmt numFmtId="167" formatCode="0.00000"/>
    <numFmt numFmtId="168" formatCode="0.0000"/>
    <numFmt numFmtId="169" formatCode="0.000"/>
  </numFmts>
  <fonts count="18">
    <font>
      <sz val="10"/>
      <name val="Arial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Tahoma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0"/>
      <color indexed="53"/>
      <name val="Arial"/>
      <family val="2"/>
    </font>
    <font>
      <sz val="9"/>
      <name val="Tahoma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164" fontId="0" fillId="3" borderId="2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right"/>
      <protection/>
    </xf>
    <xf numFmtId="164" fontId="0" fillId="3" borderId="3" xfId="0" applyNumberFormat="1" applyFont="1" applyFill="1" applyBorder="1" applyAlignment="1" applyProtection="1">
      <alignment horizontal="center"/>
      <protection/>
    </xf>
    <xf numFmtId="164" fontId="8" fillId="3" borderId="4" xfId="0" applyNumberFormat="1" applyFont="1" applyFill="1" applyBorder="1" applyAlignment="1" applyProtection="1">
      <alignment/>
      <protection/>
    </xf>
    <xf numFmtId="2" fontId="8" fillId="3" borderId="3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4" fontId="0" fillId="3" borderId="1" xfId="0" applyNumberForma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4" fontId="8" fillId="3" borderId="3" xfId="0" applyNumberFormat="1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7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>
      <alignment horizontal="center"/>
      <protection/>
    </xf>
    <xf numFmtId="164" fontId="2" fillId="3" borderId="3" xfId="0" applyNumberFormat="1" applyFont="1" applyFill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/>
      <protection/>
    </xf>
    <xf numFmtId="8" fontId="0" fillId="0" borderId="14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2" borderId="7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164" fontId="11" fillId="3" borderId="2" xfId="0" applyNumberFormat="1" applyFont="1" applyFill="1" applyBorder="1" applyAlignment="1" applyProtection="1">
      <alignment horizontal="center"/>
      <protection/>
    </xf>
    <xf numFmtId="164" fontId="16" fillId="3" borderId="4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19" xfId="0" applyFont="1" applyBorder="1" applyAlignment="1" applyProtection="1">
      <alignment horizontal="right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28575</xdr:rowOff>
    </xdr:from>
    <xdr:to>
      <xdr:col>1</xdr:col>
      <xdr:colOff>38100</xdr:colOff>
      <xdr:row>23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85750" y="1000125"/>
          <a:ext cx="361950" cy="2752725"/>
        </a:xfrm>
        <a:prstGeom prst="can">
          <a:avLst>
            <a:gd name="adj" fmla="val -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95250</xdr:rowOff>
    </xdr:from>
    <xdr:to>
      <xdr:col>9</xdr:col>
      <xdr:colOff>47625</xdr:colOff>
      <xdr:row>23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5172075" y="1066800"/>
          <a:ext cx="361950" cy="2752725"/>
        </a:xfrm>
        <a:prstGeom prst="can">
          <a:avLst>
            <a:gd name="adj" fmla="val -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28575</xdr:rowOff>
    </xdr:from>
    <xdr:to>
      <xdr:col>8</xdr:col>
      <xdr:colOff>295275</xdr:colOff>
      <xdr:row>10</xdr:row>
      <xdr:rowOff>133350</xdr:rowOff>
    </xdr:to>
    <xdr:sp>
      <xdr:nvSpPr>
        <xdr:cNvPr id="3" name="Polygon 8"/>
        <xdr:cNvSpPr>
          <a:spLocks/>
        </xdr:cNvSpPr>
      </xdr:nvSpPr>
      <xdr:spPr>
        <a:xfrm>
          <a:off x="4972050" y="1647825"/>
          <a:ext cx="200025" cy="104775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13</xdr:row>
      <xdr:rowOff>38100</xdr:rowOff>
    </xdr:from>
    <xdr:to>
      <xdr:col>8</xdr:col>
      <xdr:colOff>247650</xdr:colOff>
      <xdr:row>13</xdr:row>
      <xdr:rowOff>123825</xdr:rowOff>
    </xdr:to>
    <xdr:sp>
      <xdr:nvSpPr>
        <xdr:cNvPr id="4" name="Polygon 9"/>
        <xdr:cNvSpPr>
          <a:spLocks/>
        </xdr:cNvSpPr>
      </xdr:nvSpPr>
      <xdr:spPr>
        <a:xfrm>
          <a:off x="4972050" y="2143125"/>
          <a:ext cx="152400" cy="85725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76200</xdr:rowOff>
    </xdr:from>
    <xdr:to>
      <xdr:col>8</xdr:col>
      <xdr:colOff>247650</xdr:colOff>
      <xdr:row>16</xdr:row>
      <xdr:rowOff>9525</xdr:rowOff>
    </xdr:to>
    <xdr:sp>
      <xdr:nvSpPr>
        <xdr:cNvPr id="5" name="Polygon 10"/>
        <xdr:cNvSpPr>
          <a:spLocks/>
        </xdr:cNvSpPr>
      </xdr:nvSpPr>
      <xdr:spPr>
        <a:xfrm>
          <a:off x="4943475" y="2505075"/>
          <a:ext cx="180975" cy="95250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18</xdr:row>
      <xdr:rowOff>9525</xdr:rowOff>
    </xdr:from>
    <xdr:to>
      <xdr:col>8</xdr:col>
      <xdr:colOff>314325</xdr:colOff>
      <xdr:row>18</xdr:row>
      <xdr:rowOff>104775</xdr:rowOff>
    </xdr:to>
    <xdr:sp>
      <xdr:nvSpPr>
        <xdr:cNvPr id="6" name="Polygon 11"/>
        <xdr:cNvSpPr>
          <a:spLocks/>
        </xdr:cNvSpPr>
      </xdr:nvSpPr>
      <xdr:spPr>
        <a:xfrm>
          <a:off x="5010150" y="2924175"/>
          <a:ext cx="180975" cy="95250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10</xdr:row>
      <xdr:rowOff>38100</xdr:rowOff>
    </xdr:from>
    <xdr:to>
      <xdr:col>1</xdr:col>
      <xdr:colOff>304800</xdr:colOff>
      <xdr:row>10</xdr:row>
      <xdr:rowOff>133350</xdr:rowOff>
    </xdr:to>
    <xdr:sp>
      <xdr:nvSpPr>
        <xdr:cNvPr id="7" name="Polygon 12"/>
        <xdr:cNvSpPr>
          <a:spLocks/>
        </xdr:cNvSpPr>
      </xdr:nvSpPr>
      <xdr:spPr>
        <a:xfrm>
          <a:off x="733425" y="1657350"/>
          <a:ext cx="180975" cy="95250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28575</xdr:rowOff>
    </xdr:from>
    <xdr:to>
      <xdr:col>1</xdr:col>
      <xdr:colOff>285750</xdr:colOff>
      <xdr:row>13</xdr:row>
      <xdr:rowOff>123825</xdr:rowOff>
    </xdr:to>
    <xdr:sp>
      <xdr:nvSpPr>
        <xdr:cNvPr id="8" name="Polygon 13"/>
        <xdr:cNvSpPr>
          <a:spLocks/>
        </xdr:cNvSpPr>
      </xdr:nvSpPr>
      <xdr:spPr>
        <a:xfrm>
          <a:off x="714375" y="2133600"/>
          <a:ext cx="180975" cy="95250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66675</xdr:rowOff>
    </xdr:from>
    <xdr:to>
      <xdr:col>1</xdr:col>
      <xdr:colOff>295275</xdr:colOff>
      <xdr:row>16</xdr:row>
      <xdr:rowOff>0</xdr:rowOff>
    </xdr:to>
    <xdr:sp>
      <xdr:nvSpPr>
        <xdr:cNvPr id="9" name="Polygon 14"/>
        <xdr:cNvSpPr>
          <a:spLocks/>
        </xdr:cNvSpPr>
      </xdr:nvSpPr>
      <xdr:spPr>
        <a:xfrm>
          <a:off x="723900" y="2495550"/>
          <a:ext cx="180975" cy="95250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9525</xdr:rowOff>
    </xdr:from>
    <xdr:to>
      <xdr:col>1</xdr:col>
      <xdr:colOff>352425</xdr:colOff>
      <xdr:row>18</xdr:row>
      <xdr:rowOff>104775</xdr:rowOff>
    </xdr:to>
    <xdr:sp>
      <xdr:nvSpPr>
        <xdr:cNvPr id="10" name="Polygon 15"/>
        <xdr:cNvSpPr>
          <a:spLocks/>
        </xdr:cNvSpPr>
      </xdr:nvSpPr>
      <xdr:spPr>
        <a:xfrm>
          <a:off x="781050" y="2924175"/>
          <a:ext cx="180975" cy="95250"/>
        </a:xfrm>
        <a:custGeom>
          <a:pathLst>
            <a:path h="7" w="14">
              <a:moveTo>
                <a:pt x="0" y="2"/>
              </a:moveTo>
              <a:cubicBezTo>
                <a:pt x="9" y="6"/>
                <a:pt x="5" y="1"/>
                <a:pt x="1" y="2"/>
              </a:cubicBezTo>
              <a:cubicBezTo>
                <a:pt x="4" y="7"/>
                <a:pt x="10" y="7"/>
                <a:pt x="8" y="0"/>
              </a:cubicBezTo>
              <a:cubicBezTo>
                <a:pt x="5" y="2"/>
                <a:pt x="5" y="1"/>
                <a:pt x="6" y="5"/>
              </a:cubicBezTo>
              <a:cubicBezTo>
                <a:pt x="7" y="5"/>
                <a:pt x="9" y="4"/>
                <a:pt x="10" y="4"/>
              </a:cubicBezTo>
              <a:cubicBezTo>
                <a:pt x="12" y="4"/>
                <a:pt x="14" y="7"/>
                <a:pt x="14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</xdr:row>
      <xdr:rowOff>38100</xdr:rowOff>
    </xdr:from>
    <xdr:to>
      <xdr:col>3</xdr:col>
      <xdr:colOff>38100</xdr:colOff>
      <xdr:row>23</xdr:row>
      <xdr:rowOff>66675</xdr:rowOff>
    </xdr:to>
    <xdr:sp>
      <xdr:nvSpPr>
        <xdr:cNvPr id="11" name="AutoShape 16"/>
        <xdr:cNvSpPr>
          <a:spLocks/>
        </xdr:cNvSpPr>
      </xdr:nvSpPr>
      <xdr:spPr>
        <a:xfrm>
          <a:off x="1666875" y="1009650"/>
          <a:ext cx="200025" cy="2781300"/>
        </a:xfrm>
        <a:prstGeom prst="can">
          <a:avLst>
            <a:gd name="adj" fmla="val -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38100</xdr:rowOff>
    </xdr:from>
    <xdr:to>
      <xdr:col>5</xdr:col>
      <xdr:colOff>38100</xdr:colOff>
      <xdr:row>23</xdr:row>
      <xdr:rowOff>66675</xdr:rowOff>
    </xdr:to>
    <xdr:sp>
      <xdr:nvSpPr>
        <xdr:cNvPr id="12" name="AutoShape 17"/>
        <xdr:cNvSpPr>
          <a:spLocks/>
        </xdr:cNvSpPr>
      </xdr:nvSpPr>
      <xdr:spPr>
        <a:xfrm>
          <a:off x="2886075" y="1009650"/>
          <a:ext cx="200025" cy="2781300"/>
        </a:xfrm>
        <a:prstGeom prst="can">
          <a:avLst>
            <a:gd name="adj" fmla="val -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38100</xdr:rowOff>
    </xdr:from>
    <xdr:to>
      <xdr:col>7</xdr:col>
      <xdr:colOff>38100</xdr:colOff>
      <xdr:row>23</xdr:row>
      <xdr:rowOff>66675</xdr:rowOff>
    </xdr:to>
    <xdr:sp>
      <xdr:nvSpPr>
        <xdr:cNvPr id="13" name="AutoShape 18"/>
        <xdr:cNvSpPr>
          <a:spLocks/>
        </xdr:cNvSpPr>
      </xdr:nvSpPr>
      <xdr:spPr>
        <a:xfrm>
          <a:off x="4105275" y="1009650"/>
          <a:ext cx="200025" cy="2781300"/>
        </a:xfrm>
        <a:prstGeom prst="can">
          <a:avLst>
            <a:gd name="adj" fmla="val -43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10</xdr:row>
      <xdr:rowOff>85725</xdr:rowOff>
    </xdr:from>
    <xdr:to>
      <xdr:col>9</xdr:col>
      <xdr:colOff>47625</xdr:colOff>
      <xdr:row>10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247650" y="1704975"/>
          <a:ext cx="528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104775</xdr:rowOff>
    </xdr:from>
    <xdr:to>
      <xdr:col>9</xdr:col>
      <xdr:colOff>95250</xdr:colOff>
      <xdr:row>13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295275" y="2209800"/>
          <a:ext cx="528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142875</xdr:rowOff>
    </xdr:from>
    <xdr:to>
      <xdr:col>9</xdr:col>
      <xdr:colOff>47625</xdr:colOff>
      <xdr:row>15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247650" y="2571750"/>
          <a:ext cx="528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18</xdr:row>
      <xdr:rowOff>66675</xdr:rowOff>
    </xdr:from>
    <xdr:to>
      <xdr:col>9</xdr:col>
      <xdr:colOff>95250</xdr:colOff>
      <xdr:row>18</xdr:row>
      <xdr:rowOff>76200</xdr:rowOff>
    </xdr:to>
    <xdr:sp>
      <xdr:nvSpPr>
        <xdr:cNvPr id="17" name="Line 22"/>
        <xdr:cNvSpPr>
          <a:spLocks/>
        </xdr:cNvSpPr>
      </xdr:nvSpPr>
      <xdr:spPr>
        <a:xfrm>
          <a:off x="295275" y="2981325"/>
          <a:ext cx="528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10</xdr:row>
      <xdr:rowOff>76200</xdr:rowOff>
    </xdr:from>
    <xdr:to>
      <xdr:col>8</xdr:col>
      <xdr:colOff>514350</xdr:colOff>
      <xdr:row>10</xdr:row>
      <xdr:rowOff>142875</xdr:rowOff>
    </xdr:to>
    <xdr:sp>
      <xdr:nvSpPr>
        <xdr:cNvPr id="18" name="Polygon 23"/>
        <xdr:cNvSpPr>
          <a:spLocks/>
        </xdr:cNvSpPr>
      </xdr:nvSpPr>
      <xdr:spPr>
        <a:xfrm>
          <a:off x="5305425" y="169545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13</xdr:row>
      <xdr:rowOff>104775</xdr:rowOff>
    </xdr:from>
    <xdr:to>
      <xdr:col>8</xdr:col>
      <xdr:colOff>523875</xdr:colOff>
      <xdr:row>14</xdr:row>
      <xdr:rowOff>9525</xdr:rowOff>
    </xdr:to>
    <xdr:sp>
      <xdr:nvSpPr>
        <xdr:cNvPr id="19" name="Polygon 24"/>
        <xdr:cNvSpPr>
          <a:spLocks/>
        </xdr:cNvSpPr>
      </xdr:nvSpPr>
      <xdr:spPr>
        <a:xfrm>
          <a:off x="5314950" y="220980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15</xdr:row>
      <xdr:rowOff>123825</xdr:rowOff>
    </xdr:from>
    <xdr:to>
      <xdr:col>8</xdr:col>
      <xdr:colOff>495300</xdr:colOff>
      <xdr:row>16</xdr:row>
      <xdr:rowOff>28575</xdr:rowOff>
    </xdr:to>
    <xdr:sp>
      <xdr:nvSpPr>
        <xdr:cNvPr id="20" name="Polygon 25"/>
        <xdr:cNvSpPr>
          <a:spLocks/>
        </xdr:cNvSpPr>
      </xdr:nvSpPr>
      <xdr:spPr>
        <a:xfrm>
          <a:off x="5286375" y="255270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18</xdr:row>
      <xdr:rowOff>28575</xdr:rowOff>
    </xdr:from>
    <xdr:to>
      <xdr:col>8</xdr:col>
      <xdr:colOff>533400</xdr:colOff>
      <xdr:row>18</xdr:row>
      <xdr:rowOff>95250</xdr:rowOff>
    </xdr:to>
    <xdr:sp>
      <xdr:nvSpPr>
        <xdr:cNvPr id="21" name="Polygon 26"/>
        <xdr:cNvSpPr>
          <a:spLocks/>
        </xdr:cNvSpPr>
      </xdr:nvSpPr>
      <xdr:spPr>
        <a:xfrm>
          <a:off x="5324475" y="294322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47625</xdr:rowOff>
    </xdr:from>
    <xdr:to>
      <xdr:col>7</xdr:col>
      <xdr:colOff>19050</xdr:colOff>
      <xdr:row>10</xdr:row>
      <xdr:rowOff>114300</xdr:rowOff>
    </xdr:to>
    <xdr:sp>
      <xdr:nvSpPr>
        <xdr:cNvPr id="22" name="Polygon 27"/>
        <xdr:cNvSpPr>
          <a:spLocks/>
        </xdr:cNvSpPr>
      </xdr:nvSpPr>
      <xdr:spPr>
        <a:xfrm>
          <a:off x="4200525" y="166687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85725</xdr:rowOff>
    </xdr:from>
    <xdr:to>
      <xdr:col>6</xdr:col>
      <xdr:colOff>600075</xdr:colOff>
      <xdr:row>13</xdr:row>
      <xdr:rowOff>152400</xdr:rowOff>
    </xdr:to>
    <xdr:sp>
      <xdr:nvSpPr>
        <xdr:cNvPr id="23" name="Polygon 28"/>
        <xdr:cNvSpPr>
          <a:spLocks/>
        </xdr:cNvSpPr>
      </xdr:nvSpPr>
      <xdr:spPr>
        <a:xfrm>
          <a:off x="4171950" y="219075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15</xdr:row>
      <xdr:rowOff>114300</xdr:rowOff>
    </xdr:from>
    <xdr:to>
      <xdr:col>6</xdr:col>
      <xdr:colOff>581025</xdr:colOff>
      <xdr:row>16</xdr:row>
      <xdr:rowOff>19050</xdr:rowOff>
    </xdr:to>
    <xdr:sp>
      <xdr:nvSpPr>
        <xdr:cNvPr id="24" name="Polygon 29"/>
        <xdr:cNvSpPr>
          <a:spLocks/>
        </xdr:cNvSpPr>
      </xdr:nvSpPr>
      <xdr:spPr>
        <a:xfrm>
          <a:off x="4152900" y="254317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18</xdr:row>
      <xdr:rowOff>38100</xdr:rowOff>
    </xdr:from>
    <xdr:to>
      <xdr:col>7</xdr:col>
      <xdr:colOff>0</xdr:colOff>
      <xdr:row>18</xdr:row>
      <xdr:rowOff>104775</xdr:rowOff>
    </xdr:to>
    <xdr:sp>
      <xdr:nvSpPr>
        <xdr:cNvPr id="25" name="Polygon 30"/>
        <xdr:cNvSpPr>
          <a:spLocks/>
        </xdr:cNvSpPr>
      </xdr:nvSpPr>
      <xdr:spPr>
        <a:xfrm>
          <a:off x="4181475" y="295275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18</xdr:row>
      <xdr:rowOff>28575</xdr:rowOff>
    </xdr:from>
    <xdr:to>
      <xdr:col>4</xdr:col>
      <xdr:colOff>581025</xdr:colOff>
      <xdr:row>18</xdr:row>
      <xdr:rowOff>95250</xdr:rowOff>
    </xdr:to>
    <xdr:sp>
      <xdr:nvSpPr>
        <xdr:cNvPr id="26" name="Polygon 31"/>
        <xdr:cNvSpPr>
          <a:spLocks/>
        </xdr:cNvSpPr>
      </xdr:nvSpPr>
      <xdr:spPr>
        <a:xfrm>
          <a:off x="2933700" y="294322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123825</xdr:rowOff>
    </xdr:from>
    <xdr:to>
      <xdr:col>5</xdr:col>
      <xdr:colOff>0</xdr:colOff>
      <xdr:row>16</xdr:row>
      <xdr:rowOff>28575</xdr:rowOff>
    </xdr:to>
    <xdr:sp>
      <xdr:nvSpPr>
        <xdr:cNvPr id="27" name="Polygon 32"/>
        <xdr:cNvSpPr>
          <a:spLocks/>
        </xdr:cNvSpPr>
      </xdr:nvSpPr>
      <xdr:spPr>
        <a:xfrm>
          <a:off x="2962275" y="255270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76200</xdr:rowOff>
    </xdr:from>
    <xdr:to>
      <xdr:col>4</xdr:col>
      <xdr:colOff>581025</xdr:colOff>
      <xdr:row>13</xdr:row>
      <xdr:rowOff>142875</xdr:rowOff>
    </xdr:to>
    <xdr:sp>
      <xdr:nvSpPr>
        <xdr:cNvPr id="28" name="Polygon 33"/>
        <xdr:cNvSpPr>
          <a:spLocks/>
        </xdr:cNvSpPr>
      </xdr:nvSpPr>
      <xdr:spPr>
        <a:xfrm>
          <a:off x="2933700" y="218122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10</xdr:row>
      <xdr:rowOff>66675</xdr:rowOff>
    </xdr:from>
    <xdr:to>
      <xdr:col>4</xdr:col>
      <xdr:colOff>581025</xdr:colOff>
      <xdr:row>10</xdr:row>
      <xdr:rowOff>133350</xdr:rowOff>
    </xdr:to>
    <xdr:sp>
      <xdr:nvSpPr>
        <xdr:cNvPr id="29" name="Polygon 34"/>
        <xdr:cNvSpPr>
          <a:spLocks/>
        </xdr:cNvSpPr>
      </xdr:nvSpPr>
      <xdr:spPr>
        <a:xfrm>
          <a:off x="2933700" y="168592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38100</xdr:rowOff>
    </xdr:from>
    <xdr:to>
      <xdr:col>3</xdr:col>
      <xdr:colOff>19050</xdr:colOff>
      <xdr:row>10</xdr:row>
      <xdr:rowOff>104775</xdr:rowOff>
    </xdr:to>
    <xdr:sp>
      <xdr:nvSpPr>
        <xdr:cNvPr id="30" name="Polygon 35"/>
        <xdr:cNvSpPr>
          <a:spLocks/>
        </xdr:cNvSpPr>
      </xdr:nvSpPr>
      <xdr:spPr>
        <a:xfrm>
          <a:off x="1762125" y="165735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57150</xdr:rowOff>
    </xdr:from>
    <xdr:to>
      <xdr:col>2</xdr:col>
      <xdr:colOff>590550</xdr:colOff>
      <xdr:row>14</xdr:row>
      <xdr:rowOff>0</xdr:rowOff>
    </xdr:to>
    <xdr:sp>
      <xdr:nvSpPr>
        <xdr:cNvPr id="31" name="Polygon 37"/>
        <xdr:cNvSpPr>
          <a:spLocks/>
        </xdr:cNvSpPr>
      </xdr:nvSpPr>
      <xdr:spPr>
        <a:xfrm>
          <a:off x="1762125" y="2162175"/>
          <a:ext cx="47625" cy="1047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15</xdr:row>
      <xdr:rowOff>123825</xdr:rowOff>
    </xdr:from>
    <xdr:to>
      <xdr:col>2</xdr:col>
      <xdr:colOff>581025</xdr:colOff>
      <xdr:row>16</xdr:row>
      <xdr:rowOff>28575</xdr:rowOff>
    </xdr:to>
    <xdr:sp>
      <xdr:nvSpPr>
        <xdr:cNvPr id="32" name="Polygon 38"/>
        <xdr:cNvSpPr>
          <a:spLocks/>
        </xdr:cNvSpPr>
      </xdr:nvSpPr>
      <xdr:spPr>
        <a:xfrm>
          <a:off x="1714500" y="255270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38100</xdr:rowOff>
    </xdr:from>
    <xdr:to>
      <xdr:col>2</xdr:col>
      <xdr:colOff>600075</xdr:colOff>
      <xdr:row>18</xdr:row>
      <xdr:rowOff>104775</xdr:rowOff>
    </xdr:to>
    <xdr:sp>
      <xdr:nvSpPr>
        <xdr:cNvPr id="33" name="Polygon 39"/>
        <xdr:cNvSpPr>
          <a:spLocks/>
        </xdr:cNvSpPr>
      </xdr:nvSpPr>
      <xdr:spPr>
        <a:xfrm>
          <a:off x="1733550" y="295275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</xdr:row>
      <xdr:rowOff>47625</xdr:rowOff>
    </xdr:from>
    <xdr:to>
      <xdr:col>0</xdr:col>
      <xdr:colOff>466725</xdr:colOff>
      <xdr:row>10</xdr:row>
      <xdr:rowOff>114300</xdr:rowOff>
    </xdr:to>
    <xdr:sp>
      <xdr:nvSpPr>
        <xdr:cNvPr id="34" name="Polygon 40"/>
        <xdr:cNvSpPr>
          <a:spLocks/>
        </xdr:cNvSpPr>
      </xdr:nvSpPr>
      <xdr:spPr>
        <a:xfrm>
          <a:off x="381000" y="166687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13</xdr:row>
      <xdr:rowOff>76200</xdr:rowOff>
    </xdr:from>
    <xdr:to>
      <xdr:col>0</xdr:col>
      <xdr:colOff>476250</xdr:colOff>
      <xdr:row>13</xdr:row>
      <xdr:rowOff>142875</xdr:rowOff>
    </xdr:to>
    <xdr:sp>
      <xdr:nvSpPr>
        <xdr:cNvPr id="35" name="Polygon 41"/>
        <xdr:cNvSpPr>
          <a:spLocks/>
        </xdr:cNvSpPr>
      </xdr:nvSpPr>
      <xdr:spPr>
        <a:xfrm>
          <a:off x="390525" y="218122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15</xdr:row>
      <xdr:rowOff>104775</xdr:rowOff>
    </xdr:from>
    <xdr:to>
      <xdr:col>0</xdr:col>
      <xdr:colOff>485775</xdr:colOff>
      <xdr:row>16</xdr:row>
      <xdr:rowOff>9525</xdr:rowOff>
    </xdr:to>
    <xdr:sp>
      <xdr:nvSpPr>
        <xdr:cNvPr id="36" name="Polygon 42"/>
        <xdr:cNvSpPr>
          <a:spLocks/>
        </xdr:cNvSpPr>
      </xdr:nvSpPr>
      <xdr:spPr>
        <a:xfrm>
          <a:off x="400050" y="2533650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18</xdr:row>
      <xdr:rowOff>28575</xdr:rowOff>
    </xdr:from>
    <xdr:to>
      <xdr:col>0</xdr:col>
      <xdr:colOff>504825</xdr:colOff>
      <xdr:row>18</xdr:row>
      <xdr:rowOff>95250</xdr:rowOff>
    </xdr:to>
    <xdr:sp>
      <xdr:nvSpPr>
        <xdr:cNvPr id="37" name="Polygon 43"/>
        <xdr:cNvSpPr>
          <a:spLocks/>
        </xdr:cNvSpPr>
      </xdr:nvSpPr>
      <xdr:spPr>
        <a:xfrm>
          <a:off x="419100" y="2943225"/>
          <a:ext cx="85725" cy="66675"/>
        </a:xfrm>
        <a:custGeom>
          <a:pathLst>
            <a:path h="7" w="9">
              <a:moveTo>
                <a:pt x="0" y="0"/>
              </a:moveTo>
              <a:cubicBezTo>
                <a:pt x="2" y="0"/>
                <a:pt x="5" y="0"/>
                <a:pt x="7" y="1"/>
              </a:cubicBezTo>
              <a:cubicBezTo>
                <a:pt x="9" y="3"/>
                <a:pt x="3" y="7"/>
                <a:pt x="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76200</xdr:colOff>
      <xdr:row>46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58600" cy="754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2.75">
      <c r="A2" s="96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96" t="s">
        <v>105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2.75">
      <c r="A4" s="96" t="s">
        <v>106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12.7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2.7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2.7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2.7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12.75">
      <c r="A25" s="96" t="s">
        <v>107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.75">
      <c r="A26" s="96" t="s">
        <v>108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</sheetData>
  <sheetProtection password="FE5D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D20" sqref="D20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9.140625" style="5" customWidth="1"/>
    <col min="4" max="4" width="14.7109375" style="5" customWidth="1"/>
    <col min="5" max="16384" width="9.140625" style="5" customWidth="1"/>
  </cols>
  <sheetData>
    <row r="1" spans="1:8" ht="18" customHeight="1">
      <c r="A1" s="4" t="s">
        <v>39</v>
      </c>
      <c r="H1" s="44">
        <f ca="1">TODAY()</f>
        <v>39349</v>
      </c>
    </row>
    <row r="2" spans="7:9" ht="12.75">
      <c r="G2" s="8" t="s">
        <v>71</v>
      </c>
      <c r="H2" s="83"/>
      <c r="I2" s="83"/>
    </row>
    <row r="3" spans="1:7" ht="12.75">
      <c r="A3" s="6" t="s">
        <v>0</v>
      </c>
      <c r="D3" s="5" t="s">
        <v>86</v>
      </c>
      <c r="E3" s="5" t="s">
        <v>1</v>
      </c>
      <c r="F3" s="7"/>
      <c r="G3" s="7"/>
    </row>
    <row r="4" spans="1:8" ht="18" customHeight="1">
      <c r="A4" s="8" t="s">
        <v>2</v>
      </c>
      <c r="B4" s="86" t="s">
        <v>98</v>
      </c>
      <c r="C4" s="87"/>
      <c r="D4" s="29"/>
      <c r="E4" s="9" t="s">
        <v>3</v>
      </c>
      <c r="F4" s="9"/>
      <c r="G4" s="9"/>
      <c r="H4" s="9"/>
    </row>
    <row r="5" spans="1:8" ht="18" customHeight="1">
      <c r="A5" s="8" t="s">
        <v>4</v>
      </c>
      <c r="B5" s="86"/>
      <c r="C5" s="87"/>
      <c r="D5" s="29"/>
      <c r="E5" s="9" t="s">
        <v>5</v>
      </c>
      <c r="F5" s="9"/>
      <c r="G5" s="9"/>
      <c r="H5" s="9"/>
    </row>
    <row r="6" spans="1:8" ht="18" customHeight="1">
      <c r="A6" s="5" t="s">
        <v>6</v>
      </c>
      <c r="D6" s="29"/>
      <c r="E6" s="9" t="s">
        <v>7</v>
      </c>
      <c r="F6" s="9"/>
      <c r="G6" s="9"/>
      <c r="H6" s="9"/>
    </row>
    <row r="7" spans="1:9" ht="18" customHeight="1">
      <c r="A7" s="79" t="s">
        <v>101</v>
      </c>
      <c r="B7" s="80"/>
      <c r="C7" s="80"/>
      <c r="D7" s="80"/>
      <c r="E7" s="80"/>
      <c r="F7" s="80"/>
      <c r="G7" s="80"/>
      <c r="H7" s="80"/>
      <c r="I7" s="81"/>
    </row>
    <row r="8" spans="1:5" ht="12.75">
      <c r="A8" s="8"/>
      <c r="E8" s="10"/>
    </row>
    <row r="9" spans="2:5" ht="13.5" thickBot="1">
      <c r="B9" s="8" t="s">
        <v>8</v>
      </c>
      <c r="C9" s="28"/>
      <c r="D9" s="5" t="s">
        <v>9</v>
      </c>
      <c r="E9" s="10"/>
    </row>
    <row r="10" spans="2:10" ht="13.5" thickBot="1">
      <c r="B10" s="8" t="s">
        <v>10</v>
      </c>
      <c r="C10" s="28"/>
      <c r="D10" s="5" t="s">
        <v>9</v>
      </c>
      <c r="E10" s="10" t="s">
        <v>1</v>
      </c>
      <c r="F10" s="84" t="s">
        <v>72</v>
      </c>
      <c r="G10" s="85"/>
      <c r="H10" s="50" t="s">
        <v>67</v>
      </c>
      <c r="I10" s="50" t="s">
        <v>68</v>
      </c>
      <c r="J10" s="51" t="s">
        <v>69</v>
      </c>
    </row>
    <row r="11" spans="2:10" ht="12.75">
      <c r="B11" s="8" t="s">
        <v>11</v>
      </c>
      <c r="C11" s="28"/>
      <c r="F11" s="59" t="s">
        <v>87</v>
      </c>
      <c r="G11" s="69"/>
      <c r="H11" s="70">
        <v>93</v>
      </c>
      <c r="I11" s="70">
        <v>110</v>
      </c>
      <c r="J11" s="58">
        <v>115</v>
      </c>
    </row>
    <row r="12" spans="2:10" ht="12.75">
      <c r="B12" s="8" t="s">
        <v>12</v>
      </c>
      <c r="C12" s="28"/>
      <c r="F12" s="45" t="s">
        <v>78</v>
      </c>
      <c r="G12" s="46"/>
      <c r="H12" s="53">
        <v>100</v>
      </c>
      <c r="I12" s="53">
        <v>120</v>
      </c>
      <c r="J12" s="54">
        <v>129.5</v>
      </c>
    </row>
    <row r="13" spans="2:10" ht="12.75">
      <c r="B13" s="8" t="s">
        <v>13</v>
      </c>
      <c r="C13" s="28"/>
      <c r="F13" s="45" t="s">
        <v>73</v>
      </c>
      <c r="G13" s="46"/>
      <c r="H13" s="53">
        <v>109</v>
      </c>
      <c r="I13" s="53">
        <v>130</v>
      </c>
      <c r="J13" s="54">
        <v>140</v>
      </c>
    </row>
    <row r="14" spans="2:10" ht="12.75">
      <c r="B14" s="8" t="s">
        <v>14</v>
      </c>
      <c r="C14" s="28"/>
      <c r="D14" s="11">
        <f>(1*D29)+(8*D28)+(4*D30)+(6*D31)+(2*D32)+(8*D24)+(5*D41)</f>
        <v>110.39999999999999</v>
      </c>
      <c r="E14" s="5" t="s">
        <v>15</v>
      </c>
      <c r="F14" s="45" t="s">
        <v>74</v>
      </c>
      <c r="G14" s="46"/>
      <c r="H14" s="53">
        <v>135</v>
      </c>
      <c r="I14" s="53">
        <v>146</v>
      </c>
      <c r="J14" s="54">
        <v>165</v>
      </c>
    </row>
    <row r="15" spans="2:10" ht="13.5" thickBot="1">
      <c r="B15" s="8" t="s">
        <v>16</v>
      </c>
      <c r="C15" s="28"/>
      <c r="D15" s="11">
        <f>(1*D29)+(4*D28)+(2*D30)+(2*D31)+(2*D32)+(4*D24)+(3*D41)</f>
        <v>64.4</v>
      </c>
      <c r="E15" s="5" t="s">
        <v>15</v>
      </c>
      <c r="F15" s="47" t="s">
        <v>75</v>
      </c>
      <c r="G15" s="48"/>
      <c r="H15" s="48"/>
      <c r="I15" s="48"/>
      <c r="J15" s="49"/>
    </row>
    <row r="16" spans="2:5" ht="12.75">
      <c r="B16" s="8" t="s">
        <v>17</v>
      </c>
      <c r="C16" s="28"/>
      <c r="D16" s="11">
        <f>(1*D29)+(2*D28)+(1*D30)+(1*D31)+(1*D32)+(2*D24)+(2*D41)</f>
        <v>41.199999999999996</v>
      </c>
      <c r="E16" s="5" t="s">
        <v>15</v>
      </c>
    </row>
    <row r="17" spans="2:5" ht="12.75">
      <c r="B17" s="8" t="s">
        <v>18</v>
      </c>
      <c r="C17" s="28"/>
      <c r="D17" s="11">
        <f>(1*D29)+(4*D28)+(2*D30)+(2*D31)+(2*D32)+(4*D24)+(3*D41)</f>
        <v>64.4</v>
      </c>
      <c r="E17" s="5" t="s">
        <v>15</v>
      </c>
    </row>
    <row r="18" spans="2:7" ht="12.75">
      <c r="B18" s="8"/>
      <c r="G18" s="38"/>
    </row>
    <row r="19" ht="12.75">
      <c r="B19" s="8"/>
    </row>
    <row r="20" spans="2:7" ht="12.75">
      <c r="B20" s="8"/>
      <c r="G20" s="52"/>
    </row>
    <row r="21" spans="2:5" ht="12.75">
      <c r="B21" s="4" t="s">
        <v>59</v>
      </c>
      <c r="E21" s="12" t="s">
        <v>19</v>
      </c>
    </row>
    <row r="22" spans="1:6" ht="12.75">
      <c r="A22" s="88" t="s">
        <v>20</v>
      </c>
      <c r="B22" s="88"/>
      <c r="C22" s="13" t="s">
        <v>21</v>
      </c>
      <c r="D22" s="13" t="s">
        <v>22</v>
      </c>
      <c r="E22" s="13" t="s">
        <v>23</v>
      </c>
      <c r="F22" s="13" t="s">
        <v>24</v>
      </c>
    </row>
    <row r="23" spans="1:8" ht="12.75">
      <c r="A23" s="82" t="s">
        <v>40</v>
      </c>
      <c r="B23" s="82"/>
      <c r="C23" s="14" t="s">
        <v>25</v>
      </c>
      <c r="D23" s="2">
        <v>0.025</v>
      </c>
      <c r="E23" s="16">
        <f>((C10*C11)*1.005)+(C14*130)+(C15*65)+(C16*33)+(C17*65)</f>
        <v>0</v>
      </c>
      <c r="F23" s="17">
        <f aca="true" t="shared" si="0" ref="F23:F36">D23*E23</f>
        <v>0</v>
      </c>
      <c r="G23" s="73" t="s">
        <v>26</v>
      </c>
      <c r="H23" s="19">
        <f>E23/4000</f>
        <v>0</v>
      </c>
    </row>
    <row r="24" spans="1:7" ht="12.75">
      <c r="A24" s="82" t="s">
        <v>27</v>
      </c>
      <c r="B24" s="82"/>
      <c r="C24" s="14" t="s">
        <v>15</v>
      </c>
      <c r="D24" s="2">
        <v>0.15</v>
      </c>
      <c r="E24" s="16">
        <f>((6*C13)*C11)+(C14*8)+(C15*4)+(C16*2)+(C17*4)</f>
        <v>0</v>
      </c>
      <c r="F24" s="17">
        <f t="shared" si="0"/>
        <v>0</v>
      </c>
      <c r="G24" s="5" t="s">
        <v>96</v>
      </c>
    </row>
    <row r="25" spans="1:6" ht="12.75">
      <c r="A25" s="82" t="s">
        <v>63</v>
      </c>
      <c r="B25" s="82"/>
      <c r="C25" s="14" t="s">
        <v>15</v>
      </c>
      <c r="D25" s="2">
        <v>0.055</v>
      </c>
      <c r="E25" s="20" t="e">
        <f>((C10/C9)*C12)+(C14*4)+(C15*2)+(C16*1)+(C17*2)</f>
        <v>#DIV/0!</v>
      </c>
      <c r="F25" s="17" t="e">
        <f t="shared" si="0"/>
        <v>#DIV/0!</v>
      </c>
    </row>
    <row r="26" spans="1:6" ht="12.75">
      <c r="A26" s="82" t="s">
        <v>28</v>
      </c>
      <c r="B26" s="82"/>
      <c r="C26" s="14" t="s">
        <v>15</v>
      </c>
      <c r="D26" s="2">
        <v>0.75</v>
      </c>
      <c r="E26" s="16">
        <f>(C13*2)*C12</f>
        <v>0</v>
      </c>
      <c r="F26" s="17">
        <f t="shared" si="0"/>
        <v>0</v>
      </c>
    </row>
    <row r="27" spans="1:6" ht="12.75">
      <c r="A27" s="82" t="s">
        <v>29</v>
      </c>
      <c r="B27" s="82"/>
      <c r="C27" s="14" t="s">
        <v>15</v>
      </c>
      <c r="D27" s="2">
        <v>8</v>
      </c>
      <c r="E27" s="20" t="e">
        <f>(C10/C9)</f>
        <v>#DIV/0!</v>
      </c>
      <c r="F27" s="17" t="e">
        <f t="shared" si="0"/>
        <v>#DIV/0!</v>
      </c>
    </row>
    <row r="28" spans="1:6" ht="12.75">
      <c r="A28" s="82" t="s">
        <v>60</v>
      </c>
      <c r="B28" s="82"/>
      <c r="C28" s="14" t="s">
        <v>15</v>
      </c>
      <c r="D28" s="2">
        <v>9</v>
      </c>
      <c r="E28" s="20">
        <f>(C14*8)+(C15*4)+(C16*2)+(C17*4)</f>
        <v>0</v>
      </c>
      <c r="F28" s="17">
        <f t="shared" si="0"/>
        <v>0</v>
      </c>
    </row>
    <row r="29" spans="1:7" ht="12.75">
      <c r="A29" s="82" t="s">
        <v>31</v>
      </c>
      <c r="B29" s="82"/>
      <c r="C29" s="14" t="s">
        <v>15</v>
      </c>
      <c r="D29" s="2">
        <v>17</v>
      </c>
      <c r="E29" s="20">
        <f>C14+C15+C16+C17</f>
        <v>0</v>
      </c>
      <c r="F29" s="17">
        <f t="shared" si="0"/>
        <v>0</v>
      </c>
      <c r="G29" s="5" t="s">
        <v>30</v>
      </c>
    </row>
    <row r="30" spans="1:9" ht="12.75">
      <c r="A30" s="82" t="s">
        <v>33</v>
      </c>
      <c r="B30" s="82"/>
      <c r="C30" s="14" t="s">
        <v>15</v>
      </c>
      <c r="D30" s="2">
        <v>2.5</v>
      </c>
      <c r="E30" s="16">
        <f>(C11*C13)+(C14*4)+(C15*2)+(C16*1)+(C17*2)</f>
        <v>0</v>
      </c>
      <c r="F30" s="17">
        <f t="shared" si="0"/>
        <v>0</v>
      </c>
      <c r="G30" s="5" t="s">
        <v>32</v>
      </c>
      <c r="I30" s="38"/>
    </row>
    <row r="31" spans="1:6" ht="12.75">
      <c r="A31" s="82" t="s">
        <v>34</v>
      </c>
      <c r="B31" s="82"/>
      <c r="C31" s="14" t="s">
        <v>15</v>
      </c>
      <c r="D31" s="2">
        <v>0.6</v>
      </c>
      <c r="E31" s="16">
        <f>(C14*6)+(C15*2)+(C16*1)+(C17*2)</f>
        <v>0</v>
      </c>
      <c r="F31" s="17">
        <f t="shared" si="0"/>
        <v>0</v>
      </c>
    </row>
    <row r="32" spans="1:6" ht="12.75">
      <c r="A32" s="82" t="s">
        <v>35</v>
      </c>
      <c r="B32" s="82"/>
      <c r="C32" s="14" t="s">
        <v>15</v>
      </c>
      <c r="D32" s="2">
        <v>0.8</v>
      </c>
      <c r="E32" s="16">
        <f>(C14*2)+(C15*2)+(C16*1)+(C17*2)</f>
        <v>0</v>
      </c>
      <c r="F32" s="17">
        <f t="shared" si="0"/>
        <v>0</v>
      </c>
    </row>
    <row r="33" spans="1:13" ht="12.75">
      <c r="A33" s="14"/>
      <c r="B33" s="14" t="s">
        <v>77</v>
      </c>
      <c r="C33" s="14" t="s">
        <v>15</v>
      </c>
      <c r="D33" s="2">
        <v>4.5</v>
      </c>
      <c r="E33" s="16">
        <f>C11</f>
        <v>0</v>
      </c>
      <c r="F33" s="17">
        <f t="shared" si="0"/>
        <v>0</v>
      </c>
      <c r="G33" s="5" t="s">
        <v>91</v>
      </c>
      <c r="M33" s="72" t="s">
        <v>92</v>
      </c>
    </row>
    <row r="34" spans="1:6" ht="12.75">
      <c r="A34" s="82" t="s">
        <v>36</v>
      </c>
      <c r="B34" s="82"/>
      <c r="C34" s="14" t="s">
        <v>37</v>
      </c>
      <c r="D34" s="2">
        <v>1.45</v>
      </c>
      <c r="E34" s="20" t="e">
        <f>((E27+E29)/10)*1.1</f>
        <v>#DIV/0!</v>
      </c>
      <c r="F34" s="17" t="e">
        <f t="shared" si="0"/>
        <v>#DIV/0!</v>
      </c>
    </row>
    <row r="35" spans="1:10" ht="12.75">
      <c r="A35" s="5" t="s">
        <v>70</v>
      </c>
      <c r="B35" s="1" t="s">
        <v>99</v>
      </c>
      <c r="C35" s="14" t="s">
        <v>15</v>
      </c>
      <c r="D35" s="40">
        <v>165</v>
      </c>
      <c r="E35" s="39"/>
      <c r="F35" s="17">
        <f t="shared" si="0"/>
        <v>0</v>
      </c>
      <c r="H35"/>
      <c r="I35"/>
      <c r="J35"/>
    </row>
    <row r="36" spans="1:10" ht="12.75">
      <c r="A36" s="5" t="s">
        <v>70</v>
      </c>
      <c r="B36" s="1"/>
      <c r="C36" s="14" t="s">
        <v>15</v>
      </c>
      <c r="D36" s="40"/>
      <c r="E36" s="39"/>
      <c r="F36" s="17">
        <f t="shared" si="0"/>
        <v>0</v>
      </c>
      <c r="G36" s="5" t="s">
        <v>76</v>
      </c>
      <c r="H36"/>
      <c r="I36"/>
      <c r="J36"/>
    </row>
    <row r="37" spans="8:10" ht="12.75">
      <c r="H37"/>
      <c r="I37"/>
      <c r="J37"/>
    </row>
    <row r="38" spans="3:6" ht="18" customHeight="1" thickBot="1">
      <c r="C38" s="77" t="s">
        <v>58</v>
      </c>
      <c r="D38" s="77"/>
      <c r="E38" s="78"/>
      <c r="F38" s="55" t="e">
        <f>SUM(F24:F36)</f>
        <v>#DIV/0!</v>
      </c>
    </row>
    <row r="39" spans="3:6" ht="18" customHeight="1">
      <c r="C39" s="22"/>
      <c r="D39" s="22"/>
      <c r="E39" s="24" t="s">
        <v>56</v>
      </c>
      <c r="F39" s="56" t="e">
        <f>F38/C10</f>
        <v>#DIV/0!</v>
      </c>
    </row>
    <row r="40" spans="2:4" ht="12.75">
      <c r="B40" s="14"/>
      <c r="C40" s="14"/>
      <c r="D40" s="15"/>
    </row>
    <row r="41" spans="1:6" ht="12.75">
      <c r="A41" s="82" t="s">
        <v>38</v>
      </c>
      <c r="B41" s="82"/>
      <c r="C41" s="14" t="s">
        <v>15</v>
      </c>
      <c r="D41" s="3">
        <v>1</v>
      </c>
      <c r="E41" s="21" t="e">
        <f>E27+E28+E29</f>
        <v>#DIV/0!</v>
      </c>
      <c r="F41" s="17" t="e">
        <f>D41*E41</f>
        <v>#DIV/0!</v>
      </c>
    </row>
    <row r="42" spans="1:6" ht="18" customHeight="1" thickBot="1">
      <c r="A42" s="8" t="s">
        <v>41</v>
      </c>
      <c r="B42" s="1">
        <v>25</v>
      </c>
      <c r="C42" s="5" t="s">
        <v>42</v>
      </c>
      <c r="D42" s="8" t="s">
        <v>43</v>
      </c>
      <c r="E42" s="43">
        <v>50</v>
      </c>
      <c r="F42" s="57">
        <f>B42*E42</f>
        <v>1250</v>
      </c>
    </row>
    <row r="44" spans="2:6" ht="18" customHeight="1" thickBot="1">
      <c r="B44" s="77" t="s">
        <v>57</v>
      </c>
      <c r="C44" s="77"/>
      <c r="D44" s="77"/>
      <c r="E44" s="78"/>
      <c r="F44" s="26" t="e">
        <f>F38+F41+F42</f>
        <v>#DIV/0!</v>
      </c>
    </row>
    <row r="45" spans="5:6" ht="13.5" thickTop="1">
      <c r="E45" s="8" t="s">
        <v>56</v>
      </c>
      <c r="F45" s="27" t="e">
        <f>F44/C10</f>
        <v>#DIV/0!</v>
      </c>
    </row>
    <row r="48" ht="12.75">
      <c r="A48" s="10" t="s">
        <v>79</v>
      </c>
    </row>
    <row r="49" spans="1:6" ht="12.75">
      <c r="A49" s="60" t="s">
        <v>80</v>
      </c>
      <c r="B49" s="61"/>
      <c r="C49" s="61" t="s">
        <v>85</v>
      </c>
      <c r="D49" s="61"/>
      <c r="E49" s="61"/>
      <c r="F49" s="62"/>
    </row>
    <row r="50" spans="1:6" ht="12.75">
      <c r="A50" s="63" t="s">
        <v>81</v>
      </c>
      <c r="B50" s="64"/>
      <c r="C50" s="64" t="s">
        <v>93</v>
      </c>
      <c r="D50" s="64"/>
      <c r="E50" s="64"/>
      <c r="F50" s="65"/>
    </row>
    <row r="51" spans="1:6" ht="12.75">
      <c r="A51" s="63" t="s">
        <v>82</v>
      </c>
      <c r="B51" s="64"/>
      <c r="C51" s="64"/>
      <c r="D51" s="64"/>
      <c r="E51" s="64"/>
      <c r="F51" s="65"/>
    </row>
    <row r="52" spans="1:6" ht="12.75">
      <c r="A52" s="63" t="s">
        <v>83</v>
      </c>
      <c r="B52" s="64"/>
      <c r="C52" s="64" t="s">
        <v>84</v>
      </c>
      <c r="D52" s="64"/>
      <c r="E52" s="64"/>
      <c r="F52" s="65"/>
    </row>
    <row r="53" spans="1:6" ht="12.75">
      <c r="A53" s="63"/>
      <c r="B53" s="64"/>
      <c r="C53" s="64"/>
      <c r="D53" s="64"/>
      <c r="E53" s="64"/>
      <c r="F53" s="65"/>
    </row>
    <row r="54" spans="1:6" ht="12.75">
      <c r="A54" s="63"/>
      <c r="B54" s="64"/>
      <c r="C54" s="64"/>
      <c r="D54" s="64"/>
      <c r="E54" s="64"/>
      <c r="F54" s="65"/>
    </row>
    <row r="55" spans="1:6" ht="12.75">
      <c r="A55" s="66"/>
      <c r="B55" s="67"/>
      <c r="C55" s="67"/>
      <c r="D55" s="67"/>
      <c r="E55" s="67"/>
      <c r="F55" s="68"/>
    </row>
  </sheetData>
  <sheetProtection password="FE5D" sheet="1" objects="1" scenarios="1"/>
  <mergeCells count="20">
    <mergeCell ref="A28:B28"/>
    <mergeCell ref="A29:B29"/>
    <mergeCell ref="H2:I2"/>
    <mergeCell ref="A24:B24"/>
    <mergeCell ref="A25:B25"/>
    <mergeCell ref="F10:G10"/>
    <mergeCell ref="B4:C4"/>
    <mergeCell ref="B5:C5"/>
    <mergeCell ref="A22:B22"/>
    <mergeCell ref="A23:B23"/>
    <mergeCell ref="C38:E38"/>
    <mergeCell ref="B44:E44"/>
    <mergeCell ref="A7:I7"/>
    <mergeCell ref="A41:B41"/>
    <mergeCell ref="A30:B30"/>
    <mergeCell ref="A31:B31"/>
    <mergeCell ref="A32:B32"/>
    <mergeCell ref="A34:B34"/>
    <mergeCell ref="A26:B26"/>
    <mergeCell ref="A27:B27"/>
  </mergeCells>
  <printOptions/>
  <pageMargins left="0.5" right="0.5" top="0.25" bottom="0.25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D18" sqref="D18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9.140625" style="5" customWidth="1"/>
    <col min="4" max="4" width="14.7109375" style="5" customWidth="1"/>
    <col min="5" max="16384" width="9.140625" style="5" customWidth="1"/>
  </cols>
  <sheetData>
    <row r="1" spans="1:8" ht="18" customHeight="1">
      <c r="A1" s="4" t="s">
        <v>100</v>
      </c>
      <c r="H1" s="44">
        <f ca="1">TODAY()</f>
        <v>39349</v>
      </c>
    </row>
    <row r="2" spans="7:9" ht="12.75">
      <c r="G2" s="8" t="s">
        <v>71</v>
      </c>
      <c r="H2" s="83"/>
      <c r="I2" s="83"/>
    </row>
    <row r="3" spans="1:7" ht="12.75">
      <c r="A3" s="6" t="s">
        <v>0</v>
      </c>
      <c r="D3" s="5" t="s">
        <v>86</v>
      </c>
      <c r="E3" s="5" t="s">
        <v>1</v>
      </c>
      <c r="F3" s="7"/>
      <c r="G3" s="7"/>
    </row>
    <row r="4" spans="1:8" ht="18" customHeight="1">
      <c r="A4" s="8" t="s">
        <v>2</v>
      </c>
      <c r="B4" s="86" t="s">
        <v>98</v>
      </c>
      <c r="C4" s="87"/>
      <c r="D4" s="29"/>
      <c r="E4" s="9" t="s">
        <v>3</v>
      </c>
      <c r="F4" s="9"/>
      <c r="G4" s="9"/>
      <c r="H4" s="9"/>
    </row>
    <row r="5" spans="1:8" ht="18" customHeight="1">
      <c r="A5" s="8" t="s">
        <v>4</v>
      </c>
      <c r="B5" s="86"/>
      <c r="C5" s="87"/>
      <c r="D5" s="29"/>
      <c r="E5" s="9" t="s">
        <v>5</v>
      </c>
      <c r="F5" s="9"/>
      <c r="G5" s="9"/>
      <c r="H5" s="9"/>
    </row>
    <row r="6" spans="1:8" ht="18" customHeight="1">
      <c r="A6" s="5" t="s">
        <v>6</v>
      </c>
      <c r="D6" s="29"/>
      <c r="E6" s="9" t="s">
        <v>7</v>
      </c>
      <c r="F6" s="9"/>
      <c r="G6" s="9"/>
      <c r="H6" s="9"/>
    </row>
    <row r="7" spans="1:9" ht="18" customHeight="1">
      <c r="A7" s="79" t="s">
        <v>101</v>
      </c>
      <c r="B7" s="80"/>
      <c r="C7" s="80"/>
      <c r="D7" s="80"/>
      <c r="E7" s="80"/>
      <c r="F7" s="80"/>
      <c r="G7" s="80"/>
      <c r="H7" s="80"/>
      <c r="I7" s="81"/>
    </row>
    <row r="8" spans="1:5" ht="12.75">
      <c r="A8" s="8"/>
      <c r="E8" s="10"/>
    </row>
    <row r="9" spans="2:5" ht="13.5" thickBot="1">
      <c r="B9" s="8" t="s">
        <v>8</v>
      </c>
      <c r="C9" s="28"/>
      <c r="D9" s="5" t="s">
        <v>9</v>
      </c>
      <c r="E9" s="10"/>
    </row>
    <row r="10" spans="2:10" ht="13.5" thickBot="1">
      <c r="B10" s="8" t="s">
        <v>10</v>
      </c>
      <c r="C10" s="28"/>
      <c r="D10" s="5" t="s">
        <v>9</v>
      </c>
      <c r="E10" s="10" t="s">
        <v>1</v>
      </c>
      <c r="F10" s="84" t="s">
        <v>72</v>
      </c>
      <c r="G10" s="85"/>
      <c r="H10" s="50" t="s">
        <v>67</v>
      </c>
      <c r="I10" s="50" t="s">
        <v>68</v>
      </c>
      <c r="J10" s="51" t="s">
        <v>69</v>
      </c>
    </row>
    <row r="11" spans="2:10" ht="12.75">
      <c r="B11" s="8" t="s">
        <v>11</v>
      </c>
      <c r="C11" s="28"/>
      <c r="F11" s="59" t="s">
        <v>87</v>
      </c>
      <c r="G11" s="69"/>
      <c r="H11" s="70">
        <v>93</v>
      </c>
      <c r="I11" s="70">
        <v>110</v>
      </c>
      <c r="J11" s="58">
        <v>115</v>
      </c>
    </row>
    <row r="12" spans="2:10" ht="12.75">
      <c r="B12" s="8" t="s">
        <v>12</v>
      </c>
      <c r="C12" s="28"/>
      <c r="F12" s="45" t="s">
        <v>78</v>
      </c>
      <c r="G12" s="46"/>
      <c r="H12" s="53">
        <v>100</v>
      </c>
      <c r="I12" s="53">
        <v>120</v>
      </c>
      <c r="J12" s="54">
        <v>129.5</v>
      </c>
    </row>
    <row r="13" spans="2:10" ht="12.75">
      <c r="B13" s="8" t="s">
        <v>13</v>
      </c>
      <c r="C13" s="28"/>
      <c r="F13" s="45" t="s">
        <v>73</v>
      </c>
      <c r="G13" s="46"/>
      <c r="H13" s="53">
        <v>109</v>
      </c>
      <c r="I13" s="53">
        <v>130</v>
      </c>
      <c r="J13" s="54">
        <v>140</v>
      </c>
    </row>
    <row r="14" spans="2:10" ht="12.75">
      <c r="B14" s="8" t="s">
        <v>14</v>
      </c>
      <c r="C14" s="28"/>
      <c r="D14" s="11">
        <f>(1*D30)+(8*D29)+(4*D31)+(6*D32)+(2*D33)+(8*D24)+(5*D42)</f>
        <v>110.39999999999999</v>
      </c>
      <c r="E14" s="5" t="s">
        <v>15</v>
      </c>
      <c r="F14" s="45" t="s">
        <v>74</v>
      </c>
      <c r="G14" s="46"/>
      <c r="H14" s="53">
        <v>135</v>
      </c>
      <c r="I14" s="53">
        <v>146</v>
      </c>
      <c r="J14" s="54">
        <v>165</v>
      </c>
    </row>
    <row r="15" spans="2:10" ht="13.5" thickBot="1">
      <c r="B15" s="8" t="s">
        <v>16</v>
      </c>
      <c r="C15" s="28"/>
      <c r="D15" s="11">
        <f>(1*D30)+(4*D29)+(2*D31)+(2*D32)+(2*D33)+(4*D24)+(3*D42)</f>
        <v>64.4</v>
      </c>
      <c r="E15" s="5" t="s">
        <v>15</v>
      </c>
      <c r="F15" s="47" t="s">
        <v>75</v>
      </c>
      <c r="G15" s="48"/>
      <c r="H15" s="48"/>
      <c r="I15" s="48"/>
      <c r="J15" s="49"/>
    </row>
    <row r="16" spans="2:5" ht="12.75">
      <c r="B16" s="8" t="s">
        <v>17</v>
      </c>
      <c r="C16" s="28"/>
      <c r="D16" s="11">
        <f>(1*D30)+(2*D29)+(1*D31)+(1*D32)+(1*D33)+(2*D24)+(2*D42)</f>
        <v>41.199999999999996</v>
      </c>
      <c r="E16" s="5" t="s">
        <v>15</v>
      </c>
    </row>
    <row r="17" spans="2:5" ht="12.75">
      <c r="B17" s="8" t="s">
        <v>18</v>
      </c>
      <c r="C17" s="28"/>
      <c r="D17" s="11">
        <f>(1*D30)+(4*D29)+(2*D31)+(2*D32)+(2*D33)+(4*D24)+(3*D42)</f>
        <v>64.4</v>
      </c>
      <c r="E17" s="5" t="s">
        <v>15</v>
      </c>
    </row>
    <row r="18" ht="12.75">
      <c r="B18" s="8"/>
    </row>
    <row r="19" ht="12.75">
      <c r="B19" s="8"/>
    </row>
    <row r="20" spans="2:7" ht="12.75">
      <c r="B20" s="8"/>
      <c r="G20" s="52"/>
    </row>
    <row r="21" spans="2:5" ht="12.75">
      <c r="B21" s="4" t="s">
        <v>59</v>
      </c>
      <c r="E21" s="12" t="s">
        <v>19</v>
      </c>
    </row>
    <row r="22" spans="1:6" ht="12.75">
      <c r="A22" s="88" t="s">
        <v>20</v>
      </c>
      <c r="B22" s="88"/>
      <c r="C22" s="13" t="s">
        <v>21</v>
      </c>
      <c r="D22" s="13" t="s">
        <v>22</v>
      </c>
      <c r="E22" s="13" t="s">
        <v>23</v>
      </c>
      <c r="F22" s="13" t="s">
        <v>24</v>
      </c>
    </row>
    <row r="23" spans="1:8" ht="12.75">
      <c r="A23" s="82" t="s">
        <v>40</v>
      </c>
      <c r="B23" s="82"/>
      <c r="C23" s="14" t="s">
        <v>25</v>
      </c>
      <c r="D23" s="2">
        <v>0.025</v>
      </c>
      <c r="E23" s="16">
        <f>((C10*C11)*1.005)+(C14*130)+(C15*65)+(C16*33)+(C17*65)</f>
        <v>0</v>
      </c>
      <c r="F23" s="17">
        <f aca="true" t="shared" si="0" ref="F23:F37">D23*E23</f>
        <v>0</v>
      </c>
      <c r="G23" s="74" t="s">
        <v>26</v>
      </c>
      <c r="H23" s="19">
        <f>E23/4000</f>
        <v>0</v>
      </c>
    </row>
    <row r="24" spans="1:7" ht="12.75">
      <c r="A24" s="82" t="s">
        <v>27</v>
      </c>
      <c r="B24" s="82"/>
      <c r="C24" s="14" t="s">
        <v>15</v>
      </c>
      <c r="D24" s="2">
        <v>0.15</v>
      </c>
      <c r="E24" s="16">
        <f>(2*((6*C13)*C11)+(C14*8)+(C15*4)+(C16*2)+(C17*4))</f>
        <v>0</v>
      </c>
      <c r="F24" s="17">
        <f t="shared" si="0"/>
        <v>0</v>
      </c>
      <c r="G24" s="5" t="s">
        <v>97</v>
      </c>
    </row>
    <row r="25" spans="1:6" ht="12.75">
      <c r="A25" s="82" t="s">
        <v>63</v>
      </c>
      <c r="B25" s="82"/>
      <c r="C25" s="14" t="s">
        <v>15</v>
      </c>
      <c r="D25" s="2">
        <v>0.055</v>
      </c>
      <c r="E25" s="20" t="e">
        <f>((C10/C9)*C12)+(C14*4)+(C15*2)+(C16*1)+(C17*2)</f>
        <v>#DIV/0!</v>
      </c>
      <c r="F25" s="17" t="e">
        <f t="shared" si="0"/>
        <v>#DIV/0!</v>
      </c>
    </row>
    <row r="26" spans="1:6" ht="12.75">
      <c r="A26" s="82" t="s">
        <v>28</v>
      </c>
      <c r="B26" s="82"/>
      <c r="C26" s="14" t="s">
        <v>15</v>
      </c>
      <c r="D26" s="2">
        <v>0.75</v>
      </c>
      <c r="E26" s="16">
        <f>(C13*2)*C12</f>
        <v>0</v>
      </c>
      <c r="F26" s="17">
        <f t="shared" si="0"/>
        <v>0</v>
      </c>
    </row>
    <row r="27" spans="1:6" ht="12.75">
      <c r="A27" s="18" t="s">
        <v>94</v>
      </c>
      <c r="B27" s="14"/>
      <c r="C27" s="14" t="s">
        <v>15</v>
      </c>
      <c r="D27" s="2">
        <v>8.5</v>
      </c>
      <c r="E27" s="20" t="e">
        <f>(C10/C9)</f>
        <v>#DIV/0!</v>
      </c>
      <c r="F27" s="17" t="e">
        <f t="shared" si="0"/>
        <v>#DIV/0!</v>
      </c>
    </row>
    <row r="28" spans="1:6" ht="12.75">
      <c r="A28" s="82" t="s">
        <v>95</v>
      </c>
      <c r="B28" s="82"/>
      <c r="C28" s="14" t="s">
        <v>15</v>
      </c>
      <c r="D28" s="2">
        <v>8</v>
      </c>
      <c r="E28" s="20">
        <f>(C13*4)+(C14*2)+(C15*2)+(C16*4)</f>
        <v>0</v>
      </c>
      <c r="F28" s="17">
        <f t="shared" si="0"/>
        <v>0</v>
      </c>
    </row>
    <row r="29" spans="1:6" ht="12.75">
      <c r="A29" s="82" t="s">
        <v>60</v>
      </c>
      <c r="B29" s="82"/>
      <c r="C29" s="14" t="s">
        <v>15</v>
      </c>
      <c r="D29" s="2">
        <v>9</v>
      </c>
      <c r="E29" s="20">
        <f>(C14*8)+(C15*4)+(C16*2)+(C17*4)</f>
        <v>0</v>
      </c>
      <c r="F29" s="17">
        <f t="shared" si="0"/>
        <v>0</v>
      </c>
    </row>
    <row r="30" spans="1:7" ht="12.75">
      <c r="A30" s="82" t="s">
        <v>31</v>
      </c>
      <c r="B30" s="82"/>
      <c r="C30" s="14" t="s">
        <v>15</v>
      </c>
      <c r="D30" s="2">
        <v>17</v>
      </c>
      <c r="E30" s="20">
        <f>C14+C15+C16+C17</f>
        <v>0</v>
      </c>
      <c r="F30" s="17">
        <f t="shared" si="0"/>
        <v>0</v>
      </c>
      <c r="G30" s="5" t="s">
        <v>30</v>
      </c>
    </row>
    <row r="31" spans="1:9" ht="12.75">
      <c r="A31" s="82" t="s">
        <v>33</v>
      </c>
      <c r="B31" s="82"/>
      <c r="C31" s="14" t="s">
        <v>15</v>
      </c>
      <c r="D31" s="2">
        <v>2.5</v>
      </c>
      <c r="E31" s="16">
        <f>(C11*C13)+(C14*4)+(C15*2)+(C16*1)+(C17*2)</f>
        <v>0</v>
      </c>
      <c r="F31" s="17">
        <f t="shared" si="0"/>
        <v>0</v>
      </c>
      <c r="G31" s="5" t="s">
        <v>32</v>
      </c>
      <c r="I31" s="38"/>
    </row>
    <row r="32" spans="1:6" ht="12.75">
      <c r="A32" s="82" t="s">
        <v>34</v>
      </c>
      <c r="B32" s="82"/>
      <c r="C32" s="14" t="s">
        <v>15</v>
      </c>
      <c r="D32" s="2">
        <v>0.6</v>
      </c>
      <c r="E32" s="16">
        <f>(C14*6)+(C15*2)+(C16*1)+(C17*2)</f>
        <v>0</v>
      </c>
      <c r="F32" s="17">
        <f t="shared" si="0"/>
        <v>0</v>
      </c>
    </row>
    <row r="33" spans="1:6" ht="12.75">
      <c r="A33" s="82" t="s">
        <v>35</v>
      </c>
      <c r="B33" s="82"/>
      <c r="C33" s="14" t="s">
        <v>15</v>
      </c>
      <c r="D33" s="2">
        <v>0.8</v>
      </c>
      <c r="E33" s="16">
        <f>(C14*2)+(C15*2)+(C16*1)+(C17*2)</f>
        <v>0</v>
      </c>
      <c r="F33" s="17">
        <f t="shared" si="0"/>
        <v>0</v>
      </c>
    </row>
    <row r="34" spans="1:13" ht="12.75">
      <c r="A34" s="14"/>
      <c r="B34" s="14" t="s">
        <v>77</v>
      </c>
      <c r="C34" s="14" t="s">
        <v>15</v>
      </c>
      <c r="D34" s="2">
        <v>4.5</v>
      </c>
      <c r="E34" s="16">
        <f>C11</f>
        <v>0</v>
      </c>
      <c r="F34" s="17">
        <f t="shared" si="0"/>
        <v>0</v>
      </c>
      <c r="G34" s="5" t="s">
        <v>91</v>
      </c>
      <c r="M34" s="72" t="s">
        <v>92</v>
      </c>
    </row>
    <row r="35" spans="1:6" ht="12.75">
      <c r="A35" s="82" t="s">
        <v>36</v>
      </c>
      <c r="B35" s="82"/>
      <c r="C35" s="14" t="s">
        <v>37</v>
      </c>
      <c r="D35" s="2">
        <v>1.45</v>
      </c>
      <c r="E35" s="20" t="e">
        <f>((E27+E30)/10)*1.1</f>
        <v>#DIV/0!</v>
      </c>
      <c r="F35" s="17" t="e">
        <f t="shared" si="0"/>
        <v>#DIV/0!</v>
      </c>
    </row>
    <row r="36" spans="1:10" ht="12.75">
      <c r="A36" s="5" t="s">
        <v>70</v>
      </c>
      <c r="B36" s="1">
        <v>16</v>
      </c>
      <c r="C36" s="14" t="s">
        <v>15</v>
      </c>
      <c r="D36" s="40">
        <v>165</v>
      </c>
      <c r="E36" s="39"/>
      <c r="F36" s="17">
        <f t="shared" si="0"/>
        <v>0</v>
      </c>
      <c r="H36"/>
      <c r="I36"/>
      <c r="J36"/>
    </row>
    <row r="37" spans="1:10" ht="12.75">
      <c r="A37" s="5" t="s">
        <v>70</v>
      </c>
      <c r="B37" s="1"/>
      <c r="C37" s="14" t="s">
        <v>15</v>
      </c>
      <c r="D37" s="40"/>
      <c r="E37" s="39"/>
      <c r="F37" s="17">
        <f t="shared" si="0"/>
        <v>0</v>
      </c>
      <c r="G37" s="5" t="s">
        <v>76</v>
      </c>
      <c r="H37"/>
      <c r="I37"/>
      <c r="J37"/>
    </row>
    <row r="38" spans="8:10" ht="12.75">
      <c r="H38"/>
      <c r="I38"/>
      <c r="J38"/>
    </row>
    <row r="39" spans="3:6" ht="18" customHeight="1" thickBot="1">
      <c r="C39" s="77" t="s">
        <v>58</v>
      </c>
      <c r="D39" s="77"/>
      <c r="E39" s="78"/>
      <c r="F39" s="55" t="e">
        <f>SUM(F23:F37)</f>
        <v>#DIV/0!</v>
      </c>
    </row>
    <row r="40" spans="3:6" ht="18" customHeight="1">
      <c r="C40" s="22"/>
      <c r="D40" s="22"/>
      <c r="E40" s="24" t="s">
        <v>56</v>
      </c>
      <c r="F40" s="56" t="e">
        <f>F39/C10</f>
        <v>#DIV/0!</v>
      </c>
    </row>
    <row r="41" spans="2:4" ht="12.75">
      <c r="B41" s="14"/>
      <c r="C41" s="14"/>
      <c r="D41" s="15"/>
    </row>
    <row r="42" spans="1:6" ht="12.75">
      <c r="A42" s="82" t="s">
        <v>38</v>
      </c>
      <c r="B42" s="82"/>
      <c r="C42" s="14" t="s">
        <v>15</v>
      </c>
      <c r="D42" s="3">
        <v>1</v>
      </c>
      <c r="E42" s="21" t="e">
        <f>E27+E29+E30</f>
        <v>#DIV/0!</v>
      </c>
      <c r="F42" s="17" t="e">
        <f>D42*E42</f>
        <v>#DIV/0!</v>
      </c>
    </row>
    <row r="43" spans="1:6" ht="18" customHeight="1" thickBot="1">
      <c r="A43" s="8" t="s">
        <v>41</v>
      </c>
      <c r="B43" s="1">
        <v>25</v>
      </c>
      <c r="C43" s="5" t="s">
        <v>42</v>
      </c>
      <c r="D43" s="8" t="s">
        <v>43</v>
      </c>
      <c r="E43" s="43">
        <v>50</v>
      </c>
      <c r="F43" s="57">
        <f>B43*E43</f>
        <v>1250</v>
      </c>
    </row>
    <row r="44" ht="12.75"/>
    <row r="45" spans="2:6" ht="18" customHeight="1" thickBot="1">
      <c r="B45" s="77" t="s">
        <v>57</v>
      </c>
      <c r="C45" s="77"/>
      <c r="D45" s="77"/>
      <c r="E45" s="78"/>
      <c r="F45" s="26" t="e">
        <f>F39+F42+F43</f>
        <v>#DIV/0!</v>
      </c>
    </row>
    <row r="46" spans="5:6" ht="13.5" thickTop="1">
      <c r="E46" s="8" t="s">
        <v>56</v>
      </c>
      <c r="F46" s="27" t="e">
        <f>F45/C10</f>
        <v>#DIV/0!</v>
      </c>
    </row>
    <row r="49" ht="12.75">
      <c r="A49" s="10" t="s">
        <v>79</v>
      </c>
    </row>
    <row r="50" spans="1:6" ht="12.75">
      <c r="A50" s="60" t="s">
        <v>80</v>
      </c>
      <c r="B50" s="61"/>
      <c r="C50" s="61" t="s">
        <v>85</v>
      </c>
      <c r="D50" s="61"/>
      <c r="E50" s="61"/>
      <c r="F50" s="62"/>
    </row>
    <row r="51" spans="1:6" ht="12.75">
      <c r="A51" s="63" t="s">
        <v>81</v>
      </c>
      <c r="B51" s="64"/>
      <c r="C51" s="64" t="s">
        <v>93</v>
      </c>
      <c r="D51" s="64"/>
      <c r="E51" s="64"/>
      <c r="F51" s="65"/>
    </row>
    <row r="52" spans="1:6" ht="12.75">
      <c r="A52" s="63" t="s">
        <v>82</v>
      </c>
      <c r="B52" s="64"/>
      <c r="C52" s="64"/>
      <c r="D52" s="64"/>
      <c r="E52" s="64"/>
      <c r="F52" s="65"/>
    </row>
    <row r="53" spans="1:6" ht="12.75">
      <c r="A53" s="63" t="s">
        <v>83</v>
      </c>
      <c r="B53" s="64"/>
      <c r="C53" s="64" t="s">
        <v>84</v>
      </c>
      <c r="D53" s="64"/>
      <c r="E53" s="64"/>
      <c r="F53" s="65"/>
    </row>
    <row r="54" spans="1:6" ht="12.75">
      <c r="A54" s="63"/>
      <c r="B54" s="64"/>
      <c r="C54" s="64"/>
      <c r="D54" s="64"/>
      <c r="E54" s="64"/>
      <c r="F54" s="65"/>
    </row>
    <row r="55" spans="1:6" ht="12.75">
      <c r="A55" s="63"/>
      <c r="B55" s="64"/>
      <c r="C55" s="64"/>
      <c r="D55" s="64"/>
      <c r="E55" s="64"/>
      <c r="F55" s="65"/>
    </row>
    <row r="56" spans="1:6" ht="12.75">
      <c r="A56" s="66"/>
      <c r="B56" s="67"/>
      <c r="C56" s="67"/>
      <c r="D56" s="67"/>
      <c r="E56" s="67"/>
      <c r="F56" s="68"/>
    </row>
  </sheetData>
  <sheetProtection password="FE5D" sheet="1" objects="1" scenarios="1"/>
  <mergeCells count="20">
    <mergeCell ref="C39:E39"/>
    <mergeCell ref="B45:E45"/>
    <mergeCell ref="A7:I7"/>
    <mergeCell ref="A42:B42"/>
    <mergeCell ref="A31:B31"/>
    <mergeCell ref="A32:B32"/>
    <mergeCell ref="A33:B33"/>
    <mergeCell ref="A35:B35"/>
    <mergeCell ref="A26:B26"/>
    <mergeCell ref="A28:B28"/>
    <mergeCell ref="A29:B29"/>
    <mergeCell ref="A30:B30"/>
    <mergeCell ref="H2:I2"/>
    <mergeCell ref="A24:B24"/>
    <mergeCell ref="A25:B25"/>
    <mergeCell ref="F10:G10"/>
    <mergeCell ref="B4:C4"/>
    <mergeCell ref="B5:C5"/>
    <mergeCell ref="A22:B22"/>
    <mergeCell ref="A23:B23"/>
  </mergeCells>
  <printOptions/>
  <pageMargins left="0.5" right="0.5" top="0.25" bottom="0.25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A1" sqref="A1"/>
    </sheetView>
  </sheetViews>
  <sheetFormatPr defaultColWidth="9.140625" defaultRowHeight="12.75"/>
  <sheetData/>
  <sheetProtection password="FE5D" sheet="1" objects="1" scenarios="1"/>
  <printOptions/>
  <pageMargins left="0.75" right="0.75" top="1" bottom="1" header="0.5" footer="0.5"/>
  <pageSetup orientation="portrait" paperSize="9"/>
  <legacyDrawing r:id="rId2"/>
  <oleObjects>
    <oleObject progId="AcroExch.Document.7" shapeId="1520510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A1" sqref="A1"/>
    </sheetView>
  </sheetViews>
  <sheetFormatPr defaultColWidth="9.140625" defaultRowHeight="12.75"/>
  <sheetData/>
  <sheetProtection password="FE5D" sheet="1" objects="1" scenarios="1"/>
  <printOptions/>
  <pageMargins left="0.75" right="0.75" top="1" bottom="1" header="0.5" footer="0.5"/>
  <pageSetup orientation="portrait" paperSize="9"/>
  <legacyDrawing r:id="rId2"/>
  <oleObjects>
    <oleObject progId="AcroExch.Document.7" shapeId="15199994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14" sqref="C14"/>
    </sheetView>
  </sheetViews>
  <sheetFormatPr defaultColWidth="9.140625" defaultRowHeight="12.75"/>
  <cols>
    <col min="1" max="1" width="9.140625" style="5" customWidth="1"/>
    <col min="2" max="2" width="11.57421875" style="5" customWidth="1"/>
    <col min="3" max="3" width="9.140625" style="5" customWidth="1"/>
    <col min="4" max="4" width="13.140625" style="5" customWidth="1"/>
    <col min="5" max="5" width="9.140625" style="5" customWidth="1"/>
    <col min="6" max="6" width="9.8515625" style="5" bestFit="1" customWidth="1"/>
    <col min="7" max="16384" width="9.140625" style="5" customWidth="1"/>
  </cols>
  <sheetData>
    <row r="1" spans="1:8" ht="18" customHeight="1">
      <c r="A1" s="4" t="s">
        <v>46</v>
      </c>
      <c r="H1" s="44">
        <f ca="1">TODAY()</f>
        <v>39349</v>
      </c>
    </row>
    <row r="2" spans="5:9" ht="12.75">
      <c r="E2" s="38"/>
      <c r="G2" s="8" t="s">
        <v>71</v>
      </c>
      <c r="H2" s="83"/>
      <c r="I2" s="83"/>
    </row>
    <row r="3" spans="1:7" ht="12.75">
      <c r="A3" s="6" t="s">
        <v>0</v>
      </c>
      <c r="D3" s="5" t="s">
        <v>88</v>
      </c>
      <c r="E3" s="5" t="s">
        <v>1</v>
      </c>
      <c r="F3" s="7"/>
      <c r="G3" s="7"/>
    </row>
    <row r="4" spans="1:8" ht="18" customHeight="1">
      <c r="A4" s="8" t="s">
        <v>2</v>
      </c>
      <c r="B4" s="86" t="s">
        <v>98</v>
      </c>
      <c r="C4" s="87"/>
      <c r="D4" s="29"/>
      <c r="E4" s="9" t="s">
        <v>3</v>
      </c>
      <c r="F4" s="9"/>
      <c r="G4" s="9"/>
      <c r="H4" s="9"/>
    </row>
    <row r="5" spans="1:8" ht="18" customHeight="1">
      <c r="A5" s="8" t="s">
        <v>4</v>
      </c>
      <c r="B5" s="86"/>
      <c r="C5" s="87"/>
      <c r="D5" s="29"/>
      <c r="E5" s="9" t="s">
        <v>5</v>
      </c>
      <c r="F5" s="9"/>
      <c r="G5" s="9"/>
      <c r="H5" s="9"/>
    </row>
    <row r="6" spans="1:8" ht="18" customHeight="1">
      <c r="A6" s="5" t="s">
        <v>6</v>
      </c>
      <c r="D6" s="30"/>
      <c r="E6" s="9" t="s">
        <v>7</v>
      </c>
      <c r="F6" s="9"/>
      <c r="G6" s="9"/>
      <c r="H6" s="9"/>
    </row>
    <row r="7" spans="1:9" ht="18" customHeight="1">
      <c r="A7" s="79" t="s">
        <v>102</v>
      </c>
      <c r="B7" s="80"/>
      <c r="C7" s="80"/>
      <c r="D7" s="80"/>
      <c r="E7" s="80"/>
      <c r="F7" s="80"/>
      <c r="G7" s="80"/>
      <c r="H7" s="80"/>
      <c r="I7" s="81"/>
    </row>
    <row r="8" spans="1:5" ht="12.75">
      <c r="A8" s="8"/>
      <c r="E8" s="10"/>
    </row>
    <row r="9" spans="2:5" ht="13.5" thickBot="1">
      <c r="B9" s="8" t="s">
        <v>8</v>
      </c>
      <c r="C9" s="28"/>
      <c r="D9" s="5" t="s">
        <v>9</v>
      </c>
      <c r="E9" s="10"/>
    </row>
    <row r="10" spans="2:10" ht="13.5" thickBot="1">
      <c r="B10" s="8" t="s">
        <v>10</v>
      </c>
      <c r="C10" s="28"/>
      <c r="D10" s="5" t="s">
        <v>9</v>
      </c>
      <c r="E10" s="10" t="s">
        <v>1</v>
      </c>
      <c r="F10" s="84" t="s">
        <v>72</v>
      </c>
      <c r="G10" s="85"/>
      <c r="H10" s="50" t="s">
        <v>67</v>
      </c>
      <c r="I10" s="50" t="s">
        <v>68</v>
      </c>
      <c r="J10" s="51" t="s">
        <v>69</v>
      </c>
    </row>
    <row r="11" spans="2:10" ht="12.75">
      <c r="B11" s="8" t="s">
        <v>11</v>
      </c>
      <c r="C11" s="28"/>
      <c r="F11" s="59" t="s">
        <v>87</v>
      </c>
      <c r="G11" s="69"/>
      <c r="H11" s="70">
        <v>93</v>
      </c>
      <c r="I11" s="70">
        <v>110</v>
      </c>
      <c r="J11" s="58">
        <v>115</v>
      </c>
    </row>
    <row r="12" spans="2:10" ht="12.75">
      <c r="B12" s="8" t="s">
        <v>14</v>
      </c>
      <c r="C12" s="28"/>
      <c r="D12" s="11">
        <f>(1*D24)+(8*D23)+(6*D25)+(2*D26)+(5*D36)</f>
        <v>99.19999999999999</v>
      </c>
      <c r="E12" s="5" t="s">
        <v>15</v>
      </c>
      <c r="F12" s="45" t="s">
        <v>78</v>
      </c>
      <c r="G12" s="46"/>
      <c r="H12" s="53">
        <v>100</v>
      </c>
      <c r="I12" s="53">
        <v>120</v>
      </c>
      <c r="J12" s="54">
        <v>129.5</v>
      </c>
    </row>
    <row r="13" spans="2:10" ht="12.75">
      <c r="B13" s="8" t="s">
        <v>16</v>
      </c>
      <c r="C13" s="28"/>
      <c r="D13" s="11">
        <f>(1*D24)+(4*D23)+(2*D25)+(2*D26)+(3*D36)</f>
        <v>58.800000000000004</v>
      </c>
      <c r="E13" s="5" t="s">
        <v>15</v>
      </c>
      <c r="F13" s="45" t="s">
        <v>73</v>
      </c>
      <c r="G13" s="46"/>
      <c r="H13" s="53">
        <v>109</v>
      </c>
      <c r="I13" s="53">
        <v>130</v>
      </c>
      <c r="J13" s="54">
        <v>140</v>
      </c>
    </row>
    <row r="14" spans="2:10" ht="12.75">
      <c r="B14" s="8" t="s">
        <v>17</v>
      </c>
      <c r="C14" s="28"/>
      <c r="D14" s="11">
        <f>(1*D24)+(2*D23)+(1*D25)+(1*D26)+(2*D36)</f>
        <v>38.4</v>
      </c>
      <c r="E14" s="5" t="s">
        <v>15</v>
      </c>
      <c r="F14" s="45" t="s">
        <v>74</v>
      </c>
      <c r="G14" s="46"/>
      <c r="H14" s="53">
        <v>135</v>
      </c>
      <c r="I14" s="53">
        <v>146</v>
      </c>
      <c r="J14" s="54">
        <v>165</v>
      </c>
    </row>
    <row r="15" spans="2:10" ht="13.5" thickBot="1">
      <c r="B15" s="8" t="s">
        <v>18</v>
      </c>
      <c r="C15" s="28"/>
      <c r="D15" s="11">
        <f>(1*D24)+(4*D23)+(2*D25)+(2*D26)+(3*D36)</f>
        <v>58.800000000000004</v>
      </c>
      <c r="E15" s="5" t="s">
        <v>15</v>
      </c>
      <c r="F15" s="47" t="s">
        <v>75</v>
      </c>
      <c r="G15" s="48"/>
      <c r="H15" s="48"/>
      <c r="I15" s="48"/>
      <c r="J15" s="49"/>
    </row>
    <row r="16" ht="12.75">
      <c r="B16" s="8"/>
    </row>
    <row r="17" ht="12.75">
      <c r="B17" s="8"/>
    </row>
    <row r="18" ht="12.75">
      <c r="B18" s="8"/>
    </row>
    <row r="19" spans="2:6" ht="12.75">
      <c r="B19" s="4" t="s">
        <v>59</v>
      </c>
      <c r="E19" s="12" t="s">
        <v>19</v>
      </c>
      <c r="F19" s="12"/>
    </row>
    <row r="20" spans="1:6" ht="12.75">
      <c r="A20" s="88" t="s">
        <v>20</v>
      </c>
      <c r="B20" s="88"/>
      <c r="C20" s="13" t="s">
        <v>21</v>
      </c>
      <c r="D20" s="13" t="s">
        <v>22</v>
      </c>
      <c r="E20" s="13" t="s">
        <v>23</v>
      </c>
      <c r="F20" s="13" t="s">
        <v>24</v>
      </c>
    </row>
    <row r="21" spans="1:8" ht="12.75">
      <c r="A21" s="89" t="s">
        <v>47</v>
      </c>
      <c r="B21" s="89"/>
      <c r="C21" s="14" t="s">
        <v>25</v>
      </c>
      <c r="D21" s="3">
        <v>0.05</v>
      </c>
      <c r="E21" s="16">
        <f>((C10*C11)*1.005)</f>
        <v>0</v>
      </c>
      <c r="F21" s="31">
        <f>D21*E21</f>
        <v>0</v>
      </c>
      <c r="G21" s="32">
        <f>ROUNDUP(E21/330,0)</f>
        <v>0</v>
      </c>
      <c r="H21" s="5" t="s">
        <v>48</v>
      </c>
    </row>
    <row r="22" spans="1:6" ht="12.75">
      <c r="A22" s="82" t="s">
        <v>29</v>
      </c>
      <c r="B22" s="82"/>
      <c r="C22" s="14" t="s">
        <v>15</v>
      </c>
      <c r="D22" s="3">
        <v>8</v>
      </c>
      <c r="E22" s="20" t="e">
        <f>((C10/C9)/7)-(((0.5*(C13+C14))+((2*C12)+C15)))</f>
        <v>#DIV/0!</v>
      </c>
      <c r="F22" s="31" t="e">
        <f aca="true" t="shared" si="0" ref="F22:F31">D22*E22</f>
        <v>#DIV/0!</v>
      </c>
    </row>
    <row r="23" spans="1:8" ht="12.75">
      <c r="A23" s="82" t="s">
        <v>60</v>
      </c>
      <c r="B23" s="82"/>
      <c r="C23" s="14" t="s">
        <v>15</v>
      </c>
      <c r="D23" s="3">
        <v>9</v>
      </c>
      <c r="E23" s="20">
        <f>(C12*8)+(C13*4)+(C14*2)+(C15*4)</f>
        <v>0</v>
      </c>
      <c r="F23" s="31">
        <f t="shared" si="0"/>
        <v>0</v>
      </c>
      <c r="G23" s="90" t="s">
        <v>30</v>
      </c>
      <c r="H23" s="90"/>
    </row>
    <row r="24" spans="1:7" ht="12.75">
      <c r="A24" s="82" t="s">
        <v>31</v>
      </c>
      <c r="B24" s="82"/>
      <c r="C24" s="14" t="s">
        <v>15</v>
      </c>
      <c r="D24" s="3">
        <v>17</v>
      </c>
      <c r="E24" s="20">
        <f>C12+C13+C14+C15</f>
        <v>0</v>
      </c>
      <c r="F24" s="31">
        <f t="shared" si="0"/>
        <v>0</v>
      </c>
      <c r="G24" s="5" t="s">
        <v>32</v>
      </c>
    </row>
    <row r="25" spans="1:6" ht="12.75">
      <c r="A25" s="82" t="s">
        <v>34</v>
      </c>
      <c r="B25" s="82"/>
      <c r="C25" s="14" t="s">
        <v>15</v>
      </c>
      <c r="D25" s="3">
        <v>0.6</v>
      </c>
      <c r="E25" s="16">
        <f>(C12*6)+(C13*2)+(C14*1)+(C15*2)</f>
        <v>0</v>
      </c>
      <c r="F25" s="31">
        <f t="shared" si="0"/>
        <v>0</v>
      </c>
    </row>
    <row r="26" spans="1:6" ht="12.75">
      <c r="A26" s="82" t="s">
        <v>35</v>
      </c>
      <c r="B26" s="82"/>
      <c r="C26" s="14" t="s">
        <v>15</v>
      </c>
      <c r="D26" s="3">
        <v>0.8</v>
      </c>
      <c r="E26" s="16">
        <f>(C12*2)+(C13*2)+(C14*1)+(C15*2)</f>
        <v>0</v>
      </c>
      <c r="F26" s="31">
        <f t="shared" si="0"/>
        <v>0</v>
      </c>
    </row>
    <row r="27" spans="1:6" ht="12.75">
      <c r="A27" s="82" t="s">
        <v>36</v>
      </c>
      <c r="B27" s="82"/>
      <c r="C27" s="14" t="s">
        <v>37</v>
      </c>
      <c r="D27" s="3">
        <v>1.2</v>
      </c>
      <c r="E27" s="20" t="e">
        <f>((E22+E24)/10)*1.1</f>
        <v>#DIV/0!</v>
      </c>
      <c r="F27" s="31" t="e">
        <f t="shared" si="0"/>
        <v>#DIV/0!</v>
      </c>
    </row>
    <row r="28" spans="1:6" ht="12.75">
      <c r="A28" s="82" t="s">
        <v>49</v>
      </c>
      <c r="B28" s="82"/>
      <c r="C28" s="14" t="s">
        <v>15</v>
      </c>
      <c r="D28" s="3">
        <v>2.59</v>
      </c>
      <c r="E28" s="20" t="e">
        <f>(C10/C9)-((C10/C9)/9)</f>
        <v>#DIV/0!</v>
      </c>
      <c r="F28" s="31" t="e">
        <f t="shared" si="0"/>
        <v>#DIV/0!</v>
      </c>
    </row>
    <row r="29" spans="1:10" ht="12.75">
      <c r="A29" s="82" t="s">
        <v>64</v>
      </c>
      <c r="B29" s="82"/>
      <c r="C29" s="14" t="s">
        <v>25</v>
      </c>
      <c r="D29" s="3">
        <v>0.025</v>
      </c>
      <c r="E29" s="21">
        <f>(C12*130)+(C13*65)+(C14*33)+(C15*65)</f>
        <v>0</v>
      </c>
      <c r="F29" s="31">
        <f t="shared" si="0"/>
        <v>0</v>
      </c>
      <c r="H29"/>
      <c r="I29"/>
      <c r="J29"/>
    </row>
    <row r="30" spans="1:10" ht="12.75">
      <c r="A30" s="14" t="s">
        <v>70</v>
      </c>
      <c r="B30" s="29" t="s">
        <v>99</v>
      </c>
      <c r="C30" s="14" t="s">
        <v>15</v>
      </c>
      <c r="D30" s="41">
        <v>165</v>
      </c>
      <c r="E30" s="42"/>
      <c r="F30" s="31">
        <f t="shared" si="0"/>
        <v>0</v>
      </c>
      <c r="G30" s="5" t="s">
        <v>76</v>
      </c>
      <c r="H30"/>
      <c r="I30"/>
      <c r="J30"/>
    </row>
    <row r="31" spans="1:10" ht="12.75">
      <c r="A31" s="14" t="s">
        <v>70</v>
      </c>
      <c r="B31" s="29"/>
      <c r="C31" s="14" t="s">
        <v>15</v>
      </c>
      <c r="D31" s="40"/>
      <c r="E31" s="42"/>
      <c r="F31" s="31">
        <f t="shared" si="0"/>
        <v>0</v>
      </c>
      <c r="H31"/>
      <c r="I31"/>
      <c r="J31"/>
    </row>
    <row r="32" spans="2:6" ht="12.75">
      <c r="B32" s="14"/>
      <c r="C32" s="14"/>
      <c r="D32" s="15"/>
      <c r="E32" s="21"/>
      <c r="F32" s="17"/>
    </row>
    <row r="33" spans="4:6" ht="18" customHeight="1" thickBot="1">
      <c r="D33" s="91" t="s">
        <v>58</v>
      </c>
      <c r="E33" s="92"/>
      <c r="F33" s="75" t="e">
        <f>SUM(F21:F31)</f>
        <v>#DIV/0!</v>
      </c>
    </row>
    <row r="34" spans="2:6" ht="12.75">
      <c r="B34" s="14"/>
      <c r="C34" s="14"/>
      <c r="D34" s="15"/>
      <c r="E34" s="33" t="s">
        <v>56</v>
      </c>
      <c r="F34" s="25" t="e">
        <f>F33/C10</f>
        <v>#DIV/0!</v>
      </c>
    </row>
    <row r="35" spans="1:5" ht="12.75">
      <c r="A35" s="10" t="s">
        <v>41</v>
      </c>
      <c r="B35" s="14"/>
      <c r="C35" s="14"/>
      <c r="D35" s="15"/>
      <c r="E35" s="33"/>
    </row>
    <row r="36" spans="1:6" ht="12.75">
      <c r="A36" s="82" t="s">
        <v>38</v>
      </c>
      <c r="B36" s="82"/>
      <c r="C36" s="14" t="s">
        <v>15</v>
      </c>
      <c r="D36" s="3">
        <v>1</v>
      </c>
      <c r="E36" s="21" t="e">
        <f>E22+E23+E24+E28</f>
        <v>#DIV/0!</v>
      </c>
      <c r="F36" s="31" t="e">
        <f>D36*E36</f>
        <v>#DIV/0!</v>
      </c>
    </row>
    <row r="37" spans="1:6" ht="18" customHeight="1">
      <c r="A37" s="8" t="s">
        <v>41</v>
      </c>
      <c r="B37" s="1">
        <v>25</v>
      </c>
      <c r="C37" s="5" t="s">
        <v>42</v>
      </c>
      <c r="D37" s="8" t="s">
        <v>43</v>
      </c>
      <c r="E37" s="37">
        <v>50</v>
      </c>
      <c r="F37" s="34">
        <f>B37*E37</f>
        <v>1250</v>
      </c>
    </row>
    <row r="38" ht="12.75"/>
    <row r="39" spans="3:6" ht="18" customHeight="1" thickBot="1">
      <c r="C39" s="35" t="s">
        <v>44</v>
      </c>
      <c r="D39" s="35" t="s">
        <v>45</v>
      </c>
      <c r="E39" s="35"/>
      <c r="F39" s="26" t="e">
        <f>F33+F37</f>
        <v>#DIV/0!</v>
      </c>
    </row>
    <row r="40" spans="3:6" ht="13.5" thickTop="1">
      <c r="C40" s="10"/>
      <c r="D40" s="10"/>
      <c r="E40" s="22" t="s">
        <v>56</v>
      </c>
      <c r="F40" s="36" t="e">
        <f>F39/C10</f>
        <v>#DIV/0!</v>
      </c>
    </row>
    <row r="42" spans="1:6" ht="12.75">
      <c r="A42" s="82" t="s">
        <v>65</v>
      </c>
      <c r="B42" s="82"/>
      <c r="C42" s="82"/>
      <c r="D42" s="82"/>
      <c r="E42" s="82"/>
      <c r="F42" s="82"/>
    </row>
    <row r="43" spans="1:8" ht="12.75">
      <c r="A43" s="90" t="s">
        <v>66</v>
      </c>
      <c r="B43" s="90"/>
      <c r="C43" s="90"/>
      <c r="D43" s="90"/>
      <c r="E43" s="90"/>
      <c r="F43" s="90"/>
      <c r="G43" s="90"/>
      <c r="H43" s="90"/>
    </row>
  </sheetData>
  <sheetProtection password="FE5D" sheet="1" objects="1" scenarios="1"/>
  <mergeCells count="20">
    <mergeCell ref="F10:G10"/>
    <mergeCell ref="A42:F42"/>
    <mergeCell ref="A43:H43"/>
    <mergeCell ref="A36:B36"/>
    <mergeCell ref="A29:B29"/>
    <mergeCell ref="D33:E33"/>
    <mergeCell ref="A23:B23"/>
    <mergeCell ref="A25:B25"/>
    <mergeCell ref="A26:B26"/>
    <mergeCell ref="A27:B27"/>
    <mergeCell ref="H2:I2"/>
    <mergeCell ref="A28:B28"/>
    <mergeCell ref="B4:C4"/>
    <mergeCell ref="B5:C5"/>
    <mergeCell ref="A7:I7"/>
    <mergeCell ref="A22:B22"/>
    <mergeCell ref="A24:B24"/>
    <mergeCell ref="A20:B20"/>
    <mergeCell ref="A21:B21"/>
    <mergeCell ref="G23:H23"/>
  </mergeCells>
  <printOptions/>
  <pageMargins left="0.5" right="0.5" top="0.25" bottom="0.25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sheetProtection password="FE5D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9.140625" style="5" customWidth="1"/>
    <col min="2" max="2" width="12.7109375" style="5" customWidth="1"/>
    <col min="3" max="3" width="9.140625" style="5" customWidth="1"/>
    <col min="4" max="4" width="14.00390625" style="5" customWidth="1"/>
    <col min="5" max="5" width="9.140625" style="5" customWidth="1"/>
    <col min="6" max="6" width="9.8515625" style="5" bestFit="1" customWidth="1"/>
    <col min="7" max="16384" width="9.140625" style="5" customWidth="1"/>
  </cols>
  <sheetData>
    <row r="1" spans="1:8" ht="18" customHeight="1">
      <c r="A1" s="4" t="s">
        <v>50</v>
      </c>
      <c r="H1" s="44">
        <f ca="1">TODAY()</f>
        <v>39349</v>
      </c>
    </row>
    <row r="2" spans="7:9" ht="12.75">
      <c r="G2" s="8" t="s">
        <v>71</v>
      </c>
      <c r="H2" s="93"/>
      <c r="I2" s="93"/>
    </row>
    <row r="3" spans="1:7" ht="12.75">
      <c r="A3" s="6" t="s">
        <v>0</v>
      </c>
      <c r="D3" s="5" t="s">
        <v>86</v>
      </c>
      <c r="E3" s="5" t="s">
        <v>1</v>
      </c>
      <c r="F3" s="7"/>
      <c r="G3" s="7"/>
    </row>
    <row r="4" spans="1:8" ht="18" customHeight="1">
      <c r="A4" s="8" t="s">
        <v>2</v>
      </c>
      <c r="B4" s="86" t="s">
        <v>98</v>
      </c>
      <c r="C4" s="87"/>
      <c r="D4" s="28"/>
      <c r="E4" s="9" t="s">
        <v>89</v>
      </c>
      <c r="F4" s="9"/>
      <c r="G4" s="9"/>
      <c r="H4" s="9"/>
    </row>
    <row r="5" spans="1:8" ht="18" customHeight="1">
      <c r="A5" s="8" t="s">
        <v>4</v>
      </c>
      <c r="B5" s="86"/>
      <c r="C5" s="87"/>
      <c r="D5" s="28"/>
      <c r="E5" s="9" t="s">
        <v>62</v>
      </c>
      <c r="F5" s="9"/>
      <c r="G5" s="9"/>
      <c r="H5" s="9"/>
    </row>
    <row r="6" spans="1:5" ht="12.75">
      <c r="A6" s="5" t="s">
        <v>6</v>
      </c>
      <c r="D6" s="28"/>
      <c r="E6" s="71" t="s">
        <v>90</v>
      </c>
    </row>
    <row r="7" spans="1:9" ht="18" customHeight="1">
      <c r="A7" s="86" t="s">
        <v>101</v>
      </c>
      <c r="B7" s="94"/>
      <c r="C7" s="94"/>
      <c r="D7" s="94"/>
      <c r="E7" s="94"/>
      <c r="F7" s="94"/>
      <c r="G7" s="94"/>
      <c r="H7" s="94"/>
      <c r="I7" s="87"/>
    </row>
    <row r="8" spans="1:5" ht="12.75">
      <c r="A8" s="8"/>
      <c r="E8" s="10"/>
    </row>
    <row r="9" spans="2:5" ht="12.75">
      <c r="B9" s="8" t="s">
        <v>8</v>
      </c>
      <c r="C9" s="28"/>
      <c r="D9" s="5" t="s">
        <v>9</v>
      </c>
      <c r="E9" s="10"/>
    </row>
    <row r="10" spans="2:5" ht="12.75">
      <c r="B10" s="8" t="s">
        <v>10</v>
      </c>
      <c r="C10" s="28"/>
      <c r="D10" s="5" t="s">
        <v>9</v>
      </c>
      <c r="E10" s="10" t="s">
        <v>1</v>
      </c>
    </row>
    <row r="11" spans="2:4" ht="12.75">
      <c r="B11" s="8" t="s">
        <v>51</v>
      </c>
      <c r="C11" s="28"/>
      <c r="D11" s="5" t="s">
        <v>52</v>
      </c>
    </row>
    <row r="12" spans="2:5" ht="13.5" thickBot="1">
      <c r="B12" s="8" t="s">
        <v>14</v>
      </c>
      <c r="C12" s="28"/>
      <c r="D12" s="11">
        <f>(1*D25)+(8*D24)+(6*D26)+(2*D27)+(5*D37)</f>
        <v>99.19999999999999</v>
      </c>
      <c r="E12" s="5" t="s">
        <v>15</v>
      </c>
    </row>
    <row r="13" spans="2:10" ht="13.5" thickBot="1">
      <c r="B13" s="8" t="s">
        <v>16</v>
      </c>
      <c r="C13" s="28"/>
      <c r="D13" s="11">
        <f>(1*D25)+(4*D24)+(2*D26)+(2*D27)+(3*D37)</f>
        <v>58.800000000000004</v>
      </c>
      <c r="E13" s="5" t="s">
        <v>15</v>
      </c>
      <c r="F13" s="84" t="s">
        <v>72</v>
      </c>
      <c r="G13" s="85"/>
      <c r="H13" s="50" t="s">
        <v>67</v>
      </c>
      <c r="I13" s="50" t="s">
        <v>68</v>
      </c>
      <c r="J13" s="51" t="s">
        <v>69</v>
      </c>
    </row>
    <row r="14" spans="1:10" ht="12.75">
      <c r="A14" s="82" t="s">
        <v>61</v>
      </c>
      <c r="B14" s="95"/>
      <c r="C14" s="28"/>
      <c r="D14" s="11">
        <f>(1*D25)+(2*D24)+(1*D26)+(1*D27)+(2*D37)</f>
        <v>38.4</v>
      </c>
      <c r="E14" s="5" t="s">
        <v>15</v>
      </c>
      <c r="F14" s="59" t="s">
        <v>87</v>
      </c>
      <c r="G14" s="69"/>
      <c r="H14" s="70">
        <v>93</v>
      </c>
      <c r="I14" s="70">
        <v>110</v>
      </c>
      <c r="J14" s="58">
        <v>115</v>
      </c>
    </row>
    <row r="15" spans="2:10" ht="12.75">
      <c r="B15" s="8" t="s">
        <v>18</v>
      </c>
      <c r="C15" s="28"/>
      <c r="D15" s="11">
        <f>(1*D25)+(4*D24)+(2*D26)+(2*D27)+(3*D37)</f>
        <v>58.800000000000004</v>
      </c>
      <c r="E15" s="5" t="s">
        <v>15</v>
      </c>
      <c r="F15" s="45" t="s">
        <v>78</v>
      </c>
      <c r="G15" s="46"/>
      <c r="H15" s="53">
        <v>100</v>
      </c>
      <c r="I15" s="53">
        <v>120</v>
      </c>
      <c r="J15" s="54">
        <v>129.5</v>
      </c>
    </row>
    <row r="16" spans="1:10" ht="12.75">
      <c r="A16" s="82"/>
      <c r="B16" s="82"/>
      <c r="F16" s="45" t="s">
        <v>73</v>
      </c>
      <c r="G16" s="46"/>
      <c r="H16" s="53">
        <v>109</v>
      </c>
      <c r="I16" s="53">
        <v>130</v>
      </c>
      <c r="J16" s="54">
        <v>140</v>
      </c>
    </row>
    <row r="17" spans="2:10" ht="12.75">
      <c r="B17" s="8"/>
      <c r="F17" s="45" t="s">
        <v>74</v>
      </c>
      <c r="G17" s="46"/>
      <c r="H17" s="53">
        <v>135</v>
      </c>
      <c r="I17" s="53">
        <v>146</v>
      </c>
      <c r="J17" s="54">
        <v>165</v>
      </c>
    </row>
    <row r="18" spans="2:10" ht="13.5" thickBot="1">
      <c r="B18" s="8"/>
      <c r="F18" s="47" t="s">
        <v>75</v>
      </c>
      <c r="G18" s="48"/>
      <c r="H18" s="48"/>
      <c r="I18" s="48"/>
      <c r="J18" s="49"/>
    </row>
    <row r="19" spans="2:6" ht="12.75">
      <c r="B19" s="4" t="s">
        <v>59</v>
      </c>
      <c r="E19" s="12" t="s">
        <v>19</v>
      </c>
      <c r="F19" s="12"/>
    </row>
    <row r="20" spans="1:6" ht="12.75">
      <c r="A20" s="88" t="s">
        <v>20</v>
      </c>
      <c r="B20" s="88"/>
      <c r="C20" s="13" t="s">
        <v>21</v>
      </c>
      <c r="D20" s="13" t="s">
        <v>22</v>
      </c>
      <c r="E20" s="13" t="s">
        <v>23</v>
      </c>
      <c r="F20" s="13" t="s">
        <v>24</v>
      </c>
    </row>
    <row r="21" spans="1:8" ht="12.75">
      <c r="A21" s="89" t="s">
        <v>47</v>
      </c>
      <c r="B21" s="89"/>
      <c r="C21" s="14" t="s">
        <v>25</v>
      </c>
      <c r="D21" s="3">
        <v>0.05</v>
      </c>
      <c r="E21" s="16">
        <f>((C10*C11)*1.005)+(C12*130)+(C13*65)+(C14*33)+(C15*65)</f>
        <v>0</v>
      </c>
      <c r="F21" s="31">
        <f>D21*E21</f>
        <v>0</v>
      </c>
      <c r="G21" s="32">
        <f>ROUNDUP(E21/330,0)</f>
        <v>0</v>
      </c>
      <c r="H21" s="5" t="s">
        <v>48</v>
      </c>
    </row>
    <row r="22" spans="1:8" ht="12.75">
      <c r="A22" s="89" t="s">
        <v>54</v>
      </c>
      <c r="B22" s="89"/>
      <c r="C22" s="14" t="s">
        <v>25</v>
      </c>
      <c r="D22" s="3">
        <v>0.5</v>
      </c>
      <c r="E22" s="16">
        <f>C10*1.005</f>
        <v>0</v>
      </c>
      <c r="F22" s="31">
        <f>D22*E22</f>
        <v>0</v>
      </c>
      <c r="G22" s="32">
        <f>ROUNDUP(E22/330,0)</f>
        <v>0</v>
      </c>
      <c r="H22" s="5" t="s">
        <v>48</v>
      </c>
    </row>
    <row r="23" spans="1:6" ht="12.75">
      <c r="A23" s="82" t="s">
        <v>29</v>
      </c>
      <c r="B23" s="82"/>
      <c r="C23" s="14" t="s">
        <v>15</v>
      </c>
      <c r="D23" s="3">
        <v>8</v>
      </c>
      <c r="E23" s="20" t="e">
        <f>((C10/C9)/7)-(((0.5*(C13+C14))+((2*C12)+C15)))</f>
        <v>#DIV/0!</v>
      </c>
      <c r="F23" s="31" t="e">
        <f aca="true" t="shared" si="0" ref="F23:F32">D23*E23</f>
        <v>#DIV/0!</v>
      </c>
    </row>
    <row r="24" spans="1:7" ht="12.75">
      <c r="A24" s="82" t="s">
        <v>60</v>
      </c>
      <c r="B24" s="82"/>
      <c r="C24" s="14" t="s">
        <v>15</v>
      </c>
      <c r="D24" s="3">
        <v>9</v>
      </c>
      <c r="E24" s="20">
        <f>(C12*8)+(C13*4)+(C14*2)+(C15*4)</f>
        <v>0</v>
      </c>
      <c r="F24" s="31">
        <f t="shared" si="0"/>
        <v>0</v>
      </c>
      <c r="G24" s="5" t="s">
        <v>30</v>
      </c>
    </row>
    <row r="25" spans="1:7" ht="12.75">
      <c r="A25" s="82" t="s">
        <v>31</v>
      </c>
      <c r="B25" s="82"/>
      <c r="C25" s="14" t="s">
        <v>15</v>
      </c>
      <c r="D25" s="3">
        <v>17</v>
      </c>
      <c r="E25" s="20">
        <f>C12+C13+C14+C15</f>
        <v>0</v>
      </c>
      <c r="F25" s="31">
        <f t="shared" si="0"/>
        <v>0</v>
      </c>
      <c r="G25" s="5" t="s">
        <v>32</v>
      </c>
    </row>
    <row r="26" spans="1:6" ht="12.75">
      <c r="A26" s="82" t="s">
        <v>34</v>
      </c>
      <c r="B26" s="82"/>
      <c r="C26" s="14" t="s">
        <v>15</v>
      </c>
      <c r="D26" s="3">
        <v>0.6</v>
      </c>
      <c r="E26" s="16">
        <f>(C12*6)+(C13*2)+(C14*1)+(C15*2)</f>
        <v>0</v>
      </c>
      <c r="F26" s="31">
        <f t="shared" si="0"/>
        <v>0</v>
      </c>
    </row>
    <row r="27" spans="1:6" ht="12.75">
      <c r="A27" s="82" t="s">
        <v>35</v>
      </c>
      <c r="B27" s="82"/>
      <c r="C27" s="14" t="s">
        <v>15</v>
      </c>
      <c r="D27" s="3">
        <v>0.8</v>
      </c>
      <c r="E27" s="16">
        <f>(C12*2)+(C13*2)+(C14*1)+(C15*2)</f>
        <v>0</v>
      </c>
      <c r="F27" s="31">
        <f t="shared" si="0"/>
        <v>0</v>
      </c>
    </row>
    <row r="28" spans="1:6" ht="12.75">
      <c r="A28" s="82" t="s">
        <v>36</v>
      </c>
      <c r="B28" s="82"/>
      <c r="C28" s="14" t="s">
        <v>37</v>
      </c>
      <c r="D28" s="3">
        <v>1.35</v>
      </c>
      <c r="E28" s="20" t="e">
        <f>((E23+E25)/10)*1.1</f>
        <v>#DIV/0!</v>
      </c>
      <c r="F28" s="31" t="e">
        <f t="shared" si="0"/>
        <v>#DIV/0!</v>
      </c>
    </row>
    <row r="29" spans="1:6" ht="12.75">
      <c r="A29" s="82" t="s">
        <v>49</v>
      </c>
      <c r="B29" s="82"/>
      <c r="C29" s="14" t="s">
        <v>15</v>
      </c>
      <c r="D29" s="3">
        <v>2.59</v>
      </c>
      <c r="E29" s="20" t="e">
        <f>(C10/C9)-((C10/C9)/7)</f>
        <v>#DIV/0!</v>
      </c>
      <c r="F29" s="31" t="e">
        <f t="shared" si="0"/>
        <v>#DIV/0!</v>
      </c>
    </row>
    <row r="30" spans="1:10" ht="12.75">
      <c r="A30" s="82" t="s">
        <v>64</v>
      </c>
      <c r="B30" s="82"/>
      <c r="C30" s="14" t="s">
        <v>25</v>
      </c>
      <c r="D30" s="2">
        <v>0.025</v>
      </c>
      <c r="E30" s="21">
        <f>(C12*130)+(C13*65)+(C14*33)+(C15*65)</f>
        <v>0</v>
      </c>
      <c r="F30" s="31">
        <f t="shared" si="0"/>
        <v>0</v>
      </c>
      <c r="H30"/>
      <c r="I30"/>
      <c r="J30"/>
    </row>
    <row r="31" spans="1:10" ht="12.75">
      <c r="A31" s="14" t="s">
        <v>70</v>
      </c>
      <c r="B31" s="29" t="s">
        <v>99</v>
      </c>
      <c r="C31" s="14" t="s">
        <v>15</v>
      </c>
      <c r="D31" s="40">
        <v>165</v>
      </c>
      <c r="E31" s="42">
        <v>2</v>
      </c>
      <c r="F31" s="31">
        <f t="shared" si="0"/>
        <v>330</v>
      </c>
      <c r="G31" s="5" t="s">
        <v>76</v>
      </c>
      <c r="H31"/>
      <c r="I31"/>
      <c r="J31"/>
    </row>
    <row r="32" spans="1:10" ht="12.75">
      <c r="A32" s="14" t="s">
        <v>70</v>
      </c>
      <c r="B32" s="29"/>
      <c r="C32" s="14" t="s">
        <v>15</v>
      </c>
      <c r="D32" s="40"/>
      <c r="E32" s="42"/>
      <c r="F32" s="31">
        <f t="shared" si="0"/>
        <v>0</v>
      </c>
      <c r="H32"/>
      <c r="I32"/>
      <c r="J32"/>
    </row>
    <row r="33" spans="2:6" ht="12.75">
      <c r="B33" s="14"/>
      <c r="C33" s="14"/>
      <c r="D33" s="15"/>
      <c r="E33" s="21"/>
      <c r="F33" s="17"/>
    </row>
    <row r="34" spans="4:6" ht="18" customHeight="1" thickBot="1">
      <c r="D34" s="10" t="s">
        <v>58</v>
      </c>
      <c r="E34" s="22"/>
      <c r="F34" s="23" t="e">
        <f>SUM(F21:F32)</f>
        <v>#DIV/0!</v>
      </c>
    </row>
    <row r="35" spans="2:6" ht="12.75">
      <c r="B35" s="14"/>
      <c r="C35" s="14"/>
      <c r="D35" s="15"/>
      <c r="E35" s="33" t="s">
        <v>56</v>
      </c>
      <c r="F35" s="25" t="e">
        <f>F34/C10</f>
        <v>#DIV/0!</v>
      </c>
    </row>
    <row r="36" spans="2:5" ht="12.75">
      <c r="B36" s="14"/>
      <c r="C36" s="14"/>
      <c r="D36" s="15"/>
      <c r="E36" s="33"/>
    </row>
    <row r="37" spans="1:6" ht="12.75">
      <c r="A37" s="82" t="s">
        <v>38</v>
      </c>
      <c r="B37" s="82"/>
      <c r="C37" s="14" t="s">
        <v>15</v>
      </c>
      <c r="D37" s="3">
        <v>1</v>
      </c>
      <c r="E37" s="21" t="e">
        <f>E23+E24+E25+E29</f>
        <v>#DIV/0!</v>
      </c>
      <c r="F37" s="31" t="e">
        <f>D37*E37</f>
        <v>#DIV/0!</v>
      </c>
    </row>
    <row r="38" spans="1:6" ht="18" customHeight="1">
      <c r="A38" s="8" t="s">
        <v>41</v>
      </c>
      <c r="B38" s="1">
        <v>25</v>
      </c>
      <c r="C38" s="5" t="s">
        <v>42</v>
      </c>
      <c r="D38" s="8" t="s">
        <v>43</v>
      </c>
      <c r="E38" s="37">
        <v>50</v>
      </c>
      <c r="F38" s="34">
        <f>B38*E38</f>
        <v>1250</v>
      </c>
    </row>
    <row r="39" ht="12.75"/>
    <row r="40" spans="3:6" ht="18" customHeight="1" thickBot="1">
      <c r="C40" s="35" t="s">
        <v>44</v>
      </c>
      <c r="D40" s="35" t="s">
        <v>45</v>
      </c>
      <c r="E40" s="35"/>
      <c r="F40" s="76" t="e">
        <f>F34+F37+F38</f>
        <v>#DIV/0!</v>
      </c>
    </row>
    <row r="41" spans="3:6" ht="13.5" thickTop="1">
      <c r="C41" s="10"/>
      <c r="D41" s="10"/>
      <c r="E41" s="22" t="s">
        <v>56</v>
      </c>
      <c r="F41" s="36" t="e">
        <f>F40/C10</f>
        <v>#DIV/0!</v>
      </c>
    </row>
    <row r="43" ht="12.75">
      <c r="A43" s="5" t="s">
        <v>55</v>
      </c>
    </row>
    <row r="44" ht="12.75">
      <c r="A44" s="5" t="s">
        <v>53</v>
      </c>
    </row>
  </sheetData>
  <sheetProtection password="FE5D" sheet="1" objects="1" scenarios="1"/>
  <mergeCells count="19">
    <mergeCell ref="F13:G13"/>
    <mergeCell ref="A24:B24"/>
    <mergeCell ref="A30:B30"/>
    <mergeCell ref="A21:B21"/>
    <mergeCell ref="A23:B23"/>
    <mergeCell ref="A20:B20"/>
    <mergeCell ref="A14:B14"/>
    <mergeCell ref="A16:B16"/>
    <mergeCell ref="A37:B37"/>
    <mergeCell ref="A29:B29"/>
    <mergeCell ref="A22:B22"/>
    <mergeCell ref="A25:B25"/>
    <mergeCell ref="A26:B26"/>
    <mergeCell ref="A27:B27"/>
    <mergeCell ref="A28:B28"/>
    <mergeCell ref="H2:I2"/>
    <mergeCell ref="B4:C4"/>
    <mergeCell ref="B5:C5"/>
    <mergeCell ref="A7:I7"/>
  </mergeCells>
  <printOptions/>
  <pageMargins left="0.5" right="0.5" top="0.25" bottom="0.25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1">
      <selection activeCell="A1" sqref="A1"/>
    </sheetView>
  </sheetViews>
  <sheetFormatPr defaultColWidth="9.140625" defaultRowHeight="12.75"/>
  <sheetData/>
  <sheetProtection password="FE5D" sheet="1" objects="1" scenarios="1"/>
  <printOptions/>
  <pageMargins left="0.75" right="0.75" top="1" bottom="1" header="0.5" footer="0.5"/>
  <pageSetup orientation="portrait" paperSize="9"/>
  <legacyDrawing r:id="rId2"/>
  <oleObjects>
    <oleObject progId="AcroExch.Document.7" shapeId="152058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diane.pahl</dc:creator>
  <cp:keywords/>
  <dc:description/>
  <cp:lastModifiedBy>betsy.dierberger</cp:lastModifiedBy>
  <cp:lastPrinted>2007-07-03T14:13:01Z</cp:lastPrinted>
  <dcterms:created xsi:type="dcterms:W3CDTF">2002-03-08T15:16:00Z</dcterms:created>
  <dcterms:modified xsi:type="dcterms:W3CDTF">2007-09-24T16:53:21Z</dcterms:modified>
  <cp:category/>
  <cp:version/>
  <cp:contentType/>
  <cp:contentStatus/>
</cp:coreProperties>
</file>