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2120" windowHeight="8520" tabRatio="718" firstSheet="1" activeTab="4"/>
  </bookViews>
  <sheets>
    <sheet name="Water Quality-Water Quantity" sheetId="1" r:id="rId1"/>
    <sheet name="Grazing Lands" sheetId="2" r:id="rId2"/>
    <sheet name=" Soil Erosion" sheetId="3" r:id="rId3"/>
    <sheet name="Wildlife" sheetId="4" r:id="rId4"/>
    <sheet name="Forest Lands" sheetId="5" r:id="rId5"/>
    <sheet name="Sheet1" sheetId="6" state="hidden" r:id="rId6"/>
  </sheets>
  <definedNames>
    <definedName name="_xlnm.Print_Area" localSheetId="2">' Soil Erosion'!$A$1:$S$186</definedName>
    <definedName name="_xlnm.Print_Area" localSheetId="4">'Forest Lands'!$A$1:$S$169</definedName>
    <definedName name="_xlnm.Print_Area" localSheetId="1">'Grazing Lands'!$A$1:$S$151</definedName>
    <definedName name="_xlnm.Print_Area" localSheetId="0">'Water Quality-Water Quantity'!$A$1:$Q$186</definedName>
    <definedName name="_xlnm.Print_Area" localSheetId="3">'Wildlife'!$A$1:$R$122</definedName>
  </definedNames>
  <calcPr fullCalcOnLoad="1"/>
</workbook>
</file>

<file path=xl/comments1.xml><?xml version="1.0" encoding="utf-8"?>
<comments xmlns="http://schemas.openxmlformats.org/spreadsheetml/2006/main">
  <authors>
    <author>Lorenz Sutherland</author>
    <author>USDA-MDIOL00000LG3A</author>
  </authors>
  <commentList>
    <comment ref="C2" authorId="0">
      <text>
        <r>
          <rPr>
            <b/>
            <sz val="8"/>
            <rFont val="Tahoma"/>
            <family val="0"/>
          </rPr>
          <t>Instructions:</t>
        </r>
        <r>
          <rPr>
            <sz val="8"/>
            <rFont val="Tahoma"/>
            <family val="0"/>
          </rPr>
          <t xml:space="preserve">
Click on the box; enter the Producer/Applicant's name.  In the case of a joint contract agreement, enter the designated group name and its agent.</t>
        </r>
      </text>
    </comment>
    <comment ref="L2" authorId="0">
      <text>
        <r>
          <rPr>
            <b/>
            <sz val="8"/>
            <rFont val="Tahoma"/>
            <family val="0"/>
          </rPr>
          <t>Instructions:</t>
        </r>
        <r>
          <rPr>
            <sz val="8"/>
            <rFont val="Tahoma"/>
            <family val="0"/>
          </rPr>
          <t xml:space="preserve">
Click on the box; type tract number.  Repeat as necessary.</t>
        </r>
      </text>
    </comment>
    <comment ref="L3" authorId="0">
      <text>
        <r>
          <rPr>
            <b/>
            <sz val="8"/>
            <rFont val="Tahoma"/>
            <family val="0"/>
          </rPr>
          <t>Instructions:</t>
        </r>
        <r>
          <rPr>
            <sz val="8"/>
            <rFont val="Tahoma"/>
            <family val="0"/>
          </rPr>
          <t xml:space="preserve">
Click on the box; enter the farm number.  In the case of a cooperative or expanded EQIP contract, enter the subsequent farm numbers of the participants using the blanks to the right.</t>
        </r>
      </text>
    </comment>
    <comment ref="F9" authorId="0">
      <text>
        <r>
          <rPr>
            <b/>
            <sz val="8"/>
            <rFont val="Tahoma"/>
            <family val="0"/>
          </rPr>
          <t>Instructions:</t>
        </r>
        <r>
          <rPr>
            <sz val="8"/>
            <rFont val="Tahoma"/>
            <family val="0"/>
          </rPr>
          <t xml:space="preserve">
Clcik on the green box and enter the acreage that is being offered.</t>
        </r>
      </text>
    </comment>
    <comment ref="C10" authorId="0">
      <text>
        <r>
          <rPr>
            <b/>
            <sz val="8"/>
            <rFont val="Tahoma"/>
            <family val="0"/>
          </rPr>
          <t>Instructions:</t>
        </r>
        <r>
          <rPr>
            <sz val="8"/>
            <rFont val="Tahoma"/>
            <family val="0"/>
          </rPr>
          <t xml:space="preserve">
REQUIRED ENTRY-Click on the box; click on the down arrow and select your name from the list.</t>
        </r>
      </text>
    </comment>
    <comment ref="K9" authorId="0">
      <text>
        <r>
          <rPr>
            <b/>
            <sz val="8"/>
            <rFont val="Tahoma"/>
            <family val="0"/>
          </rPr>
          <t>Instructions:</t>
        </r>
        <r>
          <rPr>
            <sz val="8"/>
            <rFont val="Tahoma"/>
            <family val="0"/>
          </rPr>
          <t xml:space="preserve">
REQUIRED ENTRY-Click on the box; enter the total federal contribution in dollars, no commas.  Includes both cost-share and incentive payments.</t>
        </r>
      </text>
    </comment>
    <comment ref="F82" authorId="0">
      <text>
        <r>
          <rPr>
            <b/>
            <sz val="8"/>
            <rFont val="Tahoma"/>
            <family val="0"/>
          </rPr>
          <t>Instructions:</t>
        </r>
        <r>
          <rPr>
            <sz val="8"/>
            <rFont val="Tahoma"/>
            <family val="0"/>
          </rPr>
          <t xml:space="preserve">
Click on the green box and enter the benchmark (before condition) gross system efficiency for the offered farm fields using FIRS.  This number comes from the FIRS farm summary sheet.</t>
        </r>
      </text>
    </comment>
    <comment ref="F83" authorId="0">
      <text>
        <r>
          <rPr>
            <b/>
            <sz val="8"/>
            <rFont val="Tahoma"/>
            <family val="0"/>
          </rPr>
          <t>Instructions:</t>
        </r>
        <r>
          <rPr>
            <sz val="8"/>
            <rFont val="Tahoma"/>
            <family val="0"/>
          </rPr>
          <t xml:space="preserve">
Click on the green box and enter the planned (after treatment condition) gross system efficiency of the offered farm fields using FIRS.  This number comes from the FIRS farm summary sheet.</t>
        </r>
      </text>
    </comment>
    <comment ref="F95" authorId="0">
      <text>
        <r>
          <rPr>
            <b/>
            <sz val="8"/>
            <rFont val="Tahoma"/>
            <family val="0"/>
          </rPr>
          <t>Instructions:</t>
        </r>
        <r>
          <rPr>
            <sz val="8"/>
            <rFont val="Tahoma"/>
            <family val="0"/>
          </rPr>
          <t xml:space="preserve">
Enter the number of acres of planned nutrient management.  This number can be less than the application's offered acres.</t>
        </r>
      </text>
    </comment>
    <comment ref="F106" authorId="0">
      <text>
        <r>
          <rPr>
            <b/>
            <sz val="8"/>
            <rFont val="Tahoma"/>
            <family val="0"/>
          </rPr>
          <t>Instructions:</t>
        </r>
        <r>
          <rPr>
            <sz val="8"/>
            <rFont val="Tahoma"/>
            <family val="0"/>
          </rPr>
          <t xml:space="preserve">
Click on the box; enter the number of acres planned to be converted to a permanent vegetative cover.</t>
        </r>
      </text>
    </comment>
    <comment ref="F115" authorId="0">
      <text>
        <r>
          <rPr>
            <b/>
            <sz val="8"/>
            <rFont val="Tahoma"/>
            <family val="0"/>
          </rPr>
          <t>Instructions:</t>
        </r>
        <r>
          <rPr>
            <sz val="8"/>
            <rFont val="Tahoma"/>
            <family val="0"/>
          </rPr>
          <t xml:space="preserve">
Click on the box and enter the benchmark value (before treatment condition) for the irrigation-induced erosion index.</t>
        </r>
      </text>
    </comment>
    <comment ref="F117" authorId="0">
      <text>
        <r>
          <rPr>
            <b/>
            <sz val="8"/>
            <rFont val="Tahoma"/>
            <family val="0"/>
          </rPr>
          <t>Instructions:</t>
        </r>
        <r>
          <rPr>
            <sz val="8"/>
            <rFont val="Tahoma"/>
            <family val="0"/>
          </rPr>
          <t xml:space="preserve">
Click on the box and enter the planned (after treatment condition) value for the irrigation-induced erosion index.</t>
        </r>
      </text>
    </comment>
    <comment ref="G25" authorId="0">
      <text>
        <r>
          <rPr>
            <b/>
            <sz val="8"/>
            <rFont val="Tahoma"/>
            <family val="0"/>
          </rPr>
          <t>Instructions:</t>
        </r>
        <r>
          <rPr>
            <sz val="8"/>
            <rFont val="Tahoma"/>
            <family val="0"/>
          </rPr>
          <t xml:space="preserve">
Click on the box and select the name of the Arkansas River basin Water Division  from the pull-down list.  If the drainage district is NOT one of the original 29 select "Not Applicable" from the list.</t>
        </r>
      </text>
    </comment>
    <comment ref="P13" authorId="0">
      <text>
        <r>
          <rPr>
            <b/>
            <sz val="8"/>
            <rFont val="Tahoma"/>
            <family val="0"/>
          </rPr>
          <t xml:space="preserve">Instructions:
</t>
        </r>
        <r>
          <rPr>
            <sz val="8"/>
            <rFont val="Tahoma"/>
            <family val="2"/>
          </rPr>
          <t>Click on the box and pick the correct response from the pull-down list.</t>
        </r>
        <r>
          <rPr>
            <sz val="8"/>
            <rFont val="Tahoma"/>
            <family val="0"/>
          </rPr>
          <t xml:space="preserve">
</t>
        </r>
      </text>
    </comment>
    <comment ref="C8" authorId="0">
      <text>
        <r>
          <rPr>
            <b/>
            <sz val="8"/>
            <rFont val="Tahoma"/>
            <family val="0"/>
          </rPr>
          <t>Instruction::</t>
        </r>
        <r>
          <rPr>
            <sz val="8"/>
            <rFont val="Tahoma"/>
            <family val="0"/>
          </rPr>
          <t xml:space="preserve">
Click on the green box.  Then click on the down-arrow and selection your location from the pull-down list.</t>
        </r>
      </text>
    </comment>
    <comment ref="C5" authorId="0">
      <text>
        <r>
          <rPr>
            <b/>
            <sz val="8"/>
            <rFont val="Tahoma"/>
            <family val="0"/>
          </rPr>
          <t>Instructions:</t>
        </r>
        <r>
          <rPr>
            <sz val="8"/>
            <rFont val="Tahoma"/>
            <family val="0"/>
          </rPr>
          <t xml:space="preserve">
Click on the green box.  Then click on the down-arrow and select the kind of entity or joint operation from the pull-down list.</t>
        </r>
      </text>
    </comment>
    <comment ref="N6" authorId="0">
      <text>
        <r>
          <rPr>
            <b/>
            <sz val="8"/>
            <rFont val="Tahoma"/>
            <family val="0"/>
          </rPr>
          <t>Instructions:</t>
        </r>
        <r>
          <rPr>
            <sz val="8"/>
            <rFont val="Tahoma"/>
            <family val="0"/>
          </rPr>
          <t xml:space="preserve">
Click on the green box.  Enter the number of entities in the irrigation lateral group.  Otherwise, enter a 0.</t>
        </r>
      </text>
    </comment>
    <comment ref="Q6" authorId="0">
      <text>
        <r>
          <rPr>
            <b/>
            <sz val="8"/>
            <rFont val="Tahoma"/>
            <family val="0"/>
          </rPr>
          <t>Instructions:</t>
        </r>
        <r>
          <rPr>
            <sz val="8"/>
            <rFont val="Tahoma"/>
            <family val="0"/>
          </rPr>
          <t xml:space="preserve">
Click on the green box.  If this is application represents a lateral group, enter the proportion of shares, expressed as a percent, that is held by the represented entities.  Otherwise, enter 0.</t>
        </r>
      </text>
    </comment>
    <comment ref="O8" authorId="0">
      <text>
        <r>
          <rPr>
            <b/>
            <sz val="8"/>
            <rFont val="Tahoma"/>
            <family val="0"/>
          </rPr>
          <t>Instructions:</t>
        </r>
        <r>
          <rPr>
            <sz val="8"/>
            <rFont val="Tahoma"/>
            <family val="0"/>
          </rPr>
          <t xml:space="preserve">
Click on the green box.  If this a joint agreement other than a drainage district or lateral group enter the number of entities in the group.  Otherwise enter a 0.</t>
        </r>
      </text>
    </comment>
    <comment ref="G162"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G163" authorId="0">
      <text>
        <r>
          <rPr>
            <b/>
            <sz val="8"/>
            <rFont val="Tahoma"/>
            <family val="0"/>
          </rPr>
          <t>Instructions:</t>
        </r>
        <r>
          <rPr>
            <sz val="8"/>
            <rFont val="Tahoma"/>
            <family val="0"/>
          </rPr>
          <t xml:space="preserve">
Click on the green box.  Then enter the number of riparian acres that will be improved.</t>
        </r>
      </text>
    </comment>
    <comment ref="D181" authorId="0">
      <text>
        <r>
          <rPr>
            <b/>
            <sz val="8"/>
            <rFont val="Tahoma"/>
            <family val="0"/>
          </rPr>
          <t>Instructions:</t>
        </r>
        <r>
          <rPr>
            <sz val="8"/>
            <rFont val="Tahoma"/>
            <family val="0"/>
          </rPr>
          <t xml:space="preserve">
Click on the green box.  Then click on the down-arrow and select the reviewing wildlife partner from the pull-down list.</t>
        </r>
      </text>
    </comment>
    <comment ref="G123" authorId="0">
      <text>
        <r>
          <rPr>
            <b/>
            <sz val="8"/>
            <rFont val="Tahoma"/>
            <family val="0"/>
          </rPr>
          <t>Instructions:</t>
        </r>
        <r>
          <rPr>
            <sz val="8"/>
            <rFont val="Tahoma"/>
            <family val="0"/>
          </rPr>
          <t xml:space="preserve">
Click on the green box and enter the number of acres of polyacrylamide application.</t>
        </r>
      </text>
    </comment>
    <comment ref="P14" authorId="1">
      <text>
        <r>
          <rPr>
            <b/>
            <sz val="8"/>
            <rFont val="Tahoma"/>
            <family val="0"/>
          </rPr>
          <t>Instructions:</t>
        </r>
        <r>
          <rPr>
            <sz val="8"/>
            <rFont val="Tahoma"/>
            <family val="0"/>
          </rPr>
          <t xml:space="preserve">
Click on the green box and pick the correct response from the pull-down list.</t>
        </r>
      </text>
    </comment>
    <comment ref="P16" authorId="1">
      <text>
        <r>
          <rPr>
            <b/>
            <sz val="8"/>
            <rFont val="Tahoma"/>
            <family val="0"/>
          </rPr>
          <t>Instructions:</t>
        </r>
        <r>
          <rPr>
            <sz val="8"/>
            <rFont val="Tahoma"/>
            <family val="0"/>
          </rPr>
          <t xml:space="preserve">
Click on the green box and pick the correct response from the pull-down list.
EXAMPLE:  If an applicant is considering the replacement of an existing concrete lined ditch with another concrete lined ditch, the answer to this question would be "no."</t>
        </r>
      </text>
    </comment>
    <comment ref="H60"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List>
</comments>
</file>

<file path=xl/comments2.xml><?xml version="1.0" encoding="utf-8"?>
<comments xmlns="http://schemas.openxmlformats.org/spreadsheetml/2006/main">
  <authors>
    <author>Lorenz Sutherland</author>
  </authors>
  <commentList>
    <comment ref="N2" authorId="0">
      <text>
        <r>
          <rPr>
            <b/>
            <sz val="8"/>
            <rFont val="Tahoma"/>
            <family val="2"/>
          </rPr>
          <t>Instructions:</t>
        </r>
        <r>
          <rPr>
            <sz val="8"/>
            <rFont val="Tahoma"/>
            <family val="0"/>
          </rPr>
          <t xml:space="preserve">
Click on the box; type tract number.  Repeat as necessary.</t>
        </r>
      </text>
    </comment>
    <comment ref="N4"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N7" authorId="0">
      <text>
        <r>
          <rPr>
            <b/>
            <sz val="8"/>
            <rFont val="Tahoma"/>
            <family val="2"/>
          </rPr>
          <t>Instructions:</t>
        </r>
        <r>
          <rPr>
            <sz val="8"/>
            <rFont val="Tahoma"/>
            <family val="0"/>
          </rPr>
          <t xml:space="preserve">
REQUIRED ENTRY-Click on the box; enter the total federal contribution in dollars, no commas.  Includes both cost-share and incentive payments.</t>
        </r>
      </text>
    </comment>
    <comment ref="F51" authorId="0">
      <text>
        <r>
          <rPr>
            <b/>
            <sz val="8"/>
            <rFont val="Tahoma"/>
            <family val="0"/>
          </rPr>
          <t>Instructions:</t>
        </r>
        <r>
          <rPr>
            <sz val="8"/>
            <rFont val="Tahoma"/>
            <family val="0"/>
          </rPr>
          <t xml:space="preserve">
Click on the green box and enter the existing condition range similarity index for the largest 5 fields.  Use the additional cells as needed.</t>
        </r>
      </text>
    </comment>
    <comment ref="I63" authorId="0">
      <text>
        <r>
          <rPr>
            <b/>
            <sz val="8"/>
            <rFont val="Tahoma"/>
            <family val="2"/>
          </rPr>
          <t>Instructions:</t>
        </r>
        <r>
          <rPr>
            <sz val="8"/>
            <rFont val="Tahoma"/>
            <family val="0"/>
          </rPr>
          <t xml:space="preserve">
Click on the green box and enter the potential pasture productivity.  Values are expressed in pounds per acre.  Use the additional cells as needed to account for different site conditions on the offered acres.
</t>
        </r>
      </text>
    </comment>
    <comment ref="F63" authorId="0">
      <text>
        <r>
          <rPr>
            <b/>
            <sz val="8"/>
            <rFont val="Tahoma"/>
            <family val="0"/>
          </rPr>
          <t>Instructions:</t>
        </r>
        <r>
          <rPr>
            <sz val="8"/>
            <rFont val="Tahoma"/>
            <family val="0"/>
          </rPr>
          <t xml:space="preserve">
Click on the green box and enter the current pasture productivity.  Values are expressed in pounds per acre.  Use the additional cells as needed to account for different site conditions on the offered acres.</t>
        </r>
      </text>
    </comment>
    <comment ref="K63" authorId="0">
      <text>
        <r>
          <rPr>
            <b/>
            <sz val="8"/>
            <rFont val="Tahoma"/>
            <family val="0"/>
          </rPr>
          <t xml:space="preserve">Instructions:
</t>
        </r>
        <r>
          <rPr>
            <sz val="8"/>
            <rFont val="Tahoma"/>
            <family val="2"/>
          </rPr>
          <t>Click on the green box.  Enter the number of acres with this current and potential productivity.  Use the additional cells as needed.</t>
        </r>
        <r>
          <rPr>
            <sz val="8"/>
            <rFont val="Tahoma"/>
            <family val="0"/>
          </rPr>
          <t xml:space="preserve">
</t>
        </r>
      </text>
    </comment>
    <comment ref="S5" authorId="0">
      <text>
        <r>
          <rPr>
            <b/>
            <sz val="8"/>
            <rFont val="Tahoma"/>
            <family val="0"/>
          </rPr>
          <t>Instructions:</t>
        </r>
        <r>
          <rPr>
            <sz val="8"/>
            <rFont val="Tahoma"/>
            <family val="0"/>
          </rPr>
          <t xml:space="preserve">
If this is a joint/cooperative agreement application, click on the green box and enter the number of entities that will be involved.</t>
        </r>
      </text>
    </comment>
    <comment ref="I102" authorId="0">
      <text>
        <r>
          <rPr>
            <b/>
            <sz val="8"/>
            <rFont val="Tahoma"/>
            <family val="0"/>
          </rPr>
          <t>Instructions:</t>
        </r>
        <r>
          <rPr>
            <sz val="8"/>
            <rFont val="Tahoma"/>
            <family val="0"/>
          </rPr>
          <t xml:space="preserve">
Click on the green box and enter the percent of the entire grazing unit or ranch that will have the improved grazing system implemented during this contract period.</t>
        </r>
      </text>
    </comment>
    <comment ref="I51" authorId="0">
      <text>
        <r>
          <rPr>
            <b/>
            <sz val="8"/>
            <rFont val="Tahoma"/>
            <family val="0"/>
          </rPr>
          <t>Instructions:</t>
        </r>
        <r>
          <rPr>
            <sz val="8"/>
            <rFont val="Tahoma"/>
            <family val="0"/>
          </rPr>
          <t xml:space="preserve">
Click on the green box and enter the acres with the corresponding Similarity Index.  Use additional boxes as needed.</t>
        </r>
      </text>
    </comment>
    <comment ref="C2" authorId="0">
      <text>
        <r>
          <rPr>
            <b/>
            <sz val="8"/>
            <rFont val="Tahoma"/>
            <family val="0"/>
          </rPr>
          <t xml:space="preserve">Instructions:
</t>
        </r>
        <r>
          <rPr>
            <sz val="8"/>
            <rFont val="Tahoma"/>
            <family val="2"/>
          </rPr>
          <t>Click on the green box and enter the name of the applicant exactly as it appears on the CCC-1200.  In the case of a joint contract agreement, enter the designated group name and its agent.</t>
        </r>
        <r>
          <rPr>
            <sz val="8"/>
            <rFont val="Tahoma"/>
            <family val="0"/>
          </rPr>
          <t xml:space="preserve">
</t>
        </r>
      </text>
    </comment>
    <comment ref="I128"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I129" authorId="0">
      <text>
        <r>
          <rPr>
            <b/>
            <sz val="8"/>
            <rFont val="Tahoma"/>
            <family val="0"/>
          </rPr>
          <t>Instructions:</t>
        </r>
        <r>
          <rPr>
            <sz val="8"/>
            <rFont val="Tahoma"/>
            <family val="0"/>
          </rPr>
          <t xml:space="preserve">
Click on the green box.  Then enter the number of riparian acres that will be improved.</t>
        </r>
      </text>
    </comment>
    <comment ref="N49" authorId="0">
      <text>
        <r>
          <rPr>
            <b/>
            <sz val="8"/>
            <rFont val="Tahoma"/>
            <family val="0"/>
          </rPr>
          <t>Instructions:</t>
        </r>
        <r>
          <rPr>
            <sz val="8"/>
            <rFont val="Tahoma"/>
            <family val="0"/>
          </rPr>
          <t xml:space="preserve">
Click on the green box. Enter the number of rangeland acres to be improved.  This number can be equal to, less than, but not greater than the rangeland acres entered in Part I.</t>
        </r>
      </text>
    </comment>
    <comment ref="O61" authorId="0">
      <text>
        <r>
          <rPr>
            <b/>
            <sz val="8"/>
            <rFont val="Tahoma"/>
            <family val="0"/>
          </rPr>
          <t>Instructions:</t>
        </r>
        <r>
          <rPr>
            <sz val="8"/>
            <rFont val="Tahoma"/>
            <family val="0"/>
          </rPr>
          <t xml:space="preserve">
Click on the green box.  Enter the number of pasture acres to be improved.  This number can be equal to, less than, but not greater than the number of pasture acres entered in Part I.</t>
        </r>
      </text>
    </comment>
    <comment ref="C5" authorId="0">
      <text>
        <r>
          <rPr>
            <b/>
            <sz val="8"/>
            <rFont val="Tahoma"/>
            <family val="0"/>
          </rPr>
          <t>Instructions:</t>
        </r>
        <r>
          <rPr>
            <sz val="8"/>
            <rFont val="Tahoma"/>
            <family val="0"/>
          </rPr>
          <t xml:space="preserve">
Click on the green box.  Click on the down-arrow and select type of entity from the pull-down list.</t>
        </r>
      </text>
    </comment>
    <comment ref="C6" authorId="0">
      <text>
        <r>
          <rPr>
            <b/>
            <sz val="8"/>
            <rFont val="Tahoma"/>
            <family val="0"/>
          </rPr>
          <t>Instructions:</t>
        </r>
        <r>
          <rPr>
            <sz val="8"/>
            <rFont val="Tahoma"/>
            <family val="0"/>
          </rPr>
          <t xml:space="preserve">
Click on the green box.  Enter the number of pastureland acres associated with this applications.  If none, enter 0.</t>
        </r>
      </text>
    </comment>
    <comment ref="H6" authorId="0">
      <text>
        <r>
          <rPr>
            <b/>
            <sz val="8"/>
            <rFont val="Tahoma"/>
            <family val="0"/>
          </rPr>
          <t>Instructions:</t>
        </r>
        <r>
          <rPr>
            <sz val="8"/>
            <rFont val="Tahoma"/>
            <family val="0"/>
          </rPr>
          <t xml:space="preserve">
Click on the green box.  Enter the number of rangeland acres associated with this application.  If none, enter 0.</t>
        </r>
      </text>
    </comment>
    <comment ref="C7" authorId="0">
      <text>
        <r>
          <rPr>
            <b/>
            <sz val="8"/>
            <rFont val="Tahoma"/>
            <family val="0"/>
          </rPr>
          <t>Instructions:</t>
        </r>
        <r>
          <rPr>
            <sz val="8"/>
            <rFont val="Tahoma"/>
            <family val="0"/>
          </rPr>
          <t xml:space="preserve">
Click on the green box.  Then click on the down-arrow and select your location from the pull-down list.</t>
        </r>
      </text>
    </comment>
    <comment ref="C8" authorId="0">
      <text>
        <r>
          <rPr>
            <b/>
            <sz val="8"/>
            <rFont val="Tahoma"/>
            <family val="0"/>
          </rPr>
          <t>Instructions:</t>
        </r>
        <r>
          <rPr>
            <sz val="8"/>
            <rFont val="Tahoma"/>
            <family val="0"/>
          </rPr>
          <t xml:space="preserve">
Click on the green box.  Then click on the down-arrow and selct your name from the pull-down list.</t>
        </r>
      </text>
    </comment>
    <comment ref="E146"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R11" authorId="0">
      <text>
        <r>
          <rPr>
            <b/>
            <sz val="8"/>
            <rFont val="Tahoma"/>
            <family val="2"/>
          </rPr>
          <t>Instructions:</t>
        </r>
        <r>
          <rPr>
            <sz val="8"/>
            <rFont val="Tahoma"/>
            <family val="0"/>
          </rPr>
          <t xml:space="preserve">
Click on the box and pick the correct response from the list.
</t>
        </r>
      </text>
    </comment>
    <comment ref="R12" authorId="0">
      <text>
        <r>
          <rPr>
            <b/>
            <sz val="8"/>
            <rFont val="Tahoma"/>
            <family val="2"/>
          </rPr>
          <t>Instructions:</t>
        </r>
        <r>
          <rPr>
            <sz val="8"/>
            <rFont val="Tahoma"/>
            <family val="0"/>
          </rPr>
          <t xml:space="preserve">
Click on the box and pick the correct response from the list.
</t>
        </r>
      </text>
    </comment>
    <comment ref="R13" authorId="0">
      <text>
        <r>
          <rPr>
            <b/>
            <sz val="8"/>
            <rFont val="Tahoma"/>
            <family val="2"/>
          </rPr>
          <t>Instructions:</t>
        </r>
        <r>
          <rPr>
            <sz val="8"/>
            <rFont val="Tahoma"/>
            <family val="0"/>
          </rPr>
          <t xml:space="preserve">
Click on the box and pick the correct response from the list.
</t>
        </r>
      </text>
    </comment>
    <comment ref="R15" authorId="0">
      <text>
        <r>
          <rPr>
            <b/>
            <sz val="8"/>
            <rFont val="Tahoma"/>
            <family val="2"/>
          </rPr>
          <t>Instructions:</t>
        </r>
        <r>
          <rPr>
            <sz val="8"/>
            <rFont val="Tahoma"/>
            <family val="0"/>
          </rPr>
          <t xml:space="preserve">
Click on the box and pick the correct response from the list.
</t>
        </r>
      </text>
    </comment>
    <comment ref="M35"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G108" authorId="0">
      <text>
        <r>
          <rPr>
            <b/>
            <sz val="8"/>
            <rFont val="Tahoma"/>
            <family val="0"/>
          </rPr>
          <t>Instructions:</t>
        </r>
        <r>
          <rPr>
            <sz val="8"/>
            <rFont val="Tahoma"/>
            <family val="0"/>
          </rPr>
          <t xml:space="preserve">
Click on the green box.  Then enter the number of acres to be seeded.</t>
        </r>
      </text>
    </comment>
    <comment ref="G113" authorId="0">
      <text>
        <r>
          <rPr>
            <b/>
            <sz val="8"/>
            <rFont val="Tahoma"/>
            <family val="0"/>
          </rPr>
          <t>Instructions:</t>
        </r>
        <r>
          <rPr>
            <sz val="8"/>
            <rFont val="Tahoma"/>
            <family val="0"/>
          </rPr>
          <t xml:space="preserve">
Click on the green box.  Then enter the number of brush management.</t>
        </r>
      </text>
    </comment>
    <comment ref="G116" authorId="0">
      <text>
        <r>
          <rPr>
            <b/>
            <sz val="8"/>
            <rFont val="Tahoma"/>
            <family val="0"/>
          </rPr>
          <t>Instructions:</t>
        </r>
        <r>
          <rPr>
            <sz val="8"/>
            <rFont val="Tahoma"/>
            <family val="0"/>
          </rPr>
          <t xml:space="preserve">
Click on the green box.  Then enter the number of forested acres to be improved.</t>
        </r>
      </text>
    </comment>
    <comment ref="O113" authorId="0">
      <text>
        <r>
          <rPr>
            <b/>
            <sz val="8"/>
            <rFont val="Tahoma"/>
            <family val="0"/>
          </rPr>
          <t>Instructions:</t>
        </r>
        <r>
          <rPr>
            <sz val="8"/>
            <rFont val="Tahoma"/>
            <family val="0"/>
          </rPr>
          <t xml:space="preserve">
Click on the green box.  Then enter the number of acres.</t>
        </r>
      </text>
    </comment>
    <comment ref="O116" authorId="0">
      <text>
        <r>
          <rPr>
            <b/>
            <sz val="8"/>
            <rFont val="Tahoma"/>
            <family val="0"/>
          </rPr>
          <t>Instructions:</t>
        </r>
        <r>
          <rPr>
            <sz val="8"/>
            <rFont val="Tahoma"/>
            <family val="0"/>
          </rPr>
          <t xml:space="preserve">
Click on the green box.  Then enter the number of acres.</t>
        </r>
      </text>
    </comment>
  </commentList>
</comments>
</file>

<file path=xl/comments3.xml><?xml version="1.0" encoding="utf-8"?>
<comments xmlns="http://schemas.openxmlformats.org/spreadsheetml/2006/main">
  <authors>
    <author>Lorenz Sutherland</author>
  </authors>
  <commentList>
    <comment ref="F95" authorId="0">
      <text>
        <r>
          <rPr>
            <b/>
            <sz val="8"/>
            <rFont val="Tahoma"/>
            <family val="0"/>
          </rPr>
          <t xml:space="preserve">Instructions:
</t>
        </r>
        <r>
          <rPr>
            <sz val="8"/>
            <rFont val="Tahoma"/>
            <family val="2"/>
          </rPr>
          <t>Click on the green box</t>
        </r>
        <r>
          <rPr>
            <b/>
            <sz val="8"/>
            <rFont val="Tahoma"/>
            <family val="0"/>
          </rPr>
          <t xml:space="preserve"> </t>
        </r>
        <r>
          <rPr>
            <sz val="8"/>
            <rFont val="Tahoma"/>
            <family val="2"/>
          </rPr>
          <t>and if at least one summer annual grass crop is added to the rotation, click on the down arrow and pick "yes" from the choice list.</t>
        </r>
        <r>
          <rPr>
            <sz val="8"/>
            <rFont val="Tahoma"/>
            <family val="0"/>
          </rPr>
          <t xml:space="preserve">
</t>
        </r>
      </text>
    </comment>
    <comment ref="F96" authorId="0">
      <text>
        <r>
          <rPr>
            <b/>
            <sz val="8"/>
            <rFont val="Tahoma"/>
            <family val="0"/>
          </rPr>
          <t>Instructions:</t>
        </r>
        <r>
          <rPr>
            <sz val="8"/>
            <rFont val="Tahoma"/>
            <family val="0"/>
          </rPr>
          <t xml:space="preserve">
Click on the green box and if at least one summer broadleaf type of crop is added to the rotation, click on the down arrow and pick "yes" from the choice list.</t>
        </r>
      </text>
    </comment>
    <comment ref="H95" authorId="0">
      <text>
        <r>
          <rPr>
            <b/>
            <sz val="8"/>
            <rFont val="Tahoma"/>
            <family val="0"/>
          </rPr>
          <t>Instructions:</t>
        </r>
        <r>
          <rPr>
            <sz val="8"/>
            <rFont val="Tahoma"/>
            <family val="0"/>
          </rPr>
          <t xml:space="preserve">
Click on the green box then, click on the down arrow and pick the number of summer annual grass type crops added to the rotation.</t>
        </r>
      </text>
    </comment>
    <comment ref="F98" authorId="0">
      <text>
        <r>
          <rPr>
            <b/>
            <sz val="8"/>
            <rFont val="Tahoma"/>
            <family val="2"/>
          </rPr>
          <t>Instructions:</t>
        </r>
        <r>
          <rPr>
            <sz val="8"/>
            <rFont val="Tahoma"/>
            <family val="0"/>
          </rPr>
          <t xml:space="preserve">
Click on the green box and if at least one winter annual grass type of crop is added to the rotation, click on the down arrow and pick "yes" from the choice list.</t>
        </r>
      </text>
    </comment>
    <comment ref="F99" authorId="0">
      <text>
        <r>
          <rPr>
            <b/>
            <sz val="8"/>
            <rFont val="Tahoma"/>
            <family val="0"/>
          </rPr>
          <t>Instructions:</t>
        </r>
        <r>
          <rPr>
            <sz val="8"/>
            <rFont val="Tahoma"/>
            <family val="0"/>
          </rPr>
          <t xml:space="preserve">
Click on the green box and if at least one winter annual broadleaf type of crop is added to the rotation, click on the down arrow and pick "yes" from the choice list.</t>
        </r>
      </text>
    </comment>
    <comment ref="H96" authorId="0">
      <text>
        <r>
          <rPr>
            <b/>
            <sz val="8"/>
            <rFont val="Tahoma"/>
            <family val="2"/>
          </rPr>
          <t>Instructions:</t>
        </r>
        <r>
          <rPr>
            <sz val="8"/>
            <rFont val="Tahoma"/>
            <family val="0"/>
          </rPr>
          <t xml:space="preserve">
Click on the green box then, click on the down arrow and pick the number of summer annual broadleaf type of crops added to the rotation.</t>
        </r>
      </text>
    </comment>
    <comment ref="N2" authorId="0">
      <text>
        <r>
          <rPr>
            <b/>
            <sz val="8"/>
            <rFont val="Tahoma"/>
            <family val="2"/>
          </rPr>
          <t>Instructions:</t>
        </r>
        <r>
          <rPr>
            <sz val="8"/>
            <rFont val="Tahoma"/>
            <family val="0"/>
          </rPr>
          <t xml:space="preserve">
Click on the box; type tract number.  Repeat as necessary.</t>
        </r>
      </text>
    </comment>
    <comment ref="N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Q4" authorId="0">
      <text>
        <r>
          <rPr>
            <b/>
            <sz val="8"/>
            <rFont val="Tahoma"/>
            <family val="2"/>
          </rPr>
          <t>Instructions:</t>
        </r>
        <r>
          <rPr>
            <sz val="8"/>
            <rFont val="Tahoma"/>
            <family val="0"/>
          </rPr>
          <t xml:space="preserve">
REQUIRED ENTRY-Enter the acreage that is being offered.</t>
        </r>
      </text>
    </comment>
    <comment ref="F54" authorId="0">
      <text>
        <r>
          <rPr>
            <b/>
            <sz val="8"/>
            <rFont val="Tahoma"/>
            <family val="0"/>
          </rPr>
          <t>Instructions:</t>
        </r>
        <r>
          <rPr>
            <sz val="8"/>
            <rFont val="Tahoma"/>
            <family val="0"/>
          </rPr>
          <t xml:space="preserve">
Click on the green box and enter the estimated erosion rate of the existing (benchmark) condition.</t>
        </r>
      </text>
    </comment>
    <comment ref="F55" authorId="0">
      <text>
        <r>
          <rPr>
            <b/>
            <sz val="8"/>
            <rFont val="Tahoma"/>
            <family val="2"/>
          </rPr>
          <t>Instructions:</t>
        </r>
        <r>
          <rPr>
            <sz val="8"/>
            <rFont val="Tahoma"/>
            <family val="0"/>
          </rPr>
          <t xml:space="preserve">
Click on the green box and enter the estimated erosion rate of the planned condition.</t>
        </r>
      </text>
    </comment>
    <comment ref="F65" authorId="0">
      <text>
        <r>
          <rPr>
            <b/>
            <sz val="8"/>
            <rFont val="Tahoma"/>
            <family val="2"/>
          </rPr>
          <t>Instructions:</t>
        </r>
        <r>
          <rPr>
            <sz val="8"/>
            <rFont val="Tahoma"/>
            <family val="0"/>
          </rPr>
          <t xml:space="preserve">
Click on the green box and enter the estimated erosion rate of the existing condition.</t>
        </r>
      </text>
    </comment>
    <comment ref="F66" authorId="0">
      <text>
        <r>
          <rPr>
            <b/>
            <sz val="8"/>
            <rFont val="Tahoma"/>
            <family val="2"/>
          </rPr>
          <t>Instructions:</t>
        </r>
        <r>
          <rPr>
            <sz val="8"/>
            <rFont val="Tahoma"/>
            <family val="0"/>
          </rPr>
          <t xml:space="preserve">
Click on the green box and enter the estimated erosion rate of the planned condition.
</t>
        </r>
      </text>
    </comment>
    <comment ref="H98" authorId="0">
      <text>
        <r>
          <rPr>
            <b/>
            <sz val="8"/>
            <rFont val="Tahoma"/>
            <family val="2"/>
          </rPr>
          <t>Instructions:</t>
        </r>
        <r>
          <rPr>
            <sz val="8"/>
            <rFont val="Tahoma"/>
            <family val="0"/>
          </rPr>
          <t xml:space="preserve">
Click on the green box then, click on the down arrow and pick the number of winter annual grass type crops added to the rotation.</t>
        </r>
      </text>
    </comment>
    <comment ref="H99" authorId="0">
      <text>
        <r>
          <rPr>
            <b/>
            <sz val="8"/>
            <rFont val="Tahoma"/>
            <family val="2"/>
          </rPr>
          <t>Instructions:</t>
        </r>
        <r>
          <rPr>
            <sz val="8"/>
            <rFont val="Tahoma"/>
            <family val="0"/>
          </rPr>
          <t xml:space="preserve">
Click on the green box then, click on the down arrow and pick the number of winter annual broadleaf type of crops added to the rotation.</t>
        </r>
      </text>
    </comment>
    <comment ref="R10"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2" authorId="0">
      <text>
        <r>
          <rPr>
            <b/>
            <sz val="8"/>
            <rFont val="Tahoma"/>
            <family val="2"/>
          </rPr>
          <t>Instructions:</t>
        </r>
        <r>
          <rPr>
            <sz val="8"/>
            <rFont val="Tahoma"/>
            <family val="0"/>
          </rPr>
          <t xml:space="preserve">
Click on the box and pick the correct response from the list.</t>
        </r>
      </text>
    </comment>
    <comment ref="C6" authorId="0">
      <text>
        <r>
          <rPr>
            <b/>
            <sz val="8"/>
            <rFont val="Tahoma"/>
            <family val="0"/>
          </rPr>
          <t>Instructions:</t>
        </r>
        <r>
          <rPr>
            <sz val="8"/>
            <rFont val="Tahoma"/>
            <family val="0"/>
          </rPr>
          <t xml:space="preserve">
Click on the green box.  Then click on the down-arrow and make your selection from the pull-down list.</t>
        </r>
      </text>
    </comment>
    <comment ref="C4" authorId="0">
      <text>
        <r>
          <rPr>
            <b/>
            <sz val="8"/>
            <rFont val="Tahoma"/>
            <family val="0"/>
          </rPr>
          <t>Instructions:</t>
        </r>
        <r>
          <rPr>
            <sz val="8"/>
            <rFont val="Tahoma"/>
            <family val="0"/>
          </rPr>
          <t xml:space="preserve">
Click on the green box.  Then click on the down-arrow and select the kind of entity or joint operation from the pull-down list.</t>
        </r>
      </text>
    </comment>
    <comment ref="C2" authorId="0">
      <text>
        <r>
          <rPr>
            <b/>
            <sz val="8"/>
            <rFont val="Tahoma"/>
            <family val="0"/>
          </rPr>
          <t>Instructions:</t>
        </r>
        <r>
          <rPr>
            <sz val="8"/>
            <rFont val="Tahoma"/>
            <family val="0"/>
          </rPr>
          <t xml:space="preserve">
Click on the green box and enter the name of the applicant exactly as it appears on the CCC-1200.</t>
        </r>
      </text>
    </comment>
    <comment ref="N5" authorId="0">
      <text>
        <r>
          <rPr>
            <b/>
            <sz val="8"/>
            <rFont val="Tahoma"/>
            <family val="0"/>
          </rPr>
          <t>Instructions:</t>
        </r>
        <r>
          <rPr>
            <sz val="8"/>
            <rFont val="Tahoma"/>
            <family val="0"/>
          </rPr>
          <t xml:space="preserve">
Click on the green box and enter the requested financial assistance.</t>
        </r>
      </text>
    </comment>
    <comment ref="E19" authorId="0">
      <text>
        <r>
          <rPr>
            <b/>
            <sz val="8"/>
            <rFont val="Tahoma"/>
            <family val="0"/>
          </rPr>
          <t>Instructions:</t>
        </r>
        <r>
          <rPr>
            <sz val="8"/>
            <rFont val="Tahoma"/>
            <family val="0"/>
          </rPr>
          <t xml:space="preserve">
Click on the green cell and enter the climate "C" factor that represents the site.  Use the isoline map.</t>
        </r>
      </text>
    </comment>
    <comment ref="E20" authorId="0">
      <text>
        <r>
          <rPr>
            <b/>
            <sz val="8"/>
            <rFont val="Tahoma"/>
            <family val="0"/>
          </rPr>
          <t>Instructions:</t>
        </r>
        <r>
          <rPr>
            <sz val="8"/>
            <rFont val="Tahoma"/>
            <family val="0"/>
          </rPr>
          <t xml:space="preserve">
Click on the green box and enter the soil erodibility "I" factor of the predominate soil series on the offered acres.</t>
        </r>
      </text>
    </comment>
    <comment ref="Q19" authorId="0">
      <text>
        <r>
          <rPr>
            <b/>
            <sz val="8"/>
            <rFont val="Tahoma"/>
            <family val="2"/>
          </rPr>
          <t>Instructions:</t>
        </r>
        <r>
          <rPr>
            <sz val="8"/>
            <rFont val="Tahoma"/>
            <family val="0"/>
          </rPr>
          <t xml:space="preserve">
Click on the green cell and enter the erosivity "R" factor that represents the site.  Use the isoline map.</t>
        </r>
      </text>
    </comment>
    <comment ref="Q20" authorId="0">
      <text>
        <r>
          <rPr>
            <b/>
            <sz val="8"/>
            <rFont val="Tahoma"/>
            <family val="2"/>
          </rPr>
          <t>Instructions:</t>
        </r>
        <r>
          <rPr>
            <sz val="8"/>
            <rFont val="Tahoma"/>
            <family val="0"/>
          </rPr>
          <t xml:space="preserve">
Click on the green box and enter the soil erodibility "K" factor of the predominate soil series on the offered acres.
</t>
        </r>
      </text>
    </comment>
    <comment ref="Q21" authorId="0">
      <text>
        <r>
          <rPr>
            <b/>
            <sz val="8"/>
            <rFont val="Tahoma"/>
            <family val="2"/>
          </rPr>
          <t>Instructions:</t>
        </r>
        <r>
          <rPr>
            <sz val="8"/>
            <rFont val="Tahoma"/>
            <family val="0"/>
          </rPr>
          <t xml:space="preserve">
Click on the green box and enter the "LS" factor of the landscape profile chosen for developing the conservation plan.</t>
        </r>
      </text>
    </comment>
    <comment ref="E22" authorId="0">
      <text>
        <r>
          <rPr>
            <b/>
            <sz val="8"/>
            <rFont val="Tahoma"/>
            <family val="0"/>
          </rPr>
          <t>Instructions:</t>
        </r>
        <r>
          <rPr>
            <sz val="8"/>
            <rFont val="Tahoma"/>
            <family val="0"/>
          </rPr>
          <t xml:space="preserve">
Click on the green box and enter the "T" value of the soil.</t>
        </r>
      </text>
    </comment>
    <comment ref="E23" authorId="0">
      <text>
        <r>
          <rPr>
            <b/>
            <sz val="8"/>
            <rFont val="Tahoma"/>
            <family val="0"/>
          </rPr>
          <t>Instructions:</t>
        </r>
        <r>
          <rPr>
            <sz val="8"/>
            <rFont val="Tahoma"/>
            <family val="0"/>
          </rPr>
          <t xml:space="preserve">
Click on the green box and enter the Hydrologic Group designation of the soil; A, B, C, or D.  (MUST BE UPPER CASE)</t>
        </r>
      </text>
    </comment>
    <comment ref="C102" authorId="0">
      <text>
        <r>
          <rPr>
            <b/>
            <sz val="8"/>
            <rFont val="Tahoma"/>
            <family val="0"/>
          </rPr>
          <t>Instructions:</t>
        </r>
        <r>
          <rPr>
            <sz val="8"/>
            <rFont val="Tahoma"/>
            <family val="0"/>
          </rPr>
          <t xml:space="preserve">
Click on green box.  Then click on down-arrow and select the planned  crop rotation from the pull-down list.  Then if the planned rotation is a COMPLETELY no-till system, check the box to the right.</t>
        </r>
      </text>
    </comment>
    <comment ref="F106" authorId="0">
      <text>
        <r>
          <rPr>
            <b/>
            <sz val="8"/>
            <rFont val="Tahoma"/>
            <family val="0"/>
          </rPr>
          <t>Instructions:</t>
        </r>
        <r>
          <rPr>
            <sz val="8"/>
            <rFont val="Tahoma"/>
            <family val="0"/>
          </rPr>
          <t xml:space="preserve">
Click on the green box and then enter the number of acres with an improved rotation.</t>
        </r>
      </text>
    </comment>
    <comment ref="F117" authorId="0">
      <text>
        <r>
          <rPr>
            <b/>
            <sz val="8"/>
            <rFont val="Tahoma"/>
            <family val="0"/>
          </rPr>
          <t>Instructions:</t>
        </r>
        <r>
          <rPr>
            <sz val="8"/>
            <rFont val="Tahoma"/>
            <family val="0"/>
          </rPr>
          <t xml:space="preserve">
Click on green box and enter the number of acres of cropland that are to be converted to permanent vegetation cover.</t>
        </r>
      </text>
    </comment>
    <comment ref="C7" authorId="0">
      <text>
        <r>
          <rPr>
            <b/>
            <sz val="8"/>
            <rFont val="Tahoma"/>
            <family val="2"/>
          </rPr>
          <t>Instructions:</t>
        </r>
        <r>
          <rPr>
            <sz val="8"/>
            <rFont val="Tahoma"/>
            <family val="0"/>
          </rPr>
          <t xml:space="preserve">
REQUIRED ENTRY-Click on the box; click on the down arrow and select your name from the list.</t>
        </r>
      </text>
    </comment>
    <comment ref="G150"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G151" authorId="0">
      <text>
        <r>
          <rPr>
            <b/>
            <sz val="8"/>
            <rFont val="Tahoma"/>
            <family val="0"/>
          </rPr>
          <t>Instructions:</t>
        </r>
        <r>
          <rPr>
            <sz val="8"/>
            <rFont val="Tahoma"/>
            <family val="0"/>
          </rPr>
          <t xml:space="preserve">
Click on the green box.  Then enter the number of riparian acres that will be improved.</t>
        </r>
      </text>
    </comment>
    <comment ref="C101" authorId="0">
      <text>
        <r>
          <rPr>
            <b/>
            <sz val="8"/>
            <rFont val="Tahoma"/>
            <family val="0"/>
          </rPr>
          <t>Instructions:</t>
        </r>
        <r>
          <rPr>
            <sz val="8"/>
            <rFont val="Tahoma"/>
            <family val="0"/>
          </rPr>
          <t xml:space="preserve">
Click on the green box.  Then click on the down-arrow and select the existing (benchmark) crop rotation from the pull-down list.</t>
        </r>
      </text>
    </comment>
    <comment ref="D168"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F138" authorId="0">
      <text>
        <r>
          <rPr>
            <b/>
            <sz val="8"/>
            <rFont val="Tahoma"/>
            <family val="0"/>
          </rPr>
          <t>Instructions:</t>
        </r>
        <r>
          <rPr>
            <sz val="8"/>
            <rFont val="Tahoma"/>
            <family val="0"/>
          </rPr>
          <t xml:space="preserve">
Click on the green box and enter the specified species</t>
        </r>
      </text>
    </comment>
    <comment ref="R11"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4" authorId="0">
      <text>
        <r>
          <rPr>
            <b/>
            <sz val="8"/>
            <rFont val="Tahoma"/>
            <family val="2"/>
          </rPr>
          <t>Instructions:</t>
        </r>
        <r>
          <rPr>
            <sz val="8"/>
            <rFont val="Tahoma"/>
            <family val="0"/>
          </rPr>
          <t xml:space="preserve">
Click on the box and pick the correct response from the list.</t>
        </r>
      </text>
    </comment>
    <comment ref="H78" authorId="0">
      <text>
        <r>
          <rPr>
            <b/>
            <sz val="8"/>
            <rFont val="Tahoma"/>
            <family val="0"/>
          </rPr>
          <t>Instructions:</t>
        </r>
        <r>
          <rPr>
            <sz val="8"/>
            <rFont val="Tahoma"/>
            <family val="0"/>
          </rPr>
          <t xml:space="preserve">
Click on the green box.  Enter the number of acres that are affected by erosion caused by concentrated flow.</t>
        </r>
      </text>
    </comment>
    <comment ref="K45"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List>
</comments>
</file>

<file path=xl/comments4.xml><?xml version="1.0" encoding="utf-8"?>
<comments xmlns="http://schemas.openxmlformats.org/spreadsheetml/2006/main">
  <authors>
    <author>Lorenz Sutherland</author>
    <author>USDA-MDIOL00000LG3A</author>
  </authors>
  <commentList>
    <comment ref="C2" authorId="0">
      <text>
        <r>
          <rPr>
            <b/>
            <sz val="8"/>
            <rFont val="Tahoma"/>
            <family val="2"/>
          </rPr>
          <t>Instructions:</t>
        </r>
        <r>
          <rPr>
            <sz val="8"/>
            <rFont val="Tahoma"/>
            <family val="0"/>
          </rPr>
          <t xml:space="preserve">
Click on the box; enter the Producer/Applicant's name.  In the case of a cooperative contract, enter the designated group name and its agent.</t>
        </r>
      </text>
    </comment>
    <comment ref="C7" authorId="0">
      <text>
        <r>
          <rPr>
            <b/>
            <sz val="8"/>
            <rFont val="Tahoma"/>
            <family val="2"/>
          </rPr>
          <t>Instructions:</t>
        </r>
        <r>
          <rPr>
            <sz val="8"/>
            <rFont val="Tahoma"/>
            <family val="0"/>
          </rPr>
          <t xml:space="preserve">
Click on the green box, click on the down arrow and pick the location from the pull-down list.</t>
        </r>
      </text>
    </comment>
    <comment ref="C8" authorId="0">
      <text>
        <r>
          <rPr>
            <b/>
            <sz val="8"/>
            <rFont val="Tahoma"/>
            <family val="2"/>
          </rPr>
          <t>Instructions:</t>
        </r>
        <r>
          <rPr>
            <sz val="8"/>
            <rFont val="Tahoma"/>
            <family val="0"/>
          </rPr>
          <t xml:space="preserve">
REQUIRED ENTRY-Click on the box; click on the down arrow and select your name from the list.</t>
        </r>
      </text>
    </comment>
    <comment ref="M2" authorId="0">
      <text>
        <r>
          <rPr>
            <b/>
            <sz val="8"/>
            <rFont val="Tahoma"/>
            <family val="2"/>
          </rPr>
          <t>Instructions:</t>
        </r>
        <r>
          <rPr>
            <sz val="8"/>
            <rFont val="Tahoma"/>
            <family val="0"/>
          </rPr>
          <t xml:space="preserve">
Click on the box; type tract number.  Repeat as necessary.</t>
        </r>
      </text>
    </comment>
    <comment ref="M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C4" authorId="0">
      <text>
        <r>
          <rPr>
            <b/>
            <sz val="8"/>
            <rFont val="Tahoma"/>
            <family val="0"/>
          </rPr>
          <t>Instructions:</t>
        </r>
        <r>
          <rPr>
            <sz val="8"/>
            <rFont val="Tahoma"/>
            <family val="0"/>
          </rPr>
          <t xml:space="preserve">
Click on the green box.  Then click on the down-arrow key and select the kind of entity or joint operation from the list.</t>
        </r>
      </text>
    </comment>
    <comment ref="E22" authorId="0">
      <text>
        <r>
          <rPr>
            <b/>
            <sz val="8"/>
            <rFont val="Tahoma"/>
            <family val="0"/>
          </rPr>
          <t>Instructions:</t>
        </r>
        <r>
          <rPr>
            <sz val="8"/>
            <rFont val="Tahoma"/>
            <family val="0"/>
          </rPr>
          <t xml:space="preserve">
Click on green box.  Then click on the down-arrow and select the State identified wildlife area from the list.  If the land parcel is NOT in a State identified area select "None."</t>
        </r>
      </text>
    </comment>
    <comment ref="Q6" authorId="0">
      <text>
        <r>
          <rPr>
            <b/>
            <sz val="8"/>
            <rFont val="Tahoma"/>
            <family val="0"/>
          </rPr>
          <t>Instructions:</t>
        </r>
        <r>
          <rPr>
            <sz val="8"/>
            <rFont val="Tahoma"/>
            <family val="0"/>
          </rPr>
          <t xml:space="preserve">
If this is a joint ccoperative agreement between 2 or more participants, click on the green box and enter the number of entities.  Otherwise, enter a 0. THIS IS NOT THE NUMBER of WILDLIFE PARTNERS THAT MAY BE CONTRIBUTING FUNDS.</t>
        </r>
      </text>
    </comment>
    <comment ref="M6" authorId="0">
      <text>
        <r>
          <rPr>
            <b/>
            <sz val="8"/>
            <rFont val="Tahoma"/>
            <family val="0"/>
          </rPr>
          <t>Instructions:</t>
        </r>
        <r>
          <rPr>
            <sz val="8"/>
            <rFont val="Tahoma"/>
            <family val="0"/>
          </rPr>
          <t xml:space="preserve">
Click on the green box.  Enter the requested amount of financial assistance.</t>
        </r>
      </text>
    </comment>
    <comment ref="H55" authorId="0">
      <text>
        <r>
          <rPr>
            <b/>
            <sz val="8"/>
            <rFont val="Tahoma"/>
            <family val="0"/>
          </rPr>
          <t>Instructions:</t>
        </r>
        <r>
          <rPr>
            <sz val="8"/>
            <rFont val="Tahoma"/>
            <family val="0"/>
          </rPr>
          <t xml:space="preserve">
Click on the green box.  Then enter the number of wildlife partners that are either contributing direct financial support or providing in-kind contributions.  DO NOT INCLUDE THE PARTICIPANT(S).</t>
        </r>
      </text>
    </comment>
    <comment ref="E37" authorId="0">
      <text>
        <r>
          <rPr>
            <b/>
            <sz val="8"/>
            <rFont val="Tahoma"/>
            <family val="0"/>
          </rPr>
          <t>Instructions:</t>
        </r>
        <r>
          <rPr>
            <sz val="8"/>
            <rFont val="Tahoma"/>
            <family val="0"/>
          </rPr>
          <t xml:space="preserve">
If "Yes", click on the green box and type the name of the existing project, otherwise, right click the mouse, and select "clear contents."</t>
        </r>
      </text>
    </comment>
    <comment ref="E25" authorId="0">
      <text>
        <r>
          <rPr>
            <b/>
            <sz val="8"/>
            <rFont val="Tahoma"/>
            <family val="0"/>
          </rPr>
          <t>Instructions:</t>
        </r>
        <r>
          <rPr>
            <sz val="8"/>
            <rFont val="Tahoma"/>
            <family val="0"/>
          </rPr>
          <t xml:space="preserve">
If checked, click on the green box and type the name of the locally identified wildlife area, otherwise right click the mouse and select "clear contents."</t>
        </r>
      </text>
    </comment>
    <comment ref="P4" authorId="0">
      <text>
        <r>
          <rPr>
            <b/>
            <sz val="8"/>
            <rFont val="Tahoma"/>
            <family val="0"/>
          </rPr>
          <t>Instructions:</t>
        </r>
        <r>
          <rPr>
            <sz val="8"/>
            <rFont val="Tahoma"/>
            <family val="0"/>
          </rPr>
          <t xml:space="preserve">
Click on the green box and enter the number of acres associated with this application.</t>
        </r>
      </text>
    </comment>
    <comment ref="Q11" authorId="0">
      <text>
        <r>
          <rPr>
            <b/>
            <sz val="8"/>
            <rFont val="Tahoma"/>
            <family val="0"/>
          </rPr>
          <t>Instructions:</t>
        </r>
        <r>
          <rPr>
            <sz val="8"/>
            <rFont val="Tahoma"/>
            <family val="0"/>
          </rPr>
          <t xml:space="preserve">
Click on the green box.  Then click on the down-arrow and select the response from the pull-down list.</t>
        </r>
      </text>
    </comment>
    <comment ref="Q12" authorId="0">
      <text>
        <r>
          <rPr>
            <b/>
            <sz val="8"/>
            <rFont val="Tahoma"/>
            <family val="0"/>
          </rPr>
          <t>Instructions:</t>
        </r>
        <r>
          <rPr>
            <sz val="8"/>
            <rFont val="Tahoma"/>
            <family val="0"/>
          </rPr>
          <t xml:space="preserve">
Click on the green box.  Then click on the down-arrow and select the response from the pull-down list.</t>
        </r>
      </text>
    </comment>
    <comment ref="L88" authorId="0">
      <text>
        <r>
          <rPr>
            <b/>
            <sz val="8"/>
            <rFont val="Tahoma"/>
            <family val="0"/>
          </rPr>
          <t>Instructions:</t>
        </r>
        <r>
          <rPr>
            <sz val="8"/>
            <rFont val="Tahoma"/>
            <family val="0"/>
          </rPr>
          <t xml:space="preserve">
Click on green box.  Then click on down-arrow and select species from list.</t>
        </r>
      </text>
    </comment>
    <comment ref="L89" authorId="0">
      <text>
        <r>
          <rPr>
            <b/>
            <sz val="8"/>
            <rFont val="Tahoma"/>
            <family val="0"/>
          </rPr>
          <t xml:space="preserve">Instructions:
</t>
        </r>
        <r>
          <rPr>
            <sz val="8"/>
            <rFont val="Tahoma"/>
            <family val="2"/>
          </rPr>
          <t>Click on green box.  Then click on down-arrow and select species from list.</t>
        </r>
        <r>
          <rPr>
            <sz val="8"/>
            <rFont val="Tahoma"/>
            <family val="0"/>
          </rPr>
          <t xml:space="preserve">
</t>
        </r>
      </text>
    </comment>
    <comment ref="L90" authorId="0">
      <text>
        <r>
          <rPr>
            <b/>
            <sz val="8"/>
            <rFont val="Tahoma"/>
            <family val="2"/>
          </rPr>
          <t>Instructions:</t>
        </r>
        <r>
          <rPr>
            <sz val="8"/>
            <rFont val="Tahoma"/>
            <family val="0"/>
          </rPr>
          <t xml:space="preserve">
Click on green box.  Then click on down-arrow and select species from list.</t>
        </r>
      </text>
    </comment>
    <comment ref="L91" authorId="0">
      <text>
        <r>
          <rPr>
            <b/>
            <sz val="8"/>
            <rFont val="Tahoma"/>
            <family val="2"/>
          </rPr>
          <t>Instructions:</t>
        </r>
        <r>
          <rPr>
            <sz val="8"/>
            <rFont val="Tahoma"/>
            <family val="0"/>
          </rPr>
          <t xml:space="preserve">
Click on green box.  Then click on down-arrow and select species from list.</t>
        </r>
      </text>
    </comment>
    <comment ref="L92" authorId="0">
      <text>
        <r>
          <rPr>
            <b/>
            <sz val="8"/>
            <rFont val="Tahoma"/>
            <family val="2"/>
          </rPr>
          <t>Instructions:</t>
        </r>
        <r>
          <rPr>
            <sz val="8"/>
            <rFont val="Tahoma"/>
            <family val="0"/>
          </rPr>
          <t xml:space="preserve">
Click on green box.  Then click on down-arrow and select species from list.</t>
        </r>
      </text>
    </comment>
    <comment ref="L93" authorId="0">
      <text>
        <r>
          <rPr>
            <b/>
            <sz val="8"/>
            <rFont val="Tahoma"/>
            <family val="2"/>
          </rPr>
          <t>Instructions:</t>
        </r>
        <r>
          <rPr>
            <sz val="8"/>
            <rFont val="Tahoma"/>
            <family val="0"/>
          </rPr>
          <t xml:space="preserve">
Click on green box.  Then click on down-arrow and select species from list.</t>
        </r>
      </text>
    </comment>
    <comment ref="L94" authorId="0">
      <text>
        <r>
          <rPr>
            <b/>
            <sz val="8"/>
            <rFont val="Tahoma"/>
            <family val="2"/>
          </rPr>
          <t>Instructions:</t>
        </r>
        <r>
          <rPr>
            <sz val="8"/>
            <rFont val="Tahoma"/>
            <family val="0"/>
          </rPr>
          <t xml:space="preserve">
Click on green box.  Then click on down-arrow and select species from list.</t>
        </r>
      </text>
    </comment>
    <comment ref="L95" authorId="0">
      <text>
        <r>
          <rPr>
            <b/>
            <sz val="8"/>
            <rFont val="Tahoma"/>
            <family val="2"/>
          </rPr>
          <t>Instructions:</t>
        </r>
        <r>
          <rPr>
            <sz val="8"/>
            <rFont val="Tahoma"/>
            <family val="0"/>
          </rPr>
          <t xml:space="preserve">
Click on green box.  Then click on down-arrow and select species from list.</t>
        </r>
      </text>
    </comment>
    <comment ref="L96" authorId="0">
      <text>
        <r>
          <rPr>
            <b/>
            <sz val="8"/>
            <rFont val="Tahoma"/>
            <family val="2"/>
          </rPr>
          <t>Instructions:</t>
        </r>
        <r>
          <rPr>
            <sz val="8"/>
            <rFont val="Tahoma"/>
            <family val="0"/>
          </rPr>
          <t xml:space="preserve">
Click on green box.  Then click on down-arrow and select species from list.</t>
        </r>
      </text>
    </comment>
    <comment ref="L97" authorId="0">
      <text>
        <r>
          <rPr>
            <b/>
            <sz val="8"/>
            <rFont val="Tahoma"/>
            <family val="2"/>
          </rPr>
          <t>Instructions:</t>
        </r>
        <r>
          <rPr>
            <sz val="8"/>
            <rFont val="Tahoma"/>
            <family val="0"/>
          </rPr>
          <t xml:space="preserve">
Click on green box.  Then click on down-arrow and select species from list.</t>
        </r>
      </text>
    </comment>
    <comment ref="L98" authorId="0">
      <text>
        <r>
          <rPr>
            <b/>
            <sz val="8"/>
            <rFont val="Tahoma"/>
            <family val="2"/>
          </rPr>
          <t>Instructions:</t>
        </r>
        <r>
          <rPr>
            <sz val="8"/>
            <rFont val="Tahoma"/>
            <family val="0"/>
          </rPr>
          <t xml:space="preserve">
Click on green box.  Then click on down-arrow and select species from list.</t>
        </r>
      </text>
    </comment>
    <comment ref="L99" authorId="0">
      <text>
        <r>
          <rPr>
            <b/>
            <sz val="8"/>
            <rFont val="Tahoma"/>
            <family val="2"/>
          </rPr>
          <t>Instructions:</t>
        </r>
        <r>
          <rPr>
            <sz val="8"/>
            <rFont val="Tahoma"/>
            <family val="0"/>
          </rPr>
          <t xml:space="preserve">
Click on green box.  Then click on down-arrow and select species from list.</t>
        </r>
      </text>
    </comment>
    <comment ref="N55" authorId="1">
      <text>
        <r>
          <rPr>
            <b/>
            <sz val="8"/>
            <rFont val="Tahoma"/>
            <family val="0"/>
          </rPr>
          <t>Instructions:</t>
        </r>
        <r>
          <rPr>
            <sz val="8"/>
            <rFont val="Tahoma"/>
            <family val="0"/>
          </rPr>
          <t xml:space="preserve">
Click on green box.  Enter the number of wildlife partner dollars contributed to the proposed project.</t>
        </r>
      </text>
    </comment>
    <comment ref="Q13" authorId="0">
      <text>
        <r>
          <rPr>
            <b/>
            <sz val="8"/>
            <rFont val="Tahoma"/>
            <family val="0"/>
          </rPr>
          <t>Instructions:</t>
        </r>
        <r>
          <rPr>
            <sz val="8"/>
            <rFont val="Tahoma"/>
            <family val="0"/>
          </rPr>
          <t xml:space="preserve">
Click on the green box.  Then click on the down-arrow and select the response from the pull-down list.</t>
        </r>
      </text>
    </comment>
    <comment ref="Q15" authorId="0">
      <text>
        <r>
          <rPr>
            <b/>
            <sz val="8"/>
            <rFont val="Tahoma"/>
            <family val="0"/>
          </rPr>
          <t>Instructions:</t>
        </r>
        <r>
          <rPr>
            <sz val="8"/>
            <rFont val="Tahoma"/>
            <family val="0"/>
          </rPr>
          <t xml:space="preserve">
Click on the green box.  Then click on the down-arrow and select the response from the pull-down list.</t>
        </r>
      </text>
    </comment>
    <comment ref="J47"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 PLUS any funds from contributing wildlife partners.</t>
        </r>
      </text>
    </comment>
    <comment ref="C118"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List>
</comments>
</file>

<file path=xl/comments5.xml><?xml version="1.0" encoding="utf-8"?>
<comments xmlns="http://schemas.openxmlformats.org/spreadsheetml/2006/main">
  <authors>
    <author>Lorenz Sutherland</author>
    <author>USDA-MDIOL00000LG3A</author>
    <author>lorenz.sutherland</author>
  </authors>
  <commentList>
    <comment ref="C2" authorId="0">
      <text>
        <r>
          <rPr>
            <b/>
            <sz val="8"/>
            <rFont val="Tahoma"/>
            <family val="0"/>
          </rPr>
          <t xml:space="preserve">Instructions:
</t>
        </r>
        <r>
          <rPr>
            <sz val="8"/>
            <rFont val="Tahoma"/>
            <family val="2"/>
          </rPr>
          <t>Click on the green box and enter the name of the applicant exactly as it appears on the CCC-1200.  In the case of a joint contract agreement, enter the designated group name and its agent.</t>
        </r>
        <r>
          <rPr>
            <sz val="8"/>
            <rFont val="Tahoma"/>
            <family val="0"/>
          </rPr>
          <t xml:space="preserve">
</t>
        </r>
      </text>
    </comment>
    <comment ref="C4" authorId="0">
      <text>
        <r>
          <rPr>
            <b/>
            <sz val="8"/>
            <rFont val="Tahoma"/>
            <family val="0"/>
          </rPr>
          <t>Instructions:</t>
        </r>
        <r>
          <rPr>
            <sz val="8"/>
            <rFont val="Tahoma"/>
            <family val="0"/>
          </rPr>
          <t xml:space="preserve">
Click on the green box.  Click on the down-arrow and select type of entity from the pull-down list.</t>
        </r>
      </text>
    </comment>
    <comment ref="S4" authorId="0">
      <text>
        <r>
          <rPr>
            <b/>
            <sz val="8"/>
            <rFont val="Tahoma"/>
            <family val="0"/>
          </rPr>
          <t>Instructions:</t>
        </r>
        <r>
          <rPr>
            <sz val="8"/>
            <rFont val="Tahoma"/>
            <family val="0"/>
          </rPr>
          <t xml:space="preserve">
If this is a joint/cooperative agreement application, click on the green box and enter the number of entities that will be involved.</t>
        </r>
      </text>
    </comment>
    <comment ref="C6" authorId="0">
      <text>
        <r>
          <rPr>
            <b/>
            <sz val="8"/>
            <rFont val="Tahoma"/>
            <family val="0"/>
          </rPr>
          <t>Instructions:</t>
        </r>
        <r>
          <rPr>
            <sz val="8"/>
            <rFont val="Tahoma"/>
            <family val="0"/>
          </rPr>
          <t xml:space="preserve">
Click on the green box.  Then click on the down-arrow and select your location from the pull-down list.</t>
        </r>
      </text>
    </comment>
    <comment ref="N6" authorId="0">
      <text>
        <r>
          <rPr>
            <b/>
            <sz val="8"/>
            <rFont val="Tahoma"/>
            <family val="2"/>
          </rPr>
          <t>Instructions:</t>
        </r>
        <r>
          <rPr>
            <sz val="8"/>
            <rFont val="Tahoma"/>
            <family val="0"/>
          </rPr>
          <t xml:space="preserve">
REQUIRED ENTRY-Click on the box; enter the total federal contribution in dollars, no commas.  Includes both cost-share and incentive payments.</t>
        </r>
      </text>
    </comment>
    <comment ref="C7" authorId="0">
      <text>
        <r>
          <rPr>
            <b/>
            <sz val="8"/>
            <rFont val="Tahoma"/>
            <family val="0"/>
          </rPr>
          <t>Instructions:</t>
        </r>
        <r>
          <rPr>
            <sz val="8"/>
            <rFont val="Tahoma"/>
            <family val="0"/>
          </rPr>
          <t xml:space="preserve">
Click on the green box.  Then click on the down-arrow and selct your name from the pull-down list.</t>
        </r>
      </text>
    </comment>
    <comment ref="I115" authorId="0">
      <text>
        <r>
          <rPr>
            <b/>
            <sz val="8"/>
            <rFont val="Tahoma"/>
            <family val="0"/>
          </rPr>
          <t>Instructions:</t>
        </r>
        <r>
          <rPr>
            <sz val="8"/>
            <rFont val="Tahoma"/>
            <family val="0"/>
          </rPr>
          <t xml:space="preserve">
Click on the green box and enter the percent of the entire grazing unit or ranch that will have the improved grazing system implemented during this contract period.</t>
        </r>
      </text>
    </comment>
    <comment ref="I147"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I148" authorId="0">
      <text>
        <r>
          <rPr>
            <b/>
            <sz val="8"/>
            <rFont val="Tahoma"/>
            <family val="0"/>
          </rPr>
          <t>Instructions:</t>
        </r>
        <r>
          <rPr>
            <sz val="8"/>
            <rFont val="Tahoma"/>
            <family val="0"/>
          </rPr>
          <t xml:space="preserve">
Click on the green box.  Then enter the number of riparian acres that will be improved.</t>
        </r>
      </text>
    </comment>
    <comment ref="E165" authorId="0">
      <text>
        <r>
          <rPr>
            <b/>
            <sz val="8"/>
            <rFont val="Tahoma"/>
            <family val="0"/>
          </rPr>
          <t>Instructions:</t>
        </r>
        <r>
          <rPr>
            <sz val="8"/>
            <rFont val="Tahoma"/>
            <family val="0"/>
          </rPr>
          <t xml:space="preserve">
Click on the green box; then click on the down-arrow and select the reviewing wildlife partner organization from the pull-down list.
</t>
        </r>
      </text>
    </comment>
    <comment ref="Q18" authorId="0">
      <text>
        <r>
          <rPr>
            <b/>
            <sz val="8"/>
            <rFont val="Tahoma"/>
            <family val="2"/>
          </rPr>
          <t>Instructions:</t>
        </r>
        <r>
          <rPr>
            <sz val="8"/>
            <rFont val="Tahoma"/>
            <family val="0"/>
          </rPr>
          <t xml:space="preserve">
Click on the green cell and enter the erosivity "R" factor that represents the site.  Use the isoline map.</t>
        </r>
      </text>
    </comment>
    <comment ref="Q19" authorId="0">
      <text>
        <r>
          <rPr>
            <b/>
            <sz val="8"/>
            <rFont val="Tahoma"/>
            <family val="2"/>
          </rPr>
          <t>Instructions:</t>
        </r>
        <r>
          <rPr>
            <sz val="8"/>
            <rFont val="Tahoma"/>
            <family val="0"/>
          </rPr>
          <t xml:space="preserve">
Click on the green box and enter the soil erodibility "K" factor of the predominate soil series on the offered acres.
</t>
        </r>
      </text>
    </comment>
    <comment ref="Q20" authorId="0">
      <text>
        <r>
          <rPr>
            <b/>
            <sz val="8"/>
            <rFont val="Tahoma"/>
            <family val="2"/>
          </rPr>
          <t>Instructions:</t>
        </r>
        <r>
          <rPr>
            <sz val="8"/>
            <rFont val="Tahoma"/>
            <family val="0"/>
          </rPr>
          <t xml:space="preserve">
Click on the green box and enter the "LS" factor of the landscape profile chosen for developing the conservation plan.</t>
        </r>
      </text>
    </comment>
    <comment ref="M21" authorId="0">
      <text>
        <r>
          <rPr>
            <b/>
            <sz val="8"/>
            <rFont val="Tahoma"/>
            <family val="0"/>
          </rPr>
          <t>Instructions:</t>
        </r>
        <r>
          <rPr>
            <sz val="8"/>
            <rFont val="Tahoma"/>
            <family val="0"/>
          </rPr>
          <t xml:space="preserve">
Click on the green box and enter the "T" value of the soil.</t>
        </r>
      </text>
    </comment>
    <comment ref="M22" authorId="0">
      <text>
        <r>
          <rPr>
            <b/>
            <sz val="8"/>
            <rFont val="Tahoma"/>
            <family val="0"/>
          </rPr>
          <t>Instructions:</t>
        </r>
        <r>
          <rPr>
            <sz val="8"/>
            <rFont val="Tahoma"/>
            <family val="0"/>
          </rPr>
          <t xml:space="preserve">
Click on the green box and enter the Hydrologic Group designation of the soil; A, B, C, or D.  (MUST BE UPPER CASE)</t>
        </r>
      </text>
    </comment>
    <comment ref="R5" authorId="0">
      <text>
        <r>
          <rPr>
            <b/>
            <sz val="8"/>
            <rFont val="Tahoma"/>
            <family val="0"/>
          </rPr>
          <t>Instructions:</t>
        </r>
        <r>
          <rPr>
            <sz val="8"/>
            <rFont val="Tahoma"/>
            <family val="0"/>
          </rPr>
          <t xml:space="preserve">
REQIRED ENTRY-Click on the green box and enter the number of offered acres in the EQIP application.</t>
        </r>
      </text>
    </comment>
    <comment ref="R10" authorId="0">
      <text>
        <r>
          <rPr>
            <b/>
            <sz val="8"/>
            <rFont val="Tahoma"/>
            <family val="0"/>
          </rPr>
          <t>Instructions:</t>
        </r>
        <r>
          <rPr>
            <sz val="8"/>
            <rFont val="Tahoma"/>
            <family val="0"/>
          </rPr>
          <t xml:space="preserve">
Click on the green box.  Then click on the down-arrow and select the correct response from the pull-down list.</t>
        </r>
      </text>
    </comment>
    <comment ref="G121" authorId="0">
      <text>
        <r>
          <rPr>
            <b/>
            <sz val="8"/>
            <rFont val="Tahoma"/>
            <family val="0"/>
          </rPr>
          <t>Instructions:</t>
        </r>
        <r>
          <rPr>
            <sz val="8"/>
            <rFont val="Tahoma"/>
            <family val="0"/>
          </rPr>
          <t xml:space="preserve">
Click on green box and enter the number of acres planned to be seeded.</t>
        </r>
      </text>
    </comment>
    <comment ref="G124" authorId="0">
      <text>
        <r>
          <rPr>
            <b/>
            <sz val="8"/>
            <rFont val="Tahoma"/>
            <family val="0"/>
          </rPr>
          <t>Instructions:</t>
        </r>
        <r>
          <rPr>
            <sz val="8"/>
            <rFont val="Tahoma"/>
            <family val="0"/>
          </rPr>
          <t xml:space="preserve">
Click on green box and enter the number of acres to be seeded.</t>
        </r>
      </text>
    </comment>
    <comment ref="G129" authorId="0">
      <text>
        <r>
          <rPr>
            <b/>
            <sz val="8"/>
            <rFont val="Tahoma"/>
            <family val="0"/>
          </rPr>
          <t>Instructions:</t>
        </r>
        <r>
          <rPr>
            <sz val="8"/>
            <rFont val="Tahoma"/>
            <family val="0"/>
          </rPr>
          <t xml:space="preserve">
Click on green box nad enter the acres of brush to be controlled.</t>
        </r>
      </text>
    </comment>
    <comment ref="O121" authorId="0">
      <text>
        <r>
          <rPr>
            <b/>
            <sz val="8"/>
            <rFont val="Tahoma"/>
            <family val="0"/>
          </rPr>
          <t>Instructions:</t>
        </r>
        <r>
          <rPr>
            <sz val="8"/>
            <rFont val="Tahoma"/>
            <family val="0"/>
          </rPr>
          <t xml:space="preserve">
Click on green box and enter the acres pf tree and shrub planting.</t>
        </r>
      </text>
    </comment>
    <comment ref="O129" authorId="0">
      <text>
        <r>
          <rPr>
            <b/>
            <sz val="8"/>
            <rFont val="Tahoma"/>
            <family val="0"/>
          </rPr>
          <t>Instructions:</t>
        </r>
        <r>
          <rPr>
            <sz val="8"/>
            <rFont val="Tahoma"/>
            <family val="0"/>
          </rPr>
          <t xml:space="preserve">
Click on the green box and enter the acres of pest management planned.  This may included, but not limited to control of the lps beetle.</t>
        </r>
      </text>
    </comment>
    <comment ref="G132" authorId="0">
      <text>
        <r>
          <rPr>
            <b/>
            <sz val="8"/>
            <rFont val="Tahoma"/>
            <family val="0"/>
          </rPr>
          <t>Instructions:</t>
        </r>
        <r>
          <rPr>
            <sz val="8"/>
            <rFont val="Tahoma"/>
            <family val="0"/>
          </rPr>
          <t xml:space="preserve">
Click on the green box and enter the acres of forest land to be improved.  This may include, but not limited to the tree thinning and slash management</t>
        </r>
      </text>
    </comment>
    <comment ref="G135" authorId="0">
      <text>
        <r>
          <rPr>
            <b/>
            <sz val="8"/>
            <rFont val="Tahoma"/>
            <family val="0"/>
          </rPr>
          <t>Instructions:</t>
        </r>
        <r>
          <rPr>
            <sz val="8"/>
            <rFont val="Tahoma"/>
            <family val="0"/>
          </rPr>
          <t xml:space="preserve">
Click on the green box and enter the acres of planned prescribed burning.</t>
        </r>
      </text>
    </comment>
    <comment ref="O132" authorId="0">
      <text>
        <r>
          <rPr>
            <b/>
            <sz val="8"/>
            <rFont val="Tahoma"/>
            <family val="0"/>
          </rPr>
          <t>Instructions:</t>
        </r>
        <r>
          <rPr>
            <sz val="8"/>
            <rFont val="Tahoma"/>
            <family val="0"/>
          </rPr>
          <t xml:space="preserve">
Click on the green box and enter the acres of trees to be trimmed or otherwise pruned.</t>
        </r>
      </text>
    </comment>
    <comment ref="R11" authorId="1">
      <text>
        <r>
          <rPr>
            <b/>
            <sz val="8"/>
            <rFont val="Tahoma"/>
            <family val="2"/>
          </rPr>
          <t>Instructions:</t>
        </r>
        <r>
          <rPr>
            <sz val="8"/>
            <rFont val="Tahoma"/>
            <family val="0"/>
          </rPr>
          <t xml:space="preserve">
Click on the green box.  Then click on the down-arrow and select the correct response from the pull-down list.
</t>
        </r>
      </text>
    </comment>
    <comment ref="M63"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I73" authorId="0">
      <text>
        <r>
          <rPr>
            <b/>
            <sz val="8"/>
            <rFont val="Tahoma"/>
            <family val="0"/>
          </rPr>
          <t>Instructions:</t>
        </r>
        <r>
          <rPr>
            <sz val="8"/>
            <rFont val="Tahoma"/>
            <family val="0"/>
          </rPr>
          <t xml:space="preserve">
Click on the green box.  Enter the number of acres that are affected by soil erosion caused by concentrated flow.</t>
        </r>
      </text>
    </comment>
    <comment ref="R13" authorId="1">
      <text>
        <r>
          <rPr>
            <b/>
            <sz val="8"/>
            <rFont val="Tahoma"/>
            <family val="2"/>
          </rPr>
          <t>Instructions:</t>
        </r>
        <r>
          <rPr>
            <sz val="8"/>
            <rFont val="Tahoma"/>
            <family val="0"/>
          </rPr>
          <t xml:space="preserve">
Click on the green box.  Then click on the down-arrow and select the correct response from the pull-down list.
</t>
        </r>
      </text>
    </comment>
    <comment ref="O2" authorId="2">
      <text>
        <r>
          <rPr>
            <b/>
            <sz val="8"/>
            <rFont val="Tahoma"/>
            <family val="2"/>
          </rPr>
          <t>Instructions:</t>
        </r>
        <r>
          <rPr>
            <sz val="8"/>
            <rFont val="Tahoma"/>
            <family val="0"/>
          </rPr>
          <t xml:space="preserve">
Click on the box; type tract number.  Repeat as necessary.</t>
        </r>
      </text>
    </comment>
    <comment ref="O3" authorId="2">
      <text>
        <r>
          <rPr>
            <b/>
            <sz val="8"/>
            <rFont val="Tahoma"/>
            <family val="0"/>
          </rPr>
          <t xml:space="preserve">Instructions:
</t>
        </r>
        <r>
          <rPr>
            <sz val="8"/>
            <rFont val="Tahoma"/>
            <family val="2"/>
          </rPr>
          <t>Click on the box; enter the farm number.  In the case of a joint or expanded EQIP contract, enter the subsequent farm numbers of the participants using the blanks to the right.</t>
        </r>
      </text>
    </comment>
  </commentList>
</comments>
</file>

<file path=xl/sharedStrings.xml><?xml version="1.0" encoding="utf-8"?>
<sst xmlns="http://schemas.openxmlformats.org/spreadsheetml/2006/main" count="1331" uniqueCount="857">
  <si>
    <t>Improvement in the system efficiency for the irrigation on the offered acres</t>
  </si>
  <si>
    <r>
      <t xml:space="preserve">Does the current rangeland management practice on the tract number(s) listed above include a growing season grazing rotation and a </t>
    </r>
    <r>
      <rPr>
        <b/>
        <sz val="10"/>
        <rFont val="Arial"/>
        <family val="2"/>
      </rPr>
      <t>scheduled</t>
    </r>
    <r>
      <rPr>
        <sz val="10"/>
        <rFont val="Arial"/>
        <family val="2"/>
      </rPr>
      <t xml:space="preserve"> grazing frequency using more than a single pasture ? </t>
    </r>
  </si>
  <si>
    <t>If both #1 and #2 are "No or #1 is "No" and #2 is "Yes" the application is  LOW priority. If the application is LOW  priority you can stop, otherwise  proceed to Question #3.</t>
  </si>
  <si>
    <t>If both #1 and #2 are "no" application is LOW priority; if #3 is "yes" application is LOW priority.  If application is LOW priority you can stop, otherwise go to Question #4.</t>
  </si>
  <si>
    <t>If both #1 and #2 are "no" application is LOW priority; if #3 is "yes" application is LOW priority. If application is LOW priority, you can stop, otherwisw go to Question #4.</t>
  </si>
  <si>
    <t>Acreage of RSi improvement =</t>
  </si>
  <si>
    <t>A. Rangeland:</t>
  </si>
  <si>
    <t>Site Number</t>
  </si>
  <si>
    <t>Targets rangelands with the lowest similarity index and pastureland with lowest productivity index.</t>
  </si>
  <si>
    <t>Acreage of PPi improvement =</t>
  </si>
  <si>
    <t>B. Pasture:</t>
  </si>
  <si>
    <t>The implemented grazing system and facilitating practices favor a State species of special concern, State threatened species, Federal candidate species, or a declining species.  (5 points)</t>
  </si>
  <si>
    <t xml:space="preserve"> 0-15% =  Low   15-30% = Medium    30-45% = Medium High           &gt;45% = High</t>
  </si>
  <si>
    <t xml:space="preserve">Forest Erosion Index (FEI) = </t>
  </si>
  <si>
    <t>(c) No scheduled grazing rotation and each pasture is grazed once during grazing season. (0 points)</t>
  </si>
  <si>
    <t>Plan is part of an area forest management plan that involves at least two adjacent properties.</t>
  </si>
  <si>
    <t>The implemented forest system and facilitating practices favor a State species of special concern, State threatened species, Federal candidate species, or a declining species.  (5 points)</t>
  </si>
  <si>
    <t>The implemented forest system and facilitating practices favor a State endangered or Federal threatened or endangered species. (4 points)</t>
  </si>
  <si>
    <t>The implemented forest system and facilitating practices favor a declining native or economically important species.  (3 points)</t>
  </si>
  <si>
    <t>The implemented forest system and facilitating practices favor species with stable or increasing populations, or are not otherwise listed.  (2 points)</t>
  </si>
  <si>
    <t>No species benefited.  (0 points)</t>
  </si>
  <si>
    <t>Water Division name:</t>
  </si>
  <si>
    <t>Offered acres located in one of the Arkansas River Water Divsions representing the irrigated mountain meadow reaches and identified by aging infrastructure including points of diversion and conveyance systems. (10 points)</t>
  </si>
  <si>
    <t>Offered acres located in the irrigated mountain meadow reaches of the South Platte Basin and identified by aging infrastructure including points of diversion and conveyance systems. (10 points)</t>
  </si>
  <si>
    <t>Reduction in gully or ephemeral erosion. Based on the percent of the offered acres affected by ephemeral and/or classic gullies and runoff potential.</t>
  </si>
  <si>
    <t>Identifes the limiting factors that will be addressed with the conservation treatment as documented in WHEG or WSM.</t>
  </si>
  <si>
    <t>The implemented conservation system favors a State species of special concern, State threatened species, Federal candidate species, or a declining species.  (5 points)</t>
  </si>
  <si>
    <t>The implemented conservation system favors a State endangered or Federal threatened or endangered species. (4 points)</t>
  </si>
  <si>
    <t>The implemented conservation system favors a declining native or economically important species.  (3 points)</t>
  </si>
  <si>
    <t>The implemented conservation system and facilitating practices favor species with stable or increasing populations, or are not otherwise listed.  (2 points)</t>
  </si>
  <si>
    <t>No species benefited. (0 points)</t>
  </si>
  <si>
    <t>The implemented grazing system and facilitating practices favor a State endangered or Federal threatened or endangered species. (4 points)</t>
  </si>
  <si>
    <t>The implemented grazing system and facilitating practices favor a declining native or economically important species.  (3 points)</t>
  </si>
  <si>
    <r>
      <t xml:space="preserve">Scores points for those applications with lower cost based on the total cost that includes funds from all sources.  </t>
    </r>
    <r>
      <rPr>
        <b/>
        <sz val="10"/>
        <rFont val="Arial"/>
        <family val="2"/>
      </rPr>
      <t>Points for element can not be greater than 20 points or not less than 0.</t>
    </r>
  </si>
  <si>
    <t>If #1 is "no" and #4  "yes" application is HIGH priority; otherwise application is MEDIUM priority.</t>
  </si>
  <si>
    <t>Total Points = -3.4901*[lnC3]+28.206; minimum number of points = 0; maximum = 20 points.</t>
  </si>
  <si>
    <r>
      <t xml:space="preserve">Scores points for those applications with lower cost based on the total cost that includes funds from all sources.  </t>
    </r>
    <r>
      <rPr>
        <b/>
        <sz val="10"/>
        <rFont val="Arial"/>
        <family val="2"/>
      </rPr>
      <t>Points for element can not be greater than 15 points and not less than 0.</t>
    </r>
  </si>
  <si>
    <t>Total Points = -6.3898*[lnC3]+29.188; minimum number of points = 0; maximum points = 15.</t>
  </si>
  <si>
    <r>
      <t xml:space="preserve">Scores points for those applications with lower cost based on the total cost that includes funds from all sources.  </t>
    </r>
    <r>
      <rPr>
        <b/>
        <sz val="10"/>
        <rFont val="Arial"/>
        <family val="2"/>
      </rPr>
      <t>Points for element can not be greater than 15 points or be less than 0.</t>
    </r>
  </si>
  <si>
    <t>Total Points = -3.2836*ln[C3]+20.509; minimum points = 0; maximum points = 15.</t>
  </si>
  <si>
    <r>
      <t xml:space="preserve">Scores points for those applications with lower cost based on the total cost that includes funds from all sources. </t>
    </r>
    <r>
      <rPr>
        <b/>
        <sz val="10"/>
        <rFont val="Arial"/>
        <family val="2"/>
      </rPr>
      <t xml:space="preserve"> Points for element can not be greater than 10 points and not less than 0.</t>
    </r>
  </si>
  <si>
    <t>Total Points = -3.0069*[lnC3]+19.041; minimum number of points = 0; maximum points = 10.</t>
  </si>
  <si>
    <t>Total Points = -4.2252*[lnC3]+23.705; minimum number of points = 0; maximum points = 15.</t>
  </si>
  <si>
    <t>The implemented grazing system and facilitating practices favor species with stable or increasing populations, or are not otherwise listed.  (2 points)</t>
  </si>
  <si>
    <t>WHEG or WSM</t>
  </si>
  <si>
    <t>Grazing Schedule</t>
  </si>
  <si>
    <t>Application's Total Acreage (TA):</t>
  </si>
  <si>
    <t>Below, describe the project actions associated with the overall operation of the ranching/farming enterprise that will be implemented that enhances the wildlife habitat.  List the habitat type, target species and provide the reasons why the improvements will benefit wildlife:</t>
  </si>
  <si>
    <t>Part I.  Producer/Land Unit Information</t>
  </si>
  <si>
    <t>Part II.  Screening Tool</t>
  </si>
  <si>
    <t>Part III.  Environmental Benefit and Cost-Benefit Assessment Effectiveness</t>
  </si>
  <si>
    <t>Part IV.  Ranking Elements-Primary Resource Impact Summary</t>
  </si>
  <si>
    <t>Part V.  Ranking Elements-Multiple Resource Benefit Impact Summary</t>
  </si>
  <si>
    <t>Part III.  Environmental Benefit Emphasis and Cost-Benefit Effectiveness</t>
  </si>
  <si>
    <t>Part IV.  Ranking Elements-Resource Impact Summary</t>
  </si>
  <si>
    <t>B. Water Erosion Potential</t>
  </si>
  <si>
    <t>A. Invasive Species/Pest Potential</t>
  </si>
  <si>
    <t>Hydrologic Group (A,B,C,D)=</t>
  </si>
  <si>
    <t>Erodibility Index (EI), RKLS / T =</t>
  </si>
  <si>
    <t xml:space="preserve">Invasive Species/Pest Points= </t>
  </si>
  <si>
    <t xml:space="preserve">  50-75 =   5</t>
  </si>
  <si>
    <t xml:space="preserve">  25-50 =  10</t>
  </si>
  <si>
    <t xml:space="preserve">  75-100 = 0</t>
  </si>
  <si>
    <t xml:space="preserve">    0-25 =  20</t>
  </si>
  <si>
    <t>(a) Grazing frequency is modified to allow each pasture within a grazing cell to be grazed more than one time during grazing season. (9 points)</t>
  </si>
  <si>
    <r>
      <t xml:space="preserve">Scores points for those applicants willing to participate in cooperative arrangements.  NO DATA ENTRY REQUIRED.  </t>
    </r>
    <r>
      <rPr>
        <b/>
        <sz val="10"/>
        <rFont val="Arial"/>
        <family val="2"/>
      </rPr>
      <t>Maximum number of points = 27 points.</t>
    </r>
  </si>
  <si>
    <t>J1</t>
  </si>
  <si>
    <t>J2</t>
  </si>
  <si>
    <t>J3</t>
  </si>
  <si>
    <t>S1</t>
  </si>
  <si>
    <t>S2</t>
  </si>
  <si>
    <t>S3</t>
  </si>
  <si>
    <t>S4</t>
  </si>
  <si>
    <t>N1</t>
  </si>
  <si>
    <t>N2</t>
  </si>
  <si>
    <t>N3</t>
  </si>
  <si>
    <t>V1</t>
  </si>
  <si>
    <t>V2</t>
  </si>
  <si>
    <t>Total Points = N2*N3</t>
  </si>
  <si>
    <t>Total points = V2*Km</t>
  </si>
  <si>
    <t>W1</t>
  </si>
  <si>
    <t>W2</t>
  </si>
  <si>
    <t>W3</t>
  </si>
  <si>
    <t>W4</t>
  </si>
  <si>
    <t>W5</t>
  </si>
  <si>
    <t>Total Points = W4+ W5</t>
  </si>
  <si>
    <r>
      <t xml:space="preserve">Scores points for those applicants willing to participate in cooperative arrangements. NO DATA ENTRY REQUIRED. </t>
    </r>
    <r>
      <rPr>
        <b/>
        <sz val="10"/>
        <rFont val="Arial"/>
        <family val="2"/>
      </rPr>
      <t>Maximum number of points = 10 points</t>
    </r>
  </si>
  <si>
    <t>N4</t>
  </si>
  <si>
    <t>N5</t>
  </si>
  <si>
    <t>M1</t>
  </si>
  <si>
    <t>M2</t>
  </si>
  <si>
    <t>M3</t>
  </si>
  <si>
    <t>M4</t>
  </si>
  <si>
    <t xml:space="preserve">Total Points = sum m1 thru m3 multiplied by m4 </t>
  </si>
  <si>
    <t>G1</t>
  </si>
  <si>
    <t>G1a</t>
  </si>
  <si>
    <t>G2</t>
  </si>
  <si>
    <t>G2a</t>
  </si>
  <si>
    <t>G3</t>
  </si>
  <si>
    <t>G3a</t>
  </si>
  <si>
    <t>G4</t>
  </si>
  <si>
    <t>G4a</t>
  </si>
  <si>
    <t>G10</t>
  </si>
  <si>
    <t>G5</t>
  </si>
  <si>
    <t>G5a</t>
  </si>
  <si>
    <t>Total Points = W4+W5</t>
  </si>
  <si>
    <t>S5</t>
  </si>
  <si>
    <t>S6</t>
  </si>
  <si>
    <t>S7</t>
  </si>
  <si>
    <t>S8</t>
  </si>
  <si>
    <t>S9</t>
  </si>
  <si>
    <t>S10</t>
  </si>
  <si>
    <t>S11</t>
  </si>
  <si>
    <t xml:space="preserve">Total Points = S10+S11 </t>
  </si>
  <si>
    <t>Total Points = N3*N4</t>
  </si>
  <si>
    <t>N6</t>
  </si>
  <si>
    <t>N8</t>
  </si>
  <si>
    <t>Total Points = N7*N8</t>
  </si>
  <si>
    <t xml:space="preserve">     1-15% =  2.5    15-30% = 5.0     30-45% = 7.5     &gt;45% = 10.0</t>
  </si>
  <si>
    <t>N9</t>
  </si>
  <si>
    <t>N10</t>
  </si>
  <si>
    <t>N11</t>
  </si>
  <si>
    <t>N12</t>
  </si>
  <si>
    <t>N13</t>
  </si>
  <si>
    <t>Total Points= N11*N12*N13</t>
  </si>
  <si>
    <t>D1</t>
  </si>
  <si>
    <t>D2</t>
  </si>
  <si>
    <t>D3</t>
  </si>
  <si>
    <t>D4</t>
  </si>
  <si>
    <t>D5</t>
  </si>
  <si>
    <t>D6</t>
  </si>
  <si>
    <t>D7</t>
  </si>
  <si>
    <t>D8</t>
  </si>
  <si>
    <t>D9</t>
  </si>
  <si>
    <t>D10</t>
  </si>
  <si>
    <t>D11</t>
  </si>
  <si>
    <t>Total Points = D7+D11</t>
  </si>
  <si>
    <t>Q1</t>
  </si>
  <si>
    <t>Q2</t>
  </si>
  <si>
    <t>Q3</t>
  </si>
  <si>
    <t>Total Points = Q1+Q2+Q3</t>
  </si>
  <si>
    <t>Total Points = W4 + W5</t>
  </si>
  <si>
    <t>A1</t>
  </si>
  <si>
    <t>A2</t>
  </si>
  <si>
    <t>A3</t>
  </si>
  <si>
    <t>A4</t>
  </si>
  <si>
    <t>Total Points = A1+A2+A3+A4</t>
  </si>
  <si>
    <t xml:space="preserve">Total Points = S6+S8 </t>
  </si>
  <si>
    <t>If #1 is"no" and/or #2 is "yes", application is considered a LOW priority.  Go to Question #3.</t>
  </si>
  <si>
    <t>Total land treated (entered in Part I above), acres =</t>
  </si>
  <si>
    <r>
      <t>NOTE:</t>
    </r>
    <r>
      <rPr>
        <sz val="10"/>
        <rFont val="Arial"/>
        <family val="0"/>
      </rPr>
      <t xml:space="preserve"> EI points = 6.8347ln(EI)-12.837                                                         </t>
    </r>
    <r>
      <rPr>
        <b/>
        <sz val="10"/>
        <rFont val="Arial"/>
        <family val="2"/>
      </rPr>
      <t xml:space="preserve"> NOTE:</t>
    </r>
    <r>
      <rPr>
        <sz val="10"/>
        <rFont val="Arial"/>
        <family val="0"/>
      </rPr>
      <t xml:space="preserve"> If EI (S8 &amp; S9) is less than 8, the EI points (S10 &amp; S11) is equal to 0.01</t>
    </r>
  </si>
  <si>
    <t>Total Project Cost (includes funds from ALL sources), dollars =</t>
  </si>
  <si>
    <t>C1</t>
  </si>
  <si>
    <t>C2</t>
  </si>
  <si>
    <t>C3</t>
  </si>
  <si>
    <t xml:space="preserve">Cost per unit land area, $/acre = </t>
  </si>
  <si>
    <t>Cost per unit land area, $/acre =</t>
  </si>
  <si>
    <r>
      <t xml:space="preserve">Element considers applicants with wildlife partner leveraged funds and those wishing to participate in cooperative arrangements.  </t>
    </r>
    <r>
      <rPr>
        <b/>
        <sz val="10"/>
        <rFont val="Arial"/>
        <family val="2"/>
      </rPr>
      <t>Maximum number of points = 20.</t>
    </r>
  </si>
  <si>
    <t>J4</t>
  </si>
  <si>
    <r>
      <t xml:space="preserve">Will the planned treatment address either </t>
    </r>
    <r>
      <rPr>
        <b/>
        <sz val="10"/>
        <rFont val="Arial"/>
        <family val="2"/>
      </rPr>
      <t>(a)</t>
    </r>
    <r>
      <rPr>
        <sz val="10"/>
        <rFont val="Arial"/>
        <family val="2"/>
      </rPr>
      <t xml:space="preserve"> a wildfire prevention/recovery effort or </t>
    </r>
    <r>
      <rPr>
        <b/>
        <sz val="10"/>
        <rFont val="Arial"/>
        <family val="2"/>
      </rPr>
      <t>(b)</t>
    </r>
    <r>
      <rPr>
        <sz val="10"/>
        <rFont val="Arial"/>
        <family val="2"/>
      </rPr>
      <t xml:space="preserve"> an existing bark beetle infestation ?  (If a or b is "ÿes" answer "yes" to question)</t>
    </r>
  </si>
  <si>
    <r>
      <t>NOTE:</t>
    </r>
    <r>
      <rPr>
        <sz val="10"/>
        <rFont val="Arial"/>
        <family val="0"/>
      </rPr>
      <t xml:space="preserve"> EI points (S8) = 4.4117ln(EI)+4.1206</t>
    </r>
  </si>
  <si>
    <t>Joint/Cooperative Agreement Participation and Forest Management Plan Development</t>
  </si>
  <si>
    <r>
      <t xml:space="preserve">Element considers applicants wishing to participate in cooperative arrangements. </t>
    </r>
    <r>
      <rPr>
        <b/>
        <sz val="10"/>
        <rFont val="Arial"/>
        <family val="2"/>
      </rPr>
      <t>Maximum number of points = 15</t>
    </r>
  </si>
  <si>
    <t>Salinity Control</t>
  </si>
  <si>
    <t xml:space="preserve">Existing Erosion Hazard Rating (Table IV-1(a)) = </t>
  </si>
  <si>
    <t>Forest Erosion Index (FEI), N3 = (N2/100)/(0.125/S7)</t>
  </si>
  <si>
    <t xml:space="preserve">Total Points = M1+M2+M3 multiplied by M4 expressed as a fraction (%/100)  </t>
  </si>
  <si>
    <t xml:space="preserve">Point Subtotal (A) [(G1a+G2a+G3a)*0.675] = </t>
  </si>
  <si>
    <t xml:space="preserve">Point Subtotal (B) [(G4a+G5a+G6a+G7a+G8a)*0.675)] = </t>
  </si>
  <si>
    <t>Total Points = G4+G9</t>
  </si>
  <si>
    <t>G6</t>
  </si>
  <si>
    <t>G6a</t>
  </si>
  <si>
    <t>G7</t>
  </si>
  <si>
    <t>G7a</t>
  </si>
  <si>
    <t>G8</t>
  </si>
  <si>
    <t>G8a</t>
  </si>
  <si>
    <t>G9</t>
  </si>
  <si>
    <t>Element recognizes conservation treament needs for improvement in ground cover and grazingland renovation as a result of drought impacts.  Element consists of two parts; Part A addresses the improved forage and Part B the enhanced plant community and understory.</t>
  </si>
  <si>
    <t xml:space="preserve">The proposed project acres located in a State identified wildlife area. (10 points)   </t>
  </si>
  <si>
    <r>
      <t>Benchmark Irrigation-Induced Erosion Index (Before Treatment Condition), EI</t>
    </r>
    <r>
      <rPr>
        <vertAlign val="subscript"/>
        <sz val="10"/>
        <rFont val="Arial"/>
        <family val="2"/>
      </rPr>
      <t>b</t>
    </r>
    <r>
      <rPr>
        <sz val="10"/>
        <rFont val="Arial"/>
        <family val="0"/>
      </rPr>
      <t xml:space="preserve"> =</t>
    </r>
  </si>
  <si>
    <t>I1</t>
  </si>
  <si>
    <r>
      <t>Planned Irrigation-Induced Erosion Index (After Treatment Condition), EI</t>
    </r>
    <r>
      <rPr>
        <vertAlign val="subscript"/>
        <sz val="10"/>
        <rFont val="Arial"/>
        <family val="2"/>
      </rPr>
      <t>p</t>
    </r>
    <r>
      <rPr>
        <sz val="10"/>
        <rFont val="Arial"/>
        <family val="0"/>
      </rPr>
      <t xml:space="preserve"> =</t>
    </r>
  </si>
  <si>
    <t>I2</t>
  </si>
  <si>
    <t>I3</t>
  </si>
  <si>
    <t>Soil saved on offered acres based on the reduction in the NRCS irrigation-induced erosion index and use of polyacrylamides as an innovative practice.</t>
  </si>
  <si>
    <t>Difference between before and after, (I1-I2) =</t>
  </si>
  <si>
    <t>Acres of polyacrylamide application acres =</t>
  </si>
  <si>
    <t xml:space="preserve">Percent of offered acres treated with polyacrylamides= </t>
  </si>
  <si>
    <t>Check the box if irrigation erosion is an identified resource concern.</t>
  </si>
  <si>
    <t>Improved management of biosolids, primarily animal wastes obtained from off-site sources and on-site sources.  Points based on the land base in  the application that receives manure applications.  Element defines the risk of nutrient enrichment of the shallow water tables.</t>
  </si>
  <si>
    <t>No manure is applied to land base represented in application. (0 points)</t>
  </si>
  <si>
    <t>Land base represented receives manure annually for more than 3 years running. (8 points)</t>
  </si>
  <si>
    <t>Land base represented receives manure less frequently than in alternate years. (1 point)</t>
  </si>
  <si>
    <t>Land base represented in application receives manure in alternate years. (2.5 points)</t>
  </si>
  <si>
    <t>Land base represented receives manure annually for 2 or 3 years running. (5 points)</t>
  </si>
  <si>
    <r>
      <t>Note:</t>
    </r>
    <r>
      <rPr>
        <sz val="10"/>
        <rFont val="Arial"/>
        <family val="0"/>
      </rPr>
      <t xml:space="preserve"> If points in IV-2 above equals 0, points for this element is equal to 0.</t>
    </r>
  </si>
  <si>
    <t>New erosion control dam(s) or existing renovation needed, if checked Km = 1.5; otherwise Km = 1.0</t>
  </si>
  <si>
    <r>
      <t>Erosion control dam factor, K</t>
    </r>
    <r>
      <rPr>
        <vertAlign val="subscript"/>
        <sz val="10"/>
        <rFont val="Arial"/>
        <family val="2"/>
      </rPr>
      <t>m</t>
    </r>
    <r>
      <rPr>
        <sz val="10"/>
        <rFont val="Arial"/>
        <family val="0"/>
      </rPr>
      <t xml:space="preserve"> =</t>
    </r>
  </si>
  <si>
    <t>Landscape factor (from Table IV-3 below) =</t>
  </si>
  <si>
    <t>N3= N1-N2</t>
  </si>
  <si>
    <r>
      <t>Points per unit erosion reduction, K</t>
    </r>
    <r>
      <rPr>
        <vertAlign val="subscript"/>
        <sz val="10"/>
        <rFont val="Arial"/>
        <family val="2"/>
      </rPr>
      <t>m</t>
    </r>
    <r>
      <rPr>
        <sz val="10"/>
        <rFont val="Arial"/>
        <family val="0"/>
      </rPr>
      <t xml:space="preserve"> =</t>
    </r>
  </si>
  <si>
    <t>Reduction in sheet and rill eroson on offered acres as an identified CPA-52 resource concern.</t>
  </si>
  <si>
    <t>Reduction in wind erosion on offered acres as an identified CPA-52 resource concern.</t>
  </si>
  <si>
    <t>N7= N5-N6</t>
  </si>
  <si>
    <r>
      <t xml:space="preserve">Multiple benefit of soil erosion reduction and increasing soil quality by increasing crop diversity and intensity.  Based on the addition of crops to the rotation </t>
    </r>
    <r>
      <rPr>
        <b/>
        <i/>
        <sz val="10"/>
        <rFont val="Arial"/>
        <family val="2"/>
      </rPr>
      <t>(Part A)</t>
    </r>
    <r>
      <rPr>
        <i/>
        <sz val="10"/>
        <rFont val="Arial"/>
        <family val="0"/>
      </rPr>
      <t xml:space="preserve"> and/or converting lands to permanent cover</t>
    </r>
    <r>
      <rPr>
        <b/>
        <i/>
        <sz val="10"/>
        <rFont val="Arial"/>
        <family val="2"/>
      </rPr>
      <t xml:space="preserve"> (Part B)</t>
    </r>
    <r>
      <rPr>
        <i/>
        <sz val="10"/>
        <rFont val="Arial"/>
        <family val="0"/>
      </rPr>
      <t>.</t>
    </r>
  </si>
  <si>
    <t>(b) A scheduled rotation is used that will allow each pasture within a grazing cell to be grazed at a different time from year to year.  Each pasture is grazed once during each grazing season. (5 points)</t>
  </si>
  <si>
    <t>Water Division #11-Arkansas Headwaters</t>
  </si>
  <si>
    <t>Water Division #13-Texas/Grape Creek</t>
  </si>
  <si>
    <t>Water Division #15-Upper St. Charles</t>
  </si>
  <si>
    <t>Water Division #79-Upper Huerfano</t>
  </si>
  <si>
    <t>Water Division #16-Upper Cucharas</t>
  </si>
  <si>
    <t>Water Division #19-Upper Purgatoire</t>
  </si>
  <si>
    <t>(e) Forage analysis (5)</t>
  </si>
  <si>
    <t>(i) Pasture/Range Seeding (acres):</t>
  </si>
  <si>
    <t>(i) Brush Management (acres):</t>
  </si>
  <si>
    <t xml:space="preserve">(ii) Forest Stand Improvement (acres): </t>
  </si>
  <si>
    <t>(iii) Pest Management (acres):</t>
  </si>
  <si>
    <t xml:space="preserve">Subtotal: Joint/Cooperative Agreement Participation Points (2 points per entity) = </t>
  </si>
  <si>
    <t>Of the total acres offered in this application is at least 65 percent of the acres considered forestland ?</t>
  </si>
  <si>
    <t>Scores points for those applications demonstrating higher level of performance with long-lived, enduring practices with an existing plan.</t>
  </si>
  <si>
    <t>No. of LL Entities:</t>
  </si>
  <si>
    <t>Lateral Group Joint Agreement (LL):</t>
  </si>
  <si>
    <t>Other Joint Agreement (OJ):</t>
  </si>
  <si>
    <t>No. of OJ Entities =</t>
  </si>
  <si>
    <t>Proportion of Shares (%):</t>
  </si>
  <si>
    <t>Number of riparian acres improved =</t>
  </si>
  <si>
    <t xml:space="preserve">Subtotal-Grazing Rotation = </t>
  </si>
  <si>
    <t xml:space="preserve">Subtotal-Grazing Intensity = </t>
  </si>
  <si>
    <t xml:space="preserve">Subtotal-Land Monitoring = </t>
  </si>
  <si>
    <t>Subtotal-Species Benefited =</t>
  </si>
  <si>
    <t>Signature of wildlife partner Reviewer:</t>
  </si>
  <si>
    <t>The project acres are not located in either of the above target wildlife areas (0 points)</t>
  </si>
  <si>
    <t>Has the applicant had a previous cost-share contract that was cancelled (terminated) due to lack of progress or where the installed practices failed due to lack of maintenance ?</t>
  </si>
  <si>
    <r>
      <t xml:space="preserve"> If cropland, will there be any land planted to permanent vegetation </t>
    </r>
    <r>
      <rPr>
        <b/>
        <sz val="10"/>
        <rFont val="Arial"/>
        <family val="2"/>
      </rPr>
      <t>OR</t>
    </r>
    <r>
      <rPr>
        <sz val="10"/>
        <rFont val="Arial"/>
        <family val="2"/>
      </rPr>
      <t xml:space="preserve"> if rangeland will there be a change in</t>
    </r>
    <r>
      <rPr>
        <i/>
        <sz val="10"/>
        <rFont val="Arial"/>
        <family val="2"/>
      </rPr>
      <t xml:space="preserve"> both</t>
    </r>
    <r>
      <rPr>
        <sz val="10"/>
        <rFont val="Arial"/>
        <family val="2"/>
      </rPr>
      <t xml:space="preserve"> the grazing rotation </t>
    </r>
    <r>
      <rPr>
        <i/>
        <sz val="10"/>
        <rFont val="Arial"/>
        <family val="2"/>
      </rPr>
      <t>and</t>
    </r>
    <r>
      <rPr>
        <sz val="10"/>
        <rFont val="Arial"/>
        <family val="2"/>
      </rPr>
      <t xml:space="preserve"> grazing frequency ?</t>
    </r>
  </si>
  <si>
    <t xml:space="preserve">Subtotal: Contributing Wildlife Partner Participation Points (3 points per entity) = </t>
  </si>
  <si>
    <t>The proposed project acres located in a Locally recognized, identified wildlife area. (7.5 points)</t>
  </si>
  <si>
    <t>Saline/Sodic conditions of the offered acres have been documented based on a grided georeferenced salinity survey (12 points)</t>
  </si>
  <si>
    <t>Saline/Sodic conditions of the offered acres have been documented based on laboratory tests using stratified random sampling where the strata selection is based on factors such as, but not limited to crop appearance difference, or salt accumulation on the soil surface. (10 points)</t>
  </si>
  <si>
    <t>Planned conservation treatment impacts the reduction of hazardous fuels for the prevention of wildfires.  (8 points)</t>
  </si>
  <si>
    <t>Planned conservation treatment is part of a post-burn recovery effort.  (11 points)</t>
  </si>
  <si>
    <t>Application DOES NOT include planned treatment related to either prevention or post-burn recovery.  (0 points)</t>
  </si>
  <si>
    <t>Saline/Sodic conditions of the offered acres have been documented based on laboratory tests where samples were taken in a problem area based on factors such as, but not limited to crop appearance differences, or salt accumulation on the soil surface and compared to a non-affected area. (7 points)</t>
  </si>
  <si>
    <t>W1)</t>
  </si>
  <si>
    <t>W2)</t>
  </si>
  <si>
    <t>W3)</t>
  </si>
  <si>
    <t>W4)</t>
  </si>
  <si>
    <t>Nutrients are applied according to site specifc, grid based sampling (12 points)</t>
  </si>
  <si>
    <t>Nutrients are applied non-site specifc based on conventional soil sampling techniques (8 points)</t>
  </si>
  <si>
    <t>W5)</t>
  </si>
  <si>
    <t xml:space="preserve">Points for Element III-4 = </t>
  </si>
  <si>
    <t>Resource tool(s) to be used:</t>
  </si>
  <si>
    <t xml:space="preserve">Points for Element IV-4 = </t>
  </si>
  <si>
    <t>Element-5:</t>
  </si>
  <si>
    <t xml:space="preserve">Points for Element IV-5 = </t>
  </si>
  <si>
    <t>Element-6:</t>
  </si>
  <si>
    <t xml:space="preserve">Points for Element IV-6 = </t>
  </si>
  <si>
    <t>Will there be at least one enduring structural practice installed that directly affects the use of irrigation water, such as, but not limited to, concrete ditch lining, underground pipe, and land leveling ?</t>
  </si>
  <si>
    <t>National/State/Watershed/Local Emphasis Resource Areas</t>
  </si>
  <si>
    <r>
      <t>Is this application for a joint/cooperative agreement involving an irrigation</t>
    </r>
    <r>
      <rPr>
        <b/>
        <sz val="10"/>
        <rFont val="Arial"/>
        <family val="2"/>
      </rPr>
      <t xml:space="preserve"> lateral</t>
    </r>
    <r>
      <rPr>
        <sz val="10"/>
        <rFont val="Arial"/>
        <family val="2"/>
      </rPr>
      <t xml:space="preserve"> group ?</t>
    </r>
  </si>
  <si>
    <t xml:space="preserve">Subtotal: Other Joint Agreement Participation Points (2 points per entity) = </t>
  </si>
  <si>
    <t>Identifes significance of resource areas of special emphasis and concern.</t>
  </si>
  <si>
    <t>Not Applicable</t>
  </si>
  <si>
    <t>(c) Transects (3)</t>
  </si>
  <si>
    <t>Assessment of Existing (Benchmark) Site Specific Rangeland/Grazingland Condition</t>
  </si>
  <si>
    <t>(c) No scheduled grazing rotation and each pasture is grazed is grazed once during grazing season. (0 points)</t>
  </si>
  <si>
    <t>Tract Number(s):</t>
  </si>
  <si>
    <t>Location:</t>
  </si>
  <si>
    <t>Planner:</t>
  </si>
  <si>
    <t>Total Points:</t>
  </si>
  <si>
    <t>CONTRACT OFFER INDEX =</t>
  </si>
  <si>
    <t>Application Review</t>
  </si>
  <si>
    <t>Certification that this application has been reviewed by a SE Colorado wildlife partner.</t>
  </si>
  <si>
    <t>REVIEWER COMMENTS:</t>
  </si>
  <si>
    <t>Benchmark Erosion Rate (t/ac/yr) =</t>
  </si>
  <si>
    <t>Planned Erosion Rate (t/ac/yr) =</t>
  </si>
  <si>
    <r>
      <t>Element Multiplier, K</t>
    </r>
    <r>
      <rPr>
        <vertAlign val="subscript"/>
        <sz val="10"/>
        <rFont val="Arial"/>
        <family val="2"/>
      </rPr>
      <t>m</t>
    </r>
    <r>
      <rPr>
        <sz val="10"/>
        <rFont val="Arial"/>
        <family val="0"/>
      </rPr>
      <t xml:space="preserve"> =</t>
    </r>
  </si>
  <si>
    <t>Reduction in Soil Erosion by Wind</t>
  </si>
  <si>
    <t>Reduction in wind erosion on offered acres.</t>
  </si>
  <si>
    <t>none</t>
  </si>
  <si>
    <t>Reduction in Soil Erosion by Water (Sheet and Rill)</t>
  </si>
  <si>
    <t>Reduction in Soil Erosion by Water from Concentrated Flow (Ephemeral and Gully)</t>
  </si>
  <si>
    <t>Producer/ Group Name:</t>
  </si>
  <si>
    <t>Farm Number(s):</t>
  </si>
  <si>
    <t>Date:</t>
  </si>
  <si>
    <t>Nutrient Management</t>
  </si>
  <si>
    <t>Nutrient Management Plan (acres) =</t>
  </si>
  <si>
    <t>Land area converted (acres)=</t>
  </si>
  <si>
    <t>Animal Waste Management-CNMP</t>
  </si>
  <si>
    <t>Producer/Group Name:</t>
  </si>
  <si>
    <t>Irrigation System/Irrigation Water Management</t>
  </si>
  <si>
    <t>Establishment of Permanent Vegetative Cover</t>
  </si>
  <si>
    <t>Reduction of Sediment Transport and Irrigation-Induced Erosion</t>
  </si>
  <si>
    <t>(iv) Tree/Shrub Pruning (acres):</t>
  </si>
  <si>
    <t>Has there been a forest management plan approved by qualified forester ?</t>
  </si>
  <si>
    <t>(iii) Prescribed Burning (acres):</t>
  </si>
  <si>
    <t>(ii) Critical Area Seeding (acres):</t>
  </si>
  <si>
    <t>(iv) Pest Management (acres):</t>
  </si>
  <si>
    <t>(v) Tree/Shrub Pruning (acres):</t>
  </si>
  <si>
    <t>(iii) Tree/Shrub Planting (acres):</t>
  </si>
  <si>
    <t xml:space="preserve">Subtotal: Area Forest Management Plan Points = </t>
  </si>
  <si>
    <t>Winter Annual</t>
  </si>
  <si>
    <t>Crops added to the rotation</t>
  </si>
  <si>
    <t>Holly, CO Northeast Prowers SCD</t>
  </si>
  <si>
    <t>Woodland Park, CO Teller/Park SCD</t>
  </si>
  <si>
    <t>L. Sutherland</t>
  </si>
  <si>
    <t>wwheat-fallow</t>
  </si>
  <si>
    <t>wwheat-sorghum-fallow</t>
  </si>
  <si>
    <t>Planned Crop Rotation:</t>
  </si>
  <si>
    <t>Summer Annual</t>
  </si>
  <si>
    <t>Current Crop Rotation:</t>
  </si>
  <si>
    <t>Rangeland similarity Index</t>
  </si>
  <si>
    <t xml:space="preserve">#1 = </t>
  </si>
  <si>
    <t xml:space="preserve">#2 = </t>
  </si>
  <si>
    <t xml:space="preserve">#3 = </t>
  </si>
  <si>
    <t xml:space="preserve">#4 = </t>
  </si>
  <si>
    <t xml:space="preserve">#5 = </t>
  </si>
  <si>
    <t>Grazing Management System Planned</t>
  </si>
  <si>
    <t>Acreage with given Range Similarity Index</t>
  </si>
  <si>
    <t>Current Pasture Productivity (lb/ac)</t>
  </si>
  <si>
    <t>Potential Pasture Productivity (lb/ac)</t>
  </si>
  <si>
    <t>Acreage</t>
  </si>
  <si>
    <t>Habitat Type</t>
  </si>
  <si>
    <t>Foothills</t>
  </si>
  <si>
    <t>Bird:</t>
  </si>
  <si>
    <t>Mammal:</t>
  </si>
  <si>
    <t>Fish:</t>
  </si>
  <si>
    <t>Preble's meadow jumping mouse</t>
  </si>
  <si>
    <t>R. Rhoades</t>
  </si>
  <si>
    <t>Joint Contract Agreement:</t>
  </si>
  <si>
    <t>Yes</t>
  </si>
  <si>
    <t>No</t>
  </si>
  <si>
    <t>(d) High Intensity Short Duration Grazing System (1 herd)</t>
  </si>
  <si>
    <t>Improved forage improvement of enhanced plant diversity and vigor by improved management of the grazing system</t>
  </si>
  <si>
    <t>Salida, CO Field Office</t>
  </si>
  <si>
    <t>Silver Cliff, CO Field Office</t>
  </si>
  <si>
    <r>
      <t>Soil Erosion Reduction, ER</t>
    </r>
    <r>
      <rPr>
        <vertAlign val="subscript"/>
        <sz val="10"/>
        <rFont val="Arial"/>
        <family val="2"/>
      </rPr>
      <t>a</t>
    </r>
    <r>
      <rPr>
        <sz val="10"/>
        <rFont val="Arial"/>
        <family val="0"/>
      </rPr>
      <t xml:space="preserve"> (t/ac/yr) =</t>
    </r>
  </si>
  <si>
    <t>Wind Erosion</t>
  </si>
  <si>
    <t>Climate Factor "C" =</t>
  </si>
  <si>
    <t>Soil Erodibility "I" =</t>
  </si>
  <si>
    <t>Soil Loss Tolerance "T" =</t>
  </si>
  <si>
    <t>Sheet and Rill Erosion</t>
  </si>
  <si>
    <t>Rainfall-Runoff Erosivity Factor "R" =</t>
  </si>
  <si>
    <t xml:space="preserve">Soil Erodibility Factor "K" = </t>
  </si>
  <si>
    <t>Slope Length/Steepness Factor "LS" =</t>
  </si>
  <si>
    <t>Identifes the site specific risk of soil degradation from wind and water erosion (sheet and rill)</t>
  </si>
  <si>
    <t>EI Points =</t>
  </si>
  <si>
    <t xml:space="preserve">Points for Element III-1 = </t>
  </si>
  <si>
    <t>Scores points for those applications demonstrating higher level of performance with long-lived practices</t>
  </si>
  <si>
    <t xml:space="preserve">Part A-Point Subtotal [G1a*0.675] = </t>
  </si>
  <si>
    <t xml:space="preserve">Part B-Point Subtotal [(G2a+G3a+G4a+G5a)*0.675] = </t>
  </si>
  <si>
    <t>TotalPoints= G2+G10</t>
  </si>
  <si>
    <t>Planned treatment does not include any enduring structural practices (0 points).</t>
  </si>
  <si>
    <t>P1</t>
  </si>
  <si>
    <t>P2</t>
  </si>
  <si>
    <t>Enduring practice points =</t>
  </si>
  <si>
    <t>Total Points = P1+P2</t>
  </si>
  <si>
    <t>Planned treatment does not include any enduring structural practices. (0 points)</t>
  </si>
  <si>
    <t>Total Points = (D1+D2) * D3</t>
  </si>
  <si>
    <t>Improved management towards regulating the water table and ground water flows for providing soil profile salt balance to sustain crop productivity and abatement of groundwater degradation.</t>
  </si>
  <si>
    <t>Total Points = P1</t>
  </si>
  <si>
    <t>Practice Longevity</t>
  </si>
  <si>
    <t xml:space="preserve">Points for Element III-2 = </t>
  </si>
  <si>
    <t>YES</t>
  </si>
  <si>
    <t>NO</t>
  </si>
  <si>
    <t>Resource tool to be used:</t>
  </si>
  <si>
    <t>RUSLE</t>
  </si>
  <si>
    <t>EXCEL-WEQ</t>
  </si>
  <si>
    <t>Cost-Benefit Effectiveness</t>
  </si>
  <si>
    <t xml:space="preserve">Points for Element III-3 = </t>
  </si>
  <si>
    <t xml:space="preserve">Points for Element IV-1 = </t>
  </si>
  <si>
    <t xml:space="preserve">Points for Element IV-2 = </t>
  </si>
  <si>
    <t>Soil Quality-Carbon Sequestration</t>
  </si>
  <si>
    <t>Below describe briefly the conservation treatment that will be implemented that results in the resource impact in Element #2:</t>
  </si>
  <si>
    <r>
      <t>B.</t>
    </r>
    <r>
      <rPr>
        <sz val="10"/>
        <rFont val="Arial"/>
        <family val="0"/>
      </rPr>
      <t xml:space="preserve">  Weighted Pasture Productivity Index, PPi =</t>
    </r>
  </si>
  <si>
    <t>Scores points for those applications demonstrating higher level of performance with long-lived, enduring practices</t>
  </si>
  <si>
    <t>Assessment of Site Specific Potential Erodibility-Wind and Water (Sheet and Rill)</t>
  </si>
  <si>
    <t>Number of affected acres =</t>
  </si>
  <si>
    <t xml:space="preserve">Points for Element IV-3 = </t>
  </si>
  <si>
    <t>Field bindweed</t>
  </si>
  <si>
    <t>Jointed Goatgrass</t>
  </si>
  <si>
    <t>Leafy spurge</t>
  </si>
  <si>
    <t>Number of cropland acres converted to permanent vegetation =</t>
  </si>
  <si>
    <t>Canada thistle</t>
  </si>
  <si>
    <t xml:space="preserve">Percent of offered acres = </t>
  </si>
  <si>
    <t>New, improved, or enhanced efforts in applying nutrient management. Points allowed ONLY where new, improved, or enhanced performance and implementaion of nutrient management is applied.</t>
  </si>
  <si>
    <t xml:space="preserve">Nutrient Recommendation Method Points = </t>
  </si>
  <si>
    <t>FIRS and TR21</t>
  </si>
  <si>
    <t>Eng Tech Note #23</t>
  </si>
  <si>
    <t xml:space="preserve">Offered land is converted to permanent vegetative cover to perennial species adapted to elevated salinity conditions. </t>
  </si>
  <si>
    <t>DSn =</t>
  </si>
  <si>
    <t>DSr =</t>
  </si>
  <si>
    <t>Is on-farm surface drainage system renovation needed?</t>
  </si>
  <si>
    <t>Application Total Points:</t>
  </si>
  <si>
    <t>There is no knowledge that saline/sodic conditions exist on the offered acres. (0 points)</t>
  </si>
  <si>
    <t>The implemented grazing system and facilitating practices do not favor the enhancement or improvement in wildlife habitat.  (0 points)</t>
  </si>
  <si>
    <t>A. Pest Management (Noxious Weed/Invasive Species) Assessment:</t>
  </si>
  <si>
    <t>? :</t>
  </si>
  <si>
    <t>J. "Wade" Sigler</t>
  </si>
  <si>
    <t>R. Fontaine</t>
  </si>
  <si>
    <t>C. Melcher</t>
  </si>
  <si>
    <t>W. "Ted" Lonnberg</t>
  </si>
  <si>
    <t>B. "B.J." Jones</t>
  </si>
  <si>
    <t>L."Pete" Ward, Jr.</t>
  </si>
  <si>
    <t>The implemented cropland system and facilitating practices do not favor the improvement or enhancement of wildlife habitat.  (0 points)</t>
  </si>
  <si>
    <t>Below describe briefly the conservation treatment that will be implemented that results in the resource impact in Element #6:</t>
  </si>
  <si>
    <t>Nutrients are applied according to perceived crop needs without consideration of current soil tests. (0 points)</t>
  </si>
  <si>
    <t>L.G. "Smitty" Smith</t>
  </si>
  <si>
    <r>
      <t>Weighting factor, W</t>
    </r>
    <r>
      <rPr>
        <vertAlign val="subscript"/>
        <sz val="10"/>
        <rFont val="Arial"/>
        <family val="2"/>
      </rPr>
      <t>t</t>
    </r>
    <r>
      <rPr>
        <sz val="10"/>
        <rFont val="Arial"/>
        <family val="0"/>
      </rPr>
      <t xml:space="preserve"> [D3)*D4)*D5)] =</t>
    </r>
  </si>
  <si>
    <t>Total dollars from wildlife partners =</t>
  </si>
  <si>
    <t>Assessment of Site Specific Potential Environmental Benefit</t>
  </si>
  <si>
    <t>Saline/sodic conditions of the offered acres have been documented based on a routine laboratory soil test. (5 points)</t>
  </si>
  <si>
    <t>There is a liklihood that a saline/sodic conditions exist on the offered acres based on crop appearance differences, or salt accumulation on the soil surface. (2 points)</t>
  </si>
  <si>
    <t>Name of wildlife partner organization:</t>
  </si>
  <si>
    <t>Colorado Division of Wildlife</t>
  </si>
  <si>
    <t>U.S. Fish and Wildlife Service</t>
  </si>
  <si>
    <t xml:space="preserve">Total Points for Element V-3 = </t>
  </si>
  <si>
    <t>Kind of Entity or Joint Operation:</t>
  </si>
  <si>
    <t>Individual</t>
  </si>
  <si>
    <t>Limited Liability Limited Partnership</t>
  </si>
  <si>
    <t xml:space="preserve">Total Points for Element V-1 = </t>
  </si>
  <si>
    <t>no.=</t>
  </si>
  <si>
    <t>Wind Erodibility Index (EI), CI / T =</t>
  </si>
  <si>
    <t>Water Erodibility Index (EI), RKLS / T =</t>
  </si>
  <si>
    <r>
      <t>Offered acres adjustment factor, L</t>
    </r>
    <r>
      <rPr>
        <vertAlign val="subscript"/>
        <sz val="10"/>
        <rFont val="Arial"/>
        <family val="2"/>
      </rPr>
      <t>adj</t>
    </r>
    <r>
      <rPr>
        <sz val="10"/>
        <rFont val="Arial"/>
        <family val="0"/>
      </rPr>
      <t xml:space="preserve"> =</t>
    </r>
  </si>
  <si>
    <t>B. Cropland Conversion to Permanent Cover</t>
  </si>
  <si>
    <t xml:space="preserve">Hydrologic Group (A,B,C,D) = </t>
  </si>
  <si>
    <t>Percent of offered acres affected =</t>
  </si>
  <si>
    <t xml:space="preserve">Existing Hazard Rating = </t>
  </si>
  <si>
    <t>Reduction in gully or ephemeral erosion. Based on the percent of the offered acres affected by ephemeral and/or classic gullies and runoff potential indicated from Hydrologic Group.</t>
  </si>
  <si>
    <t>Below, describe briefly the conservation treatment that will be implemented that results in the resource impact in Element #1:</t>
  </si>
  <si>
    <t>Below, describe briefly the conservation treatment that will be implemented that results in the resource impact in Element #3:</t>
  </si>
  <si>
    <t>Below, describe briefly the conservation treatment that will be implemented that results in the resource impact in Element #2:</t>
  </si>
  <si>
    <t>Wildlife Habitat Improvement as a Result of the Agricultural Enterprise</t>
  </si>
  <si>
    <t xml:space="preserve">Points for Element V-1 = </t>
  </si>
  <si>
    <t>other</t>
  </si>
  <si>
    <t>Below describe briefly the conservation treatment that will be implemented that results in the resource impact in Element #1:</t>
  </si>
  <si>
    <t>pronghorn antelope</t>
  </si>
  <si>
    <t>Element-1:</t>
  </si>
  <si>
    <t>Element-2:</t>
  </si>
  <si>
    <t>Element-3:</t>
  </si>
  <si>
    <t>Element-4:</t>
  </si>
  <si>
    <t>Beef Cattle</t>
  </si>
  <si>
    <t>grass: (0.84)</t>
  </si>
  <si>
    <t>broadleaf: (1.00)</t>
  </si>
  <si>
    <t>grass: (0.50)</t>
  </si>
  <si>
    <t>broadleaf: (0.67)</t>
  </si>
  <si>
    <t>* Values in parentheses are the diversity points per crop</t>
  </si>
  <si>
    <t xml:space="preserve">Number of acres with addition of crops to the rotation = </t>
  </si>
  <si>
    <t>A. Change in Crop Rotation</t>
  </si>
  <si>
    <r>
      <t>Weighting factor, W</t>
    </r>
    <r>
      <rPr>
        <vertAlign val="subscript"/>
        <sz val="10"/>
        <rFont val="Arial"/>
        <family val="2"/>
      </rPr>
      <t>t</t>
    </r>
    <r>
      <rPr>
        <sz val="10"/>
        <rFont val="Arial"/>
        <family val="0"/>
      </rPr>
      <t xml:space="preserve"> [D4)*2800] =</t>
    </r>
  </si>
  <si>
    <t xml:space="preserve">Number of acres in D2) expressed as a percent of the total offered acreage (TA) = </t>
  </si>
  <si>
    <t>Application's Total Treated Acreage (TA):</t>
  </si>
  <si>
    <t>Multiple benefit of soil erosion reduction and increasing soil quality variables with increased crop aftermath production potential with enhanced quantity and quality of the residue producing agricultural commodities.</t>
  </si>
  <si>
    <t>Russian knapweed</t>
  </si>
  <si>
    <t>Johnsongrass</t>
  </si>
  <si>
    <t xml:space="preserve">Group 1 Points = </t>
  </si>
  <si>
    <t>Feral rye</t>
  </si>
  <si>
    <t>Downy brome</t>
  </si>
  <si>
    <t xml:space="preserve">Group 2 Points = </t>
  </si>
  <si>
    <t>Clearfield Wheat Management System</t>
  </si>
  <si>
    <t xml:space="preserve">Innovative Practice(s) Points = </t>
  </si>
  <si>
    <t>Is the plants unsuitable resource concern properly documented on the CPA-52 ?</t>
  </si>
  <si>
    <t>B. Pest Management Innovative Practices (IP) Planned:</t>
  </si>
  <si>
    <t xml:space="preserve">Points for Element V-2 = </t>
  </si>
  <si>
    <t xml:space="preserve">a.  </t>
  </si>
  <si>
    <t>If #3 is "Yes" application is MEDIUM priority; if "no" application is HIGH priority.</t>
  </si>
  <si>
    <t>Site Specific Assessment of Soil Salinity</t>
  </si>
  <si>
    <t>Identifes the site specific resource concerns associated with excessive soil salinity.</t>
  </si>
  <si>
    <t>Plant Suitability and Condition-Enhancement of Crop Aftermath (Residues) Quality and Quantity</t>
  </si>
  <si>
    <t>Below, list the target species, then describe briefly the conservation treatment that will be implemented that enhances the wildlife habitat.  Also list the reasons why the agricultural waste management system will benefit wildlife:</t>
  </si>
  <si>
    <t>Contract Financial Assistance Request:</t>
  </si>
  <si>
    <t>R. Grigat</t>
  </si>
  <si>
    <t>A.</t>
  </si>
  <si>
    <t>B.</t>
  </si>
  <si>
    <t>C.</t>
  </si>
  <si>
    <t>D.</t>
  </si>
  <si>
    <t>least tern</t>
  </si>
  <si>
    <t>Mexican spotted owl</t>
  </si>
  <si>
    <t>No. of Entities =</t>
  </si>
  <si>
    <t>Resource Concern ?</t>
  </si>
  <si>
    <t xml:space="preserve">Subtotal: Cropland Conversion Points = </t>
  </si>
  <si>
    <t>A. Improved Forage for Grazing/Browsing Animals</t>
  </si>
  <si>
    <t xml:space="preserve">B. Enhanced Plant Community/Understory </t>
  </si>
  <si>
    <t>(a) Switchback Grazing System (5 points)</t>
  </si>
  <si>
    <t>(b) Rest-Rotation System (10 points)</t>
  </si>
  <si>
    <t>(c) Deferred-Rotation Grazing System (15 points)</t>
  </si>
  <si>
    <t>Minimum Forage Improvement (17 points)</t>
  </si>
  <si>
    <t>Moderate Forage Improvement (19 points)</t>
  </si>
  <si>
    <t>1-25% =  0      50-75% = 24</t>
  </si>
  <si>
    <t>25-50% = 5     &gt;75%  =   27</t>
  </si>
  <si>
    <t xml:space="preserve"> &lt;1% =       0     </t>
  </si>
  <si>
    <t>High Forage Improvement  (21 points)</t>
  </si>
  <si>
    <t>Exceptional Forage Improvement (23 points)</t>
  </si>
  <si>
    <t>(e) No Change in Grazing Rotation (0 points)</t>
  </si>
  <si>
    <t>(a) None (0)</t>
  </si>
  <si>
    <t>(b) Photo points (2)</t>
  </si>
  <si>
    <t>(d) Fecal sampling (4)</t>
  </si>
  <si>
    <t>Practice Longevity and Efficient Program Implementation</t>
  </si>
  <si>
    <t>Existing plan points =</t>
  </si>
  <si>
    <t>Scores points for those applications demonstrating higher level of performance with long-lived, enduring practices with an existing conservation plan.</t>
  </si>
  <si>
    <t>Ground Cover Improvement/Drought Recovery Restoration</t>
  </si>
  <si>
    <t>Element recognizes conservation treament needs for improvement in ground cover and grazingland renovation as a result of drought impacts.  Points are awarded also for conservation activities that enhance the plant community and understory including the control of invasive species through pest management.</t>
  </si>
  <si>
    <t>% of total acres (TA) and points =</t>
  </si>
  <si>
    <t>Is there a current COMPLETE resource management conservation plan in place with an up-to-date range inventory ?</t>
  </si>
  <si>
    <t>Is there a current COMPLETE resource management conservation plan in place ?</t>
  </si>
  <si>
    <t>Rotation is 100% no-till</t>
  </si>
  <si>
    <r>
      <t>Crop Rotation Diversity Factor, CP</t>
    </r>
    <r>
      <rPr>
        <vertAlign val="subscript"/>
        <sz val="10"/>
        <rFont val="Arial"/>
        <family val="2"/>
      </rPr>
      <t>d</t>
    </r>
    <r>
      <rPr>
        <sz val="10"/>
        <rFont val="Arial"/>
        <family val="0"/>
      </rPr>
      <t xml:space="preserve"> (sum of diversity pts.) = </t>
    </r>
  </si>
  <si>
    <t>Carbon storage factor, Cs =</t>
  </si>
  <si>
    <t xml:space="preserve">Subtotal: Crop Rotation Points [D1)*D6)] = </t>
  </si>
  <si>
    <t xml:space="preserve">Number of acres in D7) expressed as a percent of the total offered acreage (TA)= </t>
  </si>
  <si>
    <t>National/State/Watershed/Local Emphasis Resource Areas and Site Assessment</t>
  </si>
  <si>
    <t>Human disturbance/occupied dwelling(s) and activities less than 660 feet.  (0 points)</t>
  </si>
  <si>
    <t>Joint Cooperative Agreement (JA):</t>
  </si>
  <si>
    <t xml:space="preserve">No. of Entities (JA): </t>
  </si>
  <si>
    <t>Points (A)=</t>
  </si>
  <si>
    <t>Points (B)=</t>
  </si>
  <si>
    <t>Points(C) =</t>
  </si>
  <si>
    <t>Points(D) =</t>
  </si>
  <si>
    <t>Colorado Mule Deer Area</t>
  </si>
  <si>
    <t>Preble's Meadow Jumping Mouse Area</t>
  </si>
  <si>
    <t>Mountain Plover Area</t>
  </si>
  <si>
    <t>Ducks Unlimited</t>
  </si>
  <si>
    <t>None</t>
  </si>
  <si>
    <t>Number of wildlife partners contributing dollars or in-kind contributions =</t>
  </si>
  <si>
    <t>Identifies the key habitat type that will be maintained, enhanced, or restored.</t>
  </si>
  <si>
    <t>The implemented conservation treatment favors a State species of special concern, State threatened species, Federal candidate species, or a declining species.  (10 points)</t>
  </si>
  <si>
    <t>The implemented conservation treatment favors a State endangered or Federal threatened or endangered species. (7 points)</t>
  </si>
  <si>
    <t xml:space="preserve">Short Grass Prairie (12 points) </t>
  </si>
  <si>
    <t>Sand Sage Prairie (9 points)</t>
  </si>
  <si>
    <t>Limiting Factors for Target Species</t>
  </si>
  <si>
    <t>Cropland Quantity or Quality</t>
  </si>
  <si>
    <t>Pasture/Hayland Quantity or Quality</t>
  </si>
  <si>
    <t>Woody vegetation</t>
  </si>
  <si>
    <t>Interspersion of Vegetation Types</t>
  </si>
  <si>
    <t>Wildlife Drinking Water</t>
  </si>
  <si>
    <t>Rangeland Condition</t>
  </si>
  <si>
    <t>Grazing System</t>
  </si>
  <si>
    <t>Diversity of Natural Plant Communities</t>
  </si>
  <si>
    <t>Forest Ecosystem Condition</t>
  </si>
  <si>
    <t>Forest Size</t>
  </si>
  <si>
    <t>Forest Openings</t>
  </si>
  <si>
    <t>Human disturbance/occupied dwelling(s) and activities greater than 1,320 feet.  (6 points)</t>
  </si>
  <si>
    <t>Human disturbance/occupied dwelling(s) and activities less than 1,320 feet, but greater than 660 feet.  (2 points)</t>
  </si>
  <si>
    <t>Riparian/Wetland (6 points)</t>
  </si>
  <si>
    <t>Cropland (1 point)</t>
  </si>
  <si>
    <t>Forestland (3 points)</t>
  </si>
  <si>
    <t>The proposed project is adjacent to an EXISTING, on-going, active wildlife habitat enhancement, maintenance, or restoration effort. (7 points)</t>
  </si>
  <si>
    <t>Herbaceous Vegetation other than Pasture/Hayland</t>
  </si>
  <si>
    <t>Lesser Prairie Chicken Area</t>
  </si>
  <si>
    <t>The proposed project acres are contiguous. (5 points)</t>
  </si>
  <si>
    <t>lesser prairie chicken</t>
  </si>
  <si>
    <t>greater prairie chicken</t>
  </si>
  <si>
    <t>long-billed curlew</t>
  </si>
  <si>
    <t>greater sandhill crane</t>
  </si>
  <si>
    <t>piping plover</t>
  </si>
  <si>
    <t>mountain plover</t>
  </si>
  <si>
    <t>northern sage grouse</t>
  </si>
  <si>
    <t>burrowing owl</t>
  </si>
  <si>
    <t>upland sandpiper</t>
  </si>
  <si>
    <t>black-tailed prairie dog</t>
  </si>
  <si>
    <t>kit fox</t>
  </si>
  <si>
    <t>mule deer</t>
  </si>
  <si>
    <t>flathead chub</t>
  </si>
  <si>
    <t>speckled chub</t>
  </si>
  <si>
    <t>plains sharp-tailed grouse</t>
  </si>
  <si>
    <t>bald eagle</t>
  </si>
  <si>
    <t>black footed ferret</t>
  </si>
  <si>
    <t>humpback chub</t>
  </si>
  <si>
    <t>bonytail chub</t>
  </si>
  <si>
    <t>plains minnow</t>
  </si>
  <si>
    <t>suckermouth minnow</t>
  </si>
  <si>
    <t>southwest willow flycatcher</t>
  </si>
  <si>
    <t>southern redbelly dace</t>
  </si>
  <si>
    <t>brassy minnow</t>
  </si>
  <si>
    <t>stonecat</t>
  </si>
  <si>
    <t>plains topminnow</t>
  </si>
  <si>
    <t>northern redbelly dace</t>
  </si>
  <si>
    <t>lake chub</t>
  </si>
  <si>
    <t>pheasant</t>
  </si>
  <si>
    <t>bighorn sheep</t>
  </si>
  <si>
    <t>elk</t>
  </si>
  <si>
    <t>white-tailed deer</t>
  </si>
  <si>
    <t>scaled quail</t>
  </si>
  <si>
    <t>wild turkey</t>
  </si>
  <si>
    <t>game birds-geese</t>
  </si>
  <si>
    <t>game birds-mourning dove</t>
  </si>
  <si>
    <t>non-game birds-passerine</t>
  </si>
  <si>
    <t>game birds-duck</t>
  </si>
  <si>
    <t>non-game birds-songbird</t>
  </si>
  <si>
    <t>northern bobwhite quail</t>
  </si>
  <si>
    <t>non-game birds-raptors</t>
  </si>
  <si>
    <t>grassland birds</t>
  </si>
  <si>
    <t>trout</t>
  </si>
  <si>
    <t>Field Number</t>
  </si>
  <si>
    <t>Total points = S3(as %)*S4</t>
  </si>
  <si>
    <t>Cost-Benefit points =</t>
  </si>
  <si>
    <t>C4</t>
  </si>
  <si>
    <t xml:space="preserve">Cost-Benefit points = </t>
  </si>
  <si>
    <t>Subtotal: Rangeland Points, (N2/100*N3 =</t>
  </si>
  <si>
    <r>
      <t>Similarity Index Score (Table III-4a), K</t>
    </r>
    <r>
      <rPr>
        <vertAlign val="subscript"/>
        <sz val="10"/>
        <rFont val="Arial"/>
        <family val="2"/>
      </rPr>
      <t>m</t>
    </r>
    <r>
      <rPr>
        <sz val="10"/>
        <rFont val="Arial"/>
        <family val="2"/>
      </rPr>
      <t xml:space="preserve"> =</t>
    </r>
  </si>
  <si>
    <t>Improved acres as a % of total offered range (Part I above), acres =</t>
  </si>
  <si>
    <t>Score</t>
  </si>
  <si>
    <t>RSi</t>
  </si>
  <si>
    <r>
      <t>A</t>
    </r>
    <r>
      <rPr>
        <sz val="10"/>
        <rFont val="Arial"/>
        <family val="2"/>
      </rPr>
      <t>. Weighted Aggregate Rangeland Similarity Index,RS</t>
    </r>
    <r>
      <rPr>
        <vertAlign val="subscript"/>
        <sz val="10"/>
        <rFont val="Arial"/>
        <family val="2"/>
      </rPr>
      <t>i</t>
    </r>
    <r>
      <rPr>
        <sz val="10"/>
        <rFont val="Arial"/>
        <family val="2"/>
      </rPr>
      <t xml:space="preserve"> =</t>
    </r>
  </si>
  <si>
    <t>Total Points = N5+N10</t>
  </si>
  <si>
    <t>Subtotal: Pasture Points, (N2/100*N3 =</t>
  </si>
  <si>
    <t>N7</t>
  </si>
  <si>
    <r>
      <t>Productivity Index Score (Table III-4b), K</t>
    </r>
    <r>
      <rPr>
        <vertAlign val="subscript"/>
        <sz val="10"/>
        <rFont val="Arial"/>
        <family val="2"/>
      </rPr>
      <t>m</t>
    </r>
    <r>
      <rPr>
        <sz val="10"/>
        <rFont val="Arial"/>
        <family val="2"/>
      </rPr>
      <t xml:space="preserve"> =</t>
    </r>
  </si>
  <si>
    <t>Improved acres as a % of total offered pasture (Part I above), acres =</t>
  </si>
  <si>
    <t>If #1 and #2 above are both "no", application is LOW priority; if #1 is "yes"and #2 is "no" application is LOW Priority; if #3 is "yes" application is LOW priority; if #1 and #2 are both "yes", application is MEDIUM.  If application is LOW priority, you can stop, otherwise go to Question #4.</t>
  </si>
  <si>
    <r>
      <t>(a)</t>
    </r>
    <r>
      <rPr>
        <sz val="10"/>
        <rFont val="Arial"/>
        <family val="2"/>
      </rPr>
      <t xml:space="preserve"> Does the planned conservation treatment include the adoption of an enduring structural practice which has been previously adoped on the land represented in the application </t>
    </r>
    <r>
      <rPr>
        <b/>
        <sz val="10"/>
        <rFont val="Arial"/>
        <family val="2"/>
      </rPr>
      <t>OR</t>
    </r>
    <r>
      <rPr>
        <sz val="10"/>
        <rFont val="Arial"/>
        <family val="2"/>
      </rPr>
      <t>,</t>
    </r>
    <r>
      <rPr>
        <b/>
        <sz val="10"/>
        <rFont val="Arial"/>
        <family val="2"/>
      </rPr>
      <t xml:space="preserve"> (b)</t>
    </r>
    <r>
      <rPr>
        <sz val="10"/>
        <rFont val="Arial"/>
        <family val="2"/>
      </rPr>
      <t xml:space="preserve"> does the applicant have an existing EQIP contract for the same resource issue </t>
    </r>
    <r>
      <rPr>
        <b/>
        <sz val="10"/>
        <rFont val="Arial"/>
        <family val="2"/>
      </rPr>
      <t>OR (c)</t>
    </r>
    <r>
      <rPr>
        <sz val="10"/>
        <rFont val="Arial"/>
        <family val="2"/>
      </rPr>
      <t xml:space="preserve"> has the applicant previously declined an approved funded application ?  (If any of a, b, or c is "yes", answer "yes" to question)</t>
    </r>
  </si>
  <si>
    <t>What percent of the grazingland in the operating unit is planned for implementation of the improved grazing system during contract period ?</t>
  </si>
  <si>
    <t>Canon City, CO Field Office</t>
  </si>
  <si>
    <t>B. Gohlke</t>
  </si>
  <si>
    <t>Cheyenne Wells, CO Field Office</t>
  </si>
  <si>
    <t>J. Valentine</t>
  </si>
  <si>
    <t>Colorado Springs, CO Field Office</t>
  </si>
  <si>
    <t>R. Castle</t>
  </si>
  <si>
    <t>Eads, CO Field Office</t>
  </si>
  <si>
    <t>B. Fortman</t>
  </si>
  <si>
    <t>Hugo, CO Field Office</t>
  </si>
  <si>
    <t>L. Borrego</t>
  </si>
  <si>
    <t>Lamar, CO  Field Office</t>
  </si>
  <si>
    <t>M. Clark</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</si>
  <si>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</si>
  <si>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</si>
  <si>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</si>
  <si>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</si>
  <si>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</si>
  <si>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</si>
  <si>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</si>
  <si>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</si>
  <si>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</si>
  <si>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</si>
  <si>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</si>
  <si>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</si>
  <si>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</si>
  <si>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J. Nelson</t>
  </si>
  <si>
    <t>Walsenburg, CO Field Office</t>
  </si>
  <si>
    <t>J. Sperry</t>
  </si>
  <si>
    <t>R. Romano</t>
  </si>
  <si>
    <t>M. Watson</t>
  </si>
  <si>
    <t>M. Miller</t>
  </si>
  <si>
    <t>C. Sheley</t>
  </si>
  <si>
    <t>Wildfire Prevention and Recovery Efforts</t>
  </si>
  <si>
    <t xml:space="preserve">Element targets wildfire prevention and recovery. </t>
  </si>
  <si>
    <t xml:space="preserve">Points for Element III-5 = </t>
  </si>
  <si>
    <t>Signature of professional wildlife partner Reviewer:</t>
  </si>
  <si>
    <t>Contributing Wildlife Partner and Joint/Cooperative Agreement Participation</t>
  </si>
  <si>
    <t xml:space="preserve">Points for Element IV- 3 = </t>
  </si>
  <si>
    <t>not applicable</t>
  </si>
  <si>
    <t>If #4 is "yes", application is HIGH priority; otherwise the application is MEDIUM priority.</t>
  </si>
  <si>
    <t>Joint/Cooperative Agreement Participation</t>
  </si>
  <si>
    <t xml:space="preserve">Points for Element III-4 =  </t>
  </si>
  <si>
    <t>Joint /Cooperative Agreement Participation</t>
  </si>
  <si>
    <t xml:space="preserve">Subtotal: Lateral Group Joint Agreement Participation Points (See Table) = </t>
  </si>
  <si>
    <t>Will there be at least one enduring structural practice installed such as, but not limited to terraces, stripcropping, erosion control dam which results in erosion reduction ?</t>
  </si>
  <si>
    <t>D. Sanchez</t>
  </si>
  <si>
    <t>General Partnership</t>
  </si>
  <si>
    <t>Joint Venture</t>
  </si>
  <si>
    <t>C. Regnier</t>
  </si>
  <si>
    <t>Limited Liability Partnership</t>
  </si>
  <si>
    <t>B. Johnson</t>
  </si>
  <si>
    <t>A. White</t>
  </si>
  <si>
    <t xml:space="preserve">If no, has a completed site assessment been completed which identified the target species, and established a framework for a wildlife resource management system plan to be developed ? </t>
  </si>
  <si>
    <t xml:space="preserve">Is there a current wildlife resource management system plan in place ? </t>
  </si>
  <si>
    <t>Limited Partnership Association</t>
  </si>
  <si>
    <t>W. Bland</t>
  </si>
  <si>
    <t>Limited Liability Company</t>
  </si>
  <si>
    <t>S. Hansen</t>
  </si>
  <si>
    <t xml:space="preserve">Limited Partnership  </t>
  </si>
  <si>
    <t>K. Conrad</t>
  </si>
  <si>
    <t>Corporation</t>
  </si>
  <si>
    <t>M. Martin</t>
  </si>
  <si>
    <t>Trust</t>
  </si>
  <si>
    <t>E. Kilpatrick</t>
  </si>
  <si>
    <t>Estate</t>
  </si>
  <si>
    <t>C. Schleining</t>
  </si>
  <si>
    <t>J. Hamilton</t>
  </si>
  <si>
    <t>J. Moffett</t>
  </si>
  <si>
    <t>J. Dukes</t>
  </si>
  <si>
    <t>T. Werner</t>
  </si>
  <si>
    <t>K. Falen</t>
  </si>
  <si>
    <t>M. "Storm" Casper</t>
  </si>
  <si>
    <t>M. Gigante</t>
  </si>
  <si>
    <t>T. Arnhold</t>
  </si>
  <si>
    <t>K. Lutz</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</si>
  <si>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</si>
  <si>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</si>
  <si>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</si>
  <si>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</si>
  <si>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</si>
  <si>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</si>
  <si>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</si>
  <si>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</si>
  <si>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</si>
  <si>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</si>
  <si>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</si>
  <si>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</si>
  <si>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r>
      <t>Proportion (%) of total irrigation lateral shares that is represented in joint contract agreement, P</t>
    </r>
    <r>
      <rPr>
        <vertAlign val="subscript"/>
        <sz val="10"/>
        <rFont val="Arial"/>
        <family val="2"/>
      </rPr>
      <t>a</t>
    </r>
    <r>
      <rPr>
        <sz val="10"/>
        <rFont val="Arial"/>
        <family val="2"/>
      </rPr>
      <t xml:space="preserve"> =</t>
    </r>
  </si>
  <si>
    <t>Points are based on the percent of the offered acres of planned nutrient management.  NOTE: No points will be scored in Element #5 if the number of points in Element 2 are equal to zero.</t>
  </si>
  <si>
    <t>Below describe briefly the conservation treatment that will be implemented that results in the resource impact in Element #4:</t>
  </si>
  <si>
    <t>Application's Total Offered Acreage (TA):</t>
  </si>
  <si>
    <t>The implemented cropland system and facilitating practices favor a State species of special concern, State threatened species, Federal candidate species, or a declining species.  (5 points)</t>
  </si>
  <si>
    <t>The implemented cropland system and facilitating practices favor a State endangered or Federal threatened or endangered species. (4 points)</t>
  </si>
  <si>
    <t>The implemented cropland system and facilitating practices favor a declining native or economically important species.  (3 points)</t>
  </si>
  <si>
    <t>The implemented cropland system and facilitating practices favor species with stable or increasing populations, or are not otherwise listed.  (2 points)</t>
  </si>
  <si>
    <t>Colorado Elk Foundation</t>
  </si>
  <si>
    <t>Pheasants Forever</t>
  </si>
  <si>
    <t>Below, list the target species, then describe briefly the conservation treatment that will be implemented that mutually enhances the wildlife habitat and addresses the specific water quality/quantity resource concerns.  Also list the reasons why the cropland management system will benefit wildlife:</t>
  </si>
  <si>
    <t>Total Points = W4)+W5)</t>
  </si>
  <si>
    <t>Soil loss reduction resulting from mproved forage improvement of enhanced plant diversity and vigor by a change in the grazing system</t>
  </si>
  <si>
    <r>
      <t xml:space="preserve">Number of total acres of riparian habitat within land unit needing improvement, including </t>
    </r>
    <r>
      <rPr>
        <b/>
        <sz val="10"/>
        <color indexed="8"/>
        <rFont val="Arial"/>
        <family val="2"/>
      </rPr>
      <t>invasive species control</t>
    </r>
    <r>
      <rPr>
        <sz val="10"/>
        <color indexed="8"/>
        <rFont val="Arial"/>
        <family val="0"/>
      </rPr>
      <t xml:space="preserve"> =</t>
    </r>
  </si>
  <si>
    <r>
      <t xml:space="preserve">Number of total acres of riparian habitat within land unit needing improvement, </t>
    </r>
    <r>
      <rPr>
        <b/>
        <sz val="10"/>
        <color indexed="8"/>
        <rFont val="Arial"/>
        <family val="2"/>
      </rPr>
      <t>including invasive species control</t>
    </r>
    <r>
      <rPr>
        <sz val="10"/>
        <color indexed="8"/>
        <rFont val="Arial"/>
        <family val="0"/>
      </rPr>
      <t xml:space="preserve"> =</t>
    </r>
  </si>
  <si>
    <t>(a) Switchback Grazing System (3 points)</t>
  </si>
  <si>
    <t>(b) Rest-Rotation System (5 points)</t>
  </si>
  <si>
    <t>(c) Deferred-Rotation Grazing System (7 points)</t>
  </si>
  <si>
    <t>Musk Thistle</t>
  </si>
  <si>
    <t>(d) Use Exclusion (7 points)</t>
  </si>
  <si>
    <t>(e) High Intensity Short Duration Grazing System (10 points)</t>
  </si>
  <si>
    <t>Below, describe briefly the conservation treatment that will be implemented that results in the resource impact in Element #4:</t>
  </si>
  <si>
    <t>Offered acres not located within any of the above, but located within the confines of the groundwater alluvium of the Arkansas hydrologic basin. (6 points)</t>
  </si>
  <si>
    <t>Offered acres located within the area of a Section 319, PL-566 Land Treatment Area or Bureau of Reclamation Water Conservation Project area, or other special project initiative. (12 points)</t>
  </si>
  <si>
    <t>Offered acres not located within any of the above. (0 points)</t>
  </si>
  <si>
    <t>Is there a documented problem associated with an invasive species or pest such as the Ips bark beetle ?</t>
  </si>
  <si>
    <t>If #3 is "yes", application is a HIGH priority, if "no", application is MEDIUM priority.</t>
  </si>
  <si>
    <r>
      <t xml:space="preserve">Number of total acres of riparian habitat within this offered land unit needing improvement, including </t>
    </r>
    <r>
      <rPr>
        <b/>
        <sz val="10"/>
        <color indexed="8"/>
        <rFont val="Arial"/>
        <family val="2"/>
      </rPr>
      <t>invasive species control</t>
    </r>
    <r>
      <rPr>
        <sz val="10"/>
        <color indexed="8"/>
        <rFont val="Arial"/>
        <family val="0"/>
      </rPr>
      <t xml:space="preserve"> =</t>
    </r>
  </si>
  <si>
    <r>
      <t>Number of total acres of riparian habitat within this offered land unit needing improvement, including</t>
    </r>
    <r>
      <rPr>
        <b/>
        <sz val="10"/>
        <color indexed="8"/>
        <rFont val="Arial"/>
        <family val="2"/>
      </rPr>
      <t xml:space="preserve"> invasivs species control</t>
    </r>
    <r>
      <rPr>
        <sz val="10"/>
        <color indexed="8"/>
        <rFont val="Arial"/>
        <family val="0"/>
      </rPr>
      <t xml:space="preserve"> =</t>
    </r>
  </si>
  <si>
    <t>Species Benefited</t>
  </si>
  <si>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</si>
  <si>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</si>
  <si>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</si>
  <si>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</si>
  <si>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</si>
  <si>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</si>
  <si>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</si>
  <si>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</si>
  <si>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</si>
  <si>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</si>
  <si>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</si>
  <si>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</si>
  <si>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</si>
  <si>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</si>
  <si>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Tamarisk</t>
  </si>
  <si>
    <t>Russian Olive</t>
  </si>
  <si>
    <t>A.B.S. Company East Farm</t>
  </si>
  <si>
    <t>A.B.S. Company No. 1</t>
  </si>
  <si>
    <t>A.B.S. Company No. 2</t>
  </si>
  <si>
    <t>Arbor</t>
  </si>
  <si>
    <t>Consolidated Extension</t>
  </si>
  <si>
    <t>Crowley</t>
  </si>
  <si>
    <t>Deadman</t>
  </si>
  <si>
    <t>Easy May Valley</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</si>
  <si>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</si>
  <si>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</si>
  <si>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</si>
  <si>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</si>
  <si>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</si>
  <si>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</si>
  <si>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</si>
  <si>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</si>
  <si>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</si>
  <si>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</si>
  <si>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</si>
  <si>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</si>
  <si>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</si>
  <si>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</si>
  <si>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</si>
  <si>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Pleasant Valley</t>
  </si>
  <si>
    <t>Prowers</t>
  </si>
  <si>
    <t>Riverview</t>
  </si>
  <si>
    <t>Valley View</t>
  </si>
  <si>
    <t>Vista Del Rio</t>
  </si>
  <si>
    <t>Wiley of Big Bend</t>
  </si>
  <si>
    <t>Veal Calves</t>
  </si>
  <si>
    <t>Dairy</t>
  </si>
  <si>
    <t>Swine</t>
  </si>
  <si>
    <t>If question "a" is "no" Total Points equals 0, otherwise Total Points equals the sum of Q1 thru Q3</t>
  </si>
  <si>
    <t>D5 = 2100 if no-till; otherwise D5= 1120</t>
  </si>
  <si>
    <t>D4 = 0.5052*ln[TA/317]+1.3618</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</si>
  <si>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</si>
  <si>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</si>
  <si>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</si>
  <si>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</si>
  <si>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</si>
  <si>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</si>
  <si>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</si>
  <si>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</si>
  <si>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</si>
  <si>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</si>
  <si>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</si>
  <si>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</si>
  <si>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</si>
  <si>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</si>
  <si>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</si>
  <si>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</si>
  <si>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</si>
  <si>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</si>
  <si>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</si>
  <si>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Cassin's sparrow</t>
  </si>
  <si>
    <t>Columbian sharp-tailed grouse</t>
  </si>
  <si>
    <t>Gunnison's sage grouse</t>
  </si>
  <si>
    <t>Colorado River cutthroat trout</t>
  </si>
  <si>
    <t>Greenback cutthroat trout</t>
  </si>
  <si>
    <t>Rio Grande cutthroat trout</t>
  </si>
  <si>
    <t>Arkansas darter</t>
  </si>
  <si>
    <t>Iowa darter</t>
  </si>
  <si>
    <t>Colorado pikeminnow</t>
  </si>
  <si>
    <t>razorback sucker</t>
  </si>
  <si>
    <t xml:space="preserve">Hydrologic Group Factor, Hf (Runoff potential) = </t>
  </si>
  <si>
    <t>The implemented conservation system and facilitating practices favor a declining native or economically important species.  (5 points)</t>
  </si>
  <si>
    <r>
      <t xml:space="preserve">In the case of cropland, will there be a change made to the existing tillage system resulting in increased residue amounts by reducing number and/or kind of tillage operations </t>
    </r>
    <r>
      <rPr>
        <b/>
        <sz val="10"/>
        <rFont val="Arial"/>
        <family val="2"/>
      </rPr>
      <t>OR</t>
    </r>
    <r>
      <rPr>
        <sz val="10"/>
        <rFont val="Arial"/>
        <family val="2"/>
      </rPr>
      <t xml:space="preserve"> if rangeland will there be a change in grazing frequency/rotation or deferment ?</t>
    </r>
  </si>
  <si>
    <t>G. Langer</t>
  </si>
  <si>
    <t>Priority:</t>
  </si>
  <si>
    <t>3.</t>
  </si>
  <si>
    <t>1.</t>
  </si>
  <si>
    <t>2.</t>
  </si>
  <si>
    <t>4.</t>
  </si>
  <si>
    <t>Will the applicant's goals be enhanced through leveraging funds from wildlife partner source(s) other than from the applicant(s) ?</t>
  </si>
  <si>
    <t>If #4 is "yes", application is HIGH priority, if "no" the application is MEDIUM priority.</t>
  </si>
  <si>
    <t>Pasture Acres:</t>
  </si>
  <si>
    <t>Rangeland Acres:</t>
  </si>
  <si>
    <t>Will some kind of planned grazing system improvement be planned and implemented as a part of this application ?</t>
  </si>
  <si>
    <r>
      <t xml:space="preserve">Will the planned conservation treatment include an improvement in </t>
    </r>
    <r>
      <rPr>
        <b/>
        <sz val="10"/>
        <rFont val="Arial"/>
        <family val="2"/>
      </rPr>
      <t>BOTH</t>
    </r>
    <r>
      <rPr>
        <sz val="10"/>
        <rFont val="Arial"/>
        <family val="2"/>
      </rPr>
      <t xml:space="preserve"> the growing season grazing rotation </t>
    </r>
    <r>
      <rPr>
        <b/>
        <sz val="10"/>
        <rFont val="Arial"/>
        <family val="2"/>
      </rPr>
      <t>AND</t>
    </r>
    <r>
      <rPr>
        <sz val="10"/>
        <rFont val="Arial"/>
        <family val="2"/>
      </rPr>
      <t xml:space="preserve"> the scheduled grazing frequency ?</t>
    </r>
  </si>
  <si>
    <t>Planned treatment does not include any enduring (life span &gt; 1 yr) structural practices. (0 points)</t>
  </si>
  <si>
    <t>I4</t>
  </si>
  <si>
    <t>I5</t>
  </si>
  <si>
    <t>Total points= (I1-I2)*Km + I5*Km</t>
  </si>
  <si>
    <t>Planned treatment does not include any enduring (life span &gt; 1yr) structural practices (0 points).</t>
  </si>
  <si>
    <t>Planned treatment includes two or more enduring, structural practices ( 5 points).</t>
  </si>
  <si>
    <t>Planned treatment includes more than three enduring (life span &gt; 1 yr) structural practices. (5 points)</t>
  </si>
  <si>
    <t>Planned treatment includes at least one enduring (life span &gt; 1yr) structural practices, but less than or equal to three. (2 points)</t>
  </si>
  <si>
    <t>Planned treatment includes more than three enduring (life span &gt; 1yr), structural practices ( 5 points).</t>
  </si>
  <si>
    <t>Planned treatment includes at least one enduring (life span &gt; 1yr) structural practice, but less than or equal to three. (2 points).</t>
  </si>
  <si>
    <t>Planned treatment includes at least one enduring structural practice.  (2 points)</t>
  </si>
  <si>
    <t>Planned treatment includes more than three enduring (life span &gt; 1yr), structural practices ( 5 points)</t>
  </si>
  <si>
    <t>Planned treatment includes at least one enduring (life span &gt; 1yr) structural practice, but less than or equal to three. (2 points)</t>
  </si>
  <si>
    <t>Planned treatment includes at least one enduring (life span &gt; 1yr), structural practice, but less than or equal to three. (2 points)</t>
  </si>
  <si>
    <r>
      <t xml:space="preserve">Identifes the site specific risk associated with a forest pest or soil degradation from water erosion.  Element has two parts; </t>
    </r>
    <r>
      <rPr>
        <b/>
        <i/>
        <sz val="10"/>
        <rFont val="Arial"/>
        <family val="2"/>
      </rPr>
      <t>Part A</t>
    </r>
    <r>
      <rPr>
        <i/>
        <sz val="10"/>
        <rFont val="Arial"/>
        <family val="2"/>
      </rPr>
      <t xml:space="preserve"> considers assessment of forest pests, and </t>
    </r>
    <r>
      <rPr>
        <b/>
        <i/>
        <sz val="10"/>
        <rFont val="Arial"/>
        <family val="2"/>
      </rPr>
      <t>Part B</t>
    </r>
    <r>
      <rPr>
        <i/>
        <sz val="10"/>
        <rFont val="Arial"/>
        <family val="2"/>
      </rPr>
      <t xml:space="preserve"> considers the erosion potential indicated by the Erodibility Index, EI.</t>
    </r>
  </si>
  <si>
    <t>Total Points = J2+J3; not to exceed a maximum 27 points for the element</t>
  </si>
  <si>
    <t>Total Points = J1; not to exceed a maximum of 10 points for ranking element</t>
  </si>
  <si>
    <t>Total Points = J3+J4; not to exceed a maximum of 20 for ranking element</t>
  </si>
  <si>
    <t>Total Points = J1+J2; not to exceed a maximum of 15 points for ranking element</t>
  </si>
  <si>
    <t>Percent of riparian area improved, W2/W1) =</t>
  </si>
  <si>
    <r>
      <t xml:space="preserve">Subtotal-Riparian Area Improvement </t>
    </r>
    <r>
      <rPr>
        <b/>
        <sz val="11"/>
        <color indexed="8"/>
        <rFont val="Arial"/>
        <family val="2"/>
      </rPr>
      <t>(5 points maximum)</t>
    </r>
    <r>
      <rPr>
        <sz val="11"/>
        <color indexed="8"/>
        <rFont val="Arial"/>
        <family val="2"/>
      </rPr>
      <t>, [W3*5] =</t>
    </r>
  </si>
  <si>
    <r>
      <t xml:space="preserve">Subtotal-Riparian Area Improvement </t>
    </r>
    <r>
      <rPr>
        <b/>
        <sz val="11"/>
        <color indexed="8"/>
        <rFont val="Arial"/>
        <family val="2"/>
      </rPr>
      <t>(5 points maximum</t>
    </r>
    <r>
      <rPr>
        <sz val="11"/>
        <color indexed="8"/>
        <rFont val="Arial"/>
        <family val="2"/>
      </rPr>
      <t>), [W3*5] =</t>
    </r>
  </si>
  <si>
    <r>
      <t>Subtotal-Riparian Area Improvement</t>
    </r>
    <r>
      <rPr>
        <b/>
        <sz val="11"/>
        <color indexed="8"/>
        <rFont val="Arial"/>
        <family val="2"/>
      </rPr>
      <t xml:space="preserve"> (5 points maximum),</t>
    </r>
    <r>
      <rPr>
        <sz val="11"/>
        <color indexed="8"/>
        <rFont val="Arial"/>
        <family val="2"/>
      </rPr>
      <t xml:space="preserve"> [W3*5] =</t>
    </r>
  </si>
  <si>
    <r>
      <t xml:space="preserve">Points awarded for the installation of practices that improve and enhance wildlife habitat as part of the overall operation of the ranch/livestock enterprise. Element considers the treatment impact on the health of riparian habitats </t>
    </r>
    <r>
      <rPr>
        <b/>
        <sz val="10"/>
        <color indexed="8"/>
        <rFont val="Arial"/>
        <family val="2"/>
      </rPr>
      <t>(Part A)</t>
    </r>
    <r>
      <rPr>
        <sz val="10"/>
        <color indexed="8"/>
        <rFont val="Arial"/>
        <family val="0"/>
      </rPr>
      <t xml:space="preserve">, and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</si>
  <si>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r>
      <t xml:space="preserve">Points awarded for the installation of practices that improve and enhance wildlife habitat as part of the overall operation of the agricultural enterprise.  Element considers the treatment impact on the health of riparian habitats </t>
    </r>
    <r>
      <rPr>
        <b/>
        <sz val="10"/>
        <color indexed="8"/>
        <rFont val="Arial"/>
        <family val="2"/>
      </rPr>
      <t>(Part A),</t>
    </r>
    <r>
      <rPr>
        <sz val="10"/>
        <color indexed="8"/>
        <rFont val="Arial"/>
        <family val="0"/>
      </rPr>
      <t xml:space="preserve"> and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</si>
  <si>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r>
      <t xml:space="preserve">Points awarded for the installation of practices that improve and enhance wildlife habitat as part of the overall operation of the ranch/livestock enterprise.  Element considers the treatment impact on the health of riparian habitats </t>
    </r>
    <r>
      <rPr>
        <b/>
        <sz val="10"/>
        <color indexed="8"/>
        <rFont val="Arial"/>
        <family val="2"/>
      </rPr>
      <t>(Part A)</t>
    </r>
    <r>
      <rPr>
        <sz val="10"/>
        <color indexed="8"/>
        <rFont val="Arial"/>
        <family val="0"/>
      </rPr>
      <t xml:space="preserve">, and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</si>
  <si>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r>
      <t xml:space="preserve">Points awarded for the installation of practices that improve and enhance wildlife habitat as part of the overall operation of the agricultural enterprise.  Element considers the treatment impact on the health of riparian habitats </t>
    </r>
    <r>
      <rPr>
        <b/>
        <sz val="10"/>
        <color indexed="8"/>
        <rFont val="Arial"/>
        <family val="2"/>
      </rPr>
      <t>(Part A)</t>
    </r>
    <r>
      <rPr>
        <sz val="10"/>
        <color indexed="8"/>
        <rFont val="Arial"/>
        <family val="0"/>
      </rPr>
      <t>, and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</si>
  <si>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t>Planned treatment includes more than three enduring (life span &gt; 1yr), structural practices. (5 points)</t>
  </si>
  <si>
    <t>Is an on-farm subsurface drainage system needed on at least 10% of the offered acres ?</t>
  </si>
  <si>
    <r>
      <t>Benchmark System Efficiency, Ef</t>
    </r>
    <r>
      <rPr>
        <vertAlign val="subscript"/>
        <sz val="10"/>
        <rFont val="Arial"/>
        <family val="2"/>
      </rPr>
      <t xml:space="preserve">b </t>
    </r>
    <r>
      <rPr>
        <sz val="10"/>
        <rFont val="Arial"/>
        <family val="2"/>
      </rPr>
      <t>(%)</t>
    </r>
    <r>
      <rPr>
        <sz val="10"/>
        <rFont val="Arial"/>
        <family val="0"/>
      </rPr>
      <t xml:space="preserve"> =</t>
    </r>
  </si>
  <si>
    <r>
      <t>Planned System Efficiency, Ef</t>
    </r>
    <r>
      <rPr>
        <vertAlign val="subscript"/>
        <sz val="10"/>
        <rFont val="Arial"/>
        <family val="2"/>
      </rPr>
      <t>p</t>
    </r>
    <r>
      <rPr>
        <sz val="10"/>
        <rFont val="Arial"/>
        <family val="2"/>
      </rPr>
      <t xml:space="preserve"> (%)</t>
    </r>
    <r>
      <rPr>
        <sz val="10"/>
        <rFont val="Arial"/>
        <family val="0"/>
      </rPr>
      <t xml:space="preserve"> =</t>
    </r>
  </si>
  <si>
    <t>Improvement in Irrigation System Efficiency =</t>
  </si>
  <si>
    <r>
      <t>Points per unit improvement in efficiency, K</t>
    </r>
    <r>
      <rPr>
        <vertAlign val="subscript"/>
        <sz val="10"/>
        <rFont val="Arial"/>
        <family val="2"/>
      </rPr>
      <t>m</t>
    </r>
    <r>
      <rPr>
        <sz val="10"/>
        <rFont val="Arial"/>
        <family val="0"/>
      </rPr>
      <t xml:space="preserv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</si>
</sst>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40">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vertAlign val="subscript"/>
      <sz val="10"/>
      <name val="Arial"/>
      <family val="2"/>
    </font>
    <font>
      <sz val="8"/>
      <name val="Arial"/>
      <family val="2"/>
    </font>
    <font>
      <b/>
      <sz val="9"/>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sz val="10"/>
      <name val="Arial Narrow"/>
      <family val="2"/>
    </font>
    <font>
      <b/>
      <sz val="11"/>
      <name val="Arial"/>
      <family val="2"/>
    </font>
    <font>
      <b/>
      <sz val="12"/>
      <name val="Times New Roman"/>
      <family val="1"/>
    </font>
    <font>
      <i/>
      <sz val="11"/>
      <name val="Arial Narrow"/>
      <family val="2"/>
    </font>
    <font>
      <b/>
      <i/>
      <sz val="11"/>
      <name val="Arial"/>
      <family val="2"/>
    </font>
    <font>
      <b/>
      <i/>
      <sz val="10"/>
      <name val="Arial"/>
      <family val="0"/>
    </font>
    <font>
      <i/>
      <sz val="11"/>
      <name val="Arial"/>
      <family val="2"/>
    </font>
    <font>
      <sz val="12"/>
      <name val="Arial Narrow"/>
      <family val="2"/>
    </font>
    <font>
      <b/>
      <sz val="10"/>
      <color indexed="8"/>
      <name val="Arial"/>
      <family val="2"/>
    </font>
    <font>
      <sz val="11"/>
      <color indexed="8"/>
      <name val="Arial"/>
      <family val="2"/>
    </font>
    <font>
      <b/>
      <sz val="12"/>
      <color indexed="8"/>
      <name val="Arial"/>
      <family val="2"/>
    </font>
    <font>
      <i/>
      <sz val="10"/>
      <color indexed="8"/>
      <name val="Arial"/>
      <family val="2"/>
    </font>
    <font>
      <b/>
      <sz val="11"/>
      <color indexed="8"/>
      <name val="Arial"/>
      <family val="2"/>
    </font>
    <font>
      <sz val="9"/>
      <color indexed="8"/>
      <name val="Arial"/>
      <family val="2"/>
    </font>
    <font>
      <sz val="12"/>
      <name val="Times New Roman"/>
      <family val="1"/>
    </font>
    <font>
      <b/>
      <sz val="10"/>
      <name val="Arial Narrow"/>
      <family val="2"/>
    </font>
    <font>
      <b/>
      <sz val="10"/>
      <color indexed="10"/>
      <name val="Arial"/>
      <family val="2"/>
    </font>
    <font>
      <b/>
      <sz val="11"/>
      <name val="Arial Narrow"/>
      <family val="2"/>
    </font>
    <font>
      <b/>
      <sz val="11"/>
      <color indexed="10"/>
      <name val="Arial"/>
      <family val="2"/>
    </font>
    <font>
      <b/>
      <i/>
      <sz val="12"/>
      <name val="Arial"/>
      <family val="2"/>
    </font>
    <font>
      <sz val="8"/>
      <color indexed="8"/>
      <name val="Arial"/>
      <family val="2"/>
    </font>
    <font>
      <b/>
      <i/>
      <sz val="12"/>
      <color indexed="8"/>
      <name val="Arial"/>
      <family val="2"/>
    </font>
    <font>
      <b/>
      <sz val="12"/>
      <name val="Arial Narrow"/>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s>
  <borders count="173">
    <border>
      <left/>
      <right/>
      <top/>
      <bottom/>
      <diagonal/>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medium"/>
    </border>
    <border>
      <left style="thin"/>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medium"/>
    </border>
    <border>
      <left style="thin"/>
      <right>
        <color indexed="63"/>
      </right>
      <top style="medium"/>
      <bottom style="dashed"/>
    </border>
    <border>
      <left style="thin"/>
      <right style="thin"/>
      <top style="medium"/>
      <bottom style="dashed"/>
    </border>
    <border>
      <left style="thin"/>
      <right style="medium"/>
      <top style="medium"/>
      <bottom style="dashed"/>
    </border>
    <border>
      <left style="thin"/>
      <right>
        <color indexed="63"/>
      </right>
      <top style="dashed"/>
      <bottom style="mediumDashDotDot"/>
    </border>
    <border>
      <left style="thin"/>
      <right style="thin"/>
      <top style="dashed"/>
      <bottom style="mediumDashDotDot"/>
    </border>
    <border>
      <left>
        <color indexed="63"/>
      </left>
      <right style="medium"/>
      <top style="dashed"/>
      <bottom style="mediumDashDotDot"/>
    </border>
    <border>
      <left style="medium"/>
      <right style="medium"/>
      <top style="double"/>
      <bottom>
        <color indexed="63"/>
      </bottom>
    </border>
    <border>
      <left>
        <color indexed="63"/>
      </left>
      <right>
        <color indexed="63"/>
      </right>
      <top style="double"/>
      <bottom>
        <color indexed="63"/>
      </bottom>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dashDot"/>
    </border>
    <border>
      <left>
        <color indexed="63"/>
      </left>
      <right>
        <color indexed="63"/>
      </right>
      <top style="thin"/>
      <bottom style="thin"/>
    </border>
    <border>
      <left style="medium"/>
      <right style="medium"/>
      <top>
        <color indexed="63"/>
      </top>
      <bottom style="medium"/>
    </border>
    <border>
      <left style="thin"/>
      <right style="medium"/>
      <top style="thin"/>
      <bottom style="thin"/>
    </border>
    <border>
      <left style="thin"/>
      <right>
        <color indexed="63"/>
      </right>
      <top style="thin"/>
      <bottom>
        <color indexed="63"/>
      </bottom>
    </border>
    <border>
      <left style="medium"/>
      <right>
        <color indexed="63"/>
      </right>
      <top style="double"/>
      <bottom>
        <color indexed="63"/>
      </bottom>
    </border>
    <border>
      <left style="thin"/>
      <right style="thin"/>
      <top style="double"/>
      <bottom style="thin"/>
    </border>
    <border>
      <left style="medium"/>
      <right>
        <color indexed="63"/>
      </right>
      <top style="medium"/>
      <bottom style="double"/>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dotted"/>
      <bottom style="mediumDashDot"/>
    </border>
    <border>
      <left style="thin"/>
      <right>
        <color indexed="63"/>
      </right>
      <top style="mediumDashDot"/>
      <bottom style="thin"/>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dotted"/>
    </border>
    <border>
      <left style="medium"/>
      <right>
        <color indexed="63"/>
      </right>
      <top style="dotted"/>
      <bottom style="mediumDashDot"/>
    </border>
    <border>
      <left style="medium"/>
      <right>
        <color indexed="63"/>
      </right>
      <top style="mediumDashDot"/>
      <bottom style="thin"/>
    </border>
    <border>
      <left>
        <color indexed="63"/>
      </left>
      <right style="medium"/>
      <top style="thin"/>
      <bottom style="thin"/>
    </border>
    <border>
      <left style="double"/>
      <right style="double"/>
      <top style="double"/>
      <bottom style="double"/>
    </border>
    <border>
      <left>
        <color indexed="63"/>
      </left>
      <right>
        <color indexed="63"/>
      </right>
      <top>
        <color indexed="63"/>
      </top>
      <bottom style="mediumDashed"/>
    </border>
    <border>
      <left style="thin"/>
      <right style="medium"/>
      <top style="medium"/>
      <bottom style="thin"/>
    </border>
    <border>
      <left style="thin"/>
      <right style="thin"/>
      <top style="thin"/>
      <bottom style="mediumDashed"/>
    </border>
    <border>
      <left style="medium"/>
      <right>
        <color indexed="63"/>
      </right>
      <top style="medium"/>
      <bottom style="medium"/>
    </border>
    <border>
      <left style="medium"/>
      <right>
        <color indexed="63"/>
      </right>
      <top style="medium"/>
      <bottom style="mediumDashDotDot"/>
    </border>
    <border>
      <left style="dashed"/>
      <right>
        <color indexed="63"/>
      </right>
      <top style="medium"/>
      <bottom style="mediumDashDotDot"/>
    </border>
    <border>
      <left style="medium"/>
      <right>
        <color indexed="63"/>
      </right>
      <top style="mediumDashDotDot"/>
      <bottom style="thin"/>
    </border>
    <border>
      <left style="dashed"/>
      <right>
        <color indexed="63"/>
      </right>
      <top style="mediumDashDotDot"/>
      <bottom style="thin"/>
    </border>
    <border>
      <left style="dashed"/>
      <right style="medium"/>
      <top style="medium"/>
      <bottom style="thin"/>
    </border>
    <border>
      <left style="medium"/>
      <right style="medium"/>
      <top style="medium"/>
      <bottom>
        <color indexed="63"/>
      </bottom>
    </border>
    <border>
      <left>
        <color indexed="63"/>
      </left>
      <right style="thin"/>
      <top>
        <color indexed="63"/>
      </top>
      <bottom style="medium"/>
    </border>
    <border>
      <left style="medium"/>
      <right style="medium"/>
      <top>
        <color indexed="63"/>
      </top>
      <bottom style="thin"/>
    </border>
    <border>
      <left style="thin"/>
      <right style="thin"/>
      <top style="medium"/>
      <bottom>
        <color indexed="63"/>
      </bottom>
    </border>
    <border>
      <left>
        <color indexed="63"/>
      </left>
      <right style="medium"/>
      <top style="thin"/>
      <bottom>
        <color indexed="63"/>
      </bottom>
    </border>
    <border>
      <left>
        <color indexed="63"/>
      </left>
      <right style="medium"/>
      <top style="medium"/>
      <bottom style="medium"/>
    </border>
    <border>
      <left style="dashed"/>
      <right>
        <color indexed="63"/>
      </right>
      <top style="medium"/>
      <bottom style="dashed"/>
    </border>
    <border>
      <left style="medium"/>
      <right style="medium"/>
      <top style="medium"/>
      <bottom style="thin"/>
    </border>
    <border>
      <left style="dashed"/>
      <right>
        <color indexed="63"/>
      </right>
      <top style="dashed"/>
      <bottom>
        <color indexed="63"/>
      </bottom>
    </border>
    <border>
      <left style="medium"/>
      <right style="medium"/>
      <top style="thin"/>
      <bottom style="medium"/>
    </border>
    <border>
      <left style="dashed"/>
      <right>
        <color indexed="63"/>
      </right>
      <top style="thin"/>
      <bottom style="thin"/>
    </border>
    <border>
      <left style="thin"/>
      <right>
        <color indexed="63"/>
      </right>
      <top style="double"/>
      <bottom>
        <color indexed="63"/>
      </bottom>
    </border>
    <border>
      <left>
        <color indexed="63"/>
      </left>
      <right style="medium"/>
      <top style="double"/>
      <bottom>
        <color indexed="63"/>
      </bottom>
    </border>
    <border>
      <left style="thin"/>
      <right style="medium"/>
      <top style="thin"/>
      <bottom style="mediumDashed"/>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style="thin"/>
      <right>
        <color indexed="63"/>
      </right>
      <top>
        <color indexed="63"/>
      </top>
      <bottom style="mediumDashDotDot"/>
    </border>
    <border>
      <left style="thin"/>
      <right>
        <color indexed="63"/>
      </right>
      <top style="mediumDashDotDot"/>
      <bottom style="thin"/>
    </border>
    <border>
      <left style="medium"/>
      <right style="medium"/>
      <top style="thin"/>
      <bottom>
        <color indexed="63"/>
      </bottom>
    </border>
    <border>
      <left style="medium"/>
      <right style="medium"/>
      <top style="thin"/>
      <bottom style="thin"/>
    </border>
    <border>
      <left style="medium"/>
      <right>
        <color indexed="63"/>
      </right>
      <top>
        <color indexed="63"/>
      </top>
      <bottom style="mediumDashed"/>
    </border>
    <border>
      <left>
        <color indexed="63"/>
      </left>
      <right style="medium"/>
      <top>
        <color indexed="63"/>
      </top>
      <bottom style="mediumDashed"/>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dashed"/>
      <right style="medium"/>
      <top style="medium"/>
      <bottom style="dotted"/>
    </border>
    <border>
      <left style="dashed"/>
      <right>
        <color indexed="63"/>
      </right>
      <top style="dotted"/>
      <bottom style="mediumDashDot"/>
    </border>
    <border>
      <left style="dashed"/>
      <right>
        <color indexed="63"/>
      </right>
      <top>
        <color indexed="63"/>
      </top>
      <bottom style="thin"/>
    </border>
    <border>
      <left style="dashed"/>
      <right style="medium"/>
      <top>
        <color indexed="63"/>
      </top>
      <bottom style="thin"/>
    </border>
    <border>
      <left>
        <color indexed="63"/>
      </left>
      <right style="thin"/>
      <top style="double"/>
      <bottom>
        <color indexed="63"/>
      </bottom>
    </border>
    <border>
      <left>
        <color indexed="63"/>
      </left>
      <right style="medium"/>
      <top style="medium"/>
      <bottom>
        <color indexed="63"/>
      </bottom>
    </border>
    <border>
      <left style="thin"/>
      <right>
        <color indexed="63"/>
      </right>
      <top style="thin"/>
      <bottom style="dashDot"/>
    </border>
    <border>
      <left style="thin"/>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mediumDashed"/>
    </border>
    <border>
      <left>
        <color indexed="63"/>
      </left>
      <right style="thin"/>
      <top style="thin"/>
      <bottom style="mediumDashed"/>
    </border>
    <border>
      <left style="medium"/>
      <right>
        <color indexed="63"/>
      </right>
      <top style="thin"/>
      <bottom style="mediumDashed"/>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thin"/>
      <bottom style="medium"/>
    </border>
    <border>
      <left style="thin"/>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color indexed="63"/>
      </left>
      <right>
        <color indexed="63"/>
      </right>
      <top style="medium"/>
      <bottom style="dotted"/>
    </border>
    <border>
      <left>
        <color indexed="63"/>
      </left>
      <right style="dashed"/>
      <top style="medium"/>
      <bottom style="dotted"/>
    </border>
    <border>
      <left>
        <color indexed="63"/>
      </left>
      <right>
        <color indexed="63"/>
      </right>
      <top style="dotted"/>
      <bottom style="thin"/>
    </border>
    <border>
      <left>
        <color indexed="63"/>
      </left>
      <right style="dashed"/>
      <top style="dotted"/>
      <bottom style="thin"/>
    </border>
    <border>
      <left>
        <color indexed="63"/>
      </left>
      <right style="dashed"/>
      <top style="thin"/>
      <bottom style="thin"/>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medium"/>
      <bottom style="dotted"/>
    </border>
    <border>
      <left>
        <color indexed="63"/>
      </left>
      <right>
        <color indexed="63"/>
      </right>
      <top style="dotted"/>
      <bottom style="mediumDashDotDot"/>
    </border>
    <border>
      <left>
        <color indexed="63"/>
      </left>
      <right style="thin"/>
      <top style="dotted"/>
      <bottom style="mediumDashDotDot"/>
    </border>
    <border>
      <left>
        <color indexed="63"/>
      </left>
      <right style="dotted"/>
      <top>
        <color indexed="63"/>
      </top>
      <bottom>
        <color indexed="63"/>
      </bottom>
    </border>
    <border>
      <left style="medium"/>
      <right>
        <color indexed="63"/>
      </right>
      <top>
        <color indexed="63"/>
      </top>
      <bottom style="mediumDashDotDot"/>
    </border>
    <border>
      <left>
        <color indexed="63"/>
      </left>
      <right>
        <color indexed="63"/>
      </right>
      <top>
        <color indexed="63"/>
      </top>
      <bottom style="mediumDashDotDot"/>
    </border>
    <border>
      <left>
        <color indexed="63"/>
      </left>
      <right style="thin"/>
      <top>
        <color indexed="63"/>
      </top>
      <bottom style="mediumDashDotDot"/>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medium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DashDotDot"/>
      <bottom style="thin"/>
    </border>
    <border>
      <left>
        <color indexed="63"/>
      </left>
      <right style="thin"/>
      <top style="mediumDashDotDot"/>
      <bottom style="thin"/>
    </border>
    <border>
      <left>
        <color indexed="63"/>
      </left>
      <right style="medium"/>
      <top style="thin"/>
      <bottom style="mediumDashed"/>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dotted"/>
      <bottom style="mediumDashDot"/>
    </border>
    <border>
      <left>
        <color indexed="63"/>
      </left>
      <right style="dashed"/>
      <top style="dotted"/>
      <bottom style="mediumDashDot"/>
    </border>
    <border>
      <left>
        <color indexed="63"/>
      </left>
      <right>
        <color indexed="63"/>
      </right>
      <top style="mediumDashDot"/>
      <bottom style="thin"/>
    </border>
    <border>
      <left>
        <color indexed="63"/>
      </left>
      <right style="dotted"/>
      <top style="mediumDashDot"/>
      <bottom style="thin"/>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color indexed="63"/>
      </left>
      <right style="thin"/>
      <top style="dotted"/>
      <bottom style="mediumDashDot"/>
    </border>
    <border>
      <left>
        <color indexed="63"/>
      </left>
      <right style="dashed"/>
      <top style="medium"/>
      <bottom style="thin"/>
    </border>
    <border>
      <left style="medium"/>
      <right>
        <color indexed="63"/>
      </right>
      <top style="mediumDashDotDot"/>
      <bottom style="medium"/>
    </border>
    <border>
      <left>
        <color indexed="63"/>
      </left>
      <right>
        <color indexed="63"/>
      </right>
      <top style="mediumDashDotDot"/>
      <bottom style="medium"/>
    </border>
    <border>
      <left>
        <color indexed="63"/>
      </left>
      <right style="thin"/>
      <top style="mediumDashDotDot"/>
      <bottom style="medium"/>
    </border>
    <border>
      <left style="medium"/>
      <right style="thin"/>
      <top style="thin"/>
      <bottom>
        <color indexed="63"/>
      </bottom>
    </border>
    <border>
      <left style="thin"/>
      <right style="medium"/>
      <top style="thin"/>
      <bottom>
        <color indexed="63"/>
      </bottom>
    </border>
    <border>
      <left>
        <color indexed="63"/>
      </left>
      <right style="dashed"/>
      <top style="mediumDashDotDot"/>
      <bottom style="thin"/>
    </border>
    <border>
      <left>
        <color indexed="63"/>
      </left>
      <right>
        <color indexed="63"/>
      </right>
      <top style="medium"/>
      <bottom style="mediumDashDotDot"/>
    </border>
    <border>
      <left>
        <color indexed="63"/>
      </left>
      <right style="dashed"/>
      <top style="medium"/>
      <bottom style="mediumDashDotDot"/>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5">
    <xf numFmtId="0" fontId="0" fillId="0" borderId="0" xfId="0" applyAlignment="1">
      <alignmen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3" borderId="0" xfId="0" applyFill="1" applyBorder="1" applyAlignment="1" applyProtection="1">
      <alignment/>
      <protection/>
    </xf>
    <xf numFmtId="0" fontId="0" fillId="4" borderId="4" xfId="0" applyFill="1" applyBorder="1" applyAlignment="1" applyProtection="1">
      <alignment/>
      <protection/>
    </xf>
    <xf numFmtId="0" fontId="0" fillId="4" borderId="0" xfId="0" applyFill="1" applyBorder="1" applyAlignment="1" applyProtection="1">
      <alignment/>
      <protection/>
    </xf>
    <xf numFmtId="0" fontId="0" fillId="4" borderId="5" xfId="0" applyFill="1" applyBorder="1" applyAlignment="1" applyProtection="1">
      <alignment/>
      <protection/>
    </xf>
    <xf numFmtId="0" fontId="0" fillId="4" borderId="0" xfId="0" applyFill="1" applyBorder="1" applyAlignment="1" applyProtection="1">
      <alignment horizontal="right"/>
      <protection/>
    </xf>
    <xf numFmtId="0" fontId="0" fillId="4" borderId="6" xfId="0" applyFill="1" applyBorder="1" applyAlignment="1" applyProtection="1">
      <alignment/>
      <protection/>
    </xf>
    <xf numFmtId="0" fontId="4" fillId="5" borderId="7" xfId="0" applyFont="1" applyFill="1" applyBorder="1" applyAlignment="1" applyProtection="1">
      <alignment/>
      <protection/>
    </xf>
    <xf numFmtId="0" fontId="4" fillId="5" borderId="8" xfId="0" applyFont="1" applyFill="1" applyBorder="1" applyAlignment="1" applyProtection="1">
      <alignment/>
      <protection/>
    </xf>
    <xf numFmtId="0" fontId="0" fillId="5" borderId="8" xfId="0" applyFill="1" applyBorder="1" applyAlignment="1" applyProtection="1">
      <alignment/>
      <protection/>
    </xf>
    <xf numFmtId="0" fontId="0" fillId="3" borderId="9" xfId="0" applyFill="1" applyBorder="1" applyAlignment="1" applyProtection="1">
      <alignment/>
      <protection/>
    </xf>
    <xf numFmtId="164" fontId="0" fillId="2" borderId="2" xfId="0" applyNumberFormat="1" applyFill="1" applyBorder="1" applyAlignment="1" applyProtection="1">
      <alignment horizontal="right"/>
      <protection locked="0"/>
    </xf>
    <xf numFmtId="0" fontId="0" fillId="2" borderId="10" xfId="0"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2" borderId="2" xfId="0" applyFill="1" applyBorder="1" applyAlignment="1" applyProtection="1">
      <alignment horizontal="right"/>
      <protection locked="0"/>
    </xf>
    <xf numFmtId="0" fontId="0" fillId="2" borderId="11" xfId="0" applyFill="1" applyBorder="1" applyAlignment="1" applyProtection="1">
      <alignment horizontal="right"/>
      <protection locked="0"/>
    </xf>
    <xf numFmtId="0" fontId="0" fillId="2" borderId="12" xfId="0" applyFill="1" applyBorder="1" applyAlignment="1" applyProtection="1">
      <alignment horizontal="right"/>
      <protection locked="0"/>
    </xf>
    <xf numFmtId="0" fontId="0" fillId="2" borderId="13" xfId="0" applyFill="1" applyBorder="1" applyAlignment="1" applyProtection="1">
      <alignment horizontal="right"/>
      <protection locked="0"/>
    </xf>
    <xf numFmtId="0" fontId="0" fillId="4" borderId="4" xfId="0" applyFill="1" applyBorder="1" applyAlignment="1">
      <alignment/>
    </xf>
    <xf numFmtId="0" fontId="0" fillId="4" borderId="5" xfId="0" applyFill="1" applyBorder="1" applyAlignment="1">
      <alignment/>
    </xf>
    <xf numFmtId="0" fontId="0" fillId="4" borderId="0" xfId="0" applyFill="1" applyBorder="1" applyAlignment="1">
      <alignment/>
    </xf>
    <xf numFmtId="0" fontId="0" fillId="4" borderId="6" xfId="0" applyFill="1" applyBorder="1" applyAlignment="1">
      <alignment/>
    </xf>
    <xf numFmtId="0" fontId="0" fillId="3" borderId="1" xfId="0" applyFill="1" applyBorder="1" applyAlignment="1" applyProtection="1">
      <alignment horizontal="left"/>
      <protection locked="0"/>
    </xf>
    <xf numFmtId="0" fontId="0" fillId="3" borderId="0" xfId="0" applyFill="1" applyBorder="1" applyAlignment="1" applyProtection="1">
      <alignment/>
      <protection locked="0"/>
    </xf>
    <xf numFmtId="0" fontId="0" fillId="3" borderId="14" xfId="0" applyFill="1" applyBorder="1" applyAlignment="1" applyProtection="1">
      <alignment horizontal="left"/>
      <protection locked="0"/>
    </xf>
    <xf numFmtId="0" fontId="0" fillId="3" borderId="15" xfId="0" applyFill="1" applyBorder="1" applyAlignment="1" applyProtection="1">
      <alignment/>
      <protection/>
    </xf>
    <xf numFmtId="0" fontId="0" fillId="2" borderId="15"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5" fillId="5" borderId="17" xfId="0" applyFont="1" applyFill="1" applyBorder="1" applyAlignment="1" applyProtection="1">
      <alignment/>
      <protection/>
    </xf>
    <xf numFmtId="0" fontId="5" fillId="5" borderId="18" xfId="0" applyFont="1" applyFill="1" applyBorder="1" applyAlignment="1" applyProtection="1">
      <alignment/>
      <protection/>
    </xf>
    <xf numFmtId="0" fontId="0" fillId="5" borderId="18" xfId="0" applyFill="1" applyBorder="1" applyAlignment="1" applyProtection="1">
      <alignment/>
      <protection/>
    </xf>
    <xf numFmtId="0" fontId="0" fillId="5" borderId="19" xfId="0" applyFill="1" applyBorder="1" applyAlignment="1" applyProtection="1">
      <alignment/>
      <protection/>
    </xf>
    <xf numFmtId="0" fontId="0" fillId="2" borderId="11" xfId="0" applyFill="1" applyBorder="1" applyAlignment="1" applyProtection="1">
      <alignment/>
      <protection locked="0"/>
    </xf>
    <xf numFmtId="0" fontId="0" fillId="2" borderId="10" xfId="0" applyFill="1" applyBorder="1" applyAlignment="1" applyProtection="1">
      <alignment/>
      <protection locked="0"/>
    </xf>
    <xf numFmtId="0" fontId="0" fillId="2" borderId="20" xfId="0" applyFill="1" applyBorder="1" applyAlignment="1" applyProtection="1">
      <alignment horizontal="left"/>
      <protection locked="0"/>
    </xf>
    <xf numFmtId="0" fontId="0" fillId="2" borderId="20" xfId="0" applyFill="1" applyBorder="1" applyAlignment="1" applyProtection="1">
      <alignment/>
      <protection locked="0"/>
    </xf>
    <xf numFmtId="0" fontId="0" fillId="2" borderId="21" xfId="0" applyFill="1" applyBorder="1" applyAlignment="1" applyProtection="1">
      <alignment/>
      <protection locked="0"/>
    </xf>
    <xf numFmtId="0" fontId="8" fillId="4" borderId="5" xfId="0" applyFont="1" applyFill="1" applyBorder="1" applyAlignment="1" applyProtection="1">
      <alignment horizontal="right" textRotation="90" wrapText="1"/>
      <protection/>
    </xf>
    <xf numFmtId="0" fontId="12" fillId="0" borderId="0" xfId="0" applyFont="1" applyFill="1" applyAlignment="1">
      <alignment/>
    </xf>
    <xf numFmtId="0" fontId="12" fillId="0" borderId="0" xfId="0" applyFont="1" applyAlignment="1">
      <alignment/>
    </xf>
    <xf numFmtId="0" fontId="8" fillId="4" borderId="0" xfId="0" applyFont="1" applyFill="1" applyBorder="1" applyAlignment="1" applyProtection="1">
      <alignment horizontal="right" textRotation="90" wrapText="1"/>
      <protection/>
    </xf>
    <xf numFmtId="0" fontId="0" fillId="4" borderId="0" xfId="0" applyFill="1" applyBorder="1" applyAlignment="1">
      <alignment horizontal="center"/>
    </xf>
    <xf numFmtId="0" fontId="0" fillId="4" borderId="12" xfId="0" applyFill="1" applyBorder="1" applyAlignment="1">
      <alignment/>
    </xf>
    <xf numFmtId="0" fontId="2" fillId="3" borderId="0" xfId="0" applyFont="1" applyFill="1" applyBorder="1" applyAlignment="1" applyProtection="1">
      <alignment horizontal="right"/>
      <protection/>
    </xf>
    <xf numFmtId="0" fontId="0" fillId="3" borderId="22" xfId="0" applyFill="1" applyBorder="1" applyAlignment="1" applyProtection="1">
      <alignment horizontal="centerContinuous"/>
      <protection/>
    </xf>
    <xf numFmtId="0" fontId="13" fillId="0" borderId="0" xfId="0" applyFont="1" applyAlignment="1">
      <alignment/>
    </xf>
    <xf numFmtId="0" fontId="0" fillId="3" borderId="23" xfId="0" applyFill="1" applyBorder="1" applyAlignment="1" applyProtection="1">
      <alignment/>
      <protection/>
    </xf>
    <xf numFmtId="2" fontId="2" fillId="3" borderId="23" xfId="0" applyNumberFormat="1" applyFont="1" applyFill="1" applyBorder="1" applyAlignment="1" applyProtection="1">
      <alignment horizontal="centerContinuous"/>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2" borderId="2"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4" borderId="0" xfId="0" applyFill="1" applyBorder="1" applyAlignment="1" applyProtection="1">
      <alignment horizontal="center"/>
      <protection/>
    </xf>
    <xf numFmtId="1" fontId="0" fillId="2" borderId="2" xfId="0" applyNumberFormat="1" applyFill="1" applyBorder="1" applyAlignment="1" applyProtection="1">
      <alignment horizontal="right"/>
      <protection locked="0"/>
    </xf>
    <xf numFmtId="0" fontId="11" fillId="0" borderId="0" xfId="0" applyFont="1" applyAlignment="1">
      <alignment/>
    </xf>
    <xf numFmtId="0" fontId="0" fillId="4" borderId="0" xfId="0" applyFill="1" applyBorder="1" applyAlignment="1" applyProtection="1">
      <alignment horizontal="right" vertical="center"/>
      <protection/>
    </xf>
    <xf numFmtId="0" fontId="0" fillId="4" borderId="0" xfId="0" applyFill="1" applyBorder="1" applyAlignment="1" applyProtection="1">
      <alignment horizontal="left"/>
      <protection/>
    </xf>
    <xf numFmtId="0" fontId="12" fillId="0" borderId="0" xfId="0" applyFont="1" applyAlignment="1" applyProtection="1">
      <alignment/>
      <protection hidden="1"/>
    </xf>
    <xf numFmtId="0" fontId="11" fillId="0" borderId="0" xfId="0" applyFont="1" applyFill="1" applyAlignment="1">
      <alignment/>
    </xf>
    <xf numFmtId="0" fontId="12" fillId="0" borderId="0" xfId="0" applyFont="1" applyFill="1" applyAlignment="1" applyProtection="1">
      <alignment/>
      <protection hidden="1"/>
    </xf>
    <xf numFmtId="0" fontId="0" fillId="2" borderId="15" xfId="0" applyFill="1" applyBorder="1" applyAlignment="1" applyProtection="1">
      <alignment/>
      <protection locked="0"/>
    </xf>
    <xf numFmtId="0" fontId="0" fillId="2" borderId="25" xfId="0" applyFill="1" applyBorder="1" applyAlignment="1" applyProtection="1">
      <alignment/>
      <protection locked="0"/>
    </xf>
    <xf numFmtId="0" fontId="0" fillId="2" borderId="26" xfId="0" applyFill="1" applyBorder="1" applyAlignment="1" applyProtection="1">
      <alignment horizontal="left"/>
      <protection locked="0"/>
    </xf>
    <xf numFmtId="0" fontId="0" fillId="2" borderId="27" xfId="0" applyFill="1" applyBorder="1" applyAlignment="1" applyProtection="1">
      <alignment horizontal="lef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29" xfId="0" applyFill="1" applyBorder="1" applyAlignment="1" applyProtection="1">
      <alignment/>
      <protection locked="0"/>
    </xf>
    <xf numFmtId="0" fontId="0" fillId="2" borderId="30" xfId="0" applyFill="1" applyBorder="1" applyAlignment="1" applyProtection="1">
      <alignment/>
      <protection locked="0"/>
    </xf>
    <xf numFmtId="0" fontId="0" fillId="2" borderId="31" xfId="0" applyFill="1" applyBorder="1" applyAlignment="1" applyProtection="1">
      <alignment horizontal="left"/>
      <protection locked="0"/>
    </xf>
    <xf numFmtId="0" fontId="0" fillId="3" borderId="32" xfId="0" applyFill="1" applyBorder="1" applyAlignment="1" applyProtection="1">
      <alignment/>
      <protection/>
    </xf>
    <xf numFmtId="0" fontId="15" fillId="4" borderId="0" xfId="0" applyFont="1" applyFill="1" applyBorder="1" applyAlignment="1" applyProtection="1">
      <alignment/>
      <protection/>
    </xf>
    <xf numFmtId="0" fontId="15" fillId="4" borderId="0" xfId="0" applyFont="1" applyFill="1" applyBorder="1" applyAlignment="1" applyProtection="1">
      <alignment horizontal="right"/>
      <protection/>
    </xf>
    <xf numFmtId="0" fontId="15" fillId="4" borderId="33" xfId="0" applyFont="1" applyFill="1" applyBorder="1" applyAlignment="1" applyProtection="1">
      <alignment/>
      <protection/>
    </xf>
    <xf numFmtId="0" fontId="15" fillId="4" borderId="0" xfId="0" applyFont="1" applyFill="1" applyBorder="1" applyAlignment="1" applyProtection="1">
      <alignment horizontal="right" vertical="top"/>
      <protection/>
    </xf>
    <xf numFmtId="0" fontId="2" fillId="6" borderId="17" xfId="0" applyFont="1" applyFill="1" applyBorder="1" applyAlignment="1" applyProtection="1">
      <alignment/>
      <protection/>
    </xf>
    <xf numFmtId="0" fontId="2" fillId="6" borderId="18" xfId="0" applyFont="1" applyFill="1" applyBorder="1" applyAlignment="1" applyProtection="1">
      <alignment/>
      <protection/>
    </xf>
    <xf numFmtId="0" fontId="0" fillId="6" borderId="34" xfId="0" applyFill="1" applyBorder="1" applyAlignment="1" applyProtection="1">
      <alignment horizontal="left"/>
      <protection/>
    </xf>
    <xf numFmtId="0" fontId="0" fillId="6" borderId="35" xfId="0" applyFill="1" applyBorder="1" applyAlignment="1" applyProtection="1">
      <alignment horizontal="left"/>
      <protection/>
    </xf>
    <xf numFmtId="2" fontId="0" fillId="4" borderId="36" xfId="0" applyNumberFormat="1" applyFill="1" applyBorder="1" applyAlignment="1" applyProtection="1">
      <alignment horizontal="right"/>
      <protection locked="0"/>
    </xf>
    <xf numFmtId="0" fontId="5" fillId="4" borderId="33" xfId="0" applyFont="1" applyFill="1" applyBorder="1" applyAlignment="1" applyProtection="1">
      <alignment/>
      <protection/>
    </xf>
    <xf numFmtId="0" fontId="19" fillId="4" borderId="33" xfId="0" applyFont="1" applyFill="1" applyBorder="1" applyAlignment="1" applyProtection="1">
      <alignment/>
      <protection/>
    </xf>
    <xf numFmtId="0" fontId="20" fillId="4" borderId="33" xfId="0" applyFont="1" applyFill="1" applyBorder="1" applyAlignment="1" applyProtection="1">
      <alignment horizontal="left" vertical="top" wrapText="1"/>
      <protection/>
    </xf>
    <xf numFmtId="0" fontId="15" fillId="4" borderId="0" xfId="0" applyFont="1" applyFill="1" applyBorder="1" applyAlignment="1">
      <alignment horizontal="right" wrapText="1"/>
    </xf>
    <xf numFmtId="0" fontId="12" fillId="0" borderId="0" xfId="0" applyFont="1" applyAlignment="1" applyProtection="1">
      <alignment horizontal="right"/>
      <protection hidden="1"/>
    </xf>
    <xf numFmtId="0" fontId="0" fillId="4" borderId="0" xfId="0" applyFont="1" applyFill="1" applyBorder="1" applyAlignment="1" applyProtection="1">
      <alignment horizontal="left" wrapText="1"/>
      <protection/>
    </xf>
    <xf numFmtId="164" fontId="0" fillId="4" borderId="0" xfId="0" applyNumberFormat="1" applyFill="1" applyBorder="1" applyAlignment="1" applyProtection="1">
      <alignment horizontal="right"/>
      <protection locked="0"/>
    </xf>
    <xf numFmtId="0" fontId="24" fillId="0" borderId="0" xfId="0" applyFont="1" applyFill="1" applyAlignment="1" applyProtection="1">
      <alignment/>
      <protection hidden="1"/>
    </xf>
    <xf numFmtId="0" fontId="15" fillId="4" borderId="0" xfId="0" applyFont="1" applyFill="1" applyBorder="1" applyAlignment="1">
      <alignment horizontal="right"/>
    </xf>
    <xf numFmtId="169" fontId="0" fillId="4" borderId="0" xfId="0" applyNumberFormat="1" applyFill="1" applyBorder="1" applyAlignment="1" applyProtection="1">
      <alignment horizontal="right"/>
      <protection locked="0"/>
    </xf>
    <xf numFmtId="0" fontId="12" fillId="0" borderId="0" xfId="0" applyFont="1" applyFill="1" applyAlignment="1" applyProtection="1">
      <alignment wrapText="1"/>
      <protection hidden="1"/>
    </xf>
    <xf numFmtId="0" fontId="0" fillId="4" borderId="0" xfId="0" applyFont="1" applyFill="1" applyBorder="1" applyAlignment="1" applyProtection="1">
      <alignment horizontal="left" vertical="center" wrapText="1"/>
      <protection/>
    </xf>
    <xf numFmtId="0" fontId="0" fillId="4" borderId="0" xfId="0" applyFill="1" applyBorder="1" applyAlignment="1">
      <alignment horizontal="right" wrapText="1"/>
    </xf>
    <xf numFmtId="0" fontId="0" fillId="4" borderId="0" xfId="0" applyFill="1" applyBorder="1" applyAlignment="1">
      <alignment vertical="center"/>
    </xf>
    <xf numFmtId="0" fontId="0" fillId="4" borderId="0" xfId="0" applyFill="1" applyBorder="1" applyAlignment="1" applyProtection="1">
      <alignment vertical="center"/>
      <protection/>
    </xf>
    <xf numFmtId="0" fontId="12" fillId="4" borderId="5" xfId="0" applyFont="1" applyFill="1" applyBorder="1" applyAlignment="1" applyProtection="1">
      <alignment/>
      <protection/>
    </xf>
    <xf numFmtId="0" fontId="12" fillId="4" borderId="0" xfId="0" applyFont="1" applyFill="1" applyBorder="1" applyAlignment="1" applyProtection="1">
      <alignment/>
      <protection/>
    </xf>
    <xf numFmtId="0" fontId="12" fillId="4" borderId="4" xfId="0" applyFont="1" applyFill="1" applyBorder="1" applyAlignment="1" applyProtection="1">
      <alignment/>
      <protection/>
    </xf>
    <xf numFmtId="0" fontId="12" fillId="4" borderId="0" xfId="0" applyFont="1" applyFill="1" applyBorder="1" applyAlignment="1" applyProtection="1">
      <alignment horizontal="right"/>
      <protection/>
    </xf>
    <xf numFmtId="0" fontId="12" fillId="3" borderId="9" xfId="0" applyFont="1" applyFill="1" applyBorder="1" applyAlignment="1" applyProtection="1">
      <alignment/>
      <protection/>
    </xf>
    <xf numFmtId="0" fontId="12" fillId="4" borderId="0" xfId="0" applyFont="1" applyFill="1" applyBorder="1" applyAlignment="1" applyProtection="1">
      <alignment vertical="center"/>
      <protection/>
    </xf>
    <xf numFmtId="169" fontId="12" fillId="4" borderId="0" xfId="0" applyNumberFormat="1" applyFont="1" applyFill="1" applyBorder="1" applyAlignment="1" applyProtection="1">
      <alignment horizontal="right"/>
      <protection/>
    </xf>
    <xf numFmtId="165" fontId="12" fillId="4" borderId="0" xfId="0" applyNumberFormat="1" applyFont="1" applyFill="1" applyBorder="1" applyAlignment="1" applyProtection="1">
      <alignment/>
      <protection/>
    </xf>
    <xf numFmtId="164" fontId="0" fillId="4" borderId="0" xfId="0" applyNumberFormat="1" applyFill="1" applyBorder="1" applyAlignment="1" applyProtection="1">
      <alignment horizontal="center"/>
      <protection/>
    </xf>
    <xf numFmtId="2" fontId="28" fillId="0" borderId="0" xfId="0" applyNumberFormat="1" applyFont="1" applyBorder="1" applyAlignment="1" applyProtection="1">
      <alignment horizontal="right"/>
      <protection/>
    </xf>
    <xf numFmtId="0" fontId="12" fillId="0" borderId="0" xfId="0" applyFont="1" applyFill="1" applyBorder="1" applyAlignment="1" applyProtection="1">
      <alignment/>
      <protection/>
    </xf>
    <xf numFmtId="0" fontId="24" fillId="0" borderId="0" xfId="0" applyFont="1" applyFill="1" applyBorder="1" applyAlignment="1" applyProtection="1">
      <alignment horizontal="right"/>
      <protection/>
    </xf>
    <xf numFmtId="0" fontId="5" fillId="4" borderId="5" xfId="0" applyFont="1" applyFill="1" applyBorder="1" applyAlignment="1" applyProtection="1">
      <alignment/>
      <protection/>
    </xf>
    <xf numFmtId="0" fontId="0" fillId="4" borderId="5" xfId="0" applyFill="1" applyBorder="1" applyAlignment="1" applyProtection="1">
      <alignment horizontal="right"/>
      <protection/>
    </xf>
    <xf numFmtId="0" fontId="0" fillId="4" borderId="5" xfId="0" applyFill="1" applyBorder="1" applyAlignment="1" applyProtection="1">
      <alignment horizontal="left" vertical="top" wrapText="1"/>
      <protection/>
    </xf>
    <xf numFmtId="0" fontId="14" fillId="4" borderId="0" xfId="0" applyFont="1" applyFill="1" applyBorder="1" applyAlignment="1" applyProtection="1">
      <alignment horizontal="right"/>
      <protection/>
    </xf>
    <xf numFmtId="0" fontId="14" fillId="4" borderId="6" xfId="0" applyFont="1" applyFill="1" applyBorder="1" applyAlignment="1">
      <alignment/>
    </xf>
    <xf numFmtId="2" fontId="0" fillId="4" borderId="0" xfId="0" applyNumberFormat="1" applyFill="1" applyBorder="1" applyAlignment="1" applyProtection="1">
      <alignment/>
      <protection/>
    </xf>
    <xf numFmtId="0" fontId="15" fillId="4" borderId="37" xfId="0" applyFont="1" applyFill="1" applyBorder="1" applyAlignment="1" applyProtection="1">
      <alignment horizontal="right"/>
      <protection/>
    </xf>
    <xf numFmtId="0" fontId="15" fillId="4" borderId="37" xfId="0" applyFont="1" applyFill="1" applyBorder="1" applyAlignment="1" applyProtection="1">
      <alignment horizontal="right" vertical="center"/>
      <protection/>
    </xf>
    <xf numFmtId="0" fontId="15" fillId="4" borderId="38" xfId="0" applyFont="1" applyFill="1" applyBorder="1" applyAlignment="1" applyProtection="1">
      <alignment horizontal="right" vertical="center"/>
      <protection/>
    </xf>
    <xf numFmtId="0" fontId="5" fillId="4" borderId="0" xfId="0" applyFont="1" applyFill="1" applyBorder="1" applyAlignment="1" applyProtection="1">
      <alignment horizontal="left" vertical="center"/>
      <protection/>
    </xf>
    <xf numFmtId="164" fontId="0" fillId="4" borderId="39" xfId="0" applyNumberFormat="1" applyFill="1" applyBorder="1" applyAlignment="1" applyProtection="1">
      <alignment horizontal="right"/>
      <protection locked="0"/>
    </xf>
    <xf numFmtId="0" fontId="2" fillId="6" borderId="34" xfId="0" applyFont="1" applyFill="1" applyBorder="1" applyAlignment="1" applyProtection="1">
      <alignment horizontal="left" vertical="center"/>
      <protection/>
    </xf>
    <xf numFmtId="169" fontId="0" fillId="4" borderId="0" xfId="0" applyNumberFormat="1" applyFill="1" applyBorder="1" applyAlignment="1" applyProtection="1">
      <alignment horizontal="right"/>
      <protection/>
    </xf>
    <xf numFmtId="164" fontId="0" fillId="0" borderId="12" xfId="0" applyNumberFormat="1" applyFont="1" applyFill="1" applyBorder="1" applyAlignment="1" applyProtection="1">
      <alignment horizontal="center"/>
      <protection/>
    </xf>
    <xf numFmtId="0" fontId="18" fillId="4" borderId="4" xfId="0" applyFont="1" applyFill="1" applyBorder="1" applyAlignment="1" applyProtection="1">
      <alignment horizontal="left"/>
      <protection/>
    </xf>
    <xf numFmtId="0" fontId="18" fillId="4" borderId="5" xfId="0" applyFont="1" applyFill="1" applyBorder="1" applyAlignment="1" applyProtection="1">
      <alignment horizontal="left"/>
      <protection/>
    </xf>
    <xf numFmtId="0" fontId="18" fillId="4" borderId="0" xfId="0" applyFont="1" applyFill="1" applyBorder="1" applyAlignment="1" applyProtection="1">
      <alignment horizontal="left"/>
      <protection/>
    </xf>
    <xf numFmtId="0" fontId="15" fillId="4" borderId="0" xfId="0" applyFont="1" applyFill="1" applyBorder="1" applyAlignment="1" applyProtection="1">
      <alignment horizontal="right" vertical="center"/>
      <protection/>
    </xf>
    <xf numFmtId="0" fontId="2" fillId="6" borderId="35" xfId="0" applyFont="1" applyFill="1" applyBorder="1" applyAlignment="1" applyProtection="1">
      <alignment horizontal="left" vertical="center"/>
      <protection/>
    </xf>
    <xf numFmtId="0" fontId="30" fillId="4" borderId="0" xfId="0" applyFont="1" applyFill="1" applyBorder="1" applyAlignment="1" applyProtection="1">
      <alignment horizontal="right"/>
      <protection/>
    </xf>
    <xf numFmtId="0" fontId="18" fillId="3" borderId="40" xfId="0" applyFont="1" applyFill="1" applyBorder="1" applyAlignment="1" applyProtection="1">
      <alignment horizontal="left"/>
      <protection/>
    </xf>
    <xf numFmtId="0" fontId="17" fillId="4" borderId="16" xfId="0" applyFont="1" applyFill="1" applyBorder="1" applyAlignment="1" applyProtection="1">
      <alignment horizontal="right"/>
      <protection/>
    </xf>
    <xf numFmtId="0" fontId="28" fillId="4" borderId="4" xfId="0" applyFont="1" applyFill="1" applyBorder="1" applyAlignment="1" applyProtection="1">
      <alignment horizontal="right"/>
      <protection/>
    </xf>
    <xf numFmtId="164" fontId="0" fillId="2" borderId="41" xfId="0" applyNumberFormat="1" applyFill="1" applyBorder="1" applyAlignment="1" applyProtection="1">
      <alignment horizontal="right" vertical="center"/>
      <protection locked="0"/>
    </xf>
    <xf numFmtId="0" fontId="5" fillId="4" borderId="0" xfId="0" applyFont="1" applyFill="1" applyBorder="1" applyAlignment="1">
      <alignment horizontal="left" vertical="center" wrapText="1"/>
    </xf>
    <xf numFmtId="0" fontId="5" fillId="4" borderId="0" xfId="0" applyFont="1" applyFill="1" applyBorder="1" applyAlignment="1" applyProtection="1">
      <alignment horizontal="left"/>
      <protection/>
    </xf>
    <xf numFmtId="0" fontId="0" fillId="4" borderId="0" xfId="0" applyFill="1" applyBorder="1" applyAlignment="1" applyProtection="1">
      <alignment horizontal="left" vertical="center"/>
      <protection/>
    </xf>
    <xf numFmtId="1" fontId="0" fillId="2" borderId="1" xfId="0" applyNumberFormat="1" applyFill="1" applyBorder="1" applyAlignment="1" applyProtection="1">
      <alignment horizontal="right"/>
      <protection locked="0"/>
    </xf>
    <xf numFmtId="0" fontId="0" fillId="2" borderId="42" xfId="0" applyFill="1" applyBorder="1" applyAlignment="1" applyProtection="1">
      <alignment/>
      <protection locked="0"/>
    </xf>
    <xf numFmtId="0" fontId="0" fillId="2" borderId="24" xfId="0" applyFill="1" applyBorder="1" applyAlignment="1" applyProtection="1">
      <alignment/>
      <protection locked="0"/>
    </xf>
    <xf numFmtId="0" fontId="0" fillId="2" borderId="23"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5" fillId="4" borderId="43" xfId="0" applyFont="1" applyFill="1" applyBorder="1" applyAlignment="1" applyProtection="1">
      <alignment/>
      <protection/>
    </xf>
    <xf numFmtId="0" fontId="5" fillId="4" borderId="33" xfId="0" applyFont="1" applyFill="1" applyBorder="1" applyAlignment="1">
      <alignment/>
    </xf>
    <xf numFmtId="0" fontId="2" fillId="4" borderId="0" xfId="0" applyFont="1" applyFill="1" applyBorder="1" applyAlignment="1" applyProtection="1">
      <alignment horizontal="left" vertical="center"/>
      <protection/>
    </xf>
    <xf numFmtId="0" fontId="15" fillId="4" borderId="0" xfId="0" applyFont="1" applyFill="1" applyBorder="1" applyAlignment="1" applyProtection="1">
      <alignment horizontal="right" wrapText="1"/>
      <protection/>
    </xf>
    <xf numFmtId="0" fontId="3" fillId="4" borderId="4" xfId="0" applyFont="1" applyFill="1" applyBorder="1" applyAlignment="1" applyProtection="1">
      <alignment/>
      <protection/>
    </xf>
    <xf numFmtId="0" fontId="7" fillId="4" borderId="0" xfId="0" applyFont="1" applyFill="1" applyBorder="1" applyAlignment="1" applyProtection="1">
      <alignment horizontal="right"/>
      <protection/>
    </xf>
    <xf numFmtId="0" fontId="3" fillId="4" borderId="0" xfId="0" applyFont="1" applyFill="1" applyBorder="1" applyAlignment="1" applyProtection="1">
      <alignment/>
      <protection/>
    </xf>
    <xf numFmtId="0" fontId="7" fillId="4" borderId="0" xfId="0" applyFont="1" applyFill="1" applyBorder="1" applyAlignment="1" applyProtection="1">
      <alignment horizontal="center"/>
      <protection/>
    </xf>
    <xf numFmtId="0" fontId="5" fillId="4" borderId="0" xfId="0" applyFont="1" applyFill="1" applyBorder="1" applyAlignment="1" applyProtection="1">
      <alignment horizontal="left"/>
      <protection/>
    </xf>
    <xf numFmtId="1" fontId="0" fillId="4" borderId="36" xfId="0" applyNumberFormat="1" applyFill="1" applyBorder="1" applyAlignment="1" applyProtection="1">
      <alignment horizontal="center"/>
      <protection locked="0"/>
    </xf>
    <xf numFmtId="1" fontId="0" fillId="4" borderId="36" xfId="0" applyNumberFormat="1" applyFill="1" applyBorder="1" applyAlignment="1" applyProtection="1">
      <alignment horizontal="right"/>
      <protection locked="0"/>
    </xf>
    <xf numFmtId="1" fontId="0" fillId="2" borderId="12" xfId="0" applyNumberFormat="1" applyFill="1" applyBorder="1" applyAlignment="1" applyProtection="1">
      <alignment horizontal="right"/>
      <protection locked="0"/>
    </xf>
    <xf numFmtId="0" fontId="0" fillId="4" borderId="5" xfId="0" applyFill="1" applyBorder="1" applyAlignment="1" applyProtection="1">
      <alignment horizontal="left" vertical="center"/>
      <protection/>
    </xf>
    <xf numFmtId="1" fontId="0" fillId="0" borderId="12" xfId="0" applyNumberFormat="1" applyFont="1" applyFill="1" applyBorder="1" applyAlignment="1" applyProtection="1">
      <alignment horizontal="center" vertical="center"/>
      <protection/>
    </xf>
    <xf numFmtId="0" fontId="14" fillId="4" borderId="4" xfId="0" applyFont="1" applyFill="1" applyBorder="1" applyAlignment="1">
      <alignment horizontal="right" vertical="center"/>
    </xf>
    <xf numFmtId="1" fontId="0" fillId="2" borderId="12" xfId="0" applyNumberFormat="1" applyFill="1" applyBorder="1" applyAlignment="1" applyProtection="1">
      <alignment horizontal="center" vertical="center"/>
      <protection locked="0"/>
    </xf>
    <xf numFmtId="2" fontId="0" fillId="4" borderId="39" xfId="0" applyNumberFormat="1" applyFill="1" applyBorder="1" applyAlignment="1" applyProtection="1">
      <alignment horizontal="right"/>
      <protection locked="0"/>
    </xf>
    <xf numFmtId="2" fontId="0" fillId="4" borderId="0" xfId="0" applyNumberFormat="1" applyFill="1" applyBorder="1" applyAlignment="1" applyProtection="1">
      <alignment/>
      <protection locked="0"/>
    </xf>
    <xf numFmtId="0" fontId="12" fillId="0" borderId="0" xfId="0" applyFont="1" applyFill="1" applyAlignment="1" applyProtection="1">
      <alignment/>
      <protection hidden="1"/>
    </xf>
    <xf numFmtId="164" fontId="0" fillId="2" borderId="44" xfId="0" applyNumberFormat="1" applyFill="1" applyBorder="1" applyAlignment="1" applyProtection="1">
      <alignment horizontal="right"/>
      <protection locked="0"/>
    </xf>
    <xf numFmtId="0" fontId="29" fillId="4" borderId="0" xfId="0" applyFont="1" applyFill="1" applyBorder="1" applyAlignment="1" applyProtection="1">
      <alignment horizontal="left" vertical="center" wrapText="1"/>
      <protection/>
    </xf>
    <xf numFmtId="0" fontId="14" fillId="4" borderId="0" xfId="0" applyFont="1" applyFill="1" applyBorder="1" applyAlignment="1">
      <alignment horizontal="right"/>
    </xf>
    <xf numFmtId="164" fontId="5" fillId="4" borderId="0" xfId="0" applyNumberFormat="1" applyFont="1" applyFill="1" applyBorder="1" applyAlignment="1" applyProtection="1">
      <alignment/>
      <protection locked="0"/>
    </xf>
    <xf numFmtId="0" fontId="33" fillId="6" borderId="17" xfId="0" applyFont="1" applyFill="1" applyBorder="1" applyAlignment="1" applyProtection="1">
      <alignment vertical="center"/>
      <protection/>
    </xf>
    <xf numFmtId="0" fontId="33" fillId="6" borderId="45" xfId="0" applyFont="1" applyFill="1" applyBorder="1" applyAlignment="1" applyProtection="1">
      <alignment vertical="center"/>
      <protection/>
    </xf>
    <xf numFmtId="0" fontId="33" fillId="6" borderId="45" xfId="0" applyFont="1" applyFill="1" applyBorder="1" applyAlignment="1" applyProtection="1">
      <alignment/>
      <protection/>
    </xf>
    <xf numFmtId="0" fontId="2" fillId="4" borderId="46" xfId="0" applyFont="1" applyFill="1" applyBorder="1" applyAlignment="1" applyProtection="1">
      <alignment horizontal="right" vertical="center"/>
      <protection/>
    </xf>
    <xf numFmtId="0" fontId="12" fillId="0" borderId="0" xfId="0" applyFont="1" applyAlignment="1">
      <alignment vertical="top"/>
    </xf>
    <xf numFmtId="0" fontId="0" fillId="3" borderId="3" xfId="0" applyFill="1" applyBorder="1" applyAlignment="1" applyProtection="1">
      <alignment horizontal="right"/>
      <protection locked="0"/>
    </xf>
    <xf numFmtId="0" fontId="0" fillId="3" borderId="41" xfId="0" applyFill="1" applyBorder="1" applyAlignment="1" applyProtection="1">
      <alignment horizontal="right"/>
      <protection locked="0"/>
    </xf>
    <xf numFmtId="0" fontId="12" fillId="4" borderId="0" xfId="0" applyFont="1" applyFill="1" applyBorder="1" applyAlignment="1" applyProtection="1">
      <alignment horizontal="right" vertical="top" wrapText="1"/>
      <protection/>
    </xf>
    <xf numFmtId="0" fontId="25" fillId="4" borderId="0" xfId="0" applyFont="1" applyFill="1" applyBorder="1" applyAlignment="1" applyProtection="1">
      <alignment horizontal="right"/>
      <protection/>
    </xf>
    <xf numFmtId="0" fontId="25" fillId="4" borderId="0" xfId="0" applyFont="1" applyFill="1" applyBorder="1" applyAlignment="1" applyProtection="1">
      <alignment horizontal="left" vertical="center"/>
      <protection locked="0"/>
    </xf>
    <xf numFmtId="0" fontId="25" fillId="4" borderId="6" xfId="0" applyFont="1" applyFill="1" applyBorder="1" applyAlignment="1" applyProtection="1">
      <alignment/>
      <protection/>
    </xf>
    <xf numFmtId="0" fontId="12" fillId="3" borderId="32" xfId="0" applyFont="1" applyFill="1" applyBorder="1" applyAlignment="1" applyProtection="1">
      <alignment/>
      <protection/>
    </xf>
    <xf numFmtId="0" fontId="2" fillId="6" borderId="45" xfId="0" applyFont="1" applyFill="1" applyBorder="1" applyAlignment="1" applyProtection="1">
      <alignment/>
      <protection/>
    </xf>
    <xf numFmtId="0" fontId="2" fillId="6" borderId="45" xfId="0" applyFont="1" applyFill="1" applyBorder="1" applyAlignment="1" applyProtection="1">
      <alignment/>
      <protection/>
    </xf>
    <xf numFmtId="0" fontId="0" fillId="6" borderId="18" xfId="0" applyFill="1" applyBorder="1" applyAlignment="1" applyProtection="1">
      <alignment/>
      <protection/>
    </xf>
    <xf numFmtId="0" fontId="0" fillId="6" borderId="34" xfId="0" applyFill="1" applyBorder="1" applyAlignment="1" applyProtection="1">
      <alignment/>
      <protection/>
    </xf>
    <xf numFmtId="0" fontId="0" fillId="6" borderId="19" xfId="0" applyFill="1" applyBorder="1" applyAlignment="1" applyProtection="1">
      <alignment/>
      <protection/>
    </xf>
    <xf numFmtId="0" fontId="4" fillId="0" borderId="0" xfId="0" applyFont="1" applyFill="1" applyBorder="1" applyAlignment="1" applyProtection="1">
      <alignment horizontal="left"/>
      <protection/>
    </xf>
    <xf numFmtId="165" fontId="0" fillId="4" borderId="0" xfId="0" applyNumberFormat="1" applyFill="1" applyBorder="1" applyAlignment="1" applyProtection="1">
      <alignment horizontal="right"/>
      <protection/>
    </xf>
    <xf numFmtId="0" fontId="7" fillId="3" borderId="5" xfId="0" applyFont="1" applyFill="1" applyBorder="1" applyAlignment="1" applyProtection="1">
      <alignment horizontal="center"/>
      <protection/>
    </xf>
    <xf numFmtId="0" fontId="15" fillId="4" borderId="5" xfId="0" applyFont="1" applyFill="1" applyBorder="1" applyAlignment="1">
      <alignment horizontal="right"/>
    </xf>
    <xf numFmtId="2" fontId="5" fillId="4" borderId="0" xfId="0" applyNumberFormat="1" applyFont="1" applyFill="1" applyBorder="1" applyAlignment="1" applyProtection="1">
      <alignment horizontal="right"/>
      <protection/>
    </xf>
    <xf numFmtId="0" fontId="17" fillId="4" borderId="4" xfId="0" applyFont="1" applyFill="1" applyBorder="1" applyAlignment="1" applyProtection="1">
      <alignment horizontal="right" vertical="center"/>
      <protection/>
    </xf>
    <xf numFmtId="0" fontId="2" fillId="4" borderId="0" xfId="0" applyFont="1" applyFill="1" applyBorder="1" applyAlignment="1" applyProtection="1">
      <alignment horizontal="right" vertical="center"/>
      <protection/>
    </xf>
    <xf numFmtId="0" fontId="2" fillId="4" borderId="0" xfId="0" applyFont="1" applyFill="1" applyBorder="1" applyAlignment="1" applyProtection="1">
      <alignment horizontal="center" vertical="center"/>
      <protection/>
    </xf>
    <xf numFmtId="0" fontId="2" fillId="4" borderId="5" xfId="0" applyFont="1" applyFill="1" applyBorder="1" applyAlignment="1" applyProtection="1">
      <alignment horizontal="left"/>
      <protection/>
    </xf>
    <xf numFmtId="0" fontId="2" fillId="4"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2" fillId="4" borderId="12" xfId="0" applyFont="1" applyFill="1" applyBorder="1" applyAlignment="1" applyProtection="1">
      <alignment horizontal="left"/>
      <protection/>
    </xf>
    <xf numFmtId="0" fontId="0" fillId="4" borderId="23" xfId="0" applyFont="1" applyFill="1" applyBorder="1" applyAlignment="1" applyProtection="1">
      <alignment horizontal="left" vertical="top"/>
      <protection/>
    </xf>
    <xf numFmtId="0" fontId="0" fillId="4" borderId="0" xfId="0" applyFont="1" applyFill="1" applyBorder="1" applyAlignment="1" applyProtection="1">
      <alignment horizontal="right" vertical="center"/>
      <protection/>
    </xf>
    <xf numFmtId="2" fontId="0" fillId="0" borderId="12" xfId="0" applyNumberFormat="1" applyFont="1" applyFill="1" applyBorder="1" applyAlignment="1" applyProtection="1">
      <alignment horizontal="right" vertical="center"/>
      <protection/>
    </xf>
    <xf numFmtId="0" fontId="0" fillId="4" borderId="1" xfId="0" applyFont="1" applyFill="1" applyBorder="1" applyAlignment="1" applyProtection="1">
      <alignment horizontal="left" vertical="center" wrapText="1"/>
      <protection/>
    </xf>
    <xf numFmtId="0" fontId="0" fillId="4" borderId="47" xfId="0" applyFont="1" applyFill="1" applyBorder="1" applyAlignment="1" applyProtection="1">
      <alignment horizontal="left" vertical="center" wrapText="1"/>
      <protection/>
    </xf>
    <xf numFmtId="0" fontId="0" fillId="4" borderId="48" xfId="0" applyFont="1" applyFill="1" applyBorder="1" applyAlignment="1" applyProtection="1">
      <alignment horizontal="left" vertical="center" wrapText="1"/>
      <protection/>
    </xf>
    <xf numFmtId="0" fontId="0" fillId="4" borderId="23" xfId="0" applyFont="1" applyFill="1" applyBorder="1" applyAlignment="1" applyProtection="1">
      <alignment horizontal="left" vertical="center" wrapText="1"/>
      <protection/>
    </xf>
    <xf numFmtId="0" fontId="0" fillId="4" borderId="49" xfId="0" applyFont="1" applyFill="1" applyBorder="1" applyAlignment="1" applyProtection="1">
      <alignment horizontal="left" vertical="center" wrapText="1"/>
      <protection/>
    </xf>
    <xf numFmtId="2" fontId="5" fillId="4" borderId="0" xfId="0" applyNumberFormat="1" applyFont="1" applyFill="1" applyBorder="1" applyAlignment="1" applyProtection="1">
      <alignment horizontal="left"/>
      <protection/>
    </xf>
    <xf numFmtId="2" fontId="0" fillId="4" borderId="0" xfId="0" applyNumberFormat="1" applyFont="1" applyFill="1" applyBorder="1" applyAlignment="1" applyProtection="1">
      <alignment horizontal="right"/>
      <protection/>
    </xf>
    <xf numFmtId="0" fontId="4" fillId="5" borderId="7" xfId="0" applyFont="1" applyFill="1" applyBorder="1" applyAlignment="1" applyProtection="1">
      <alignment horizontal="left" vertical="center"/>
      <protection/>
    </xf>
    <xf numFmtId="0" fontId="0" fillId="5" borderId="8" xfId="0" applyFill="1" applyBorder="1" applyAlignment="1" applyProtection="1">
      <alignment vertical="center"/>
      <protection/>
    </xf>
    <xf numFmtId="0" fontId="14" fillId="4" borderId="6" xfId="0" applyFont="1" applyFill="1" applyBorder="1" applyAlignment="1" applyProtection="1">
      <alignment horizontal="left"/>
      <protection/>
    </xf>
    <xf numFmtId="0" fontId="2" fillId="4" borderId="4" xfId="0" applyFont="1" applyFill="1" applyBorder="1" applyAlignment="1" applyProtection="1">
      <alignment horizontal="left"/>
      <protection/>
    </xf>
    <xf numFmtId="0" fontId="5" fillId="4" borderId="4" xfId="0" applyFont="1" applyFill="1" applyBorder="1" applyAlignment="1" applyProtection="1">
      <alignment horizontal="left"/>
      <protection/>
    </xf>
    <xf numFmtId="0" fontId="5" fillId="3" borderId="9" xfId="0" applyFont="1" applyFill="1" applyBorder="1" applyAlignment="1" applyProtection="1">
      <alignment horizontal="left"/>
      <protection/>
    </xf>
    <xf numFmtId="0" fontId="5" fillId="3" borderId="40" xfId="0" applyFont="1" applyFill="1" applyBorder="1" applyAlignment="1" applyProtection="1">
      <alignment horizontal="left"/>
      <protection/>
    </xf>
    <xf numFmtId="0" fontId="5" fillId="3" borderId="32" xfId="0" applyFont="1" applyFill="1" applyBorder="1" applyAlignment="1" applyProtection="1">
      <alignment horizontal="left"/>
      <protection/>
    </xf>
    <xf numFmtId="0" fontId="0" fillId="4" borderId="12" xfId="0" applyFill="1" applyBorder="1" applyAlignment="1" applyProtection="1">
      <alignment/>
      <protection/>
    </xf>
    <xf numFmtId="0" fontId="0" fillId="4" borderId="12" xfId="0" applyFill="1" applyBorder="1" applyAlignment="1" applyProtection="1">
      <alignment horizontal="center"/>
      <protection/>
    </xf>
    <xf numFmtId="0" fontId="15" fillId="4" borderId="0" xfId="0" applyFont="1" applyFill="1" applyBorder="1" applyAlignment="1">
      <alignment horizontal="left"/>
    </xf>
    <xf numFmtId="16" fontId="7" fillId="4" borderId="0" xfId="0" applyNumberFormat="1" applyFont="1" applyFill="1" applyBorder="1" applyAlignment="1" applyProtection="1">
      <alignment horizontal="center"/>
      <protection/>
    </xf>
    <xf numFmtId="0" fontId="7" fillId="4" borderId="4" xfId="0" applyFont="1" applyFill="1" applyBorder="1" applyAlignment="1" applyProtection="1">
      <alignment horizontal="right"/>
      <protection/>
    </xf>
    <xf numFmtId="0" fontId="7" fillId="4" borderId="4" xfId="0" applyFont="1" applyFill="1" applyBorder="1" applyAlignment="1" applyProtection="1">
      <alignment horizontal="center"/>
      <protection/>
    </xf>
    <xf numFmtId="0" fontId="7" fillId="4" borderId="0" xfId="0" applyFont="1" applyFill="1" applyBorder="1" applyAlignment="1" applyProtection="1">
      <alignment horizontal="right" vertical="center"/>
      <protection/>
    </xf>
    <xf numFmtId="0" fontId="7" fillId="4" borderId="0" xfId="0" applyFont="1" applyFill="1" applyBorder="1" applyAlignment="1" applyProtection="1">
      <alignment horizontal="center" vertical="center"/>
      <protection/>
    </xf>
    <xf numFmtId="0" fontId="2" fillId="3" borderId="32" xfId="0" applyFont="1" applyFill="1" applyBorder="1" applyAlignment="1" applyProtection="1">
      <alignment horizontal="left"/>
      <protection/>
    </xf>
    <xf numFmtId="0" fontId="0" fillId="3" borderId="9" xfId="0" applyFont="1" applyFill="1" applyBorder="1" applyAlignment="1" applyProtection="1">
      <alignment horizontal="left"/>
      <protection/>
    </xf>
    <xf numFmtId="0" fontId="2" fillId="3" borderId="9" xfId="0" applyFont="1" applyFill="1" applyBorder="1" applyAlignment="1" applyProtection="1">
      <alignment horizontal="left"/>
      <protection/>
    </xf>
    <xf numFmtId="0" fontId="2" fillId="3" borderId="40" xfId="0" applyFont="1" applyFill="1" applyBorder="1" applyAlignment="1" applyProtection="1">
      <alignment horizontal="left"/>
      <protection/>
    </xf>
    <xf numFmtId="0" fontId="7" fillId="3" borderId="22" xfId="0" applyFont="1" applyFill="1" applyBorder="1" applyAlignment="1" applyProtection="1">
      <alignment/>
      <protection/>
    </xf>
    <xf numFmtId="0" fontId="2" fillId="4" borderId="24" xfId="0" applyFont="1" applyFill="1" applyBorder="1" applyAlignment="1">
      <alignment horizontal="right"/>
    </xf>
    <xf numFmtId="0" fontId="2" fillId="4" borderId="50" xfId="0" applyFont="1" applyFill="1" applyBorder="1" applyAlignment="1">
      <alignment/>
    </xf>
    <xf numFmtId="0" fontId="2" fillId="4" borderId="2" xfId="0" applyFont="1" applyFill="1" applyBorder="1" applyAlignment="1">
      <alignment horizontal="right"/>
    </xf>
    <xf numFmtId="0" fontId="2" fillId="0" borderId="0" xfId="0" applyFont="1" applyAlignment="1">
      <alignment/>
    </xf>
    <xf numFmtId="0" fontId="0" fillId="0" borderId="0" xfId="0" applyFont="1" applyAlignment="1">
      <alignment/>
    </xf>
    <xf numFmtId="0" fontId="4" fillId="5" borderId="7" xfId="0" applyFont="1" applyFill="1" applyBorder="1" applyAlignment="1" applyProtection="1">
      <alignment/>
      <protection/>
    </xf>
    <xf numFmtId="0" fontId="4" fillId="5" borderId="8" xfId="0" applyFont="1" applyFill="1" applyBorder="1" applyAlignment="1" applyProtection="1">
      <alignment/>
      <protection/>
    </xf>
    <xf numFmtId="0" fontId="0" fillId="4" borderId="4" xfId="0" applyFill="1" applyBorder="1" applyAlignment="1">
      <alignment vertical="center"/>
    </xf>
    <xf numFmtId="0" fontId="0" fillId="4" borderId="33" xfId="0" applyFill="1" applyBorder="1" applyAlignment="1" applyProtection="1">
      <alignment horizontal="right"/>
      <protection/>
    </xf>
    <xf numFmtId="0" fontId="15" fillId="4" borderId="33" xfId="0" applyFont="1" applyFill="1" applyBorder="1" applyAlignment="1" applyProtection="1">
      <alignment horizontal="right"/>
      <protection/>
    </xf>
    <xf numFmtId="0" fontId="0" fillId="0" borderId="0" xfId="0" applyFill="1" applyAlignment="1">
      <alignment/>
    </xf>
    <xf numFmtId="0" fontId="13" fillId="0" borderId="0" xfId="0" applyFont="1" applyFill="1" applyAlignment="1">
      <alignment/>
    </xf>
    <xf numFmtId="0" fontId="18" fillId="4" borderId="12" xfId="0" applyFont="1" applyFill="1" applyBorder="1" applyAlignment="1" applyProtection="1">
      <alignment horizontal="left"/>
      <protection/>
    </xf>
    <xf numFmtId="2" fontId="0" fillId="0" borderId="13" xfId="0" applyNumberFormat="1" applyFill="1" applyBorder="1" applyAlignment="1" applyProtection="1">
      <alignment horizontal="right" vertical="center"/>
      <protection/>
    </xf>
    <xf numFmtId="2" fontId="0" fillId="0" borderId="12" xfId="0" applyNumberFormat="1" applyFill="1" applyBorder="1" applyAlignment="1" applyProtection="1">
      <alignment horizontal="right" vertical="center"/>
      <protection/>
    </xf>
    <xf numFmtId="0" fontId="0" fillId="6" borderId="35" xfId="0" applyFill="1" applyBorder="1" applyAlignment="1" applyProtection="1">
      <alignment/>
      <protection/>
    </xf>
    <xf numFmtId="0" fontId="0" fillId="4" borderId="49" xfId="0" applyFill="1" applyBorder="1" applyAlignment="1" applyProtection="1">
      <alignment horizontal="right"/>
      <protection/>
    </xf>
    <xf numFmtId="0" fontId="4" fillId="5" borderId="7" xfId="0" applyFont="1" applyFill="1" applyBorder="1" applyAlignment="1" applyProtection="1">
      <alignment vertical="center"/>
      <protection/>
    </xf>
    <xf numFmtId="2" fontId="28" fillId="4" borderId="4" xfId="0" applyNumberFormat="1" applyFont="1" applyFill="1" applyBorder="1" applyAlignment="1" applyProtection="1">
      <alignment horizontal="right" vertical="center"/>
      <protection/>
    </xf>
    <xf numFmtId="2" fontId="28" fillId="3" borderId="51" xfId="0" applyNumberFormat="1" applyFont="1" applyFill="1" applyBorder="1" applyAlignment="1" applyProtection="1">
      <alignment horizontal="right" vertical="center"/>
      <protection/>
    </xf>
    <xf numFmtId="0" fontId="33" fillId="4" borderId="0" xfId="0" applyFont="1" applyFill="1" applyBorder="1" applyAlignment="1">
      <alignment horizontal="right"/>
    </xf>
    <xf numFmtId="0" fontId="14" fillId="4" borderId="0" xfId="0" applyFont="1" applyFill="1" applyBorder="1" applyAlignment="1" applyProtection="1">
      <alignment horizontal="center"/>
      <protection/>
    </xf>
    <xf numFmtId="166" fontId="0" fillId="3" borderId="0" xfId="0" applyNumberFormat="1" applyFont="1" applyFill="1" applyBorder="1" applyAlignment="1" applyProtection="1">
      <alignment horizontal="center" vertical="center"/>
      <protection locked="0"/>
    </xf>
    <xf numFmtId="0" fontId="12" fillId="0" borderId="0" xfId="0" applyFont="1" applyFill="1" applyBorder="1" applyAlignment="1">
      <alignment/>
    </xf>
    <xf numFmtId="0" fontId="1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0" borderId="0" xfId="0" applyFont="1" applyFill="1" applyBorder="1" applyAlignment="1" applyProtection="1">
      <alignment horizontal="center"/>
      <protection/>
    </xf>
    <xf numFmtId="0" fontId="28" fillId="0" borderId="0" xfId="0" applyFont="1" applyFill="1" applyBorder="1" applyAlignment="1" applyProtection="1">
      <alignment horizontal="right"/>
      <protection/>
    </xf>
    <xf numFmtId="0" fontId="17" fillId="2" borderId="52" xfId="0" applyFont="1" applyFill="1" applyBorder="1" applyAlignment="1" applyProtection="1">
      <alignment horizontal="center" vertical="center"/>
      <protection/>
    </xf>
    <xf numFmtId="0" fontId="17" fillId="2" borderId="53" xfId="0" applyFont="1" applyFill="1" applyBorder="1" applyAlignment="1" applyProtection="1">
      <alignment horizontal="center" vertical="center"/>
      <protection/>
    </xf>
    <xf numFmtId="0" fontId="14" fillId="3" borderId="40" xfId="0" applyFont="1" applyFill="1" applyBorder="1" applyAlignment="1" applyProtection="1">
      <alignment horizontal="left" vertical="center"/>
      <protection/>
    </xf>
    <xf numFmtId="0" fontId="0" fillId="3" borderId="54" xfId="0" applyFill="1" applyBorder="1" applyAlignment="1" applyProtection="1">
      <alignment/>
      <protection/>
    </xf>
    <xf numFmtId="166" fontId="0" fillId="3" borderId="4" xfId="0" applyNumberFormat="1" applyFont="1" applyFill="1" applyBorder="1" applyAlignment="1" applyProtection="1">
      <alignment horizontal="center" vertical="center"/>
      <protection locked="0"/>
    </xf>
    <xf numFmtId="166" fontId="14" fillId="3" borderId="55" xfId="0" applyNumberFormat="1" applyFont="1" applyFill="1" applyBorder="1" applyAlignment="1" applyProtection="1">
      <alignment horizontal="center" vertical="center"/>
      <protection locked="0"/>
    </xf>
    <xf numFmtId="0" fontId="12" fillId="0" borderId="0" xfId="0" applyFont="1" applyAlignment="1">
      <alignment horizontal="left"/>
    </xf>
    <xf numFmtId="0" fontId="15" fillId="4" borderId="5" xfId="0" applyFont="1" applyFill="1" applyBorder="1" applyAlignment="1" applyProtection="1">
      <alignment horizontal="right" wrapText="1"/>
      <protection/>
    </xf>
    <xf numFmtId="0" fontId="5" fillId="4" borderId="33" xfId="0" applyFont="1" applyFill="1" applyBorder="1" applyAlignment="1" applyProtection="1">
      <alignment horizontal="left"/>
      <protection/>
    </xf>
    <xf numFmtId="2" fontId="5" fillId="4" borderId="33" xfId="0" applyNumberFormat="1" applyFont="1" applyFill="1" applyBorder="1" applyAlignment="1" applyProtection="1">
      <alignment horizontal="right"/>
      <protection/>
    </xf>
    <xf numFmtId="0" fontId="0" fillId="3" borderId="41" xfId="0" applyFill="1" applyBorder="1" applyAlignment="1" applyProtection="1">
      <alignment horizontal="left"/>
      <protection locked="0"/>
    </xf>
    <xf numFmtId="0" fontId="0" fillId="4" borderId="12"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4" borderId="0" xfId="0" applyFont="1" applyFill="1" applyBorder="1" applyAlignment="1" applyProtection="1">
      <alignment horizontal="right" vertical="center"/>
      <protection/>
    </xf>
    <xf numFmtId="164" fontId="5" fillId="4" borderId="0" xfId="0" applyNumberFormat="1" applyFont="1" applyFill="1" applyBorder="1" applyAlignment="1" applyProtection="1">
      <alignment horizontal="left"/>
      <protection locked="0"/>
    </xf>
    <xf numFmtId="49" fontId="4" fillId="4" borderId="56" xfId="0" applyNumberFormat="1" applyFont="1" applyFill="1" applyBorder="1" applyAlignment="1">
      <alignment horizontal="left" vertical="center"/>
    </xf>
    <xf numFmtId="49" fontId="4" fillId="4" borderId="57" xfId="0" applyNumberFormat="1" applyFont="1" applyFill="1" applyBorder="1" applyAlignment="1">
      <alignment horizontal="left" vertical="center"/>
    </xf>
    <xf numFmtId="49" fontId="4" fillId="4" borderId="5" xfId="0" applyNumberFormat="1" applyFont="1" applyFill="1" applyBorder="1" applyAlignment="1" applyProtection="1">
      <alignment horizontal="left" vertical="center"/>
      <protection/>
    </xf>
    <xf numFmtId="0" fontId="11" fillId="6" borderId="0" xfId="0" applyFont="1" applyFill="1" applyAlignment="1">
      <alignment/>
    </xf>
    <xf numFmtId="49" fontId="4" fillId="4" borderId="58" xfId="0" applyNumberFormat="1" applyFont="1" applyFill="1" applyBorder="1" applyAlignment="1" applyProtection="1">
      <alignment horizontal="left" vertical="center" wrapText="1"/>
      <protection/>
    </xf>
    <xf numFmtId="0" fontId="11" fillId="0" borderId="0" xfId="0" applyFont="1" applyAlignment="1" applyProtection="1">
      <alignment/>
      <protection hidden="1"/>
    </xf>
    <xf numFmtId="1" fontId="0" fillId="3" borderId="59" xfId="0" applyNumberFormat="1" applyFill="1" applyBorder="1" applyAlignment="1" applyProtection="1">
      <alignment horizontal="right"/>
      <protection locked="0"/>
    </xf>
    <xf numFmtId="166" fontId="0" fillId="0" borderId="12" xfId="0" applyNumberFormat="1" applyFont="1" applyFill="1" applyBorder="1" applyAlignment="1" applyProtection="1">
      <alignment horizontal="right" vertical="center"/>
      <protection/>
    </xf>
    <xf numFmtId="164" fontId="14" fillId="0" borderId="12" xfId="0" applyNumberFormat="1" applyFont="1" applyFill="1" applyBorder="1" applyAlignment="1" applyProtection="1">
      <alignment horizontal="right" vertical="center"/>
      <protection/>
    </xf>
    <xf numFmtId="2" fontId="14" fillId="0" borderId="60" xfId="0" applyNumberFormat="1" applyFont="1" applyFill="1" applyBorder="1" applyAlignment="1" applyProtection="1">
      <alignment horizontal="right" vertical="center" wrapText="1"/>
      <protection/>
    </xf>
    <xf numFmtId="0" fontId="5" fillId="4" borderId="24" xfId="0" applyFont="1" applyFill="1" applyBorder="1" applyAlignment="1" applyProtection="1">
      <alignment horizontal="center"/>
      <protection/>
    </xf>
    <xf numFmtId="2" fontId="14" fillId="0" borderId="60" xfId="0" applyNumberFormat="1" applyFont="1" applyFill="1" applyBorder="1" applyAlignment="1" applyProtection="1">
      <alignment horizontal="right" vertical="center"/>
      <protection/>
    </xf>
    <xf numFmtId="1" fontId="0" fillId="3" borderId="9" xfId="0" applyNumberFormat="1" applyFont="1" applyFill="1" applyBorder="1" applyAlignment="1" applyProtection="1">
      <alignment horizontal="left"/>
      <protection/>
    </xf>
    <xf numFmtId="0" fontId="11" fillId="6" borderId="0" xfId="0" applyFont="1" applyFill="1" applyAlignment="1">
      <alignment horizontal="left"/>
    </xf>
    <xf numFmtId="0" fontId="0" fillId="4" borderId="0" xfId="0" applyFont="1" applyFill="1" applyBorder="1" applyAlignment="1" applyProtection="1">
      <alignment horizontal="center" vertical="center"/>
      <protection/>
    </xf>
    <xf numFmtId="0" fontId="5" fillId="4" borderId="12" xfId="0" applyFont="1" applyFill="1" applyBorder="1" applyAlignment="1" applyProtection="1">
      <alignment horizontal="center"/>
      <protection/>
    </xf>
    <xf numFmtId="0" fontId="18" fillId="4" borderId="36" xfId="0" applyFont="1" applyFill="1" applyBorder="1" applyAlignment="1" applyProtection="1">
      <alignment horizontal="left"/>
      <protection/>
    </xf>
    <xf numFmtId="2" fontId="0" fillId="0" borderId="60" xfId="0" applyNumberFormat="1" applyFont="1" applyFill="1" applyBorder="1" applyAlignment="1" applyProtection="1">
      <alignment horizontal="right" vertical="center"/>
      <protection/>
    </xf>
    <xf numFmtId="2" fontId="0" fillId="4" borderId="39" xfId="0" applyNumberFormat="1" applyFill="1" applyBorder="1" applyAlignment="1" applyProtection="1">
      <alignment/>
      <protection locked="0"/>
    </xf>
    <xf numFmtId="2" fontId="0" fillId="2" borderId="12" xfId="0" applyNumberFormat="1" applyFill="1" applyBorder="1" applyAlignment="1" applyProtection="1">
      <alignment vertical="center"/>
      <protection locked="0"/>
    </xf>
    <xf numFmtId="2" fontId="0" fillId="2" borderId="2" xfId="0" applyNumberFormat="1" applyFill="1" applyBorder="1" applyAlignment="1" applyProtection="1">
      <alignment vertical="center"/>
      <protection locked="0"/>
    </xf>
    <xf numFmtId="164" fontId="0" fillId="4" borderId="33" xfId="0" applyNumberFormat="1" applyFill="1" applyBorder="1" applyAlignment="1" applyProtection="1">
      <alignment/>
      <protection locked="0"/>
    </xf>
    <xf numFmtId="169" fontId="0" fillId="2" borderId="2" xfId="0" applyNumberFormat="1" applyFill="1" applyBorder="1" applyAlignment="1" applyProtection="1">
      <alignment horizontal="right"/>
      <protection locked="0"/>
    </xf>
    <xf numFmtId="166" fontId="0" fillId="4" borderId="0" xfId="0" applyNumberFormat="1" applyFont="1" applyFill="1" applyBorder="1" applyAlignment="1" applyProtection="1">
      <alignment horizontal="right"/>
      <protection/>
    </xf>
    <xf numFmtId="2" fontId="2" fillId="0" borderId="60" xfId="0" applyNumberFormat="1" applyFont="1" applyFill="1" applyBorder="1" applyAlignment="1" applyProtection="1">
      <alignment horizontal="right" vertical="center"/>
      <protection/>
    </xf>
    <xf numFmtId="2" fontId="14" fillId="4" borderId="0" xfId="0" applyNumberFormat="1" applyFont="1" applyFill="1" applyBorder="1" applyAlignment="1" applyProtection="1">
      <alignment horizontal="right" vertical="center"/>
      <protection locked="0"/>
    </xf>
    <xf numFmtId="2" fontId="14" fillId="4" borderId="61" xfId="0" applyNumberFormat="1" applyFont="1" applyFill="1" applyBorder="1" applyAlignment="1" applyProtection="1">
      <alignment horizontal="right" vertical="center"/>
      <protection locked="0"/>
    </xf>
    <xf numFmtId="1" fontId="0" fillId="4" borderId="0" xfId="0" applyNumberFormat="1" applyFill="1" applyBorder="1" applyAlignment="1" applyProtection="1">
      <alignment horizontal="right"/>
      <protection locked="0"/>
    </xf>
    <xf numFmtId="2" fontId="2" fillId="0" borderId="60" xfId="0" applyNumberFormat="1" applyFont="1" applyFill="1" applyBorder="1" applyAlignment="1" applyProtection="1">
      <alignment horizontal="right"/>
      <protection/>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2" borderId="14" xfId="0" applyFill="1" applyBorder="1" applyAlignment="1" applyProtection="1">
      <alignment horizontal="left"/>
      <protection locked="0"/>
    </xf>
    <xf numFmtId="164" fontId="0" fillId="0" borderId="12" xfId="0" applyNumberFormat="1" applyFont="1" applyFill="1" applyBorder="1" applyAlignment="1" applyProtection="1">
      <alignment horizontal="right" vertical="center"/>
      <protection/>
    </xf>
    <xf numFmtId="0" fontId="2" fillId="4" borderId="47" xfId="0" applyFont="1" applyFill="1" applyBorder="1" applyAlignment="1" applyProtection="1">
      <alignment horizontal="left" vertical="center"/>
      <protection locked="0"/>
    </xf>
    <xf numFmtId="0" fontId="2" fillId="4" borderId="47" xfId="0" applyFont="1" applyFill="1" applyBorder="1" applyAlignment="1" applyProtection="1">
      <alignment horizontal="center" vertical="center"/>
      <protection locked="0"/>
    </xf>
    <xf numFmtId="1" fontId="0" fillId="2" borderId="62" xfId="0" applyNumberFormat="1" applyFill="1" applyBorder="1" applyAlignment="1" applyProtection="1">
      <alignment horizontal="center" vertical="center"/>
      <protection locked="0"/>
    </xf>
    <xf numFmtId="0" fontId="0" fillId="4" borderId="0" xfId="0" applyFill="1" applyBorder="1" applyAlignment="1" applyProtection="1">
      <alignment/>
      <protection locked="0"/>
    </xf>
    <xf numFmtId="0" fontId="2" fillId="4" borderId="39" xfId="0" applyFont="1" applyFill="1" applyBorder="1" applyAlignment="1" applyProtection="1">
      <alignment horizontal="right" vertical="center" wrapText="1"/>
      <protection locked="0"/>
    </xf>
    <xf numFmtId="0" fontId="2" fillId="4" borderId="46" xfId="0" applyFont="1" applyFill="1" applyBorder="1" applyAlignment="1" applyProtection="1">
      <alignment horizontal="right" vertical="center"/>
      <protection locked="0"/>
    </xf>
    <xf numFmtId="0" fontId="2" fillId="4" borderId="63" xfId="0" applyFont="1" applyFill="1" applyBorder="1" applyAlignment="1" applyProtection="1">
      <alignment horizontal="right" vertical="center"/>
      <protection locked="0"/>
    </xf>
    <xf numFmtId="0" fontId="2" fillId="3" borderId="64" xfId="0" applyFont="1" applyFill="1" applyBorder="1" applyAlignment="1" applyProtection="1">
      <alignment horizontal="right" vertical="center" wrapText="1"/>
      <protection locked="0"/>
    </xf>
    <xf numFmtId="0" fontId="2" fillId="3" borderId="0" xfId="0" applyFont="1" applyFill="1" applyBorder="1" applyAlignment="1" applyProtection="1">
      <alignment horizontal="right" vertical="center" wrapText="1"/>
      <protection locked="0"/>
    </xf>
    <xf numFmtId="165" fontId="2" fillId="3" borderId="0" xfId="0" applyNumberFormat="1" applyFont="1" applyFill="1" applyBorder="1" applyAlignment="1" applyProtection="1">
      <alignment horizontal="right" vertical="center" wrapText="1"/>
      <protection locked="0"/>
    </xf>
    <xf numFmtId="2" fontId="14" fillId="3" borderId="0" xfId="0" applyNumberFormat="1" applyFont="1" applyFill="1" applyBorder="1" applyAlignment="1" applyProtection="1">
      <alignment horizontal="center" vertical="center"/>
      <protection locked="0"/>
    </xf>
    <xf numFmtId="2" fontId="14" fillId="3" borderId="22" xfId="0" applyNumberFormat="1" applyFont="1" applyFill="1" applyBorder="1" applyAlignment="1" applyProtection="1">
      <alignment horizontal="center" vertical="center"/>
      <protection locked="0"/>
    </xf>
    <xf numFmtId="49" fontId="4" fillId="4" borderId="65" xfId="0" applyNumberFormat="1" applyFont="1" applyFill="1" applyBorder="1" applyAlignment="1" applyProtection="1">
      <alignment horizontal="left" vertical="center" wrapText="1"/>
      <protection locked="0"/>
    </xf>
    <xf numFmtId="0" fontId="17" fillId="2" borderId="66" xfId="0" applyFont="1" applyFill="1" applyBorder="1" applyAlignment="1" applyProtection="1">
      <alignment horizontal="center" vertical="center"/>
      <protection locked="0"/>
    </xf>
    <xf numFmtId="49" fontId="4" fillId="4" borderId="67" xfId="0" applyNumberFormat="1" applyFont="1" applyFill="1" applyBorder="1" applyAlignment="1" applyProtection="1">
      <alignment horizontal="left" vertical="center" wrapText="1"/>
      <protection locked="0"/>
    </xf>
    <xf numFmtId="0" fontId="17" fillId="2" borderId="68" xfId="0"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left" vertical="center"/>
      <protection locked="0"/>
    </xf>
    <xf numFmtId="0" fontId="17" fillId="2" borderId="69" xfId="0" applyFont="1" applyFill="1" applyBorder="1" applyAlignment="1" applyProtection="1">
      <alignment horizontal="center" vertical="center"/>
      <protection locked="0"/>
    </xf>
    <xf numFmtId="0" fontId="4" fillId="5" borderId="7" xfId="0" applyFont="1" applyFill="1" applyBorder="1" applyAlignment="1" applyProtection="1">
      <alignment/>
      <protection locked="0"/>
    </xf>
    <xf numFmtId="0" fontId="0" fillId="5" borderId="8" xfId="0" applyFill="1" applyBorder="1" applyAlignment="1" applyProtection="1">
      <alignment/>
      <protection locked="0"/>
    </xf>
    <xf numFmtId="0" fontId="0" fillId="4" borderId="33" xfId="0" applyFill="1" applyBorder="1" applyAlignment="1" applyProtection="1">
      <alignment/>
      <protection locked="0"/>
    </xf>
    <xf numFmtId="0" fontId="17" fillId="4" borderId="33" xfId="0" applyFont="1" applyFill="1" applyBorder="1" applyAlignment="1" applyProtection="1">
      <alignment horizontal="left" vertical="top" wrapText="1"/>
      <protection locked="0"/>
    </xf>
    <xf numFmtId="1" fontId="0" fillId="2" borderId="44" xfId="0" applyNumberFormat="1" applyFont="1" applyFill="1" applyBorder="1" applyAlignment="1" applyProtection="1">
      <alignment horizontal="right"/>
      <protection locked="0"/>
    </xf>
    <xf numFmtId="0" fontId="5" fillId="4" borderId="0" xfId="0" applyFont="1" applyFill="1" applyBorder="1" applyAlignment="1" applyProtection="1">
      <alignment/>
      <protection locked="0"/>
    </xf>
    <xf numFmtId="0" fontId="12" fillId="3" borderId="32" xfId="0" applyFont="1" applyFill="1" applyBorder="1" applyAlignment="1" applyProtection="1">
      <alignment horizontal="centerContinuous"/>
      <protection locked="0"/>
    </xf>
    <xf numFmtId="0" fontId="17" fillId="4" borderId="0" xfId="0" applyFont="1" applyFill="1" applyBorder="1" applyAlignment="1" applyProtection="1">
      <alignment horizontal="left" vertical="top" wrapText="1"/>
      <protection locked="0"/>
    </xf>
    <xf numFmtId="0" fontId="15" fillId="4" borderId="0" xfId="0" applyFont="1" applyFill="1" applyBorder="1" applyAlignment="1" applyProtection="1">
      <alignment horizontal="right"/>
      <protection locked="0"/>
    </xf>
    <xf numFmtId="2" fontId="0" fillId="2" borderId="12" xfId="0" applyNumberFormat="1" applyFont="1" applyFill="1" applyBorder="1" applyAlignment="1" applyProtection="1">
      <alignment horizontal="right"/>
      <protection locked="0"/>
    </xf>
    <xf numFmtId="0" fontId="12" fillId="3" borderId="9" xfId="0" applyFont="1" applyFill="1" applyBorder="1" applyAlignment="1" applyProtection="1">
      <alignment horizontal="centerContinuous"/>
      <protection locked="0"/>
    </xf>
    <xf numFmtId="0" fontId="0" fillId="4" borderId="5" xfId="0" applyFill="1" applyBorder="1" applyAlignment="1" applyProtection="1">
      <alignment/>
      <protection locked="0"/>
    </xf>
    <xf numFmtId="0" fontId="0" fillId="4" borderId="5" xfId="0" applyFill="1" applyBorder="1" applyAlignment="1" applyProtection="1">
      <alignment horizontal="left" vertical="center"/>
      <protection locked="0"/>
    </xf>
    <xf numFmtId="1" fontId="0" fillId="2" borderId="12" xfId="0" applyNumberFormat="1" applyFill="1" applyBorder="1" applyAlignment="1" applyProtection="1">
      <alignment horizontal="center"/>
      <protection locked="0"/>
    </xf>
    <xf numFmtId="0" fontId="5" fillId="4" borderId="23" xfId="0" applyFont="1" applyFill="1" applyBorder="1" applyAlignment="1" applyProtection="1">
      <alignment/>
      <protection locked="0"/>
    </xf>
    <xf numFmtId="0" fontId="0" fillId="4" borderId="0" xfId="0" applyFill="1" applyBorder="1" applyAlignment="1" applyProtection="1">
      <alignment horizontal="right"/>
      <protection locked="0"/>
    </xf>
    <xf numFmtId="0" fontId="0" fillId="2" borderId="12" xfId="0" applyFill="1" applyBorder="1" applyAlignment="1" applyProtection="1">
      <alignment horizontal="center" vertical="center"/>
      <protection locked="0"/>
    </xf>
    <xf numFmtId="0" fontId="15" fillId="4" borderId="0" xfId="0" applyFont="1" applyFill="1" applyBorder="1" applyAlignment="1" applyProtection="1">
      <alignment/>
      <protection locked="0"/>
    </xf>
    <xf numFmtId="0" fontId="2" fillId="4" borderId="0" xfId="0" applyFont="1" applyFill="1" applyBorder="1" applyAlignment="1" applyProtection="1">
      <alignment/>
      <protection locked="0"/>
    </xf>
    <xf numFmtId="1" fontId="12" fillId="3" borderId="9" xfId="0" applyNumberFormat="1" applyFont="1" applyFill="1" applyBorder="1" applyAlignment="1" applyProtection="1">
      <alignment horizontal="centerContinuous"/>
      <protection locked="0"/>
    </xf>
    <xf numFmtId="0" fontId="0" fillId="4" borderId="0" xfId="0" applyFill="1" applyBorder="1" applyAlignment="1" applyProtection="1">
      <alignment horizontal="left" vertical="top"/>
      <protection locked="0"/>
    </xf>
    <xf numFmtId="0" fontId="12" fillId="3" borderId="9" xfId="0" applyFont="1" applyFill="1" applyBorder="1" applyAlignment="1" applyProtection="1">
      <alignment/>
      <protection locked="0"/>
    </xf>
    <xf numFmtId="0" fontId="19" fillId="4" borderId="23" xfId="0" applyFont="1" applyFill="1" applyBorder="1" applyAlignment="1" applyProtection="1">
      <alignment horizontal="left"/>
      <protection locked="0"/>
    </xf>
    <xf numFmtId="2" fontId="5" fillId="4" borderId="0" xfId="0" applyNumberFormat="1" applyFont="1" applyFill="1" applyBorder="1" applyAlignment="1" applyProtection="1">
      <alignment/>
      <protection locked="0"/>
    </xf>
    <xf numFmtId="2" fontId="0" fillId="4" borderId="0" xfId="0" applyNumberFormat="1" applyFont="1" applyFill="1" applyBorder="1" applyAlignment="1" applyProtection="1">
      <alignment horizontal="right" vertical="center"/>
      <protection locked="0"/>
    </xf>
    <xf numFmtId="0" fontId="5" fillId="4" borderId="0" xfId="0" applyFont="1" applyFill="1" applyBorder="1" applyAlignment="1" applyProtection="1">
      <alignment/>
      <protection locked="0"/>
    </xf>
    <xf numFmtId="0" fontId="2" fillId="4" borderId="0" xfId="0" applyFont="1" applyFill="1" applyBorder="1" applyAlignment="1" applyProtection="1">
      <alignment horizontal="right"/>
      <protection locked="0"/>
    </xf>
    <xf numFmtId="2" fontId="2" fillId="4" borderId="0" xfId="0" applyNumberFormat="1" applyFont="1" applyFill="1" applyBorder="1" applyAlignment="1" applyProtection="1">
      <alignment horizontal="centerContinuous"/>
      <protection locked="0"/>
    </xf>
    <xf numFmtId="0" fontId="12" fillId="3" borderId="40" xfId="0" applyFont="1" applyFill="1" applyBorder="1" applyAlignment="1" applyProtection="1">
      <alignment horizontal="centerContinuous"/>
      <protection locked="0"/>
    </xf>
    <xf numFmtId="0" fontId="14" fillId="4" borderId="6" xfId="0" applyFont="1" applyFill="1" applyBorder="1" applyAlignment="1" applyProtection="1">
      <alignment/>
      <protection locked="0"/>
    </xf>
    <xf numFmtId="0" fontId="0" fillId="4" borderId="4" xfId="0" applyFill="1" applyBorder="1" applyAlignment="1" applyProtection="1">
      <alignment/>
      <protection locked="0"/>
    </xf>
    <xf numFmtId="0" fontId="15" fillId="4" borderId="4" xfId="0" applyFont="1" applyFill="1" applyBorder="1" applyAlignment="1" applyProtection="1">
      <alignment/>
      <protection locked="0"/>
    </xf>
    <xf numFmtId="0" fontId="17" fillId="4" borderId="4" xfId="0" applyFont="1" applyFill="1" applyBorder="1" applyAlignment="1" applyProtection="1">
      <alignment horizontal="left" vertical="top" wrapText="1"/>
      <protection locked="0"/>
    </xf>
    <xf numFmtId="0" fontId="17" fillId="4" borderId="4" xfId="0" applyFont="1" applyFill="1" applyBorder="1" applyAlignment="1" applyProtection="1">
      <alignment horizontal="right"/>
      <protection locked="0"/>
    </xf>
    <xf numFmtId="0" fontId="15" fillId="4" borderId="0" xfId="0" applyFont="1" applyFill="1" applyBorder="1" applyAlignment="1" applyProtection="1">
      <alignment horizontal="right" vertical="top"/>
      <protection locked="0"/>
    </xf>
    <xf numFmtId="1" fontId="0" fillId="4" borderId="0" xfId="0" applyNumberFormat="1" applyFont="1" applyFill="1" applyBorder="1" applyAlignment="1" applyProtection="1">
      <alignment horizontal="center"/>
      <protection locked="0"/>
    </xf>
    <xf numFmtId="0" fontId="5" fillId="4" borderId="0" xfId="0" applyFont="1" applyFill="1" applyBorder="1" applyAlignment="1" applyProtection="1">
      <alignment horizontal="left"/>
      <protection locked="0"/>
    </xf>
    <xf numFmtId="0" fontId="3" fillId="4" borderId="0" xfId="0" applyFont="1" applyFill="1" applyBorder="1" applyAlignment="1" applyProtection="1">
      <alignment horizontal="left" vertical="top"/>
      <protection locked="0"/>
    </xf>
    <xf numFmtId="0" fontId="15" fillId="4" borderId="22"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protection locked="0"/>
    </xf>
    <xf numFmtId="0" fontId="5" fillId="4" borderId="5" xfId="0" applyFont="1" applyFill="1" applyBorder="1" applyAlignment="1" applyProtection="1">
      <alignment/>
      <protection locked="0"/>
    </xf>
    <xf numFmtId="0" fontId="18" fillId="4" borderId="0" xfId="0" applyFont="1" applyFill="1" applyBorder="1" applyAlignment="1" applyProtection="1">
      <alignment horizontal="left"/>
      <protection locked="0"/>
    </xf>
    <xf numFmtId="1" fontId="30" fillId="3" borderId="9" xfId="0" applyNumberFormat="1" applyFont="1" applyFill="1" applyBorder="1" applyAlignment="1" applyProtection="1">
      <alignment horizontal="left"/>
      <protection locked="0"/>
    </xf>
    <xf numFmtId="0" fontId="18" fillId="4" borderId="5" xfId="0" applyFont="1" applyFill="1" applyBorder="1" applyAlignment="1" applyProtection="1">
      <alignment horizontal="left"/>
      <protection locked="0"/>
    </xf>
    <xf numFmtId="0" fontId="2" fillId="4" borderId="0" xfId="0" applyFont="1" applyFill="1" applyBorder="1" applyAlignment="1" applyProtection="1">
      <alignment horizontal="right" vertical="center" wrapText="1"/>
      <protection locked="0"/>
    </xf>
    <xf numFmtId="0" fontId="0" fillId="4" borderId="0" xfId="0" applyFill="1" applyBorder="1" applyAlignment="1" applyProtection="1">
      <alignment vertical="center"/>
      <protection locked="0"/>
    </xf>
    <xf numFmtId="0" fontId="2" fillId="4" borderId="0" xfId="0" applyFont="1" applyFill="1" applyBorder="1" applyAlignment="1" applyProtection="1">
      <alignment horizontal="left" vertical="center"/>
      <protection locked="0"/>
    </xf>
    <xf numFmtId="1" fontId="14" fillId="3" borderId="9" xfId="0" applyNumberFormat="1" applyFont="1" applyFill="1" applyBorder="1" applyAlignment="1" applyProtection="1">
      <alignment horizontal="left"/>
      <protection locked="0"/>
    </xf>
    <xf numFmtId="0" fontId="14" fillId="4" borderId="0" xfId="0" applyFont="1" applyFill="1" applyBorder="1" applyAlignment="1" applyProtection="1">
      <alignment horizontal="right" wrapText="1"/>
      <protection locked="0"/>
    </xf>
    <xf numFmtId="0" fontId="0" fillId="4" borderId="0" xfId="0" applyFont="1" applyFill="1" applyBorder="1" applyAlignment="1" applyProtection="1">
      <alignment horizontal="right" wrapText="1"/>
      <protection locked="0"/>
    </xf>
    <xf numFmtId="0" fontId="15" fillId="4" borderId="0" xfId="0" applyFont="1" applyFill="1" applyBorder="1" applyAlignment="1" applyProtection="1">
      <alignment horizontal="right" wrapText="1"/>
      <protection locked="0"/>
    </xf>
    <xf numFmtId="0" fontId="5" fillId="4" borderId="0" xfId="0" applyFont="1" applyFill="1" applyBorder="1" applyAlignment="1" applyProtection="1">
      <alignment vertical="center"/>
      <protection locked="0"/>
    </xf>
    <xf numFmtId="2" fontId="14" fillId="4" borderId="0" xfId="0" applyNumberFormat="1" applyFont="1" applyFill="1" applyBorder="1" applyAlignment="1" applyProtection="1">
      <alignment horizontal="left"/>
      <protection locked="0"/>
    </xf>
    <xf numFmtId="0" fontId="30" fillId="4" borderId="0" xfId="0" applyFont="1" applyFill="1" applyBorder="1" applyAlignment="1" applyProtection="1">
      <alignment horizontal="left"/>
      <protection locked="0"/>
    </xf>
    <xf numFmtId="0" fontId="19" fillId="4" borderId="0" xfId="0" applyFont="1" applyFill="1" applyBorder="1" applyAlignment="1" applyProtection="1">
      <alignment horizontal="left" vertical="top"/>
      <protection locked="0"/>
    </xf>
    <xf numFmtId="0" fontId="18" fillId="3" borderId="40" xfId="0" applyFont="1" applyFill="1" applyBorder="1" applyAlignment="1" applyProtection="1">
      <alignment horizontal="left"/>
      <protection locked="0"/>
    </xf>
    <xf numFmtId="0" fontId="18" fillId="4" borderId="4" xfId="0" applyFont="1" applyFill="1" applyBorder="1" applyAlignment="1" applyProtection="1">
      <alignment horizontal="left"/>
      <protection locked="0"/>
    </xf>
    <xf numFmtId="0" fontId="15" fillId="4" borderId="4" xfId="0" applyFont="1" applyFill="1" applyBorder="1" applyAlignment="1" applyProtection="1">
      <alignment horizontal="right" vertical="top"/>
      <protection locked="0"/>
    </xf>
    <xf numFmtId="0" fontId="5" fillId="5" borderId="17" xfId="0" applyFont="1" applyFill="1" applyBorder="1" applyAlignment="1" applyProtection="1">
      <alignment/>
      <protection locked="0"/>
    </xf>
    <xf numFmtId="0" fontId="0" fillId="5" borderId="18" xfId="0" applyFill="1" applyBorder="1" applyAlignment="1" applyProtection="1">
      <alignment/>
      <protection locked="0"/>
    </xf>
    <xf numFmtId="0" fontId="4" fillId="5" borderId="18" xfId="0" applyFont="1" applyFill="1" applyBorder="1" applyAlignment="1" applyProtection="1">
      <alignment horizontal="left"/>
      <protection locked="0"/>
    </xf>
    <xf numFmtId="0" fontId="4" fillId="5" borderId="19" xfId="0" applyFont="1" applyFill="1" applyBorder="1" applyAlignment="1" applyProtection="1">
      <alignment horizontal="left"/>
      <protection locked="0"/>
    </xf>
    <xf numFmtId="0" fontId="18" fillId="4" borderId="0" xfId="0" applyFont="1" applyFill="1" applyBorder="1" applyAlignment="1" applyProtection="1">
      <alignment horizontal="right"/>
      <protection locked="0"/>
    </xf>
    <xf numFmtId="0" fontId="14" fillId="4" borderId="0" xfId="0" applyFont="1" applyFill="1" applyBorder="1" applyAlignment="1" applyProtection="1">
      <alignment horizontal="right"/>
      <protection locked="0"/>
    </xf>
    <xf numFmtId="0" fontId="18" fillId="4" borderId="0" xfId="0" applyFont="1" applyFill="1" applyBorder="1" applyAlignment="1" applyProtection="1">
      <alignment horizontal="center"/>
      <protection locked="0"/>
    </xf>
    <xf numFmtId="0" fontId="15" fillId="4" borderId="0" xfId="0" applyFont="1" applyFill="1" applyBorder="1" applyAlignment="1" applyProtection="1">
      <alignment horizontal="left"/>
      <protection locked="0"/>
    </xf>
    <xf numFmtId="0" fontId="3" fillId="3" borderId="40" xfId="0" applyFont="1" applyFill="1" applyBorder="1" applyAlignment="1" applyProtection="1">
      <alignment horizontal="left"/>
      <protection locked="0"/>
    </xf>
    <xf numFmtId="0" fontId="18" fillId="3" borderId="70" xfId="0" applyFont="1" applyFill="1" applyBorder="1" applyAlignment="1" applyProtection="1">
      <alignment horizontal="left"/>
      <protection locked="0"/>
    </xf>
    <xf numFmtId="0" fontId="14" fillId="4" borderId="6" xfId="0" applyFont="1" applyFill="1" applyBorder="1" applyAlignment="1" applyProtection="1">
      <alignment horizontal="left"/>
      <protection locked="0"/>
    </xf>
    <xf numFmtId="0" fontId="14" fillId="4" borderId="4" xfId="0" applyFont="1" applyFill="1" applyBorder="1" applyAlignment="1" applyProtection="1">
      <alignment horizontal="right"/>
      <protection locked="0"/>
    </xf>
    <xf numFmtId="0" fontId="18" fillId="4" borderId="4" xfId="0" applyFont="1" applyFill="1" applyBorder="1" applyAlignment="1" applyProtection="1">
      <alignment horizontal="center"/>
      <protection locked="0"/>
    </xf>
    <xf numFmtId="2" fontId="14" fillId="4" borderId="4" xfId="0" applyNumberFormat="1" applyFont="1" applyFill="1" applyBorder="1" applyAlignment="1" applyProtection="1">
      <alignment horizontal="right" vertical="center"/>
      <protection locked="0"/>
    </xf>
    <xf numFmtId="0" fontId="5" fillId="4" borderId="4"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0" fontId="4" fillId="3" borderId="9" xfId="0" applyFont="1" applyFill="1" applyBorder="1" applyAlignment="1" applyProtection="1">
      <alignment horizontal="left"/>
      <protection locked="0"/>
    </xf>
    <xf numFmtId="1" fontId="18" fillId="3" borderId="9" xfId="0" applyNumberFormat="1" applyFont="1" applyFill="1" applyBorder="1" applyAlignment="1" applyProtection="1">
      <alignment horizontal="left"/>
      <protection locked="0"/>
    </xf>
    <xf numFmtId="0" fontId="0" fillId="4" borderId="12" xfId="0" applyFill="1" applyBorder="1" applyAlignment="1" applyProtection="1">
      <alignment/>
      <protection locked="0"/>
    </xf>
    <xf numFmtId="1" fontId="18" fillId="3" borderId="40" xfId="0" applyNumberFormat="1" applyFont="1" applyFill="1" applyBorder="1" applyAlignment="1" applyProtection="1">
      <alignment horizontal="left"/>
      <protection locked="0"/>
    </xf>
    <xf numFmtId="0" fontId="18" fillId="4" borderId="12" xfId="0" applyFont="1" applyFill="1" applyBorder="1" applyAlignment="1" applyProtection="1">
      <alignment horizontal="left"/>
      <protection locked="0"/>
    </xf>
    <xf numFmtId="1" fontId="30" fillId="3" borderId="40" xfId="0" applyNumberFormat="1" applyFont="1" applyFill="1" applyBorder="1" applyAlignment="1" applyProtection="1">
      <alignment horizontal="left"/>
      <protection locked="0"/>
    </xf>
    <xf numFmtId="0" fontId="18" fillId="3" borderId="32" xfId="0" applyFont="1" applyFill="1" applyBorder="1" applyAlignment="1" applyProtection="1">
      <alignment horizontal="left"/>
      <protection locked="0"/>
    </xf>
    <xf numFmtId="0" fontId="5" fillId="4" borderId="0" xfId="0" applyFont="1" applyFill="1" applyBorder="1" applyAlignment="1" applyProtection="1">
      <alignment horizontal="left" vertical="center"/>
      <protection locked="0"/>
    </xf>
    <xf numFmtId="170" fontId="0" fillId="2" borderId="12" xfId="0" applyNumberFormat="1" applyFont="1" applyFill="1" applyBorder="1" applyAlignment="1" applyProtection="1">
      <alignment horizontal="right" vertical="center" wrapText="1"/>
      <protection locked="0"/>
    </xf>
    <xf numFmtId="0" fontId="5" fillId="4" borderId="0"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right" wrapText="1"/>
      <protection locked="0"/>
    </xf>
    <xf numFmtId="0" fontId="4" fillId="5" borderId="8" xfId="0" applyFont="1" applyFill="1" applyBorder="1" applyAlignment="1" applyProtection="1">
      <alignment/>
      <protection locked="0"/>
    </xf>
    <xf numFmtId="0" fontId="4" fillId="6" borderId="34" xfId="0" applyFont="1" applyFill="1" applyBorder="1" applyAlignment="1" applyProtection="1">
      <alignment horizontal="left"/>
      <protection locked="0"/>
    </xf>
    <xf numFmtId="0" fontId="4" fillId="6" borderId="35" xfId="0" applyFont="1" applyFill="1" applyBorder="1" applyAlignment="1" applyProtection="1">
      <alignment horizontal="left"/>
      <protection locked="0"/>
    </xf>
    <xf numFmtId="0" fontId="4" fillId="5" borderId="5" xfId="0" applyFont="1" applyFill="1" applyBorder="1" applyAlignment="1" applyProtection="1">
      <alignment/>
      <protection locked="0"/>
    </xf>
    <xf numFmtId="0" fontId="4" fillId="5" borderId="0" xfId="0" applyFont="1" applyFill="1" applyBorder="1" applyAlignment="1" applyProtection="1">
      <alignment/>
      <protection locked="0"/>
    </xf>
    <xf numFmtId="0" fontId="0" fillId="4" borderId="33" xfId="0" applyFill="1" applyBorder="1" applyAlignment="1" applyProtection="1">
      <alignment horizontal="right"/>
      <protection locked="0"/>
    </xf>
    <xf numFmtId="0" fontId="0" fillId="3" borderId="32" xfId="0" applyFill="1" applyBorder="1" applyAlignment="1" applyProtection="1">
      <alignment/>
      <protection locked="0"/>
    </xf>
    <xf numFmtId="0" fontId="0" fillId="4" borderId="5" xfId="0" applyFill="1" applyBorder="1" applyAlignment="1" applyProtection="1">
      <alignment horizontal="right"/>
      <protection locked="0"/>
    </xf>
    <xf numFmtId="0" fontId="0" fillId="3" borderId="9" xfId="0" applyFill="1" applyBorder="1" applyAlignment="1" applyProtection="1">
      <alignment/>
      <protection locked="0"/>
    </xf>
    <xf numFmtId="0" fontId="0" fillId="4" borderId="0" xfId="0" applyFill="1" applyBorder="1" applyAlignment="1" applyProtection="1">
      <alignment horizontal="right" vertical="center"/>
      <protection locked="0"/>
    </xf>
    <xf numFmtId="0" fontId="0" fillId="4" borderId="0" xfId="0" applyFill="1" applyAlignment="1" applyProtection="1">
      <alignment/>
      <protection locked="0"/>
    </xf>
    <xf numFmtId="0" fontId="5" fillId="4" borderId="0" xfId="0" applyFont="1" applyFill="1" applyBorder="1" applyAlignment="1" applyProtection="1">
      <alignment horizontal="right" vertical="center"/>
      <protection locked="0"/>
    </xf>
    <xf numFmtId="1" fontId="0" fillId="4" borderId="0" xfId="0" applyNumberFormat="1" applyFont="1" applyFill="1" applyBorder="1" applyAlignment="1" applyProtection="1">
      <alignment horizontal="center" vertical="center"/>
      <protection locked="0"/>
    </xf>
    <xf numFmtId="0" fontId="0" fillId="4" borderId="0" xfId="0" applyFill="1" applyBorder="1" applyAlignment="1" applyProtection="1">
      <alignment horizontal="left" wrapText="1"/>
      <protection locked="0"/>
    </xf>
    <xf numFmtId="0" fontId="0" fillId="3" borderId="40" xfId="0" applyFill="1" applyBorder="1" applyAlignment="1" applyProtection="1">
      <alignment/>
      <protection locked="0"/>
    </xf>
    <xf numFmtId="0" fontId="17" fillId="4" borderId="16" xfId="0" applyFont="1" applyFill="1" applyBorder="1" applyAlignment="1" applyProtection="1">
      <alignment horizontal="right"/>
      <protection locked="0"/>
    </xf>
    <xf numFmtId="0" fontId="2" fillId="6" borderId="45" xfId="0" applyFont="1" applyFill="1" applyBorder="1" applyAlignment="1" applyProtection="1">
      <alignment/>
      <protection locked="0"/>
    </xf>
    <xf numFmtId="0" fontId="0" fillId="6" borderId="34" xfId="0" applyFill="1" applyBorder="1" applyAlignment="1" applyProtection="1">
      <alignment/>
      <protection locked="0"/>
    </xf>
    <xf numFmtId="0" fontId="0" fillId="6" borderId="35" xfId="0" applyFill="1" applyBorder="1" applyAlignment="1" applyProtection="1">
      <alignment/>
      <protection locked="0"/>
    </xf>
    <xf numFmtId="0" fontId="0" fillId="4" borderId="0" xfId="0" applyFill="1" applyBorder="1" applyAlignment="1" applyProtection="1">
      <alignment horizontal="right" wrapText="1"/>
      <protection locked="0"/>
    </xf>
    <xf numFmtId="0" fontId="0" fillId="4" borderId="0" xfId="0" applyFill="1" applyBorder="1" applyAlignment="1" applyProtection="1">
      <alignment horizontal="left"/>
      <protection locked="0"/>
    </xf>
    <xf numFmtId="0" fontId="0" fillId="4" borderId="22" xfId="0" applyFill="1" applyBorder="1" applyAlignment="1" applyProtection="1">
      <alignment/>
      <protection locked="0"/>
    </xf>
    <xf numFmtId="165" fontId="0" fillId="4" borderId="0" xfId="0" applyNumberFormat="1" applyFont="1" applyFill="1" applyBorder="1" applyAlignment="1" applyProtection="1">
      <alignment horizontal="right"/>
      <protection locked="0"/>
    </xf>
    <xf numFmtId="165" fontId="14" fillId="4" borderId="0" xfId="0" applyNumberFormat="1" applyFont="1" applyFill="1" applyBorder="1" applyAlignment="1" applyProtection="1">
      <alignment horizontal="right" vertical="center"/>
      <protection locked="0"/>
    </xf>
    <xf numFmtId="0" fontId="5" fillId="4" borderId="22" xfId="0" applyFont="1"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165" fontId="0" fillId="4" borderId="0" xfId="0" applyNumberFormat="1" applyFont="1" applyFill="1" applyBorder="1" applyAlignment="1" applyProtection="1">
      <alignment horizontal="right" vertical="center"/>
      <protection locked="0"/>
    </xf>
    <xf numFmtId="0" fontId="0" fillId="3" borderId="70" xfId="0" applyFill="1" applyBorder="1" applyAlignment="1" applyProtection="1">
      <alignment/>
      <protection locked="0"/>
    </xf>
    <xf numFmtId="0" fontId="14" fillId="4" borderId="0" xfId="0" applyFont="1" applyFill="1" applyBorder="1" applyAlignment="1" applyProtection="1">
      <alignment horizontal="left"/>
      <protection locked="0"/>
    </xf>
    <xf numFmtId="0" fontId="14" fillId="4" borderId="4" xfId="0" applyFont="1" applyFill="1" applyBorder="1" applyAlignment="1" applyProtection="1">
      <alignment horizontal="left"/>
      <protection locked="0"/>
    </xf>
    <xf numFmtId="0" fontId="4" fillId="5" borderId="7" xfId="0" applyFont="1" applyFill="1" applyBorder="1" applyAlignment="1" applyProtection="1">
      <alignment vertical="top"/>
      <protection locked="0"/>
    </xf>
    <xf numFmtId="0" fontId="12" fillId="4" borderId="0" xfId="0" applyFont="1" applyFill="1" applyBorder="1" applyAlignment="1" applyProtection="1">
      <alignment/>
      <protection locked="0"/>
    </xf>
    <xf numFmtId="164" fontId="0" fillId="2" borderId="12" xfId="0" applyNumberFormat="1" applyFill="1" applyBorder="1" applyAlignment="1" applyProtection="1">
      <alignment horizontal="right" vertical="center"/>
      <protection locked="0"/>
    </xf>
    <xf numFmtId="0" fontId="0" fillId="4" borderId="0" xfId="0" applyFont="1" applyFill="1" applyBorder="1" applyAlignment="1" applyProtection="1">
      <alignment horizontal="left" vertical="top"/>
      <protection locked="0"/>
    </xf>
    <xf numFmtId="0" fontId="0" fillId="3" borderId="22" xfId="0" applyFill="1" applyBorder="1" applyAlignment="1" applyProtection="1">
      <alignment/>
      <protection locked="0"/>
    </xf>
    <xf numFmtId="0" fontId="16" fillId="4" borderId="0" xfId="0" applyFont="1" applyFill="1" applyBorder="1" applyAlignment="1" applyProtection="1">
      <alignment horizontal="right"/>
      <protection locked="0"/>
    </xf>
    <xf numFmtId="169" fontId="5" fillId="4" borderId="0" xfId="0" applyNumberFormat="1" applyFont="1" applyFill="1" applyBorder="1" applyAlignment="1" applyProtection="1">
      <alignment horizontal="left"/>
      <protection locked="0"/>
    </xf>
    <xf numFmtId="2" fontId="0" fillId="4" borderId="0" xfId="0" applyNumberFormat="1" applyFill="1" applyBorder="1" applyAlignment="1" applyProtection="1">
      <alignment vertical="center"/>
      <protection locked="0"/>
    </xf>
    <xf numFmtId="0" fontId="5" fillId="4" borderId="22" xfId="0" applyFont="1" applyFill="1" applyBorder="1" applyAlignment="1" applyProtection="1">
      <alignment/>
      <protection locked="0"/>
    </xf>
    <xf numFmtId="0" fontId="0" fillId="4" borderId="22" xfId="0" applyFont="1" applyFill="1" applyBorder="1" applyAlignment="1" applyProtection="1">
      <alignment horizontal="left" vertical="top"/>
      <protection locked="0"/>
    </xf>
    <xf numFmtId="0" fontId="14" fillId="4" borderId="0" xfId="0" applyFont="1" applyFill="1" applyBorder="1" applyAlignment="1" applyProtection="1">
      <alignment horizontal="right" vertical="center"/>
      <protection locked="0"/>
    </xf>
    <xf numFmtId="0" fontId="17" fillId="4" borderId="5" xfId="0" applyFont="1" applyFill="1" applyBorder="1" applyAlignment="1" applyProtection="1">
      <alignment vertical="center"/>
      <protection locked="0"/>
    </xf>
    <xf numFmtId="0" fontId="14" fillId="4" borderId="0" xfId="0" applyFont="1" applyFill="1" applyBorder="1" applyAlignment="1" applyProtection="1">
      <alignment/>
      <protection locked="0"/>
    </xf>
    <xf numFmtId="164" fontId="0" fillId="2" borderId="12" xfId="0" applyNumberFormat="1" applyFill="1" applyBorder="1" applyAlignment="1" applyProtection="1">
      <alignment horizontal="right"/>
      <protection locked="0"/>
    </xf>
    <xf numFmtId="0" fontId="5" fillId="4" borderId="23" xfId="0" applyFont="1" applyFill="1" applyBorder="1" applyAlignment="1" applyProtection="1">
      <alignment horizontal="left"/>
      <protection locked="0"/>
    </xf>
    <xf numFmtId="169" fontId="5" fillId="4" borderId="23" xfId="0" applyNumberFormat="1" applyFont="1" applyFill="1" applyBorder="1" applyAlignment="1" applyProtection="1">
      <alignment horizontal="left"/>
      <protection locked="0"/>
    </xf>
    <xf numFmtId="0" fontId="0" fillId="4" borderId="0" xfId="0" applyFill="1" applyBorder="1" applyAlignment="1" applyProtection="1">
      <alignment horizontal="center"/>
      <protection locked="0"/>
    </xf>
    <xf numFmtId="10" fontId="0" fillId="4" borderId="0" xfId="0" applyNumberFormat="1" applyFill="1" applyBorder="1" applyAlignment="1" applyProtection="1">
      <alignment horizontal="right"/>
      <protection locked="0"/>
    </xf>
    <xf numFmtId="0" fontId="0" fillId="4" borderId="5" xfId="0" applyFill="1" applyBorder="1" applyAlignment="1" applyProtection="1">
      <alignment horizontal="left"/>
      <protection locked="0"/>
    </xf>
    <xf numFmtId="169" fontId="0" fillId="4" borderId="5" xfId="0" applyNumberFormat="1" applyFill="1" applyBorder="1" applyAlignment="1" applyProtection="1">
      <alignment horizontal="right"/>
      <protection locked="0"/>
    </xf>
    <xf numFmtId="2" fontId="0" fillId="4" borderId="4" xfId="0" applyNumberFormat="1" applyFill="1" applyBorder="1" applyAlignment="1" applyProtection="1">
      <alignment/>
      <protection locked="0"/>
    </xf>
    <xf numFmtId="0" fontId="26" fillId="5" borderId="7" xfId="0" applyFont="1" applyFill="1" applyBorder="1" applyAlignment="1" applyProtection="1">
      <alignment horizontal="left" vertical="top"/>
      <protection locked="0"/>
    </xf>
    <xf numFmtId="0" fontId="26" fillId="5" borderId="8" xfId="0" applyFont="1" applyFill="1" applyBorder="1" applyAlignment="1" applyProtection="1">
      <alignment horizontal="left" vertical="top"/>
      <protection locked="0"/>
    </xf>
    <xf numFmtId="0" fontId="2" fillId="6" borderId="45" xfId="0" applyFont="1" applyFill="1" applyBorder="1" applyAlignment="1" applyProtection="1">
      <alignment/>
      <protection locked="0"/>
    </xf>
    <xf numFmtId="0" fontId="0" fillId="6" borderId="34"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5" borderId="5" xfId="0" applyFill="1" applyBorder="1" applyAlignment="1" applyProtection="1">
      <alignment/>
      <protection locked="0"/>
    </xf>
    <xf numFmtId="0" fontId="12" fillId="5" borderId="0" xfId="0" applyFont="1" applyFill="1" applyBorder="1" applyAlignment="1" applyProtection="1">
      <alignment horizontal="left" vertical="top"/>
      <protection locked="0"/>
    </xf>
    <xf numFmtId="0" fontId="12" fillId="4" borderId="5" xfId="0" applyFont="1" applyFill="1" applyBorder="1" applyAlignment="1" applyProtection="1">
      <alignment horizontal="left" vertical="top" wrapText="1"/>
      <protection locked="0"/>
    </xf>
    <xf numFmtId="0" fontId="12" fillId="4" borderId="0" xfId="0" applyFont="1" applyFill="1" applyBorder="1" applyAlignment="1" applyProtection="1">
      <alignment horizontal="left" vertical="top" wrapText="1"/>
      <protection locked="0"/>
    </xf>
    <xf numFmtId="0" fontId="12" fillId="3" borderId="9" xfId="0" applyFont="1" applyFill="1" applyBorder="1" applyAlignment="1" applyProtection="1">
      <alignment horizontal="left" vertical="top" wrapText="1"/>
      <protection locked="0"/>
    </xf>
    <xf numFmtId="0" fontId="27" fillId="4" borderId="0" xfId="0" applyFont="1" applyFill="1" applyBorder="1" applyAlignment="1" applyProtection="1">
      <alignment horizontal="left" vertical="top" wrapText="1"/>
      <protection locked="0"/>
    </xf>
    <xf numFmtId="0" fontId="12" fillId="4" borderId="0" xfId="0" applyFont="1" applyFill="1" applyBorder="1" applyAlignment="1" applyProtection="1">
      <alignment horizontal="right" vertical="top" wrapText="1"/>
      <protection locked="0"/>
    </xf>
    <xf numFmtId="0" fontId="12" fillId="4" borderId="0" xfId="0" applyFont="1" applyFill="1" applyBorder="1" applyAlignment="1" applyProtection="1">
      <alignment horizontal="right" vertical="center" wrapText="1"/>
      <protection locked="0"/>
    </xf>
    <xf numFmtId="0" fontId="12" fillId="4" borderId="5" xfId="0" applyFont="1" applyFill="1" applyBorder="1" applyAlignment="1" applyProtection="1">
      <alignment/>
      <protection locked="0"/>
    </xf>
    <xf numFmtId="0" fontId="12" fillId="4" borderId="0" xfId="0" applyFont="1" applyFill="1" applyBorder="1" applyAlignment="1" applyProtection="1">
      <alignment/>
      <protection locked="0"/>
    </xf>
    <xf numFmtId="0" fontId="12" fillId="4" borderId="0" xfId="0" applyFont="1" applyFill="1" applyBorder="1" applyAlignment="1" applyProtection="1">
      <alignment horizontal="right"/>
      <protection locked="0"/>
    </xf>
    <xf numFmtId="0" fontId="27" fillId="4" borderId="0" xfId="0" applyFont="1" applyFill="1" applyBorder="1" applyAlignment="1" applyProtection="1">
      <alignment/>
      <protection locked="0"/>
    </xf>
    <xf numFmtId="0" fontId="12" fillId="3" borderId="32" xfId="0" applyFont="1" applyFill="1" applyBorder="1" applyAlignment="1" applyProtection="1">
      <alignment/>
      <protection locked="0"/>
    </xf>
    <xf numFmtId="0" fontId="12" fillId="4" borderId="0" xfId="0" applyFont="1" applyFill="1" applyBorder="1" applyAlignment="1" applyProtection="1">
      <alignment horizontal="left" vertical="top"/>
      <protection locked="0"/>
    </xf>
    <xf numFmtId="0" fontId="12" fillId="3" borderId="9" xfId="0" applyFont="1" applyFill="1" applyBorder="1" applyAlignment="1" applyProtection="1">
      <alignment/>
      <protection locked="0"/>
    </xf>
    <xf numFmtId="169" fontId="12" fillId="4" borderId="0" xfId="0" applyNumberFormat="1" applyFont="1" applyFill="1" applyBorder="1" applyAlignment="1" applyProtection="1">
      <alignment horizontal="right"/>
      <protection locked="0"/>
    </xf>
    <xf numFmtId="0" fontId="12" fillId="4" borderId="12" xfId="0" applyFont="1" applyFill="1" applyBorder="1" applyAlignment="1" applyProtection="1">
      <alignment/>
      <protection locked="0"/>
    </xf>
    <xf numFmtId="0" fontId="29" fillId="4" borderId="0" xfId="0" applyFont="1" applyFill="1" applyBorder="1" applyAlignment="1" applyProtection="1">
      <alignment horizontal="left" vertical="center" wrapText="1"/>
      <protection locked="0"/>
    </xf>
    <xf numFmtId="0" fontId="25" fillId="4" borderId="0" xfId="0" applyFont="1" applyFill="1" applyBorder="1" applyAlignment="1" applyProtection="1">
      <alignment horizontal="right"/>
      <protection locked="0"/>
    </xf>
    <xf numFmtId="0" fontId="12" fillId="4" borderId="0" xfId="0" applyFont="1" applyFill="1" applyBorder="1" applyAlignment="1" applyProtection="1">
      <alignment vertical="center"/>
      <protection locked="0"/>
    </xf>
    <xf numFmtId="165" fontId="12" fillId="4" borderId="0" xfId="0" applyNumberFormat="1" applyFont="1" applyFill="1" applyBorder="1" applyAlignment="1" applyProtection="1">
      <alignment/>
      <protection locked="0"/>
    </xf>
    <xf numFmtId="0" fontId="25" fillId="4" borderId="6" xfId="0" applyFont="1" applyFill="1" applyBorder="1" applyAlignment="1" applyProtection="1">
      <alignment/>
      <protection locked="0"/>
    </xf>
    <xf numFmtId="0" fontId="12" fillId="4" borderId="4" xfId="0" applyFont="1" applyFill="1" applyBorder="1" applyAlignment="1" applyProtection="1">
      <alignment/>
      <protection locked="0"/>
    </xf>
    <xf numFmtId="0" fontId="28" fillId="4" borderId="4" xfId="0" applyFont="1" applyFill="1" applyBorder="1" applyAlignment="1" applyProtection="1">
      <alignment horizontal="right"/>
      <protection locked="0"/>
    </xf>
    <xf numFmtId="2" fontId="0" fillId="0" borderId="60" xfId="0" applyNumberFormat="1" applyFill="1" applyBorder="1" applyAlignment="1" applyProtection="1">
      <alignment vertical="center"/>
      <protection/>
    </xf>
    <xf numFmtId="169" fontId="0" fillId="0" borderId="12" xfId="0" applyNumberFormat="1" applyFill="1" applyBorder="1" applyAlignment="1" applyProtection="1">
      <alignment horizontal="right" vertical="center"/>
      <protection/>
    </xf>
    <xf numFmtId="169" fontId="0" fillId="0" borderId="12" xfId="0" applyNumberFormat="1" applyFill="1" applyBorder="1" applyAlignment="1" applyProtection="1">
      <alignment horizontal="right"/>
      <protection/>
    </xf>
    <xf numFmtId="49" fontId="12" fillId="3" borderId="71" xfId="0" applyNumberFormat="1" applyFont="1" applyFill="1" applyBorder="1" applyAlignment="1" applyProtection="1">
      <alignment/>
      <protection locked="0"/>
    </xf>
    <xf numFmtId="49" fontId="0" fillId="3" borderId="1" xfId="0" applyNumberFormat="1" applyFill="1" applyBorder="1" applyAlignment="1" applyProtection="1">
      <alignment/>
      <protection locked="0"/>
    </xf>
    <xf numFmtId="0" fontId="14" fillId="3" borderId="70" xfId="0" applyFont="1" applyFill="1" applyBorder="1" applyAlignment="1" applyProtection="1">
      <alignment horizontal="left" vertical="center"/>
      <protection locked="0"/>
    </xf>
    <xf numFmtId="0" fontId="14" fillId="3" borderId="72" xfId="0" applyFont="1" applyFill="1" applyBorder="1" applyAlignment="1" applyProtection="1">
      <alignment horizontal="left" vertical="center"/>
      <protection locked="0"/>
    </xf>
    <xf numFmtId="0" fontId="18" fillId="3" borderId="40" xfId="0" applyFont="1" applyFill="1" applyBorder="1" applyAlignment="1" applyProtection="1">
      <alignment horizontal="left" vertical="center"/>
      <protection locked="0"/>
    </xf>
    <xf numFmtId="0" fontId="18" fillId="3" borderId="16" xfId="0" applyFont="1" applyFill="1" applyBorder="1" applyAlignment="1" applyProtection="1">
      <alignment horizontal="left" vertical="center"/>
      <protection locked="0"/>
    </xf>
    <xf numFmtId="0" fontId="0" fillId="4" borderId="5" xfId="0" applyFill="1" applyBorder="1" applyAlignment="1" applyProtection="1">
      <alignment horizontal="right" wrapText="1"/>
      <protection/>
    </xf>
    <xf numFmtId="0" fontId="0" fillId="4" borderId="0" xfId="0" applyFill="1" applyBorder="1" applyAlignment="1" applyProtection="1">
      <alignment horizontal="right" wrapText="1"/>
      <protection/>
    </xf>
    <xf numFmtId="0" fontId="0" fillId="4" borderId="0" xfId="0" applyFill="1" applyBorder="1" applyAlignment="1" applyProtection="1">
      <alignment horizontal="right" vertical="center" wrapText="1"/>
      <protection/>
    </xf>
    <xf numFmtId="169" fontId="0" fillId="0" borderId="13" xfId="0" applyNumberFormat="1" applyFill="1" applyBorder="1" applyAlignment="1" applyProtection="1">
      <alignment horizontal="right" vertical="center"/>
      <protection/>
    </xf>
    <xf numFmtId="0" fontId="14" fillId="4" borderId="0" xfId="0" applyFont="1" applyFill="1" applyBorder="1" applyAlignment="1" applyProtection="1">
      <alignment horizontal="left" wrapText="1"/>
      <protection locked="0"/>
    </xf>
    <xf numFmtId="0" fontId="2" fillId="4" borderId="36" xfId="0" applyFont="1" applyFill="1" applyBorder="1" applyAlignment="1" applyProtection="1">
      <alignment horizontal="right" vertical="center" wrapText="1"/>
      <protection locked="0"/>
    </xf>
    <xf numFmtId="0" fontId="0" fillId="4" borderId="0" xfId="0" applyFill="1" applyBorder="1" applyAlignment="1" applyProtection="1">
      <alignment horizontal="left" vertical="top" wrapText="1"/>
      <protection locked="0"/>
    </xf>
    <xf numFmtId="0" fontId="0" fillId="4" borderId="0" xfId="0" applyFont="1" applyFill="1" applyBorder="1" applyAlignment="1" applyProtection="1">
      <alignment horizontal="left" wrapText="1"/>
      <protection locked="0"/>
    </xf>
    <xf numFmtId="0" fontId="17" fillId="4" borderId="5"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0" fontId="25" fillId="4" borderId="0" xfId="0" applyFont="1" applyFill="1" applyBorder="1" applyAlignment="1" applyProtection="1">
      <alignment horizontal="right" wrapText="1"/>
      <protection locked="0"/>
    </xf>
    <xf numFmtId="0" fontId="0" fillId="3" borderId="73" xfId="0" applyFont="1" applyFill="1" applyBorder="1" applyAlignment="1" applyProtection="1">
      <alignment/>
      <protection/>
    </xf>
    <xf numFmtId="0" fontId="0" fillId="3" borderId="1" xfId="0" applyFill="1" applyBorder="1" applyAlignment="1" applyProtection="1">
      <alignment/>
      <protection locked="0"/>
    </xf>
    <xf numFmtId="0" fontId="0" fillId="3" borderId="12" xfId="0" applyFill="1" applyBorder="1" applyAlignment="1" applyProtection="1">
      <alignment/>
      <protection locked="0"/>
    </xf>
    <xf numFmtId="0" fontId="31" fillId="4" borderId="36" xfId="0" applyFont="1" applyFill="1" applyBorder="1" applyAlignment="1" applyProtection="1">
      <alignment horizontal="right" vertical="top"/>
      <protection locked="0"/>
    </xf>
    <xf numFmtId="0" fontId="2" fillId="4" borderId="36" xfId="0" applyFont="1" applyFill="1" applyBorder="1" applyAlignment="1" applyProtection="1">
      <alignment horizontal="left" vertical="center"/>
      <protection locked="0"/>
    </xf>
    <xf numFmtId="0" fontId="0" fillId="4" borderId="36" xfId="0" applyFill="1" applyBorder="1" applyAlignment="1" applyProtection="1">
      <alignment horizontal="right" vertical="center"/>
      <protection locked="0"/>
    </xf>
    <xf numFmtId="0" fontId="0" fillId="4" borderId="74" xfId="0" applyFill="1" applyBorder="1" applyAlignment="1" applyProtection="1">
      <alignment horizontal="center" vertical="center"/>
      <protection locked="0"/>
    </xf>
    <xf numFmtId="0" fontId="31" fillId="4" borderId="0" xfId="0" applyFont="1" applyFill="1" applyBorder="1" applyAlignment="1" applyProtection="1">
      <alignment horizontal="right" vertical="center" wrapText="1"/>
      <protection locked="0"/>
    </xf>
    <xf numFmtId="0" fontId="2" fillId="4" borderId="0" xfId="0" applyFont="1" applyFill="1" applyBorder="1" applyAlignment="1" applyProtection="1">
      <alignment horizontal="left" vertical="top" wrapText="1"/>
      <protection locked="0"/>
    </xf>
    <xf numFmtId="0" fontId="0" fillId="4" borderId="22" xfId="0" applyFill="1" applyBorder="1" applyAlignment="1" applyProtection="1">
      <alignment horizontal="center" vertical="center"/>
      <protection locked="0"/>
    </xf>
    <xf numFmtId="1" fontId="0" fillId="4" borderId="0" xfId="0" applyNumberFormat="1" applyFont="1" applyFill="1" applyBorder="1" applyAlignment="1" applyProtection="1">
      <alignment horizontal="center" vertical="center"/>
      <protection locked="0"/>
    </xf>
    <xf numFmtId="1" fontId="0" fillId="2" borderId="12" xfId="0" applyNumberFormat="1" applyFont="1" applyFill="1" applyBorder="1" applyAlignment="1" applyProtection="1">
      <alignment horizontal="center" vertical="center"/>
      <protection locked="0"/>
    </xf>
    <xf numFmtId="169" fontId="0" fillId="2" borderId="41" xfId="0" applyNumberFormat="1" applyFont="1" applyFill="1" applyBorder="1" applyAlignment="1" applyProtection="1">
      <alignment horizontal="center" vertical="center"/>
      <protection locked="0"/>
    </xf>
    <xf numFmtId="0" fontId="0" fillId="3" borderId="42" xfId="0" applyFill="1" applyBorder="1" applyAlignment="1" applyProtection="1">
      <alignment/>
      <protection locked="0"/>
    </xf>
    <xf numFmtId="0" fontId="0" fillId="3" borderId="36" xfId="0" applyFill="1" applyBorder="1" applyAlignment="1" applyProtection="1">
      <alignment/>
      <protection locked="0"/>
    </xf>
    <xf numFmtId="0" fontId="0" fillId="3" borderId="74" xfId="0" applyFill="1" applyBorder="1" applyAlignment="1" applyProtection="1">
      <alignment/>
      <protection locked="0"/>
    </xf>
    <xf numFmtId="0" fontId="31" fillId="4" borderId="0" xfId="0" applyFont="1" applyFill="1" applyBorder="1" applyAlignment="1" applyProtection="1">
      <alignment horizontal="right" vertical="center"/>
      <protection locked="0"/>
    </xf>
    <xf numFmtId="0" fontId="2" fillId="4" borderId="0" xfId="0" applyFont="1" applyFill="1" applyBorder="1" applyAlignment="1" applyProtection="1">
      <alignment horizontal="center" vertical="center"/>
      <protection locked="0"/>
    </xf>
    <xf numFmtId="0" fontId="2" fillId="4" borderId="47" xfId="0" applyFont="1" applyFill="1" applyBorder="1" applyAlignment="1" applyProtection="1">
      <alignment horizontal="right" vertical="center"/>
      <protection locked="0"/>
    </xf>
    <xf numFmtId="0" fontId="0" fillId="4" borderId="0" xfId="0" applyFont="1" applyFill="1" applyBorder="1" applyAlignment="1" applyProtection="1">
      <alignment horizontal="right" vertical="center"/>
      <protection locked="0"/>
    </xf>
    <xf numFmtId="0" fontId="0" fillId="4" borderId="14" xfId="0" applyFill="1" applyBorder="1" applyAlignment="1" applyProtection="1">
      <alignment horizontal="center" vertical="center"/>
      <protection locked="0"/>
    </xf>
    <xf numFmtId="0" fontId="0" fillId="4" borderId="47" xfId="0" applyFill="1" applyBorder="1" applyAlignment="1" applyProtection="1">
      <alignment vertical="top"/>
      <protection locked="0"/>
    </xf>
    <xf numFmtId="0" fontId="2" fillId="4" borderId="47" xfId="0" applyFont="1" applyFill="1" applyBorder="1" applyAlignment="1" applyProtection="1">
      <alignment vertical="center"/>
      <protection locked="0"/>
    </xf>
    <xf numFmtId="165" fontId="2" fillId="4" borderId="47" xfId="0" applyNumberFormat="1" applyFont="1" applyFill="1" applyBorder="1" applyAlignment="1" applyProtection="1">
      <alignment horizontal="center" vertical="center"/>
      <protection locked="0"/>
    </xf>
    <xf numFmtId="0" fontId="0" fillId="3" borderId="13" xfId="0" applyFill="1" applyBorder="1" applyAlignment="1" applyProtection="1">
      <alignment/>
      <protection locked="0"/>
    </xf>
    <xf numFmtId="0" fontId="2" fillId="4" borderId="63" xfId="0" applyFont="1" applyFill="1" applyBorder="1" applyAlignment="1" applyProtection="1">
      <alignment horizontal="right"/>
      <protection locked="0"/>
    </xf>
    <xf numFmtId="165" fontId="2" fillId="3" borderId="4" xfId="0" applyNumberFormat="1" applyFont="1" applyFill="1" applyBorder="1" applyAlignment="1" applyProtection="1">
      <alignment horizontal="right"/>
      <protection locked="0"/>
    </xf>
    <xf numFmtId="0" fontId="2" fillId="3" borderId="55" xfId="0" applyFont="1" applyFill="1" applyBorder="1" applyAlignment="1" applyProtection="1">
      <alignment horizontal="right" vertical="center" wrapText="1"/>
      <protection locked="0"/>
    </xf>
    <xf numFmtId="165" fontId="2" fillId="3" borderId="55" xfId="0" applyNumberFormat="1" applyFont="1" applyFill="1" applyBorder="1" applyAlignment="1" applyProtection="1">
      <alignment horizontal="right"/>
      <protection locked="0"/>
    </xf>
    <xf numFmtId="165" fontId="2" fillId="3" borderId="55" xfId="0" applyNumberFormat="1" applyFont="1" applyFill="1" applyBorder="1" applyAlignment="1" applyProtection="1">
      <alignment horizontal="right" vertical="center" wrapText="1"/>
      <protection locked="0"/>
    </xf>
    <xf numFmtId="2" fontId="14" fillId="3" borderId="55" xfId="0" applyNumberFormat="1" applyFont="1" applyFill="1" applyBorder="1" applyAlignment="1" applyProtection="1">
      <alignment horizontal="center" vertical="center"/>
      <protection locked="0"/>
    </xf>
    <xf numFmtId="2" fontId="14" fillId="3" borderId="75" xfId="0" applyNumberFormat="1" applyFont="1" applyFill="1" applyBorder="1" applyAlignment="1" applyProtection="1">
      <alignment horizontal="center" vertical="center"/>
      <protection locked="0"/>
    </xf>
    <xf numFmtId="49" fontId="4" fillId="4" borderId="56" xfId="0" applyNumberFormat="1" applyFont="1" applyFill="1" applyBorder="1" applyAlignment="1" applyProtection="1">
      <alignment vertical="center"/>
      <protection locked="0"/>
    </xf>
    <xf numFmtId="0" fontId="17" fillId="2" borderId="76" xfId="0" applyFont="1" applyFill="1" applyBorder="1" applyAlignment="1" applyProtection="1">
      <alignment horizontal="center" vertical="center"/>
      <protection locked="0"/>
    </xf>
    <xf numFmtId="0" fontId="14" fillId="3" borderId="77" xfId="0" applyFont="1" applyFill="1" applyBorder="1" applyAlignment="1" applyProtection="1">
      <alignment horizontal="left"/>
      <protection locked="0"/>
    </xf>
    <xf numFmtId="49" fontId="4" fillId="4" borderId="5" xfId="0" applyNumberFormat="1" applyFont="1" applyFill="1" applyBorder="1" applyAlignment="1" applyProtection="1">
      <alignment horizontal="left" vertical="center" wrapText="1"/>
      <protection locked="0"/>
    </xf>
    <xf numFmtId="0" fontId="17" fillId="2" borderId="78" xfId="0" applyFont="1" applyFill="1" applyBorder="1" applyAlignment="1" applyProtection="1">
      <alignment horizontal="center" vertical="center"/>
      <protection locked="0"/>
    </xf>
    <xf numFmtId="0" fontId="14" fillId="3" borderId="79" xfId="0" applyFont="1" applyFill="1" applyBorder="1" applyAlignment="1" applyProtection="1">
      <alignment horizontal="left"/>
      <protection locked="0"/>
    </xf>
    <xf numFmtId="0" fontId="18" fillId="3" borderId="51" xfId="0" applyFont="1" applyFill="1" applyBorder="1" applyAlignment="1" applyProtection="1">
      <alignment horizontal="left" vertical="center"/>
      <protection locked="0"/>
    </xf>
    <xf numFmtId="49" fontId="4" fillId="4" borderId="46" xfId="0" applyNumberFormat="1" applyFont="1" applyFill="1" applyBorder="1" applyAlignment="1" applyProtection="1">
      <alignment horizontal="left" vertical="center" wrapText="1"/>
      <protection locked="0"/>
    </xf>
    <xf numFmtId="0" fontId="17" fillId="2" borderId="80" xfId="0" applyFont="1" applyFill="1" applyBorder="1" applyAlignment="1" applyProtection="1">
      <alignment horizontal="center" vertical="center"/>
      <protection locked="0"/>
    </xf>
    <xf numFmtId="0" fontId="4" fillId="5" borderId="7" xfId="0" applyFont="1" applyFill="1" applyBorder="1" applyAlignment="1" applyProtection="1">
      <alignment horizontal="left"/>
      <protection locked="0"/>
    </xf>
    <xf numFmtId="0" fontId="22" fillId="4" borderId="5" xfId="0" applyFont="1" applyFill="1" applyBorder="1" applyAlignment="1" applyProtection="1">
      <alignment horizontal="left"/>
      <protection locked="0"/>
    </xf>
    <xf numFmtId="0" fontId="22" fillId="4" borderId="0" xfId="0" applyFont="1" applyFill="1" applyBorder="1" applyAlignment="1" applyProtection="1">
      <alignment horizontal="left"/>
      <protection locked="0"/>
    </xf>
    <xf numFmtId="0" fontId="22" fillId="3" borderId="32" xfId="0" applyFont="1" applyFill="1" applyBorder="1" applyAlignment="1" applyProtection="1">
      <alignment horizontal="left"/>
      <protection locked="0"/>
    </xf>
    <xf numFmtId="0" fontId="22" fillId="4" borderId="12" xfId="0" applyFont="1" applyFill="1" applyBorder="1" applyAlignment="1" applyProtection="1">
      <alignment horizontal="left"/>
      <protection locked="0"/>
    </xf>
    <xf numFmtId="0" fontId="14" fillId="3" borderId="9" xfId="0" applyFont="1" applyFill="1" applyBorder="1" applyAlignment="1" applyProtection="1">
      <alignment horizontal="left"/>
      <protection locked="0"/>
    </xf>
    <xf numFmtId="0" fontId="0" fillId="4" borderId="23" xfId="0" applyFont="1" applyFill="1" applyBorder="1" applyAlignment="1" applyProtection="1">
      <alignment horizontal="left" wrapText="1"/>
      <protection locked="0"/>
    </xf>
    <xf numFmtId="0" fontId="0" fillId="4" borderId="49" xfId="0" applyFont="1" applyFill="1" applyBorder="1" applyAlignment="1" applyProtection="1">
      <alignment horizontal="left" wrapText="1"/>
      <protection locked="0"/>
    </xf>
    <xf numFmtId="0" fontId="22" fillId="3" borderId="9" xfId="0" applyFont="1" applyFill="1" applyBorder="1" applyAlignment="1" applyProtection="1">
      <alignment horizontal="left"/>
      <protection locked="0"/>
    </xf>
    <xf numFmtId="0" fontId="14" fillId="4" borderId="49" xfId="0" applyFont="1" applyFill="1" applyBorder="1" applyAlignment="1" applyProtection="1">
      <alignment horizontal="left" wrapText="1"/>
      <protection locked="0"/>
    </xf>
    <xf numFmtId="0" fontId="2" fillId="4" borderId="23" xfId="0" applyFont="1" applyFill="1" applyBorder="1" applyAlignment="1" applyProtection="1">
      <alignment horizontal="right" wrapText="1"/>
      <protection locked="0"/>
    </xf>
    <xf numFmtId="0" fontId="2" fillId="4" borderId="0" xfId="0" applyFont="1" applyFill="1" applyBorder="1" applyAlignment="1" applyProtection="1">
      <alignment horizontal="right" wrapText="1"/>
      <protection locked="0"/>
    </xf>
    <xf numFmtId="0" fontId="22" fillId="4" borderId="12" xfId="0" applyFont="1" applyFill="1" applyBorder="1" applyAlignment="1" applyProtection="1">
      <alignment horizontal="center"/>
      <protection locked="0"/>
    </xf>
    <xf numFmtId="0" fontId="5" fillId="4" borderId="12" xfId="0" applyFont="1" applyFill="1" applyBorder="1" applyAlignment="1" applyProtection="1">
      <alignment horizontal="left"/>
      <protection locked="0"/>
    </xf>
    <xf numFmtId="0" fontId="14" fillId="3" borderId="40" xfId="0" applyFont="1" applyFill="1" applyBorder="1" applyAlignment="1" applyProtection="1">
      <alignment horizontal="left"/>
      <protection locked="0"/>
    </xf>
    <xf numFmtId="0" fontId="22" fillId="4" borderId="6" xfId="0" applyFont="1" applyFill="1" applyBorder="1" applyAlignment="1" applyProtection="1">
      <alignment horizontal="left"/>
      <protection locked="0"/>
    </xf>
    <xf numFmtId="0" fontId="22" fillId="4" borderId="4" xfId="0" applyFont="1" applyFill="1" applyBorder="1" applyAlignment="1" applyProtection="1">
      <alignment horizontal="left"/>
      <protection locked="0"/>
    </xf>
    <xf numFmtId="0" fontId="0" fillId="4" borderId="4" xfId="0" applyFont="1" applyFill="1" applyBorder="1" applyAlignment="1" applyProtection="1">
      <alignment horizontal="left" wrapText="1"/>
      <protection locked="0"/>
    </xf>
    <xf numFmtId="0" fontId="22" fillId="4" borderId="0" xfId="0" applyFont="1" applyFill="1" applyBorder="1" applyAlignment="1" applyProtection="1">
      <alignment horizontal="center"/>
      <protection locked="0"/>
    </xf>
    <xf numFmtId="0" fontId="22" fillId="3" borderId="32"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0" fontId="0" fillId="4" borderId="0" xfId="0" applyFont="1" applyFill="1" applyBorder="1" applyAlignment="1" applyProtection="1">
      <alignment horizontal="right"/>
      <protection locked="0"/>
    </xf>
    <xf numFmtId="0" fontId="5" fillId="4" borderId="0" xfId="0" applyFont="1" applyFill="1" applyBorder="1" applyAlignment="1" applyProtection="1">
      <alignment horizontal="left" wrapText="1"/>
      <protection locked="0"/>
    </xf>
    <xf numFmtId="0" fontId="0" fillId="4" borderId="4" xfId="0" applyFont="1" applyFill="1" applyBorder="1" applyAlignment="1" applyProtection="1">
      <alignment horizontal="right"/>
      <protection locked="0"/>
    </xf>
    <xf numFmtId="0" fontId="5" fillId="4" borderId="4" xfId="0" applyFont="1" applyFill="1" applyBorder="1" applyAlignment="1" applyProtection="1">
      <alignment horizontal="left" wrapText="1"/>
      <protection locked="0"/>
    </xf>
    <xf numFmtId="0" fontId="5" fillId="5" borderId="18" xfId="0" applyFont="1" applyFill="1" applyBorder="1" applyAlignment="1" applyProtection="1">
      <alignment/>
      <protection locked="0"/>
    </xf>
    <xf numFmtId="0" fontId="19" fillId="5" borderId="18" xfId="0" applyFont="1" applyFill="1" applyBorder="1" applyAlignment="1" applyProtection="1">
      <alignment/>
      <protection locked="0"/>
    </xf>
    <xf numFmtId="0" fontId="20" fillId="5" borderId="18" xfId="0" applyFont="1" applyFill="1" applyBorder="1" applyAlignment="1" applyProtection="1">
      <alignment horizontal="left" vertical="top" wrapText="1"/>
      <protection locked="0"/>
    </xf>
    <xf numFmtId="0" fontId="21" fillId="5" borderId="18" xfId="0" applyFont="1" applyFill="1" applyBorder="1" applyAlignment="1" applyProtection="1">
      <alignment horizontal="right"/>
      <protection locked="0"/>
    </xf>
    <xf numFmtId="2" fontId="21" fillId="5" borderId="18" xfId="0" applyNumberFormat="1" applyFont="1" applyFill="1" applyBorder="1" applyAlignment="1" applyProtection="1">
      <alignment horizontal="centerContinuous"/>
      <protection locked="0"/>
    </xf>
    <xf numFmtId="0" fontId="5" fillId="5" borderId="19" xfId="0" applyFont="1" applyFill="1" applyBorder="1" applyAlignment="1" applyProtection="1">
      <alignment horizontal="centerContinuous"/>
      <protection locked="0"/>
    </xf>
    <xf numFmtId="0" fontId="15" fillId="4" borderId="33" xfId="0" applyFont="1" applyFill="1" applyBorder="1" applyAlignment="1" applyProtection="1">
      <alignment horizontal="right" vertical="top"/>
      <protection locked="0"/>
    </xf>
    <xf numFmtId="1" fontId="14" fillId="4" borderId="33" xfId="0" applyNumberFormat="1" applyFont="1" applyFill="1" applyBorder="1" applyAlignment="1" applyProtection="1">
      <alignment horizontal="center" vertical="top" wrapText="1"/>
      <protection locked="0"/>
    </xf>
    <xf numFmtId="0" fontId="5" fillId="4" borderId="33" xfId="0" applyFont="1" applyFill="1" applyBorder="1" applyAlignment="1" applyProtection="1">
      <alignment horizontal="left"/>
      <protection locked="0"/>
    </xf>
    <xf numFmtId="0" fontId="0" fillId="4" borderId="33" xfId="0" applyFont="1" applyFill="1" applyBorder="1" applyAlignment="1" applyProtection="1">
      <alignment/>
      <protection locked="0"/>
    </xf>
    <xf numFmtId="0" fontId="21" fillId="4" borderId="0" xfId="0" applyFont="1" applyFill="1" applyBorder="1" applyAlignment="1" applyProtection="1">
      <alignment horizontal="right"/>
      <protection locked="0"/>
    </xf>
    <xf numFmtId="2" fontId="21" fillId="4" borderId="0" xfId="0" applyNumberFormat="1" applyFont="1" applyFill="1" applyBorder="1" applyAlignment="1" applyProtection="1">
      <alignment horizontal="centerContinuous"/>
      <protection locked="0"/>
    </xf>
    <xf numFmtId="0" fontId="5" fillId="3" borderId="32" xfId="0" applyFont="1" applyFill="1" applyBorder="1" applyAlignment="1" applyProtection="1">
      <alignment horizontal="centerContinuous"/>
      <protection locked="0"/>
    </xf>
    <xf numFmtId="1" fontId="0" fillId="3" borderId="9" xfId="0" applyNumberFormat="1" applyFont="1" applyFill="1" applyBorder="1" applyAlignment="1" applyProtection="1">
      <alignment horizontal="left"/>
      <protection locked="0"/>
    </xf>
    <xf numFmtId="0" fontId="15" fillId="4" borderId="5" xfId="0" applyFont="1" applyFill="1" applyBorder="1" applyAlignment="1" applyProtection="1">
      <alignment horizontal="right" vertical="top"/>
      <protection locked="0"/>
    </xf>
    <xf numFmtId="0" fontId="19" fillId="4" borderId="0" xfId="0" applyFont="1" applyFill="1" applyBorder="1" applyAlignment="1" applyProtection="1">
      <alignment horizontal="left"/>
      <protection locked="0"/>
    </xf>
    <xf numFmtId="0" fontId="5" fillId="3" borderId="9" xfId="0" applyFont="1" applyFill="1" applyBorder="1" applyAlignment="1" applyProtection="1">
      <alignment horizontal="centerContinuous"/>
      <protection locked="0"/>
    </xf>
    <xf numFmtId="0" fontId="0" fillId="4" borderId="0" xfId="0" applyFill="1" applyBorder="1" applyAlignment="1" applyProtection="1">
      <alignment vertical="top"/>
      <protection locked="0"/>
    </xf>
    <xf numFmtId="0" fontId="2" fillId="4" borderId="0" xfId="0" applyFont="1" applyFill="1" applyBorder="1" applyAlignment="1" applyProtection="1">
      <alignment horizontal="left"/>
      <protection locked="0"/>
    </xf>
    <xf numFmtId="2" fontId="21" fillId="4" borderId="0" xfId="0" applyNumberFormat="1" applyFont="1" applyFill="1" applyBorder="1" applyAlignment="1" applyProtection="1">
      <alignment horizontal="centerContinuous" vertical="top"/>
      <protection locked="0"/>
    </xf>
    <xf numFmtId="2" fontId="5" fillId="4" borderId="0" xfId="0" applyNumberFormat="1" applyFont="1" applyFill="1" applyBorder="1" applyAlignment="1" applyProtection="1">
      <alignment horizontal="left"/>
      <protection locked="0"/>
    </xf>
    <xf numFmtId="0" fontId="15" fillId="4" borderId="0" xfId="0" applyFont="1" applyFill="1" applyBorder="1" applyAlignment="1" applyProtection="1">
      <alignment horizontal="right" vertical="center"/>
      <protection locked="0"/>
    </xf>
    <xf numFmtId="2" fontId="14" fillId="4" borderId="0" xfId="0" applyNumberFormat="1" applyFont="1" applyFill="1" applyBorder="1" applyAlignment="1" applyProtection="1">
      <alignment horizontal="left" vertical="center"/>
      <protection locked="0"/>
    </xf>
    <xf numFmtId="2" fontId="14" fillId="4" borderId="0" xfId="0" applyNumberFormat="1" applyFont="1" applyFill="1" applyBorder="1" applyAlignment="1" applyProtection="1">
      <alignment horizontal="right" vertical="center" wrapText="1"/>
      <protection locked="0"/>
    </xf>
    <xf numFmtId="0" fontId="5" fillId="3" borderId="40" xfId="0" applyFont="1" applyFill="1" applyBorder="1" applyAlignment="1" applyProtection="1">
      <alignment horizontal="centerContinuous"/>
      <protection locked="0"/>
    </xf>
    <xf numFmtId="2" fontId="5" fillId="4" borderId="0" xfId="0" applyNumberFormat="1" applyFont="1" applyFill="1" applyBorder="1" applyAlignment="1" applyProtection="1">
      <alignment horizontal="left" vertical="center"/>
      <protection locked="0"/>
    </xf>
    <xf numFmtId="0" fontId="15" fillId="4" borderId="33" xfId="0" applyFont="1" applyFill="1" applyBorder="1" applyAlignment="1" applyProtection="1">
      <alignment horizontal="right" wrapText="1"/>
      <protection locked="0"/>
    </xf>
    <xf numFmtId="0" fontId="20" fillId="4" borderId="33" xfId="0" applyFont="1" applyFill="1" applyBorder="1" applyAlignment="1" applyProtection="1">
      <alignment horizontal="left" vertical="top" wrapText="1"/>
      <protection locked="0"/>
    </xf>
    <xf numFmtId="0" fontId="19" fillId="4" borderId="33" xfId="0" applyFont="1" applyFill="1" applyBorder="1" applyAlignment="1" applyProtection="1">
      <alignment/>
      <protection locked="0"/>
    </xf>
    <xf numFmtId="0" fontId="5" fillId="4" borderId="33" xfId="0" applyFont="1" applyFill="1" applyBorder="1" applyAlignment="1" applyProtection="1">
      <alignment/>
      <protection locked="0"/>
    </xf>
    <xf numFmtId="0" fontId="21" fillId="4" borderId="33" xfId="0" applyFont="1" applyFill="1" applyBorder="1" applyAlignment="1" applyProtection="1">
      <alignment horizontal="right"/>
      <protection locked="0"/>
    </xf>
    <xf numFmtId="2" fontId="21" fillId="4" borderId="33" xfId="0" applyNumberFormat="1" applyFont="1" applyFill="1" applyBorder="1" applyAlignment="1" applyProtection="1">
      <alignment horizontal="centerContinuous"/>
      <protection locked="0"/>
    </xf>
    <xf numFmtId="2" fontId="17" fillId="4" borderId="0" xfId="0" applyNumberFormat="1" applyFont="1" applyFill="1" applyBorder="1" applyAlignment="1" applyProtection="1">
      <alignment horizontal="right"/>
      <protection locked="0"/>
    </xf>
    <xf numFmtId="2" fontId="17" fillId="3" borderId="9" xfId="0" applyNumberFormat="1" applyFont="1" applyFill="1" applyBorder="1" applyAlignment="1" applyProtection="1">
      <alignment horizontal="right"/>
      <protection locked="0"/>
    </xf>
    <xf numFmtId="4" fontId="0" fillId="4" borderId="0" xfId="0" applyNumberFormat="1" applyFill="1" applyBorder="1" applyAlignment="1" applyProtection="1">
      <alignment horizontal="right"/>
      <protection locked="0"/>
    </xf>
    <xf numFmtId="2" fontId="17" fillId="3" borderId="40" xfId="0" applyNumberFormat="1" applyFont="1" applyFill="1" applyBorder="1" applyAlignment="1" applyProtection="1">
      <alignment horizontal="right"/>
      <protection locked="0"/>
    </xf>
    <xf numFmtId="0" fontId="5" fillId="4" borderId="4" xfId="0" applyFont="1" applyFill="1" applyBorder="1" applyAlignment="1" applyProtection="1">
      <alignment/>
      <protection locked="0"/>
    </xf>
    <xf numFmtId="2" fontId="5" fillId="4" borderId="22" xfId="0" applyNumberFormat="1" applyFont="1" applyFill="1" applyBorder="1" applyAlignment="1" applyProtection="1">
      <alignment horizontal="left"/>
      <protection locked="0"/>
    </xf>
    <xf numFmtId="164" fontId="28" fillId="3" borderId="51" xfId="0" applyNumberFormat="1" applyFont="1" applyFill="1" applyBorder="1" applyAlignment="1" applyProtection="1">
      <alignment vertical="center"/>
      <protection locked="0"/>
    </xf>
    <xf numFmtId="0" fontId="0" fillId="4" borderId="5" xfId="0" applyFont="1" applyFill="1" applyBorder="1" applyAlignment="1" applyProtection="1">
      <alignment horizontal="right" wrapText="1"/>
      <protection locked="0"/>
    </xf>
    <xf numFmtId="169" fontId="0" fillId="4" borderId="0" xfId="0" applyNumberFormat="1" applyFill="1" applyBorder="1" applyAlignment="1" applyProtection="1">
      <alignment horizontal="right" vertical="center"/>
      <protection locked="0"/>
    </xf>
    <xf numFmtId="169" fontId="0" fillId="4" borderId="0" xfId="0" applyNumberFormat="1" applyFill="1" applyBorder="1" applyAlignment="1" applyProtection="1">
      <alignment horizontal="center" vertical="center"/>
      <protection locked="0"/>
    </xf>
    <xf numFmtId="4" fontId="0" fillId="4" borderId="0" xfId="0" applyNumberFormat="1" applyFill="1" applyBorder="1" applyAlignment="1" applyProtection="1">
      <alignment horizontal="center"/>
      <protection locked="0"/>
    </xf>
    <xf numFmtId="0" fontId="14" fillId="4" borderId="6" xfId="0" applyFont="1" applyFill="1" applyBorder="1" applyAlignment="1" applyProtection="1">
      <alignment vertical="center"/>
      <protection locked="0"/>
    </xf>
    <xf numFmtId="0" fontId="0" fillId="4" borderId="4" xfId="0" applyFill="1" applyBorder="1" applyAlignment="1" applyProtection="1">
      <alignment horizontal="right"/>
      <protection locked="0"/>
    </xf>
    <xf numFmtId="0" fontId="17" fillId="4" borderId="4" xfId="0" applyFont="1" applyFill="1" applyBorder="1" applyAlignment="1" applyProtection="1">
      <alignment horizontal="right" vertical="center"/>
      <protection locked="0"/>
    </xf>
    <xf numFmtId="0" fontId="5" fillId="4" borderId="81" xfId="0" applyFont="1" applyFill="1" applyBorder="1" applyAlignment="1" applyProtection="1">
      <alignment/>
      <protection locked="0"/>
    </xf>
    <xf numFmtId="165" fontId="0" fillId="4" borderId="0" xfId="0" applyNumberFormat="1" applyFill="1" applyBorder="1" applyAlignment="1" applyProtection="1">
      <alignment horizontal="right"/>
      <protection locked="0"/>
    </xf>
    <xf numFmtId="0" fontId="0" fillId="3" borderId="51" xfId="0" applyFill="1" applyBorder="1" applyAlignment="1" applyProtection="1">
      <alignment/>
      <protection locked="0"/>
    </xf>
    <xf numFmtId="0" fontId="0" fillId="4" borderId="5" xfId="0" applyFill="1" applyBorder="1" applyAlignment="1" applyProtection="1">
      <alignment horizontal="left" vertical="top" wrapText="1"/>
      <protection locked="0"/>
    </xf>
    <xf numFmtId="0" fontId="5" fillId="5" borderId="5" xfId="0" applyFont="1" applyFill="1" applyBorder="1" applyAlignment="1" applyProtection="1">
      <alignment/>
      <protection locked="0"/>
    </xf>
    <xf numFmtId="0" fontId="5" fillId="5" borderId="0" xfId="0" applyFont="1" applyFill="1" applyBorder="1" applyAlignment="1" applyProtection="1">
      <alignment/>
      <protection locked="0"/>
    </xf>
    <xf numFmtId="0" fontId="0" fillId="5" borderId="0" xfId="0" applyFill="1" applyBorder="1" applyAlignment="1" applyProtection="1">
      <alignment/>
      <protection locked="0"/>
    </xf>
    <xf numFmtId="0" fontId="0" fillId="5" borderId="22" xfId="0" applyFill="1" applyBorder="1" applyAlignment="1" applyProtection="1">
      <alignment/>
      <protection locked="0"/>
    </xf>
    <xf numFmtId="0" fontId="0" fillId="4" borderId="12" xfId="0" applyFill="1" applyBorder="1" applyAlignment="1" applyProtection="1">
      <alignment horizontal="center"/>
      <protection locked="0"/>
    </xf>
    <xf numFmtId="0" fontId="0" fillId="3" borderId="16" xfId="0" applyFill="1" applyBorder="1" applyAlignment="1" applyProtection="1">
      <alignment/>
      <protection locked="0"/>
    </xf>
    <xf numFmtId="165" fontId="0" fillId="4" borderId="0" xfId="0" applyNumberFormat="1" applyFill="1" applyBorder="1" applyAlignment="1" applyProtection="1">
      <alignment/>
      <protection locked="0"/>
    </xf>
    <xf numFmtId="0" fontId="5" fillId="4" borderId="0" xfId="0" applyFont="1" applyFill="1" applyBorder="1" applyAlignment="1" applyProtection="1">
      <alignment horizontal="left"/>
      <protection locked="0"/>
    </xf>
    <xf numFmtId="0" fontId="5" fillId="3" borderId="32" xfId="0" applyFont="1" applyFill="1" applyBorder="1" applyAlignment="1" applyProtection="1">
      <alignment horizontal="left"/>
      <protection locked="0"/>
    </xf>
    <xf numFmtId="0" fontId="0" fillId="4" borderId="5" xfId="0" applyFont="1" applyFill="1" applyBorder="1" applyAlignment="1" applyProtection="1">
      <alignment horizontal="right" vertical="center" wrapText="1"/>
      <protection locked="0"/>
    </xf>
    <xf numFmtId="0" fontId="0" fillId="4" borderId="0" xfId="0" applyFont="1" applyFill="1" applyBorder="1" applyAlignment="1" applyProtection="1">
      <alignment horizontal="right" vertical="center" wrapText="1"/>
      <protection locked="0"/>
    </xf>
    <xf numFmtId="0" fontId="2" fillId="4" borderId="4" xfId="0" applyFont="1" applyFill="1" applyBorder="1" applyAlignment="1" applyProtection="1">
      <alignment horizontal="right" vertical="center"/>
      <protection locked="0"/>
    </xf>
    <xf numFmtId="0" fontId="0" fillId="4" borderId="82" xfId="0" applyFill="1" applyBorder="1" applyAlignment="1" applyProtection="1">
      <alignment/>
      <protection locked="0"/>
    </xf>
    <xf numFmtId="0" fontId="0" fillId="4" borderId="12" xfId="0" applyFill="1" applyBorder="1" applyAlignment="1" applyProtection="1">
      <alignment horizontal="left"/>
      <protection locked="0"/>
    </xf>
    <xf numFmtId="0" fontId="0" fillId="3" borderId="0" xfId="0" applyFill="1" applyAlignment="1" applyProtection="1">
      <alignment/>
      <protection locked="0"/>
    </xf>
    <xf numFmtId="0" fontId="2" fillId="4" borderId="22" xfId="0" applyFont="1" applyFill="1" applyBorder="1" applyAlignment="1" applyProtection="1">
      <alignment horizontal="left"/>
      <protection locked="0"/>
    </xf>
    <xf numFmtId="1" fontId="0" fillId="3" borderId="22" xfId="0" applyNumberFormat="1" applyFill="1" applyBorder="1" applyAlignment="1" applyProtection="1">
      <alignment horizontal="left"/>
      <protection locked="0"/>
    </xf>
    <xf numFmtId="0" fontId="12" fillId="4" borderId="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0" fontId="5" fillId="4" borderId="43" xfId="0" applyFont="1" applyFill="1" applyBorder="1" applyAlignment="1" applyProtection="1">
      <alignment horizontal="left" vertical="top" wrapText="1"/>
      <protection locked="0"/>
    </xf>
    <xf numFmtId="0" fontId="5" fillId="4" borderId="33"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3" borderId="43" xfId="0" applyFont="1" applyFill="1" applyBorder="1" applyAlignment="1" applyProtection="1">
      <alignment horizontal="left" vertical="top" wrapText="1"/>
      <protection locked="0"/>
    </xf>
    <xf numFmtId="0" fontId="5" fillId="3" borderId="82"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center"/>
      <protection locked="0"/>
    </xf>
    <xf numFmtId="0" fontId="0" fillId="3" borderId="5" xfId="0" applyFill="1" applyBorder="1" applyAlignment="1" applyProtection="1">
      <alignment/>
      <protection locked="0"/>
    </xf>
    <xf numFmtId="0" fontId="0" fillId="4" borderId="0" xfId="0" applyFont="1" applyFill="1" applyBorder="1" applyAlignment="1" applyProtection="1">
      <alignment horizontal="center" vertical="center" wrapText="1"/>
      <protection locked="0"/>
    </xf>
    <xf numFmtId="164" fontId="0" fillId="3" borderId="22" xfId="0" applyNumberFormat="1" applyFill="1" applyBorder="1" applyAlignment="1" applyProtection="1">
      <alignment/>
      <protection locked="0"/>
    </xf>
    <xf numFmtId="1" fontId="14" fillId="4" borderId="0"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right" vertical="center" wrapText="1"/>
      <protection locked="0"/>
    </xf>
    <xf numFmtId="0" fontId="0" fillId="4" borderId="5" xfId="0" applyFont="1" applyFill="1" applyBorder="1" applyAlignment="1" applyProtection="1">
      <alignment horizontal="left"/>
      <protection locked="0"/>
    </xf>
    <xf numFmtId="2" fontId="3" fillId="4" borderId="0" xfId="0" applyNumberFormat="1" applyFont="1" applyFill="1" applyBorder="1" applyAlignment="1" applyProtection="1">
      <alignment horizontal="left" wrapText="1"/>
      <protection locked="0"/>
    </xf>
    <xf numFmtId="0" fontId="12" fillId="3" borderId="5" xfId="0" applyFont="1" applyFill="1" applyBorder="1" applyAlignment="1" applyProtection="1">
      <alignment horizontal="left" vertical="top" wrapText="1"/>
      <protection locked="0"/>
    </xf>
    <xf numFmtId="0" fontId="12" fillId="3" borderId="43" xfId="0" applyFont="1" applyFill="1" applyBorder="1" applyAlignment="1" applyProtection="1">
      <alignment/>
      <protection locked="0"/>
    </xf>
    <xf numFmtId="0" fontId="12" fillId="3" borderId="5" xfId="0" applyFont="1" applyFill="1" applyBorder="1" applyAlignment="1" applyProtection="1">
      <alignment/>
      <protection locked="0"/>
    </xf>
    <xf numFmtId="0" fontId="25" fillId="4" borderId="5" xfId="0" applyFont="1" applyFill="1" applyBorder="1" applyAlignment="1" applyProtection="1">
      <alignment horizontal="right"/>
      <protection locked="0"/>
    </xf>
    <xf numFmtId="0" fontId="27" fillId="4" borderId="22" xfId="0" applyFont="1" applyFill="1" applyBorder="1" applyAlignment="1" applyProtection="1">
      <alignment/>
      <protection locked="0"/>
    </xf>
    <xf numFmtId="2" fontId="25" fillId="4" borderId="0" xfId="0" applyNumberFormat="1" applyFont="1" applyFill="1" applyBorder="1" applyAlignment="1" applyProtection="1">
      <alignment horizontal="right" vertical="center"/>
      <protection locked="0"/>
    </xf>
    <xf numFmtId="0" fontId="29" fillId="4" borderId="23" xfId="0" applyFont="1" applyFill="1" applyBorder="1" applyAlignment="1" applyProtection="1">
      <alignment horizontal="left" vertical="center"/>
      <protection locked="0"/>
    </xf>
    <xf numFmtId="0" fontId="0" fillId="4" borderId="23" xfId="0" applyFill="1" applyBorder="1" applyAlignment="1" applyProtection="1">
      <alignment horizontal="center"/>
      <protection locked="0"/>
    </xf>
    <xf numFmtId="167" fontId="0" fillId="0" borderId="83" xfId="0" applyNumberFormat="1" applyFill="1" applyBorder="1" applyAlignment="1" applyProtection="1">
      <alignment horizontal="center" vertical="center"/>
      <protection/>
    </xf>
    <xf numFmtId="0" fontId="0" fillId="3" borderId="84" xfId="0" applyFill="1" applyBorder="1" applyAlignment="1" applyProtection="1">
      <alignment/>
      <protection/>
    </xf>
    <xf numFmtId="0" fontId="2" fillId="3" borderId="85" xfId="0" applyFont="1" applyFill="1" applyBorder="1" applyAlignment="1" applyProtection="1">
      <alignment horizontal="right" vertical="center"/>
      <protection/>
    </xf>
    <xf numFmtId="4" fontId="2" fillId="4" borderId="12" xfId="0" applyNumberFormat="1" applyFont="1" applyFill="1" applyBorder="1" applyAlignment="1" applyProtection="1">
      <alignment horizontal="center" vertical="center"/>
      <protection/>
    </xf>
    <xf numFmtId="10" fontId="0" fillId="0" borderId="2" xfId="0" applyNumberFormat="1" applyBorder="1" applyAlignment="1" applyProtection="1">
      <alignment horizontal="right"/>
      <protection/>
    </xf>
    <xf numFmtId="0" fontId="0" fillId="6" borderId="34" xfId="0" applyFill="1" applyBorder="1" applyAlignment="1" applyProtection="1">
      <alignment/>
      <protection/>
    </xf>
    <xf numFmtId="0" fontId="0" fillId="6" borderId="18" xfId="0" applyFill="1" applyBorder="1" applyAlignment="1" applyProtection="1">
      <alignment horizontal="left" vertical="center"/>
      <protection/>
    </xf>
    <xf numFmtId="0" fontId="0" fillId="6" borderId="35" xfId="0" applyFill="1" applyBorder="1" applyAlignment="1" applyProtection="1">
      <alignment/>
      <protection/>
    </xf>
    <xf numFmtId="1" fontId="0" fillId="0" borderId="12" xfId="0" applyNumberFormat="1" applyFill="1" applyBorder="1" applyAlignment="1" applyProtection="1">
      <alignment horizontal="center"/>
      <protection/>
    </xf>
    <xf numFmtId="165" fontId="0" fillId="4" borderId="0" xfId="0" applyNumberFormat="1" applyFill="1" applyBorder="1" applyAlignment="1" applyProtection="1">
      <alignment/>
      <protection/>
    </xf>
    <xf numFmtId="2" fontId="0" fillId="0" borderId="12" xfId="0" applyNumberFormat="1" applyFill="1" applyBorder="1" applyAlignment="1" applyProtection="1">
      <alignment vertical="center"/>
      <protection/>
    </xf>
    <xf numFmtId="0" fontId="0" fillId="6" borderId="34" xfId="0" applyFill="1" applyBorder="1" applyAlignment="1" applyProtection="1">
      <alignment vertical="center"/>
      <protection/>
    </xf>
    <xf numFmtId="2" fontId="0" fillId="0" borderId="12" xfId="0" applyNumberFormat="1" applyFont="1" applyFill="1" applyBorder="1" applyAlignment="1" applyProtection="1">
      <alignment horizontal="center" vertical="center"/>
      <protection/>
    </xf>
    <xf numFmtId="0" fontId="0" fillId="2" borderId="26" xfId="0" applyFont="1" applyFill="1" applyBorder="1" applyAlignment="1" applyProtection="1">
      <alignment/>
      <protection locked="0"/>
    </xf>
    <xf numFmtId="0" fontId="0" fillId="3" borderId="15" xfId="0" applyFill="1" applyBorder="1" applyAlignment="1" applyProtection="1">
      <alignment/>
      <protection locked="0"/>
    </xf>
    <xf numFmtId="0" fontId="0" fillId="2" borderId="29" xfId="0" applyFont="1" applyFill="1" applyBorder="1" applyAlignment="1" applyProtection="1">
      <alignment/>
      <protection locked="0"/>
    </xf>
    <xf numFmtId="0" fontId="12" fillId="3" borderId="48" xfId="0" applyFont="1" applyFill="1" applyBorder="1" applyAlignment="1" applyProtection="1">
      <alignment/>
      <protection locked="0"/>
    </xf>
    <xf numFmtId="1" fontId="0" fillId="2" borderId="3" xfId="0" applyNumberFormat="1" applyFill="1" applyBorder="1" applyAlignment="1" applyProtection="1">
      <alignment horizontal="center" vertical="center"/>
      <protection locked="0"/>
    </xf>
    <xf numFmtId="0" fontId="31" fillId="4" borderId="39" xfId="0" applyFont="1" applyFill="1" applyBorder="1" applyAlignment="1" applyProtection="1">
      <alignment horizontal="right" vertical="center"/>
      <protection locked="0"/>
    </xf>
    <xf numFmtId="0" fontId="0" fillId="4" borderId="39" xfId="0" applyFill="1" applyBorder="1" applyAlignment="1" applyProtection="1">
      <alignment/>
      <protection locked="0"/>
    </xf>
    <xf numFmtId="0" fontId="2" fillId="3" borderId="6" xfId="0" applyFont="1" applyFill="1" applyBorder="1" applyAlignment="1" applyProtection="1">
      <alignment horizontal="right" vertical="center" wrapText="1"/>
      <protection locked="0"/>
    </xf>
    <xf numFmtId="0" fontId="2" fillId="3" borderId="4" xfId="0" applyFont="1" applyFill="1" applyBorder="1" applyAlignment="1" applyProtection="1">
      <alignment horizontal="right" vertical="center" wrapText="1"/>
      <protection locked="0"/>
    </xf>
    <xf numFmtId="165" fontId="2" fillId="3" borderId="4" xfId="0" applyNumberFormat="1" applyFont="1" applyFill="1" applyBorder="1" applyAlignment="1" applyProtection="1">
      <alignment horizontal="right" vertical="center" wrapText="1"/>
      <protection locked="0"/>
    </xf>
    <xf numFmtId="2" fontId="14" fillId="3" borderId="4" xfId="0" applyNumberFormat="1" applyFont="1" applyFill="1" applyBorder="1" applyAlignment="1" applyProtection="1">
      <alignment horizontal="center" vertical="center"/>
      <protection locked="0"/>
    </xf>
    <xf numFmtId="2" fontId="14" fillId="3" borderId="16" xfId="0" applyNumberFormat="1" applyFont="1" applyFill="1" applyBorder="1" applyAlignment="1" applyProtection="1">
      <alignment horizontal="center" vertical="center"/>
      <protection locked="0"/>
    </xf>
    <xf numFmtId="49" fontId="4" fillId="4" borderId="56" xfId="0" applyNumberFormat="1" applyFont="1" applyFill="1" applyBorder="1" applyAlignment="1" applyProtection="1">
      <alignment horizontal="left" vertical="center"/>
      <protection locked="0"/>
    </xf>
    <xf numFmtId="0" fontId="17" fillId="2" borderId="86" xfId="0" applyFont="1" applyFill="1" applyBorder="1" applyAlignment="1" applyProtection="1">
      <alignment horizontal="center" vertical="center"/>
      <protection locked="0"/>
    </xf>
    <xf numFmtId="0" fontId="1" fillId="3" borderId="70" xfId="0" applyFont="1" applyFill="1" applyBorder="1" applyAlignment="1" applyProtection="1">
      <alignment horizontal="left" vertical="center"/>
      <protection locked="0"/>
    </xf>
    <xf numFmtId="49" fontId="4" fillId="4" borderId="57" xfId="0" applyNumberFormat="1" applyFont="1" applyFill="1" applyBorder="1" applyAlignment="1" applyProtection="1">
      <alignment horizontal="left" vertical="center"/>
      <protection locked="0"/>
    </xf>
    <xf numFmtId="0" fontId="17" fillId="2" borderId="87" xfId="0" applyFont="1" applyFill="1" applyBorder="1" applyAlignment="1" applyProtection="1">
      <alignment horizontal="center" vertical="center"/>
      <protection locked="0"/>
    </xf>
    <xf numFmtId="0" fontId="14" fillId="3" borderId="9" xfId="0" applyFont="1" applyFill="1" applyBorder="1" applyAlignment="1" applyProtection="1">
      <alignment horizontal="left" vertical="center"/>
      <protection locked="0"/>
    </xf>
    <xf numFmtId="0" fontId="17" fillId="2" borderId="88" xfId="0" applyFont="1" applyFill="1" applyBorder="1" applyAlignment="1" applyProtection="1">
      <alignment horizontal="center" vertical="center"/>
      <protection locked="0"/>
    </xf>
    <xf numFmtId="0" fontId="18" fillId="3" borderId="89" xfId="0" applyFont="1" applyFill="1" applyBorder="1" applyAlignment="1" applyProtection="1">
      <alignment horizontal="left"/>
      <protection locked="0"/>
    </xf>
    <xf numFmtId="0" fontId="17" fillId="2" borderId="1" xfId="0" applyFont="1" applyFill="1" applyBorder="1" applyAlignment="1" applyProtection="1">
      <alignment horizontal="center" vertical="center"/>
      <protection locked="0"/>
    </xf>
    <xf numFmtId="0" fontId="18" fillId="3" borderId="90" xfId="0" applyFont="1" applyFill="1" applyBorder="1" applyAlignment="1" applyProtection="1">
      <alignment horizontal="left"/>
      <protection locked="0"/>
    </xf>
    <xf numFmtId="0" fontId="5" fillId="4" borderId="43" xfId="0" applyFont="1" applyFill="1" applyBorder="1" applyAlignment="1" applyProtection="1">
      <alignment/>
      <protection locked="0"/>
    </xf>
    <xf numFmtId="0" fontId="5" fillId="4" borderId="24" xfId="0" applyFont="1" applyFill="1" applyBorder="1" applyAlignment="1" applyProtection="1">
      <alignment/>
      <protection locked="0"/>
    </xf>
    <xf numFmtId="0" fontId="19" fillId="4" borderId="0" xfId="0" applyFont="1" applyFill="1" applyBorder="1" applyAlignment="1" applyProtection="1">
      <alignment/>
      <protection locked="0"/>
    </xf>
    <xf numFmtId="0" fontId="5" fillId="4" borderId="2" xfId="0" applyFont="1" applyFill="1" applyBorder="1" applyAlignment="1" applyProtection="1">
      <alignment/>
      <protection locked="0"/>
    </xf>
    <xf numFmtId="0" fontId="30" fillId="4" borderId="0" xfId="0" applyFont="1" applyFill="1" applyBorder="1" applyAlignment="1" applyProtection="1">
      <alignment horizontal="right"/>
      <protection locked="0"/>
    </xf>
    <xf numFmtId="0" fontId="5" fillId="4" borderId="43" xfId="0" applyFont="1" applyFill="1" applyBorder="1" applyAlignment="1" applyProtection="1">
      <alignment horizontal="left"/>
      <protection locked="0"/>
    </xf>
    <xf numFmtId="0" fontId="5" fillId="4" borderId="33" xfId="0" applyFont="1" applyFill="1" applyBorder="1" applyAlignment="1" applyProtection="1">
      <alignment horizontal="left"/>
      <protection locked="0"/>
    </xf>
    <xf numFmtId="0" fontId="5" fillId="3" borderId="43" xfId="0" applyFont="1" applyFill="1" applyBorder="1" applyAlignment="1" applyProtection="1">
      <alignment horizontal="left"/>
      <protection locked="0"/>
    </xf>
    <xf numFmtId="0" fontId="5" fillId="3" borderId="82" xfId="0" applyFont="1" applyFill="1" applyBorder="1" applyAlignment="1" applyProtection="1">
      <alignment horizontal="left"/>
      <protection locked="0"/>
    </xf>
    <xf numFmtId="0" fontId="17" fillId="4" borderId="0" xfId="0" applyFont="1" applyFill="1" applyBorder="1" applyAlignment="1" applyProtection="1">
      <alignment horizontal="left" wrapText="1"/>
      <protection locked="0"/>
    </xf>
    <xf numFmtId="0" fontId="5" fillId="3" borderId="5" xfId="0" applyFont="1" applyFill="1" applyBorder="1" applyAlignment="1" applyProtection="1">
      <alignment horizontal="left"/>
      <protection locked="0"/>
    </xf>
    <xf numFmtId="0" fontId="5" fillId="3" borderId="22" xfId="0" applyFont="1" applyFill="1" applyBorder="1" applyAlignment="1" applyProtection="1">
      <alignment horizontal="left"/>
      <protection locked="0"/>
    </xf>
    <xf numFmtId="0" fontId="2" fillId="4" borderId="5" xfId="0" applyFont="1" applyFill="1" applyBorder="1" applyAlignment="1" applyProtection="1">
      <alignment horizontal="right" wrapText="1"/>
      <protection locked="0"/>
    </xf>
    <xf numFmtId="0" fontId="0" fillId="4" borderId="0" xfId="0" applyFill="1" applyBorder="1" applyAlignment="1" applyProtection="1">
      <alignment horizontal="center" vertical="center" textRotation="90"/>
      <protection locked="0"/>
    </xf>
    <xf numFmtId="164" fontId="0" fillId="2" borderId="12" xfId="0" applyNumberFormat="1" applyFill="1" applyBorder="1" applyAlignment="1" applyProtection="1">
      <alignment/>
      <protection locked="0"/>
    </xf>
    <xf numFmtId="0" fontId="7" fillId="4" borderId="0"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169" fontId="5" fillId="4" borderId="23" xfId="0" applyNumberFormat="1" applyFont="1" applyFill="1" applyBorder="1" applyAlignment="1" applyProtection="1">
      <alignment horizontal="left" vertical="center"/>
      <protection locked="0"/>
    </xf>
    <xf numFmtId="2" fontId="7" fillId="4" borderId="0" xfId="0" applyNumberFormat="1" applyFont="1" applyFill="1" applyBorder="1" applyAlignment="1" applyProtection="1">
      <alignment horizontal="center"/>
      <protection locked="0"/>
    </xf>
    <xf numFmtId="2" fontId="7" fillId="3" borderId="5" xfId="0" applyNumberFormat="1" applyFont="1" applyFill="1" applyBorder="1" applyAlignment="1" applyProtection="1">
      <alignment horizontal="center"/>
      <protection locked="0"/>
    </xf>
    <xf numFmtId="164" fontId="0" fillId="4" borderId="23" xfId="0" applyNumberFormat="1" applyFill="1" applyBorder="1" applyAlignment="1" applyProtection="1">
      <alignment/>
      <protection locked="0"/>
    </xf>
    <xf numFmtId="1" fontId="7" fillId="3" borderId="5" xfId="0" applyNumberFormat="1" applyFont="1" applyFill="1" applyBorder="1" applyAlignment="1" applyProtection="1">
      <alignment horizontal="center"/>
      <protection locked="0"/>
    </xf>
    <xf numFmtId="0" fontId="3" fillId="4" borderId="23" xfId="0" applyFont="1" applyFill="1" applyBorder="1" applyAlignment="1" applyProtection="1">
      <alignment horizontal="right" vertical="center"/>
      <protection locked="0"/>
    </xf>
    <xf numFmtId="0" fontId="2" fillId="4" borderId="0" xfId="0" applyFont="1" applyFill="1" applyBorder="1" applyAlignment="1" applyProtection="1">
      <alignment horizontal="right"/>
      <protection locked="0"/>
    </xf>
    <xf numFmtId="0" fontId="3" fillId="4" borderId="0" xfId="0" applyFont="1" applyFill="1" applyBorder="1" applyAlignment="1" applyProtection="1">
      <alignment horizontal="right" vertical="center"/>
      <protection locked="0"/>
    </xf>
    <xf numFmtId="0" fontId="0" fillId="4" borderId="5" xfId="0" applyFill="1" applyBorder="1" applyAlignment="1" applyProtection="1">
      <alignment horizontal="right" vertical="center"/>
      <protection locked="0"/>
    </xf>
    <xf numFmtId="0" fontId="0" fillId="4" borderId="0" xfId="0" applyFill="1" applyBorder="1" applyAlignment="1" applyProtection="1">
      <alignment horizontal="right" vertical="center" textRotation="90" wrapText="1"/>
      <protection locked="0"/>
    </xf>
    <xf numFmtId="164" fontId="0" fillId="4" borderId="36" xfId="0" applyNumberFormat="1" applyFill="1" applyBorder="1" applyAlignment="1" applyProtection="1">
      <alignment/>
      <protection locked="0"/>
    </xf>
    <xf numFmtId="164" fontId="0" fillId="4" borderId="0" xfId="0" applyNumberFormat="1" applyFill="1" applyBorder="1" applyAlignment="1" applyProtection="1">
      <alignment/>
      <protection locked="0"/>
    </xf>
    <xf numFmtId="0" fontId="3" fillId="4" borderId="0" xfId="0" applyFont="1" applyFill="1" applyBorder="1" applyAlignment="1" applyProtection="1">
      <alignment/>
      <protection locked="0"/>
    </xf>
    <xf numFmtId="0" fontId="0" fillId="4" borderId="91" xfId="0" applyFill="1" applyBorder="1" applyAlignment="1" applyProtection="1">
      <alignment horizontal="right" vertical="center"/>
      <protection locked="0"/>
    </xf>
    <xf numFmtId="0" fontId="0" fillId="4" borderId="61" xfId="0" applyFill="1" applyBorder="1" applyAlignment="1" applyProtection="1">
      <alignment horizontal="right" vertical="center"/>
      <protection locked="0"/>
    </xf>
    <xf numFmtId="0" fontId="0" fillId="4" borderId="61" xfId="0" applyFont="1" applyFill="1" applyBorder="1" applyAlignment="1" applyProtection="1">
      <alignment horizontal="right" wrapText="1"/>
      <protection locked="0"/>
    </xf>
    <xf numFmtId="164" fontId="0" fillId="4" borderId="61" xfId="0" applyNumberFormat="1" applyFill="1" applyBorder="1" applyAlignment="1" applyProtection="1">
      <alignment horizontal="right"/>
      <protection locked="0"/>
    </xf>
    <xf numFmtId="0" fontId="0" fillId="4" borderId="61" xfId="0" applyFill="1" applyBorder="1" applyAlignment="1" applyProtection="1">
      <alignment/>
      <protection locked="0"/>
    </xf>
    <xf numFmtId="0" fontId="3" fillId="4" borderId="61" xfId="0" applyFont="1" applyFill="1" applyBorder="1" applyAlignment="1" applyProtection="1">
      <alignment/>
      <protection locked="0"/>
    </xf>
    <xf numFmtId="2" fontId="7" fillId="4" borderId="92" xfId="0" applyNumberFormat="1" applyFont="1" applyFill="1" applyBorder="1" applyAlignment="1" applyProtection="1">
      <alignment horizontal="center"/>
      <protection locked="0"/>
    </xf>
    <xf numFmtId="164" fontId="14" fillId="4" borderId="0" xfId="0" applyNumberFormat="1" applyFont="1" applyFill="1" applyBorder="1" applyAlignment="1" applyProtection="1">
      <alignment horizontal="right"/>
      <protection locked="0"/>
    </xf>
    <xf numFmtId="164" fontId="0" fillId="2" borderId="12" xfId="0" applyNumberFormat="1" applyFill="1" applyBorder="1" applyAlignment="1" applyProtection="1">
      <alignment/>
      <protection locked="0"/>
    </xf>
    <xf numFmtId="164" fontId="7" fillId="3" borderId="43" xfId="0" applyNumberFormat="1" applyFont="1" applyFill="1" applyBorder="1" applyAlignment="1" applyProtection="1">
      <alignment horizontal="right" vertical="center"/>
      <protection locked="0"/>
    </xf>
    <xf numFmtId="164" fontId="7" fillId="3" borderId="82" xfId="0" applyNumberFormat="1" applyFont="1" applyFill="1" applyBorder="1" applyAlignment="1" applyProtection="1">
      <alignment horizontal="right" vertical="center"/>
      <protection locked="0"/>
    </xf>
    <xf numFmtId="164" fontId="7" fillId="3" borderId="5" xfId="0" applyNumberFormat="1" applyFont="1" applyFill="1" applyBorder="1" applyAlignment="1" applyProtection="1">
      <alignment horizontal="right" vertical="center"/>
      <protection locked="0"/>
    </xf>
    <xf numFmtId="164" fontId="7" fillId="3" borderId="22" xfId="0" applyNumberFormat="1" applyFont="1" applyFill="1" applyBorder="1" applyAlignment="1" applyProtection="1">
      <alignment horizontal="right" vertical="center"/>
      <protection locked="0"/>
    </xf>
    <xf numFmtId="0" fontId="5" fillId="4" borderId="0" xfId="0" applyFont="1" applyFill="1" applyAlignment="1" applyProtection="1">
      <alignment horizontal="left"/>
      <protection locked="0"/>
    </xf>
    <xf numFmtId="0" fontId="0" fillId="4" borderId="0" xfId="0" applyFill="1" applyBorder="1" applyAlignment="1" applyProtection="1">
      <alignment horizontal="center" vertical="center" textRotation="90" wrapText="1"/>
      <protection locked="0"/>
    </xf>
    <xf numFmtId="0" fontId="0" fillId="4" borderId="36" xfId="0" applyFill="1" applyBorder="1" applyAlignment="1" applyProtection="1">
      <alignment/>
      <protection locked="0"/>
    </xf>
    <xf numFmtId="0" fontId="7" fillId="4" borderId="0" xfId="0" applyFont="1" applyFill="1" applyBorder="1" applyAlignment="1" applyProtection="1">
      <alignment horizontal="right"/>
      <protection locked="0"/>
    </xf>
    <xf numFmtId="164" fontId="7" fillId="3" borderId="6" xfId="0" applyNumberFormat="1" applyFont="1" applyFill="1" applyBorder="1" applyAlignment="1" applyProtection="1">
      <alignment horizontal="right" vertical="center"/>
      <protection locked="0"/>
    </xf>
    <xf numFmtId="164" fontId="7" fillId="3" borderId="16" xfId="0" applyNumberFormat="1" applyFont="1" applyFill="1" applyBorder="1" applyAlignment="1" applyProtection="1">
      <alignment horizontal="right" vertical="center"/>
      <protection locked="0"/>
    </xf>
    <xf numFmtId="0" fontId="32" fillId="4" borderId="4" xfId="0" applyFont="1" applyFill="1" applyBorder="1" applyAlignment="1" applyProtection="1">
      <alignment horizontal="left" vertical="center"/>
      <protection locked="0"/>
    </xf>
    <xf numFmtId="0" fontId="3" fillId="4" borderId="4" xfId="0" applyFont="1" applyFill="1" applyBorder="1" applyAlignment="1" applyProtection="1">
      <alignment/>
      <protection locked="0"/>
    </xf>
    <xf numFmtId="0" fontId="0" fillId="4" borderId="4" xfId="0" applyFill="1" applyBorder="1" applyAlignment="1" applyProtection="1">
      <alignment horizontal="left" wrapText="1"/>
      <protection locked="0"/>
    </xf>
    <xf numFmtId="1" fontId="14" fillId="0" borderId="12" xfId="0" applyNumberFormat="1" applyFont="1" applyFill="1" applyBorder="1" applyAlignment="1" applyProtection="1">
      <alignment horizontal="center" vertical="center"/>
      <protection/>
    </xf>
    <xf numFmtId="0" fontId="16" fillId="4" borderId="0" xfId="0" applyFont="1" applyFill="1" applyBorder="1" applyAlignment="1" applyProtection="1">
      <alignment horizontal="right"/>
      <protection/>
    </xf>
    <xf numFmtId="0" fontId="12" fillId="4" borderId="0" xfId="0" applyFont="1" applyFill="1" applyBorder="1" applyAlignment="1" applyProtection="1">
      <alignment/>
      <protection/>
    </xf>
    <xf numFmtId="0" fontId="14" fillId="4" borderId="93" xfId="0" applyFont="1" applyFill="1" applyBorder="1" applyAlignment="1" applyProtection="1">
      <alignment horizontal="right" vertical="center"/>
      <protection/>
    </xf>
    <xf numFmtId="0" fontId="0" fillId="6" borderId="34" xfId="0" applyFill="1" applyBorder="1" applyAlignment="1" applyProtection="1">
      <alignment horizontal="left" vertical="top"/>
      <protection/>
    </xf>
    <xf numFmtId="0" fontId="0" fillId="6" borderId="35" xfId="0" applyFill="1" applyBorder="1" applyAlignment="1" applyProtection="1">
      <alignment horizontal="left" vertical="top"/>
      <protection/>
    </xf>
    <xf numFmtId="0" fontId="0" fillId="4" borderId="94" xfId="0" applyFill="1" applyBorder="1" applyAlignment="1" applyProtection="1">
      <alignment/>
      <protection locked="0"/>
    </xf>
    <xf numFmtId="0" fontId="0" fillId="4" borderId="47" xfId="0" applyFill="1" applyBorder="1" applyAlignment="1" applyProtection="1">
      <alignment/>
      <protection locked="0"/>
    </xf>
    <xf numFmtId="0" fontId="2" fillId="4" borderId="47" xfId="0" applyFont="1" applyFill="1" applyBorder="1" applyAlignment="1" applyProtection="1">
      <alignment horizontal="right"/>
      <protection locked="0"/>
    </xf>
    <xf numFmtId="0" fontId="0" fillId="4" borderId="6" xfId="0" applyFill="1" applyBorder="1" applyAlignment="1" applyProtection="1">
      <alignment/>
      <protection locked="0"/>
    </xf>
    <xf numFmtId="0" fontId="2" fillId="4" borderId="95" xfId="0" applyFont="1" applyFill="1" applyBorder="1" applyAlignment="1" applyProtection="1">
      <alignment horizontal="right"/>
      <protection locked="0"/>
    </xf>
    <xf numFmtId="165" fontId="3" fillId="3" borderId="3" xfId="0" applyNumberFormat="1" applyFont="1" applyFill="1" applyBorder="1" applyAlignment="1" applyProtection="1">
      <alignment/>
      <protection locked="0"/>
    </xf>
    <xf numFmtId="0" fontId="0" fillId="3" borderId="47" xfId="0" applyFill="1" applyBorder="1" applyAlignment="1" applyProtection="1">
      <alignment/>
      <protection locked="0"/>
    </xf>
    <xf numFmtId="0" fontId="0" fillId="3" borderId="14" xfId="0" applyFill="1" applyBorder="1" applyAlignment="1" applyProtection="1">
      <alignment/>
      <protection locked="0"/>
    </xf>
    <xf numFmtId="0" fontId="4" fillId="3" borderId="4" xfId="0" applyFont="1" applyFill="1" applyBorder="1" applyAlignment="1" applyProtection="1">
      <alignment horizontal="right" vertical="center" wrapText="1"/>
      <protection locked="0"/>
    </xf>
    <xf numFmtId="0" fontId="2" fillId="3" borderId="4" xfId="0" applyFont="1" applyFill="1" applyBorder="1" applyAlignment="1" applyProtection="1">
      <alignment horizontal="right" wrapText="1"/>
      <protection locked="0"/>
    </xf>
    <xf numFmtId="0" fontId="0" fillId="3" borderId="4" xfId="0" applyFill="1" applyBorder="1" applyAlignment="1" applyProtection="1">
      <alignment/>
      <protection locked="0"/>
    </xf>
    <xf numFmtId="165" fontId="24" fillId="3" borderId="55" xfId="0" applyNumberFormat="1" applyFont="1" applyFill="1" applyBorder="1" applyAlignment="1" applyProtection="1">
      <alignment horizontal="right" vertical="center"/>
      <protection locked="0"/>
    </xf>
    <xf numFmtId="2" fontId="25" fillId="3" borderId="55" xfId="0" applyNumberFormat="1" applyFont="1" applyFill="1" applyBorder="1" applyAlignment="1" applyProtection="1">
      <alignment horizontal="center" vertical="center"/>
      <protection locked="0"/>
    </xf>
    <xf numFmtId="2" fontId="25" fillId="3" borderId="75" xfId="0" applyNumberFormat="1" applyFont="1" applyFill="1" applyBorder="1" applyAlignment="1" applyProtection="1">
      <alignment horizontal="center" vertical="center"/>
      <protection locked="0"/>
    </xf>
    <xf numFmtId="0" fontId="17" fillId="2" borderId="96" xfId="0" applyFont="1" applyFill="1" applyBorder="1" applyAlignment="1" applyProtection="1">
      <alignment horizontal="center" vertical="center"/>
      <protection locked="0"/>
    </xf>
    <xf numFmtId="0" fontId="0" fillId="3" borderId="70" xfId="0" applyFill="1" applyBorder="1" applyAlignment="1" applyProtection="1">
      <alignment horizontal="centerContinuous"/>
      <protection locked="0"/>
    </xf>
    <xf numFmtId="0" fontId="17" fillId="2" borderId="97" xfId="0" applyFont="1" applyFill="1" applyBorder="1" applyAlignment="1" applyProtection="1">
      <alignment horizontal="center" vertical="center"/>
      <protection locked="0"/>
    </xf>
    <xf numFmtId="0" fontId="0" fillId="3" borderId="72" xfId="0" applyFill="1" applyBorder="1" applyAlignment="1" applyProtection="1">
      <alignment horizontal="centerContinuous"/>
      <protection locked="0"/>
    </xf>
    <xf numFmtId="49" fontId="4" fillId="4" borderId="58" xfId="0" applyNumberFormat="1" applyFont="1" applyFill="1" applyBorder="1" applyAlignment="1" applyProtection="1">
      <alignment horizontal="left" vertical="center"/>
      <protection locked="0"/>
    </xf>
    <xf numFmtId="2" fontId="17" fillId="2" borderId="98" xfId="0" applyNumberFormat="1" applyFont="1" applyFill="1" applyBorder="1" applyAlignment="1" applyProtection="1">
      <alignment horizontal="center" vertical="center"/>
      <protection locked="0"/>
    </xf>
    <xf numFmtId="0" fontId="0" fillId="3" borderId="89" xfId="0" applyFill="1" applyBorder="1" applyAlignment="1" applyProtection="1">
      <alignment/>
      <protection locked="0"/>
    </xf>
    <xf numFmtId="49" fontId="18" fillId="4" borderId="46" xfId="0" applyNumberFormat="1" applyFont="1" applyFill="1" applyBorder="1" applyAlignment="1" applyProtection="1">
      <alignment horizontal="left" vertical="center"/>
      <protection locked="0"/>
    </xf>
    <xf numFmtId="2" fontId="17" fillId="2" borderId="99" xfId="0" applyNumberFormat="1" applyFont="1" applyFill="1" applyBorder="1" applyAlignment="1" applyProtection="1">
      <alignment horizontal="center" vertical="center"/>
      <protection locked="0"/>
    </xf>
    <xf numFmtId="0" fontId="18" fillId="3" borderId="16" xfId="0" applyFont="1" applyFill="1" applyBorder="1" applyAlignment="1" applyProtection="1">
      <alignment horizontal="left"/>
      <protection locked="0"/>
    </xf>
    <xf numFmtId="1" fontId="0" fillId="2" borderId="44" xfId="0" applyNumberFormat="1" applyFill="1" applyBorder="1" applyAlignment="1" applyProtection="1">
      <alignment/>
      <protection locked="0"/>
    </xf>
    <xf numFmtId="0" fontId="12" fillId="3" borderId="82" xfId="0" applyFont="1" applyFill="1" applyBorder="1" applyAlignment="1" applyProtection="1">
      <alignment horizontal="centerContinuous"/>
      <protection locked="0"/>
    </xf>
    <xf numFmtId="1" fontId="0" fillId="2" borderId="12" xfId="0" applyNumberFormat="1" applyFill="1" applyBorder="1" applyAlignment="1" applyProtection="1">
      <alignment/>
      <protection locked="0"/>
    </xf>
    <xf numFmtId="0" fontId="12" fillId="3" borderId="22" xfId="0" applyFont="1" applyFill="1" applyBorder="1" applyAlignment="1" applyProtection="1">
      <alignment horizontal="centerContinuous"/>
      <protection locked="0"/>
    </xf>
    <xf numFmtId="0" fontId="2" fillId="4" borderId="0" xfId="0" applyFont="1" applyFill="1" applyBorder="1" applyAlignment="1" applyProtection="1">
      <alignment horizontal="left" vertical="center" wrapText="1"/>
      <protection locked="0"/>
    </xf>
    <xf numFmtId="0" fontId="12" fillId="3" borderId="22" xfId="0" applyFont="1" applyFill="1" applyBorder="1" applyAlignment="1" applyProtection="1">
      <alignment/>
      <protection locked="0"/>
    </xf>
    <xf numFmtId="0" fontId="20" fillId="4" borderId="0"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wrapText="1"/>
      <protection locked="0"/>
    </xf>
    <xf numFmtId="0" fontId="3" fillId="4" borderId="0" xfId="0" applyFont="1" applyFill="1" applyBorder="1" applyAlignment="1" applyProtection="1">
      <alignment horizontal="left" wrapText="1"/>
      <protection locked="0"/>
    </xf>
    <xf numFmtId="0" fontId="21" fillId="4" borderId="0" xfId="0" applyFont="1" applyFill="1" applyBorder="1" applyAlignment="1" applyProtection="1">
      <alignment horizontal="right" vertical="center"/>
      <protection locked="0"/>
    </xf>
    <xf numFmtId="2" fontId="21" fillId="4" borderId="0" xfId="0" applyNumberFormat="1" applyFont="1" applyFill="1" applyBorder="1" applyAlignment="1" applyProtection="1">
      <alignment horizontal="centerContinuous" vertical="center"/>
      <protection locked="0"/>
    </xf>
    <xf numFmtId="2" fontId="14" fillId="4" borderId="0" xfId="0" applyNumberFormat="1" applyFont="1" applyFill="1" applyBorder="1" applyAlignment="1" applyProtection="1">
      <alignment horizontal="right" vertical="top" wrapText="1"/>
      <protection locked="0"/>
    </xf>
    <xf numFmtId="0" fontId="5" fillId="3" borderId="51" xfId="0" applyFont="1" applyFill="1" applyBorder="1" applyAlignment="1" applyProtection="1">
      <alignment horizontal="centerContinuous"/>
      <protection locked="0"/>
    </xf>
    <xf numFmtId="166" fontId="0" fillId="4" borderId="0" xfId="0" applyNumberFormat="1" applyFill="1" applyBorder="1" applyAlignment="1" applyProtection="1">
      <alignment horizontal="right" vertical="center"/>
      <protection locked="0"/>
    </xf>
    <xf numFmtId="0" fontId="15" fillId="4" borderId="4" xfId="0" applyFont="1" applyFill="1" applyBorder="1" applyAlignment="1" applyProtection="1">
      <alignment horizontal="right" wrapText="1"/>
      <protection locked="0"/>
    </xf>
    <xf numFmtId="173" fontId="0" fillId="4" borderId="4" xfId="0" applyNumberFormat="1" applyFill="1" applyBorder="1" applyAlignment="1" applyProtection="1">
      <alignment horizontal="right" vertical="center"/>
      <protection locked="0"/>
    </xf>
    <xf numFmtId="0" fontId="15" fillId="4" borderId="4" xfId="0" applyFont="1" applyFill="1" applyBorder="1" applyAlignment="1" applyProtection="1">
      <alignment horizontal="left" wrapText="1"/>
      <protection locked="0"/>
    </xf>
    <xf numFmtId="165" fontId="0" fillId="4" borderId="0" xfId="0" applyNumberFormat="1" applyFill="1" applyBorder="1" applyAlignment="1" applyProtection="1">
      <alignment horizontal="right" vertical="center"/>
      <protection locked="0"/>
    </xf>
    <xf numFmtId="2" fontId="0" fillId="4" borderId="0" xfId="0" applyNumberFormat="1" applyFill="1" applyBorder="1" applyAlignment="1" applyProtection="1">
      <alignment horizontal="right"/>
      <protection locked="0"/>
    </xf>
    <xf numFmtId="0" fontId="0" fillId="3" borderId="43" xfId="0" applyFill="1" applyBorder="1" applyAlignment="1" applyProtection="1">
      <alignment/>
      <protection locked="0"/>
    </xf>
    <xf numFmtId="0" fontId="0" fillId="4" borderId="5" xfId="0" applyFont="1" applyFill="1" applyBorder="1" applyAlignment="1" applyProtection="1">
      <alignment/>
      <protection locked="0"/>
    </xf>
    <xf numFmtId="0" fontId="8" fillId="4" borderId="33" xfId="0" applyFont="1" applyFill="1" applyBorder="1" applyAlignment="1" applyProtection="1">
      <alignment horizontal="right" vertical="center"/>
      <protection locked="0"/>
    </xf>
    <xf numFmtId="0" fontId="0" fillId="4" borderId="100" xfId="0" applyFill="1" applyBorder="1" applyAlignment="1" applyProtection="1">
      <alignment horizontal="right"/>
      <protection locked="0"/>
    </xf>
    <xf numFmtId="164" fontId="0" fillId="3" borderId="9" xfId="0" applyNumberFormat="1" applyFill="1" applyBorder="1" applyAlignment="1" applyProtection="1">
      <alignment horizontal="center"/>
      <protection locked="0"/>
    </xf>
    <xf numFmtId="164" fontId="0" fillId="4" borderId="0" xfId="0" applyNumberFormat="1" applyFill="1" applyBorder="1" applyAlignment="1" applyProtection="1">
      <alignment horizontal="center"/>
      <protection locked="0"/>
    </xf>
    <xf numFmtId="164" fontId="0" fillId="4" borderId="22" xfId="0" applyNumberFormat="1" applyFill="1" applyBorder="1" applyAlignment="1" applyProtection="1">
      <alignment horizontal="center"/>
      <protection locked="0"/>
    </xf>
    <xf numFmtId="0" fontId="0" fillId="4" borderId="5" xfId="0" applyFill="1" applyBorder="1" applyAlignment="1" applyProtection="1">
      <alignment vertical="top"/>
      <protection locked="0"/>
    </xf>
    <xf numFmtId="0" fontId="0" fillId="3" borderId="40" xfId="0" applyFill="1" applyBorder="1" applyAlignment="1" applyProtection="1">
      <alignment horizontal="left"/>
      <protection locked="0"/>
    </xf>
    <xf numFmtId="0" fontId="0" fillId="3" borderId="51" xfId="0" applyFill="1" applyBorder="1" applyAlignment="1" applyProtection="1">
      <alignment horizontal="left"/>
      <protection locked="0"/>
    </xf>
    <xf numFmtId="0" fontId="4" fillId="5" borderId="8" xfId="0" applyFont="1" applyFill="1" applyBorder="1" applyAlignment="1" applyProtection="1">
      <alignment/>
      <protection locked="0"/>
    </xf>
    <xf numFmtId="0" fontId="0" fillId="5" borderId="101" xfId="0" applyFill="1" applyBorder="1" applyAlignment="1" applyProtection="1">
      <alignment/>
      <protection locked="0"/>
    </xf>
    <xf numFmtId="0" fontId="0" fillId="4" borderId="13" xfId="0" applyFill="1" applyBorder="1" applyAlignment="1" applyProtection="1">
      <alignment/>
      <protection locked="0"/>
    </xf>
    <xf numFmtId="0" fontId="0" fillId="3" borderId="0" xfId="0" applyFill="1" applyBorder="1" applyAlignment="1" applyProtection="1">
      <alignment horizontal="center"/>
      <protection locked="0"/>
    </xf>
    <xf numFmtId="0" fontId="0" fillId="3" borderId="32" xfId="0" applyFill="1" applyBorder="1" applyAlignment="1" applyProtection="1">
      <alignment horizontal="center"/>
      <protection locked="0"/>
    </xf>
    <xf numFmtId="2" fontId="3" fillId="3" borderId="9" xfId="0" applyNumberFormat="1" applyFont="1" applyFill="1" applyBorder="1" applyAlignment="1" applyProtection="1">
      <alignment/>
      <protection locked="0"/>
    </xf>
    <xf numFmtId="0" fontId="0" fillId="4" borderId="102" xfId="0" applyFill="1" applyBorder="1" applyAlignment="1" applyProtection="1">
      <alignment/>
      <protection locked="0"/>
    </xf>
    <xf numFmtId="0" fontId="0" fillId="3" borderId="9" xfId="0" applyFill="1" applyBorder="1" applyAlignment="1" applyProtection="1">
      <alignment horizontal="center"/>
      <protection locked="0"/>
    </xf>
    <xf numFmtId="0" fontId="0" fillId="3" borderId="24" xfId="0" applyFill="1" applyBorder="1" applyAlignment="1" applyProtection="1">
      <alignment horizontal="left" vertical="center"/>
      <protection locked="0"/>
    </xf>
    <xf numFmtId="0" fontId="0" fillId="3" borderId="23" xfId="0" applyFill="1" applyBorder="1" applyAlignment="1" applyProtection="1">
      <alignment/>
      <protection locked="0"/>
    </xf>
    <xf numFmtId="0" fontId="0" fillId="3" borderId="49" xfId="0" applyFill="1" applyBorder="1" applyAlignment="1" applyProtection="1">
      <alignment horizontal="right"/>
      <protection locked="0"/>
    </xf>
    <xf numFmtId="0" fontId="0" fillId="3" borderId="50" xfId="0" applyFill="1" applyBorder="1" applyAlignment="1" applyProtection="1">
      <alignment/>
      <protection locked="0"/>
    </xf>
    <xf numFmtId="0" fontId="0" fillId="3" borderId="13" xfId="0" applyFill="1" applyBorder="1" applyAlignment="1" applyProtection="1">
      <alignment vertical="center"/>
      <protection locked="0"/>
    </xf>
    <xf numFmtId="0" fontId="0" fillId="3" borderId="49" xfId="0" applyFill="1" applyBorder="1" applyAlignment="1" applyProtection="1">
      <alignment/>
      <protection locked="0"/>
    </xf>
    <xf numFmtId="0" fontId="0" fillId="3" borderId="1" xfId="0" applyFill="1" applyBorder="1" applyAlignment="1" applyProtection="1">
      <alignment horizontal="center"/>
      <protection locked="0"/>
    </xf>
    <xf numFmtId="2" fontId="3" fillId="3" borderId="72" xfId="0" applyNumberFormat="1" applyFont="1" applyFill="1" applyBorder="1" applyAlignment="1" applyProtection="1">
      <alignment/>
      <protection locked="0"/>
    </xf>
    <xf numFmtId="0" fontId="15" fillId="3" borderId="9" xfId="0" applyFont="1" applyFill="1" applyBorder="1" applyAlignment="1" applyProtection="1">
      <alignment horizontal="left" vertical="center" wrapText="1"/>
      <protection locked="0"/>
    </xf>
    <xf numFmtId="2" fontId="3" fillId="3" borderId="90" xfId="0" applyNumberFormat="1" applyFont="1" applyFill="1" applyBorder="1" applyAlignment="1" applyProtection="1">
      <alignment/>
      <protection locked="0"/>
    </xf>
    <xf numFmtId="0" fontId="0" fillId="4" borderId="0" xfId="0" applyFill="1" applyBorder="1" applyAlignment="1" applyProtection="1">
      <alignment horizontal="right" vertical="center" wrapText="1"/>
      <protection locked="0"/>
    </xf>
    <xf numFmtId="169" fontId="0" fillId="4" borderId="39" xfId="0" applyNumberFormat="1" applyFill="1" applyBorder="1" applyAlignment="1" applyProtection="1">
      <alignment horizontal="right"/>
      <protection locked="0"/>
    </xf>
    <xf numFmtId="165" fontId="0" fillId="4" borderId="36" xfId="0" applyNumberFormat="1" applyFill="1" applyBorder="1" applyAlignment="1" applyProtection="1">
      <alignment horizontal="right" vertical="center"/>
      <protection locked="0"/>
    </xf>
    <xf numFmtId="2" fontId="0" fillId="3" borderId="9" xfId="0" applyNumberFormat="1" applyFill="1" applyBorder="1" applyAlignment="1" applyProtection="1">
      <alignment horizontal="right"/>
      <protection locked="0"/>
    </xf>
    <xf numFmtId="0" fontId="34" fillId="4" borderId="0" xfId="0" applyFont="1" applyFill="1" applyBorder="1" applyAlignment="1" applyProtection="1">
      <alignment horizontal="left" vertical="center"/>
      <protection locked="0"/>
    </xf>
    <xf numFmtId="2" fontId="0" fillId="3" borderId="40" xfId="0" applyNumberFormat="1" applyFill="1" applyBorder="1" applyAlignment="1" applyProtection="1">
      <alignment horizontal="right"/>
      <protection locked="0"/>
    </xf>
    <xf numFmtId="0" fontId="0" fillId="3" borderId="40" xfId="0" applyFill="1" applyBorder="1" applyAlignment="1" applyProtection="1">
      <alignment horizontal="center"/>
      <protection locked="0"/>
    </xf>
    <xf numFmtId="2" fontId="0" fillId="3" borderId="64" xfId="0" applyNumberFormat="1" applyFill="1" applyBorder="1" applyAlignment="1" applyProtection="1">
      <alignment horizontal="right"/>
      <protection locked="0"/>
    </xf>
    <xf numFmtId="0" fontId="0" fillId="3" borderId="16" xfId="0" applyFill="1" applyBorder="1" applyAlignment="1" applyProtection="1">
      <alignment horizontal="center"/>
      <protection locked="0"/>
    </xf>
    <xf numFmtId="0" fontId="4" fillId="5" borderId="7" xfId="0" applyFont="1" applyFill="1" applyBorder="1" applyAlignment="1" applyProtection="1">
      <alignment horizontal="left" vertical="top"/>
      <protection locked="0"/>
    </xf>
    <xf numFmtId="0" fontId="4" fillId="5" borderId="5" xfId="0" applyFont="1" applyFill="1" applyBorder="1" applyAlignment="1" applyProtection="1">
      <alignment horizontal="left" vertical="top"/>
      <protection locked="0"/>
    </xf>
    <xf numFmtId="0" fontId="2" fillId="4" borderId="5" xfId="0" applyFont="1" applyFill="1" applyBorder="1" applyAlignment="1" applyProtection="1">
      <alignment/>
      <protection locked="0"/>
    </xf>
    <xf numFmtId="0" fontId="0" fillId="4" borderId="0" xfId="0" applyFill="1" applyBorder="1" applyAlignment="1" applyProtection="1">
      <alignment horizontal="right" vertical="top"/>
      <protection locked="0"/>
    </xf>
    <xf numFmtId="0" fontId="12" fillId="4" borderId="0" xfId="0" applyFont="1" applyFill="1" applyBorder="1" applyAlignment="1" applyProtection="1">
      <alignment horizontal="left" vertical="center"/>
      <protection locked="0"/>
    </xf>
    <xf numFmtId="0" fontId="12" fillId="4" borderId="22" xfId="0" applyFont="1" applyFill="1" applyBorder="1" applyAlignment="1" applyProtection="1">
      <alignment horizontal="left" vertical="center"/>
      <protection locked="0"/>
    </xf>
    <xf numFmtId="0" fontId="14" fillId="3" borderId="41" xfId="0" applyFont="1" applyFill="1" applyBorder="1" applyAlignment="1" applyProtection="1">
      <alignment horizontal="center" vertical="center"/>
      <protection locked="0"/>
    </xf>
    <xf numFmtId="169" fontId="0" fillId="4" borderId="0" xfId="0" applyNumberFormat="1" applyFill="1" applyBorder="1" applyAlignment="1" applyProtection="1">
      <alignment horizontal="left"/>
      <protection locked="0"/>
    </xf>
    <xf numFmtId="0" fontId="14" fillId="4" borderId="0" xfId="0" applyFont="1" applyFill="1" applyBorder="1" applyAlignment="1" applyProtection="1">
      <alignment horizontal="center" vertical="center"/>
      <protection locked="0"/>
    </xf>
    <xf numFmtId="169" fontId="0" fillId="4" borderId="4" xfId="0" applyNumberFormat="1" applyFill="1" applyBorder="1" applyAlignment="1" applyProtection="1">
      <alignment horizontal="right"/>
      <protection locked="0"/>
    </xf>
    <xf numFmtId="169" fontId="0" fillId="4" borderId="4" xfId="0" applyNumberFormat="1" applyFill="1" applyBorder="1" applyAlignment="1" applyProtection="1">
      <alignment horizontal="right" vertical="center"/>
      <protection locked="0"/>
    </xf>
    <xf numFmtId="0" fontId="5" fillId="4" borderId="4" xfId="0" applyFont="1" applyFill="1" applyBorder="1" applyAlignment="1" applyProtection="1">
      <alignment vertical="center"/>
      <protection locked="0"/>
    </xf>
    <xf numFmtId="0" fontId="12" fillId="4" borderId="33" xfId="0" applyFont="1" applyFill="1" applyBorder="1" applyAlignment="1" applyProtection="1">
      <alignment horizontal="left" vertical="top" wrapText="1"/>
      <protection locked="0"/>
    </xf>
    <xf numFmtId="0" fontId="12" fillId="4" borderId="22" xfId="0" applyFont="1" applyFill="1" applyBorder="1" applyAlignment="1" applyProtection="1">
      <alignment/>
      <protection locked="0"/>
    </xf>
    <xf numFmtId="0" fontId="12" fillId="4" borderId="12" xfId="0" applyFont="1" applyFill="1" applyBorder="1" applyAlignment="1" applyProtection="1">
      <alignment horizontal="center"/>
      <protection locked="0"/>
    </xf>
    <xf numFmtId="0" fontId="0" fillId="2" borderId="13" xfId="0" applyFill="1" applyBorder="1" applyAlignment="1" applyProtection="1">
      <alignment/>
      <protection locked="0"/>
    </xf>
    <xf numFmtId="0" fontId="0" fillId="2" borderId="39" xfId="0" applyFill="1" applyBorder="1" applyAlignment="1" applyProtection="1">
      <alignment/>
      <protection locked="0"/>
    </xf>
    <xf numFmtId="0" fontId="0" fillId="2" borderId="37" xfId="0" applyFill="1" applyBorder="1" applyAlignment="1" applyProtection="1">
      <alignment/>
      <protection locked="0"/>
    </xf>
    <xf numFmtId="0" fontId="24" fillId="4" borderId="0" xfId="0" applyFont="1" applyFill="1" applyBorder="1" applyAlignment="1" applyProtection="1">
      <alignment horizontal="right"/>
      <protection locked="0"/>
    </xf>
    <xf numFmtId="1" fontId="25" fillId="3" borderId="9" xfId="0" applyNumberFormat="1" applyFont="1" applyFill="1" applyBorder="1" applyAlignment="1" applyProtection="1">
      <alignment horizontal="center"/>
      <protection locked="0"/>
    </xf>
    <xf numFmtId="1" fontId="25" fillId="3" borderId="40" xfId="0" applyNumberFormat="1" applyFont="1" applyFill="1" applyBorder="1" applyAlignment="1" applyProtection="1">
      <alignment horizontal="center"/>
      <protection locked="0"/>
    </xf>
    <xf numFmtId="0" fontId="12" fillId="4" borderId="6" xfId="0" applyFont="1" applyFill="1" applyBorder="1" applyAlignment="1" applyProtection="1">
      <alignment/>
      <protection locked="0"/>
    </xf>
    <xf numFmtId="2" fontId="0" fillId="0" borderId="12" xfId="0" applyNumberFormat="1" applyFill="1" applyBorder="1" applyAlignment="1" applyProtection="1">
      <alignment/>
      <protection/>
    </xf>
    <xf numFmtId="2" fontId="0" fillId="0" borderId="12" xfId="0" applyNumberFormat="1" applyFill="1" applyBorder="1" applyAlignment="1" applyProtection="1">
      <alignment/>
      <protection/>
    </xf>
    <xf numFmtId="2" fontId="14" fillId="0" borderId="12" xfId="0" applyNumberFormat="1" applyFont="1" applyFill="1" applyBorder="1" applyAlignment="1" applyProtection="1">
      <alignment vertical="center"/>
      <protection/>
    </xf>
    <xf numFmtId="0" fontId="0" fillId="4" borderId="12" xfId="0" applyFill="1" applyBorder="1" applyAlignment="1" applyProtection="1">
      <alignment vertical="center"/>
      <protection/>
    </xf>
    <xf numFmtId="0" fontId="0" fillId="4" borderId="2" xfId="0" applyFill="1" applyBorder="1" applyAlignment="1" applyProtection="1">
      <alignment vertical="center"/>
      <protection/>
    </xf>
    <xf numFmtId="165" fontId="14" fillId="4" borderId="0" xfId="0" applyNumberFormat="1" applyFont="1" applyFill="1" applyBorder="1" applyAlignment="1" applyProtection="1">
      <alignment horizontal="right"/>
      <protection/>
    </xf>
    <xf numFmtId="168" fontId="14" fillId="4" borderId="0" xfId="0" applyNumberFormat="1" applyFont="1" applyFill="1" applyBorder="1" applyAlignment="1" applyProtection="1">
      <alignment horizontal="right"/>
      <protection/>
    </xf>
    <xf numFmtId="0" fontId="14" fillId="0" borderId="12"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2" fillId="4" borderId="36" xfId="0" applyFont="1" applyFill="1" applyBorder="1" applyAlignment="1" applyProtection="1">
      <alignment horizontal="right"/>
      <protection locked="0"/>
    </xf>
    <xf numFmtId="0" fontId="0" fillId="2" borderId="23" xfId="0" applyFill="1" applyBorder="1" applyAlignment="1" applyProtection="1">
      <alignment/>
      <protection locked="0"/>
    </xf>
    <xf numFmtId="0" fontId="2" fillId="4" borderId="84" xfId="0" applyFont="1" applyFill="1" applyBorder="1" applyAlignment="1" applyProtection="1">
      <alignment horizontal="left" vertical="center"/>
      <protection locked="0"/>
    </xf>
    <xf numFmtId="0" fontId="2" fillId="4" borderId="0"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14" fillId="4" borderId="6"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0" fontId="14" fillId="4" borderId="5" xfId="0" applyFont="1" applyFill="1" applyBorder="1" applyAlignment="1" applyProtection="1">
      <alignment horizontal="left" vertical="center" wrapText="1"/>
      <protection locked="0"/>
    </xf>
    <xf numFmtId="0" fontId="1" fillId="7" borderId="64" xfId="0" applyFont="1" applyFill="1" applyBorder="1" applyAlignment="1" applyProtection="1">
      <alignment horizontal="center" vertical="center"/>
      <protection locked="0"/>
    </xf>
    <xf numFmtId="0" fontId="1" fillId="7" borderId="55" xfId="0" applyFont="1" applyFill="1" applyBorder="1" applyAlignment="1" applyProtection="1">
      <alignment horizontal="center" vertical="center"/>
      <protection locked="0"/>
    </xf>
    <xf numFmtId="0" fontId="1" fillId="7" borderId="75" xfId="0" applyFont="1" applyFill="1" applyBorder="1" applyAlignment="1" applyProtection="1">
      <alignment horizontal="center" vertical="center"/>
      <protection locked="0"/>
    </xf>
    <xf numFmtId="2" fontId="14" fillId="0" borderId="104" xfId="0" applyNumberFormat="1" applyFont="1" applyFill="1" applyBorder="1" applyAlignment="1" applyProtection="1">
      <alignment horizontal="right" vertical="center"/>
      <protection/>
    </xf>
    <xf numFmtId="2" fontId="14" fillId="4" borderId="0" xfId="0" applyNumberFormat="1" applyFont="1" applyFill="1" applyBorder="1" applyAlignment="1" applyProtection="1">
      <alignment horizontal="right" vertical="center"/>
      <protection locked="0"/>
    </xf>
    <xf numFmtId="0" fontId="0" fillId="4" borderId="5" xfId="0" applyFont="1" applyFill="1" applyBorder="1" applyAlignment="1" applyProtection="1">
      <alignment horizontal="right" wrapText="1"/>
      <protection/>
    </xf>
    <xf numFmtId="0" fontId="0" fillId="4" borderId="0" xfId="0" applyFont="1" applyFill="1" applyBorder="1" applyAlignment="1" applyProtection="1">
      <alignment horizontal="right" wrapText="1"/>
      <protection/>
    </xf>
    <xf numFmtId="2" fontId="14" fillId="0" borderId="105" xfId="0" applyNumberFormat="1" applyFont="1" applyFill="1" applyBorder="1" applyAlignment="1" applyProtection="1">
      <alignment horizontal="right" vertical="center"/>
      <protection/>
    </xf>
    <xf numFmtId="0" fontId="4" fillId="5" borderId="8" xfId="0" applyFont="1" applyFill="1" applyBorder="1" applyAlignment="1" applyProtection="1">
      <alignment horizontal="left" vertical="top" wrapText="1"/>
      <protection locked="0"/>
    </xf>
    <xf numFmtId="0" fontId="4" fillId="5" borderId="101"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wrapText="1"/>
      <protection locked="0"/>
    </xf>
    <xf numFmtId="0" fontId="5" fillId="5" borderId="17"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wrapText="1"/>
      <protection locked="0"/>
    </xf>
    <xf numFmtId="0" fontId="5" fillId="5" borderId="18" xfId="0" applyFont="1" applyFill="1" applyBorder="1" applyAlignment="1" applyProtection="1">
      <alignment horizontal="left" wrapText="1"/>
      <protection locked="0"/>
    </xf>
    <xf numFmtId="2" fontId="17" fillId="0" borderId="64" xfId="0" applyNumberFormat="1" applyFont="1" applyFill="1" applyBorder="1" applyAlignment="1" applyProtection="1">
      <alignment horizontal="right" vertical="center"/>
      <protection/>
    </xf>
    <xf numFmtId="2" fontId="17" fillId="0" borderId="75" xfId="0" applyNumberFormat="1" applyFont="1" applyFill="1" applyBorder="1" applyAlignment="1" applyProtection="1">
      <alignment horizontal="right" vertical="center"/>
      <protection/>
    </xf>
    <xf numFmtId="0" fontId="15" fillId="4" borderId="0" xfId="0" applyFont="1" applyFill="1" applyBorder="1" applyAlignment="1" applyProtection="1">
      <alignment horizontal="right" wrapText="1"/>
      <protection locked="0"/>
    </xf>
    <xf numFmtId="0" fontId="4" fillId="5" borderId="8" xfId="0" applyFont="1" applyFill="1" applyBorder="1" applyAlignment="1" applyProtection="1">
      <alignment horizontal="left"/>
      <protection locked="0"/>
    </xf>
    <xf numFmtId="0" fontId="4" fillId="5" borderId="101" xfId="0" applyFont="1" applyFill="1" applyBorder="1" applyAlignment="1" applyProtection="1">
      <alignment horizontal="left"/>
      <protection locked="0"/>
    </xf>
    <xf numFmtId="0" fontId="15" fillId="4" borderId="24" xfId="0" applyFont="1" applyFill="1" applyBorder="1" applyAlignment="1" applyProtection="1">
      <alignment horizontal="center" vertical="top"/>
      <protection locked="0"/>
    </xf>
    <xf numFmtId="0" fontId="15" fillId="4" borderId="2" xfId="0" applyFont="1" applyFill="1" applyBorder="1" applyAlignment="1" applyProtection="1">
      <alignment horizontal="center" vertical="top"/>
      <protection locked="0"/>
    </xf>
    <xf numFmtId="164" fontId="0" fillId="0" borderId="13" xfId="0" applyNumberFormat="1" applyFont="1" applyFill="1" applyBorder="1" applyAlignment="1" applyProtection="1">
      <alignment horizontal="right" vertical="center"/>
      <protection/>
    </xf>
    <xf numFmtId="164" fontId="0" fillId="0" borderId="37" xfId="0" applyNumberFormat="1" applyFont="1" applyFill="1" applyBorder="1" applyAlignment="1" applyProtection="1">
      <alignment horizontal="right" vertical="center"/>
      <protection/>
    </xf>
    <xf numFmtId="0" fontId="33" fillId="4" borderId="5" xfId="0" applyFont="1" applyFill="1" applyBorder="1" applyAlignment="1" applyProtection="1">
      <alignment horizontal="right" wrapText="1"/>
      <protection/>
    </xf>
    <xf numFmtId="0" fontId="33" fillId="4" borderId="0" xfId="0" applyFont="1" applyFill="1" applyBorder="1" applyAlignment="1" applyProtection="1">
      <alignment horizontal="right" wrapText="1"/>
      <protection/>
    </xf>
    <xf numFmtId="0" fontId="33" fillId="4" borderId="33" xfId="0" applyFont="1" applyFill="1" applyBorder="1" applyAlignment="1" applyProtection="1">
      <alignment horizontal="right" wrapText="1"/>
      <protection/>
    </xf>
    <xf numFmtId="0" fontId="0" fillId="4" borderId="48" xfId="0" applyFont="1" applyFill="1" applyBorder="1" applyAlignment="1" applyProtection="1">
      <alignment horizontal="left" vertical="center" wrapText="1"/>
      <protection locked="0"/>
    </xf>
    <xf numFmtId="0" fontId="33" fillId="4" borderId="43" xfId="0" applyFont="1" applyFill="1" applyBorder="1" applyAlignment="1" applyProtection="1">
      <alignment horizontal="right" wrapText="1"/>
      <protection/>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right" wrapText="1"/>
      <protection/>
    </xf>
    <xf numFmtId="0" fontId="0" fillId="0" borderId="0" xfId="0" applyBorder="1" applyAlignment="1" applyProtection="1">
      <alignment horizontal="right" wrapText="1"/>
      <protection/>
    </xf>
    <xf numFmtId="0" fontId="0" fillId="4" borderId="42" xfId="0" applyFont="1" applyFill="1" applyBorder="1" applyAlignment="1" applyProtection="1">
      <alignment horizontal="left" vertical="center" wrapText="1"/>
      <protection locked="0"/>
    </xf>
    <xf numFmtId="0" fontId="0" fillId="4" borderId="36"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0" fillId="6" borderId="7" xfId="0" applyFill="1" applyBorder="1" applyAlignment="1" applyProtection="1">
      <alignment horizontal="left" vertical="top" wrapText="1"/>
      <protection/>
    </xf>
    <xf numFmtId="0" fontId="0" fillId="0" borderId="8" xfId="0" applyBorder="1" applyAlignment="1" applyProtection="1">
      <alignment horizontal="left" vertical="top" wrapText="1"/>
      <protection/>
    </xf>
    <xf numFmtId="0" fontId="0" fillId="0" borderId="101" xfId="0" applyBorder="1" applyAlignment="1" applyProtection="1">
      <alignment horizontal="left" vertical="top" wrapText="1"/>
      <protection/>
    </xf>
    <xf numFmtId="0" fontId="0" fillId="0" borderId="5"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6" borderId="106" xfId="0" applyFill="1" applyBorder="1" applyAlignment="1" applyProtection="1">
      <alignment horizontal="left" vertical="top" wrapText="1"/>
      <protection locked="0"/>
    </xf>
    <xf numFmtId="0" fontId="0" fillId="6" borderId="107" xfId="0" applyFill="1" applyBorder="1" applyAlignment="1" applyProtection="1">
      <alignment horizontal="left" vertical="top" wrapText="1"/>
      <protection locked="0"/>
    </xf>
    <xf numFmtId="0" fontId="0" fillId="6" borderId="108"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169" fontId="0" fillId="0" borderId="13" xfId="0" applyNumberFormat="1" applyFill="1" applyBorder="1" applyAlignment="1" applyProtection="1">
      <alignment horizontal="right" vertical="center"/>
      <protection/>
    </xf>
    <xf numFmtId="169" fontId="0" fillId="0" borderId="37" xfId="0" applyNumberFormat="1" applyFill="1" applyBorder="1" applyAlignment="1" applyProtection="1">
      <alignment horizontal="right" vertical="center"/>
      <protection/>
    </xf>
    <xf numFmtId="0" fontId="0" fillId="4" borderId="0" xfId="0" applyFill="1" applyBorder="1" applyAlignment="1" applyProtection="1">
      <alignment horizontal="right" wrapText="1"/>
      <protection/>
    </xf>
    <xf numFmtId="0" fontId="0" fillId="4" borderId="13" xfId="0" applyFill="1" applyBorder="1" applyAlignment="1" applyProtection="1">
      <alignment horizontal="left" vertical="center" wrapText="1"/>
      <protection locked="0"/>
    </xf>
    <xf numFmtId="0" fontId="0" fillId="4" borderId="39" xfId="0" applyFill="1" applyBorder="1" applyAlignment="1" applyProtection="1">
      <alignment horizontal="left" vertical="center" wrapText="1"/>
      <protection locked="0"/>
    </xf>
    <xf numFmtId="0" fontId="0" fillId="4" borderId="37" xfId="0"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165" fontId="31" fillId="4" borderId="0" xfId="0" applyNumberFormat="1" applyFont="1" applyFill="1" applyBorder="1" applyAlignment="1" applyProtection="1">
      <alignment horizontal="right" vertical="top" wrapText="1"/>
      <protection locked="0"/>
    </xf>
    <xf numFmtId="0" fontId="8" fillId="4" borderId="36" xfId="0" applyFont="1" applyFill="1" applyBorder="1" applyAlignment="1" applyProtection="1">
      <alignment horizontal="right" vertical="center" wrapText="1"/>
      <protection locked="0"/>
    </xf>
    <xf numFmtId="0" fontId="8" fillId="4" borderId="0" xfId="0" applyFont="1" applyFill="1" applyBorder="1" applyAlignment="1" applyProtection="1">
      <alignment horizontal="right" vertical="center" wrapText="1"/>
      <protection locked="0"/>
    </xf>
    <xf numFmtId="0" fontId="31" fillId="4" borderId="0" xfId="0" applyFont="1" applyFill="1" applyBorder="1" applyAlignment="1" applyProtection="1">
      <alignment horizontal="right" vertical="center" wrapText="1"/>
      <protection/>
    </xf>
    <xf numFmtId="0" fontId="8" fillId="4" borderId="5" xfId="0" applyFont="1" applyFill="1" applyBorder="1" applyAlignment="1" applyProtection="1">
      <alignment horizontal="right" vertical="top" wrapText="1"/>
      <protection locked="0"/>
    </xf>
    <xf numFmtId="0" fontId="8" fillId="4" borderId="0" xfId="0" applyFont="1" applyFill="1" applyBorder="1" applyAlignment="1" applyProtection="1">
      <alignment horizontal="right" vertical="top" wrapText="1"/>
      <protection locked="0"/>
    </xf>
    <xf numFmtId="0" fontId="8" fillId="4" borderId="94" xfId="0" applyFont="1" applyFill="1" applyBorder="1" applyAlignment="1" applyProtection="1">
      <alignment horizontal="right" vertical="top" wrapText="1"/>
      <protection locked="0"/>
    </xf>
    <xf numFmtId="0" fontId="8" fillId="4" borderId="47" xfId="0" applyFont="1" applyFill="1" applyBorder="1" applyAlignment="1" applyProtection="1">
      <alignment horizontal="right" vertical="top" wrapText="1"/>
      <protection locked="0"/>
    </xf>
    <xf numFmtId="0" fontId="0" fillId="2" borderId="1"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74" xfId="0" applyFill="1" applyBorder="1" applyAlignment="1" applyProtection="1">
      <alignment horizontal="left" vertical="center"/>
      <protection locked="0"/>
    </xf>
    <xf numFmtId="0" fontId="8" fillId="4" borderId="84" xfId="0" applyFont="1" applyFill="1" applyBorder="1" applyAlignment="1" applyProtection="1">
      <alignment horizontal="right" vertical="center" wrapText="1"/>
      <protection locked="0"/>
    </xf>
    <xf numFmtId="0" fontId="8" fillId="4" borderId="5" xfId="0" applyFont="1" applyFill="1" applyBorder="1" applyAlignment="1" applyProtection="1">
      <alignment horizontal="right" vertical="center" wrapText="1"/>
      <protection locked="0"/>
    </xf>
    <xf numFmtId="0" fontId="0" fillId="4" borderId="24" xfId="0" applyFill="1" applyBorder="1" applyAlignment="1" applyProtection="1">
      <alignment horizontal="center"/>
      <protection locked="0"/>
    </xf>
    <xf numFmtId="0" fontId="0" fillId="4" borderId="2" xfId="0" applyFill="1" applyBorder="1" applyAlignment="1" applyProtection="1">
      <alignment horizontal="center"/>
      <protection locked="0"/>
    </xf>
    <xf numFmtId="2" fontId="17" fillId="4" borderId="4" xfId="0" applyNumberFormat="1" applyFont="1" applyFill="1" applyBorder="1" applyAlignment="1" applyProtection="1">
      <alignment horizontal="right" wrapText="1"/>
      <protection locked="0"/>
    </xf>
    <xf numFmtId="0" fontId="3" fillId="4" borderId="0" xfId="0" applyFont="1" applyFill="1" applyBorder="1" applyAlignment="1" applyProtection="1">
      <alignment horizontal="left" vertical="top" wrapText="1"/>
      <protection locked="0"/>
    </xf>
    <xf numFmtId="0" fontId="0" fillId="4" borderId="42" xfId="0" applyFill="1" applyBorder="1" applyAlignment="1" applyProtection="1">
      <alignment horizontal="left" vertical="center" wrapText="1"/>
      <protection locked="0"/>
    </xf>
    <xf numFmtId="0" fontId="0" fillId="4" borderId="36" xfId="0" applyFill="1" applyBorder="1" applyAlignment="1" applyProtection="1">
      <alignment horizontal="left" vertical="center" wrapText="1"/>
      <protection locked="0"/>
    </xf>
    <xf numFmtId="0" fontId="0" fillId="4" borderId="85"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47" xfId="0" applyFill="1" applyBorder="1" applyAlignment="1" applyProtection="1">
      <alignment horizontal="left" vertical="center" wrapText="1"/>
      <protection locked="0"/>
    </xf>
    <xf numFmtId="0" fontId="0" fillId="4" borderId="48" xfId="0" applyFill="1" applyBorder="1" applyAlignment="1" applyProtection="1">
      <alignment horizontal="left" vertical="center" wrapText="1"/>
      <protection locked="0"/>
    </xf>
    <xf numFmtId="2" fontId="17" fillId="4" borderId="0" xfId="0" applyNumberFormat="1" applyFont="1" applyFill="1" applyBorder="1" applyAlignment="1" applyProtection="1">
      <alignment horizontal="right" wrapText="1"/>
      <protection locked="0"/>
    </xf>
    <xf numFmtId="2" fontId="17" fillId="0" borderId="64" xfId="0" applyNumberFormat="1" applyFont="1" applyBorder="1" applyAlignment="1" applyProtection="1">
      <alignment horizontal="right" vertical="center"/>
      <protection/>
    </xf>
    <xf numFmtId="2" fontId="17" fillId="0" borderId="75" xfId="0" applyNumberFormat="1" applyFont="1" applyBorder="1" applyAlignment="1" applyProtection="1">
      <alignment horizontal="right" vertical="center"/>
      <protection/>
    </xf>
    <xf numFmtId="0" fontId="0" fillId="4" borderId="13"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22" fillId="4" borderId="24" xfId="0" applyFont="1" applyFill="1" applyBorder="1" applyAlignment="1" applyProtection="1">
      <alignment horizontal="center"/>
      <protection locked="0"/>
    </xf>
    <xf numFmtId="0" fontId="22" fillId="4" borderId="50" xfId="0" applyFont="1" applyFill="1" applyBorder="1" applyAlignment="1" applyProtection="1">
      <alignment horizontal="center"/>
      <protection locked="0"/>
    </xf>
    <xf numFmtId="0" fontId="22" fillId="4" borderId="2" xfId="0" applyFont="1" applyFill="1" applyBorder="1" applyAlignment="1" applyProtection="1">
      <alignment horizontal="center"/>
      <protection locked="0"/>
    </xf>
    <xf numFmtId="0" fontId="2" fillId="4" borderId="23" xfId="0" applyFont="1" applyFill="1" applyBorder="1" applyAlignment="1" applyProtection="1">
      <alignment horizontal="right" vertical="center" wrapText="1"/>
      <protection locked="0"/>
    </xf>
    <xf numFmtId="0" fontId="2" fillId="4" borderId="0" xfId="0" applyFont="1" applyFill="1" applyBorder="1" applyAlignment="1" applyProtection="1">
      <alignment horizontal="right" vertical="center" wrapText="1"/>
      <protection locked="0"/>
    </xf>
    <xf numFmtId="0" fontId="2" fillId="4" borderId="49" xfId="0" applyFont="1" applyFill="1" applyBorder="1" applyAlignment="1" applyProtection="1">
      <alignment horizontal="right" vertical="center" wrapText="1"/>
      <protection locked="0"/>
    </xf>
    <xf numFmtId="0" fontId="31" fillId="4" borderId="23" xfId="0" applyFont="1" applyFill="1" applyBorder="1" applyAlignment="1" applyProtection="1">
      <alignment horizontal="right" wrapText="1"/>
      <protection/>
    </xf>
    <xf numFmtId="0" fontId="31" fillId="4" borderId="49" xfId="0" applyFont="1" applyFill="1" applyBorder="1" applyAlignment="1" applyProtection="1">
      <alignment horizontal="right" wrapText="1"/>
      <protection/>
    </xf>
    <xf numFmtId="0" fontId="5" fillId="5" borderId="17" xfId="0" applyFont="1" applyFill="1" applyBorder="1" applyAlignment="1" applyProtection="1">
      <alignment horizontal="left"/>
      <protection locked="0"/>
    </xf>
    <xf numFmtId="0" fontId="5" fillId="5" borderId="18" xfId="0" applyFont="1" applyFill="1" applyBorder="1" applyAlignment="1" applyProtection="1">
      <alignment horizontal="left"/>
      <protection locked="0"/>
    </xf>
    <xf numFmtId="0" fontId="5" fillId="5" borderId="19" xfId="0" applyFont="1" applyFill="1" applyBorder="1" applyAlignment="1" applyProtection="1">
      <alignment horizontal="left"/>
      <protection locked="0"/>
    </xf>
    <xf numFmtId="0" fontId="0" fillId="2" borderId="109" xfId="0" applyFont="1" applyFill="1" applyBorder="1" applyAlignment="1" applyProtection="1">
      <alignment horizontal="left" vertical="center"/>
      <protection locked="0"/>
    </xf>
    <xf numFmtId="0" fontId="0" fillId="2" borderId="110" xfId="0" applyFont="1" applyFill="1" applyBorder="1" applyAlignment="1" applyProtection="1">
      <alignment horizontal="left" vertical="center"/>
      <protection locked="0"/>
    </xf>
    <xf numFmtId="0" fontId="2" fillId="4" borderId="84" xfId="0" applyFont="1" applyFill="1" applyBorder="1" applyAlignment="1" applyProtection="1">
      <alignment horizontal="right" vertical="center" wrapText="1"/>
      <protection/>
    </xf>
    <xf numFmtId="0" fontId="2" fillId="4" borderId="36" xfId="0" applyFont="1" applyFill="1" applyBorder="1" applyAlignment="1" applyProtection="1">
      <alignment horizontal="right" vertical="center" wrapText="1"/>
      <protection/>
    </xf>
    <xf numFmtId="0" fontId="2" fillId="4" borderId="85" xfId="0" applyFont="1" applyFill="1" applyBorder="1" applyAlignment="1" applyProtection="1">
      <alignment horizontal="right" vertical="center" wrapText="1"/>
      <protection/>
    </xf>
    <xf numFmtId="0" fontId="2" fillId="4" borderId="6" xfId="0" applyFont="1" applyFill="1" applyBorder="1" applyAlignment="1" applyProtection="1">
      <alignment horizontal="right" vertical="center" wrapText="1"/>
      <protection/>
    </xf>
    <xf numFmtId="0" fontId="2" fillId="4" borderId="4" xfId="0" applyFont="1" applyFill="1" applyBorder="1" applyAlignment="1" applyProtection="1">
      <alignment horizontal="right" vertical="center" wrapText="1"/>
      <protection/>
    </xf>
    <xf numFmtId="0" fontId="2" fillId="4" borderId="71" xfId="0" applyFont="1" applyFill="1" applyBorder="1" applyAlignment="1" applyProtection="1">
      <alignment horizontal="right" vertical="center" wrapText="1"/>
      <protection/>
    </xf>
    <xf numFmtId="0" fontId="2" fillId="4" borderId="94" xfId="0" applyFont="1" applyFill="1" applyBorder="1" applyAlignment="1" applyProtection="1">
      <alignment horizontal="right" vertical="center"/>
      <protection/>
    </xf>
    <xf numFmtId="0" fontId="2" fillId="4" borderId="48" xfId="0" applyFont="1" applyFill="1" applyBorder="1" applyAlignment="1" applyProtection="1">
      <alignment horizontal="right" vertical="center"/>
      <protection/>
    </xf>
    <xf numFmtId="0" fontId="37" fillId="4" borderId="94" xfId="0" applyFont="1" applyFill="1" applyBorder="1" applyAlignment="1" applyProtection="1">
      <alignment horizontal="right" vertical="center" wrapText="1"/>
      <protection/>
    </xf>
    <xf numFmtId="0" fontId="37" fillId="4" borderId="48" xfId="0" applyFont="1" applyFill="1" applyBorder="1" applyAlignment="1" applyProtection="1">
      <alignment horizontal="right" vertical="center" wrapText="1"/>
      <protection/>
    </xf>
    <xf numFmtId="0" fontId="2" fillId="4" borderId="46" xfId="0" applyFont="1" applyFill="1" applyBorder="1" applyAlignment="1" applyProtection="1">
      <alignment horizontal="right" vertical="center"/>
      <protection/>
    </xf>
    <xf numFmtId="0" fontId="2" fillId="4" borderId="39" xfId="0" applyFont="1" applyFill="1" applyBorder="1" applyAlignment="1" applyProtection="1">
      <alignment horizontal="right" vertical="center"/>
      <protection/>
    </xf>
    <xf numFmtId="0" fontId="2" fillId="4" borderId="37" xfId="0" applyFont="1" applyFill="1" applyBorder="1" applyAlignment="1" applyProtection="1">
      <alignment horizontal="right" vertical="center"/>
      <protection/>
    </xf>
    <xf numFmtId="0" fontId="2" fillId="4" borderId="111" xfId="0" applyFont="1" applyFill="1" applyBorder="1" applyAlignment="1" applyProtection="1">
      <alignment horizontal="right" vertical="center"/>
      <protection/>
    </xf>
    <xf numFmtId="0" fontId="2" fillId="4" borderId="110" xfId="0" applyFont="1" applyFill="1" applyBorder="1" applyAlignment="1" applyProtection="1">
      <alignment horizontal="right" vertical="center"/>
      <protection/>
    </xf>
    <xf numFmtId="0" fontId="1" fillId="8" borderId="64" xfId="0" applyFont="1" applyFill="1" applyBorder="1" applyAlignment="1" applyProtection="1">
      <alignment horizontal="center" vertical="center"/>
      <protection locked="0"/>
    </xf>
    <xf numFmtId="0" fontId="1" fillId="8" borderId="55" xfId="0" applyFont="1" applyFill="1" applyBorder="1" applyAlignment="1" applyProtection="1">
      <alignment horizontal="center" vertical="center"/>
      <protection locked="0"/>
    </xf>
    <xf numFmtId="0" fontId="1" fillId="8" borderId="75" xfId="0" applyFont="1" applyFill="1" applyBorder="1" applyAlignment="1" applyProtection="1">
      <alignment horizontal="center" vertical="center"/>
      <protection locked="0"/>
    </xf>
    <xf numFmtId="166" fontId="14" fillId="2" borderId="42" xfId="0" applyNumberFormat="1" applyFont="1" applyFill="1" applyBorder="1" applyAlignment="1" applyProtection="1">
      <alignment horizontal="center" vertical="center"/>
      <protection locked="0"/>
    </xf>
    <xf numFmtId="166" fontId="14" fillId="2" borderId="85" xfId="0" applyNumberFormat="1" applyFont="1" applyFill="1" applyBorder="1" applyAlignment="1" applyProtection="1">
      <alignment horizontal="center" vertical="center"/>
      <protection locked="0"/>
    </xf>
    <xf numFmtId="166" fontId="14" fillId="2" borderId="15" xfId="0" applyNumberFormat="1" applyFont="1" applyFill="1" applyBorder="1" applyAlignment="1" applyProtection="1">
      <alignment horizontal="center" vertical="center"/>
      <protection locked="0"/>
    </xf>
    <xf numFmtId="166" fontId="14" fillId="2" borderId="71" xfId="0" applyNumberFormat="1" applyFont="1" applyFill="1" applyBorder="1" applyAlignment="1" applyProtection="1">
      <alignment horizontal="center" vertical="center"/>
      <protection locked="0"/>
    </xf>
    <xf numFmtId="2" fontId="14" fillId="0" borderId="42" xfId="0" applyNumberFormat="1" applyFont="1" applyBorder="1" applyAlignment="1" applyProtection="1">
      <alignment horizontal="center" vertical="center"/>
      <protection/>
    </xf>
    <xf numFmtId="2" fontId="14" fillId="0" borderId="74" xfId="0" applyNumberFormat="1" applyFont="1" applyBorder="1" applyAlignment="1" applyProtection="1">
      <alignment horizontal="center" vertical="center"/>
      <protection/>
    </xf>
    <xf numFmtId="2" fontId="14" fillId="0" borderId="15" xfId="0" applyNumberFormat="1" applyFont="1" applyBorder="1" applyAlignment="1" applyProtection="1">
      <alignment horizontal="center" vertical="center"/>
      <protection/>
    </xf>
    <xf numFmtId="2" fontId="14" fillId="0" borderId="16" xfId="0" applyNumberFormat="1" applyFont="1" applyBorder="1" applyAlignment="1" applyProtection="1">
      <alignment horizontal="center" vertical="center"/>
      <protection/>
    </xf>
    <xf numFmtId="165" fontId="2" fillId="4" borderId="36" xfId="0" applyNumberFormat="1" applyFont="1" applyFill="1" applyBorder="1" applyAlignment="1" applyProtection="1">
      <alignment horizontal="right" vertical="center" wrapText="1"/>
      <protection/>
    </xf>
    <xf numFmtId="165" fontId="2" fillId="4" borderId="85" xfId="0" applyNumberFormat="1" applyFont="1" applyFill="1" applyBorder="1" applyAlignment="1" applyProtection="1">
      <alignment horizontal="right" vertical="center" wrapText="1"/>
      <protection/>
    </xf>
    <xf numFmtId="165" fontId="2" fillId="4" borderId="4" xfId="0" applyNumberFormat="1" applyFont="1" applyFill="1" applyBorder="1" applyAlignment="1" applyProtection="1">
      <alignment horizontal="right" vertical="center" wrapText="1"/>
      <protection/>
    </xf>
    <xf numFmtId="165" fontId="2" fillId="4" borderId="71" xfId="0" applyNumberFormat="1" applyFont="1" applyFill="1" applyBorder="1" applyAlignment="1" applyProtection="1">
      <alignment horizontal="right" vertical="center" wrapText="1"/>
      <protection/>
    </xf>
    <xf numFmtId="0" fontId="8" fillId="4" borderId="112" xfId="0" applyFont="1" applyFill="1" applyBorder="1" applyAlignment="1" applyProtection="1">
      <alignment horizontal="right"/>
      <protection locked="0"/>
    </xf>
    <xf numFmtId="0" fontId="8" fillId="4" borderId="113" xfId="0" applyFont="1" applyFill="1" applyBorder="1" applyAlignment="1" applyProtection="1">
      <alignment horizontal="right"/>
      <protection locked="0"/>
    </xf>
    <xf numFmtId="0" fontId="8" fillId="4" borderId="114" xfId="0" applyFont="1" applyFill="1" applyBorder="1" applyAlignment="1" applyProtection="1">
      <alignment horizontal="right"/>
      <protection locked="0"/>
    </xf>
    <xf numFmtId="0" fontId="2" fillId="4" borderId="46" xfId="0" applyFont="1" applyFill="1" applyBorder="1" applyAlignment="1" applyProtection="1">
      <alignment horizontal="right"/>
      <protection locked="0"/>
    </xf>
    <xf numFmtId="0" fontId="2" fillId="4" borderId="39" xfId="0" applyFont="1" applyFill="1" applyBorder="1" applyAlignment="1" applyProtection="1">
      <alignment horizontal="right"/>
      <protection locked="0"/>
    </xf>
    <xf numFmtId="0" fontId="2" fillId="4" borderId="37" xfId="0" applyFont="1" applyFill="1" applyBorder="1" applyAlignment="1" applyProtection="1">
      <alignment horizontal="right"/>
      <protection locked="0"/>
    </xf>
    <xf numFmtId="0" fontId="2" fillId="4" borderId="84" xfId="0" applyFont="1" applyFill="1" applyBorder="1" applyAlignment="1" applyProtection="1">
      <alignment horizontal="center" vertical="center" wrapText="1"/>
      <protection/>
    </xf>
    <xf numFmtId="0" fontId="2" fillId="4" borderId="85" xfId="0" applyFont="1" applyFill="1" applyBorder="1" applyAlignment="1" applyProtection="1">
      <alignment horizontal="center" vertical="center" wrapText="1"/>
      <protection/>
    </xf>
    <xf numFmtId="0" fontId="2" fillId="4" borderId="94"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31" fillId="4" borderId="0" xfId="0" applyFont="1" applyFill="1" applyBorder="1" applyAlignment="1" applyProtection="1">
      <alignment horizontal="right" vertical="center" wrapText="1"/>
      <protection locked="0"/>
    </xf>
    <xf numFmtId="0" fontId="17" fillId="4" borderId="7" xfId="0" applyFont="1" applyFill="1" applyBorder="1" applyAlignment="1" applyProtection="1">
      <alignment horizontal="right" vertical="center" wrapText="1"/>
      <protection/>
    </xf>
    <xf numFmtId="0" fontId="17" fillId="4" borderId="115" xfId="0" applyFont="1" applyFill="1" applyBorder="1" applyAlignment="1" applyProtection="1">
      <alignment horizontal="right" vertical="center" wrapText="1"/>
      <protection/>
    </xf>
    <xf numFmtId="0" fontId="17" fillId="4" borderId="5" xfId="0" applyFont="1" applyFill="1" applyBorder="1" applyAlignment="1" applyProtection="1">
      <alignment horizontal="right" vertical="center" wrapText="1"/>
      <protection/>
    </xf>
    <xf numFmtId="0" fontId="17" fillId="4" borderId="49" xfId="0" applyFont="1" applyFill="1" applyBorder="1" applyAlignment="1" applyProtection="1">
      <alignment horizontal="right" vertical="center" wrapText="1"/>
      <protection/>
    </xf>
    <xf numFmtId="0" fontId="17" fillId="4" borderId="94" xfId="0" applyFont="1" applyFill="1" applyBorder="1" applyAlignment="1" applyProtection="1">
      <alignment horizontal="right" vertical="center" wrapText="1"/>
      <protection/>
    </xf>
    <xf numFmtId="0" fontId="17" fillId="4" borderId="48" xfId="0" applyFont="1" applyFill="1" applyBorder="1" applyAlignment="1" applyProtection="1">
      <alignment horizontal="right" vertical="center" wrapText="1"/>
      <protection/>
    </xf>
    <xf numFmtId="0" fontId="15" fillId="4" borderId="5" xfId="0" applyFont="1" applyFill="1" applyBorder="1" applyAlignment="1" applyProtection="1">
      <alignment horizontal="right" wrapText="1"/>
      <protection/>
    </xf>
    <xf numFmtId="0" fontId="15" fillId="4" borderId="0" xfId="0" applyFont="1" applyFill="1" applyBorder="1" applyAlignment="1" applyProtection="1">
      <alignment horizontal="right" wrapText="1"/>
      <protection/>
    </xf>
    <xf numFmtId="170" fontId="0" fillId="2" borderId="13" xfId="0" applyNumberFormat="1" applyFill="1" applyBorder="1" applyAlignment="1" applyProtection="1">
      <alignment horizontal="right" vertical="center"/>
      <protection locked="0"/>
    </xf>
    <xf numFmtId="170" fontId="0" fillId="2" borderId="37" xfId="0" applyNumberFormat="1" applyFill="1" applyBorder="1" applyAlignment="1" applyProtection="1">
      <alignment horizontal="right" vertical="center"/>
      <protection locked="0"/>
    </xf>
    <xf numFmtId="166" fontId="0" fillId="0" borderId="13" xfId="0" applyNumberFormat="1" applyFill="1" applyBorder="1" applyAlignment="1" applyProtection="1">
      <alignment horizontal="right" vertical="center"/>
      <protection/>
    </xf>
    <xf numFmtId="166" fontId="0" fillId="0" borderId="37" xfId="0" applyNumberFormat="1" applyFill="1" applyBorder="1" applyAlignment="1" applyProtection="1">
      <alignment horizontal="right" vertical="center"/>
      <protection/>
    </xf>
    <xf numFmtId="0" fontId="0" fillId="4" borderId="5" xfId="0" applyFont="1" applyFill="1" applyBorder="1" applyAlignment="1" applyProtection="1">
      <alignment horizontal="right" vertical="center" wrapText="1"/>
      <protection locked="0"/>
    </xf>
    <xf numFmtId="0" fontId="0" fillId="4" borderId="0" xfId="0" applyFont="1" applyFill="1" applyBorder="1" applyAlignment="1" applyProtection="1">
      <alignment horizontal="right" vertical="center" wrapText="1"/>
      <protection locked="0"/>
    </xf>
    <xf numFmtId="0" fontId="0" fillId="4" borderId="5"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5" borderId="0" xfId="0" applyFill="1" applyBorder="1" applyAlignment="1" applyProtection="1">
      <alignment horizontal="left" wrapText="1"/>
      <protection locked="0"/>
    </xf>
    <xf numFmtId="0" fontId="0" fillId="5" borderId="22" xfId="0" applyFill="1" applyBorder="1" applyAlignment="1" applyProtection="1">
      <alignment horizontal="left" wrapText="1"/>
      <protection locked="0"/>
    </xf>
    <xf numFmtId="0" fontId="0" fillId="4" borderId="43" xfId="0" applyFill="1" applyBorder="1" applyAlignment="1" applyProtection="1">
      <alignment horizontal="right" wrapText="1"/>
      <protection/>
    </xf>
    <xf numFmtId="0" fontId="0" fillId="4" borderId="33" xfId="0" applyFill="1" applyBorder="1" applyAlignment="1" applyProtection="1">
      <alignment horizontal="right" wrapText="1"/>
      <protection/>
    </xf>
    <xf numFmtId="0" fontId="0" fillId="4" borderId="5" xfId="0" applyFill="1" applyBorder="1" applyAlignment="1" applyProtection="1">
      <alignment horizontal="right" wrapText="1"/>
      <protection/>
    </xf>
    <xf numFmtId="0" fontId="3" fillId="6" borderId="116" xfId="0" applyFont="1" applyFill="1" applyBorder="1" applyAlignment="1" applyProtection="1">
      <alignment horizontal="left" vertical="top" wrapText="1"/>
      <protection locked="0"/>
    </xf>
    <xf numFmtId="0" fontId="3" fillId="6" borderId="117" xfId="0" applyFont="1" applyFill="1" applyBorder="1" applyAlignment="1" applyProtection="1">
      <alignment horizontal="left" vertical="top" wrapText="1"/>
      <protection locked="0"/>
    </xf>
    <xf numFmtId="0" fontId="3" fillId="6" borderId="118"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22"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16" xfId="0" applyFont="1" applyFill="1" applyBorder="1" applyAlignment="1" applyProtection="1">
      <alignment horizontal="left" vertical="top" wrapText="1"/>
      <protection locked="0"/>
    </xf>
    <xf numFmtId="0" fontId="3" fillId="6" borderId="43" xfId="0" applyFont="1" applyFill="1"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0" fillId="0" borderId="82" xfId="0" applyBorder="1" applyAlignment="1" applyProtection="1">
      <alignment horizontal="left" vertical="top" wrapText="1"/>
      <protection/>
    </xf>
    <xf numFmtId="0" fontId="0" fillId="0" borderId="119" xfId="0" applyBorder="1" applyAlignment="1" applyProtection="1">
      <alignment horizontal="left" vertical="top" wrapText="1"/>
      <protection/>
    </xf>
    <xf numFmtId="0" fontId="0" fillId="0" borderId="120" xfId="0" applyBorder="1" applyAlignment="1" applyProtection="1">
      <alignment horizontal="left" vertical="top" wrapText="1"/>
      <protection/>
    </xf>
    <xf numFmtId="0" fontId="0" fillId="0" borderId="121" xfId="0" applyBorder="1" applyAlignment="1" applyProtection="1">
      <alignment horizontal="left" vertical="top" wrapText="1"/>
      <protection/>
    </xf>
    <xf numFmtId="0" fontId="3" fillId="6" borderId="106" xfId="0" applyFont="1" applyFill="1" applyBorder="1" applyAlignment="1" applyProtection="1">
      <alignment horizontal="left" vertical="top" wrapText="1"/>
      <protection locked="0"/>
    </xf>
    <xf numFmtId="0" fontId="3" fillId="6" borderId="107" xfId="0" applyFont="1" applyFill="1" applyBorder="1" applyAlignment="1" applyProtection="1">
      <alignment horizontal="left" vertical="top" wrapText="1"/>
      <protection locked="0"/>
    </xf>
    <xf numFmtId="0" fontId="3" fillId="6" borderId="108" xfId="0" applyFont="1" applyFill="1" applyBorder="1" applyAlignment="1" applyProtection="1">
      <alignment horizontal="left" vertical="top" wrapText="1"/>
      <protection locked="0"/>
    </xf>
    <xf numFmtId="0" fontId="2" fillId="4" borderId="5" xfId="0" applyFont="1" applyFill="1" applyBorder="1" applyAlignment="1" applyProtection="1">
      <alignment horizontal="right" vertical="center" wrapText="1"/>
      <protection locked="0"/>
    </xf>
    <xf numFmtId="2" fontId="28" fillId="0" borderId="64" xfId="0" applyNumberFormat="1" applyFont="1" applyBorder="1" applyAlignment="1" applyProtection="1">
      <alignment horizontal="right" vertical="center"/>
      <protection/>
    </xf>
    <xf numFmtId="2" fontId="28" fillId="0" borderId="75" xfId="0" applyNumberFormat="1" applyFont="1" applyBorder="1" applyAlignment="1" applyProtection="1">
      <alignment horizontal="right" vertical="center"/>
      <protection/>
    </xf>
    <xf numFmtId="0" fontId="0" fillId="2" borderId="13" xfId="0" applyFill="1" applyBorder="1" applyAlignment="1" applyProtection="1">
      <alignment horizontal="left"/>
      <protection locked="0"/>
    </xf>
    <xf numFmtId="0" fontId="0" fillId="2" borderId="39"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18" fillId="9" borderId="54" xfId="0" applyFont="1" applyFill="1" applyBorder="1" applyAlignment="1" applyProtection="1">
      <alignment horizontal="left" vertical="center"/>
      <protection locked="0"/>
    </xf>
    <xf numFmtId="0" fontId="18" fillId="9" borderId="95" xfId="0" applyFont="1" applyFill="1" applyBorder="1" applyAlignment="1" applyProtection="1">
      <alignment horizontal="left" vertical="center"/>
      <protection locked="0"/>
    </xf>
    <xf numFmtId="0" fontId="18" fillId="9" borderId="122" xfId="0" applyFont="1" applyFill="1" applyBorder="1" applyAlignment="1" applyProtection="1">
      <alignment horizontal="left" vertical="center"/>
      <protection locked="0"/>
    </xf>
    <xf numFmtId="164" fontId="25" fillId="2" borderId="13" xfId="0" applyNumberFormat="1" applyFont="1" applyFill="1" applyBorder="1" applyAlignment="1" applyProtection="1">
      <alignment horizontal="right" vertical="center" wrapText="1"/>
      <protection locked="0"/>
    </xf>
    <xf numFmtId="164" fontId="25" fillId="2" borderId="37" xfId="0" applyNumberFormat="1" applyFont="1" applyFill="1" applyBorder="1" applyAlignment="1" applyProtection="1">
      <alignment horizontal="right" vertical="center" wrapText="1"/>
      <protection locked="0"/>
    </xf>
    <xf numFmtId="0" fontId="12" fillId="5" borderId="5"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7" xfId="0" applyFont="1" applyFill="1" applyBorder="1" applyAlignment="1" applyProtection="1">
      <alignment horizontal="left" vertical="top" wrapText="1"/>
      <protection locked="0"/>
    </xf>
    <xf numFmtId="0" fontId="12" fillId="5" borderId="18" xfId="0" applyFont="1" applyFill="1" applyBorder="1" applyAlignment="1" applyProtection="1">
      <alignment horizontal="left" vertical="top" wrapText="1"/>
      <protection locked="0"/>
    </xf>
    <xf numFmtId="0" fontId="0" fillId="6" borderId="43" xfId="0" applyFill="1" applyBorder="1" applyAlignment="1" applyProtection="1">
      <alignment horizontal="left" vertical="top" wrapText="1"/>
      <protection locked="0"/>
    </xf>
    <xf numFmtId="0" fontId="0" fillId="6" borderId="33" xfId="0" applyFill="1" applyBorder="1" applyAlignment="1" applyProtection="1">
      <alignment horizontal="left" vertical="top" wrapText="1"/>
      <protection locked="0"/>
    </xf>
    <xf numFmtId="0" fontId="0" fillId="6" borderId="82" xfId="0" applyFill="1" applyBorder="1" applyAlignment="1" applyProtection="1">
      <alignment horizontal="left" vertical="top" wrapText="1"/>
      <protection locked="0"/>
    </xf>
    <xf numFmtId="4" fontId="17" fillId="0" borderId="64" xfId="0" applyNumberFormat="1" applyFont="1" applyBorder="1" applyAlignment="1" applyProtection="1">
      <alignment horizontal="right" vertical="center"/>
      <protection/>
    </xf>
    <xf numFmtId="4" fontId="17" fillId="0" borderId="75" xfId="0" applyNumberFormat="1" applyFont="1" applyBorder="1" applyAlignment="1" applyProtection="1">
      <alignment horizontal="right" vertical="center"/>
      <protection/>
    </xf>
    <xf numFmtId="0" fontId="4" fillId="5" borderId="8" xfId="0" applyFont="1" applyFill="1" applyBorder="1" applyAlignment="1" applyProtection="1">
      <alignment horizontal="left" wrapText="1"/>
      <protection locked="0"/>
    </xf>
    <xf numFmtId="0" fontId="4" fillId="5" borderId="101" xfId="0" applyFont="1" applyFill="1" applyBorder="1" applyAlignment="1" applyProtection="1">
      <alignment horizontal="left" wrapText="1"/>
      <protection locked="0"/>
    </xf>
    <xf numFmtId="0" fontId="4" fillId="5" borderId="0" xfId="0" applyFont="1" applyFill="1" applyBorder="1" applyAlignment="1" applyProtection="1">
      <alignment horizontal="left" wrapText="1"/>
      <protection locked="0"/>
    </xf>
    <xf numFmtId="0" fontId="4" fillId="5" borderId="22" xfId="0" applyFont="1" applyFill="1" applyBorder="1" applyAlignment="1" applyProtection="1">
      <alignment horizontal="left" wrapText="1"/>
      <protection locked="0"/>
    </xf>
    <xf numFmtId="0" fontId="12" fillId="4" borderId="0" xfId="0" applyFont="1" applyFill="1" applyBorder="1" applyAlignment="1" applyProtection="1">
      <alignment horizontal="right" vertical="top" wrapText="1"/>
      <protection/>
    </xf>
    <xf numFmtId="0" fontId="4" fillId="0" borderId="123" xfId="0" applyFont="1" applyBorder="1" applyAlignment="1" applyProtection="1">
      <alignment horizontal="left"/>
      <protection/>
    </xf>
    <xf numFmtId="0" fontId="4" fillId="0" borderId="124" xfId="0" applyFont="1" applyBorder="1" applyAlignment="1" applyProtection="1">
      <alignment horizontal="left"/>
      <protection/>
    </xf>
    <xf numFmtId="0" fontId="4" fillId="0" borderId="125" xfId="0" applyFont="1" applyBorder="1" applyAlignment="1" applyProtection="1">
      <alignment horizontal="left"/>
      <protection/>
    </xf>
    <xf numFmtId="0" fontId="0" fillId="4" borderId="13" xfId="0" applyFont="1" applyFill="1" applyBorder="1" applyAlignment="1" applyProtection="1">
      <alignment horizontal="left" wrapText="1"/>
      <protection locked="0"/>
    </xf>
    <xf numFmtId="0" fontId="0" fillId="4" borderId="39" xfId="0" applyFont="1" applyFill="1" applyBorder="1" applyAlignment="1" applyProtection="1">
      <alignment horizontal="left" wrapText="1"/>
      <protection locked="0"/>
    </xf>
    <xf numFmtId="0" fontId="0" fillId="4" borderId="37" xfId="0" applyFont="1" applyFill="1" applyBorder="1" applyAlignment="1" applyProtection="1">
      <alignment horizontal="left" wrapText="1"/>
      <protection locked="0"/>
    </xf>
    <xf numFmtId="0" fontId="0" fillId="4" borderId="42" xfId="0" applyFont="1" applyFill="1" applyBorder="1" applyAlignment="1" applyProtection="1">
      <alignment horizontal="left" wrapText="1"/>
      <protection locked="0"/>
    </xf>
    <xf numFmtId="0" fontId="0" fillId="4" borderId="36" xfId="0" applyFont="1" applyFill="1" applyBorder="1" applyAlignment="1" applyProtection="1">
      <alignment horizontal="left" wrapText="1"/>
      <protection locked="0"/>
    </xf>
    <xf numFmtId="0" fontId="0" fillId="4" borderId="85" xfId="0" applyFont="1" applyFill="1" applyBorder="1" applyAlignment="1" applyProtection="1">
      <alignment horizontal="left" wrapText="1"/>
      <protection locked="0"/>
    </xf>
    <xf numFmtId="0" fontId="23" fillId="2" borderId="13" xfId="0" applyFont="1" applyFill="1" applyBorder="1" applyAlignment="1" applyProtection="1">
      <alignment horizontal="left" wrapText="1"/>
      <protection locked="0"/>
    </xf>
    <xf numFmtId="0" fontId="23" fillId="2" borderId="39" xfId="0" applyFont="1" applyFill="1" applyBorder="1" applyAlignment="1" applyProtection="1">
      <alignment horizontal="left" wrapText="1"/>
      <protection locked="0"/>
    </xf>
    <xf numFmtId="0" fontId="23" fillId="2" borderId="37" xfId="0" applyFont="1" applyFill="1" applyBorder="1" applyAlignment="1" applyProtection="1">
      <alignment horizontal="left" wrapText="1"/>
      <protection locked="0"/>
    </xf>
    <xf numFmtId="0" fontId="0" fillId="4" borderId="126" xfId="0" applyFont="1" applyFill="1" applyBorder="1" applyAlignment="1" applyProtection="1">
      <alignment horizontal="left" vertical="center" wrapText="1"/>
      <protection/>
    </xf>
    <xf numFmtId="0" fontId="0" fillId="4" borderId="127" xfId="0" applyFont="1" applyFill="1" applyBorder="1" applyAlignment="1" applyProtection="1">
      <alignment horizontal="left" vertical="center" wrapText="1"/>
      <protection/>
    </xf>
    <xf numFmtId="0" fontId="0" fillId="4" borderId="128" xfId="0" applyFont="1" applyFill="1" applyBorder="1" applyAlignment="1" applyProtection="1">
      <alignment horizontal="left" vertical="center" wrapText="1"/>
      <protection/>
    </xf>
    <xf numFmtId="0" fontId="0" fillId="4" borderId="129" xfId="0" applyFont="1" applyFill="1" applyBorder="1" applyAlignment="1" applyProtection="1">
      <alignment horizontal="left" vertical="center" wrapText="1"/>
      <protection/>
    </xf>
    <xf numFmtId="0" fontId="2" fillId="4" borderId="39" xfId="0" applyFont="1" applyFill="1" applyBorder="1" applyAlignment="1" applyProtection="1">
      <alignment horizontal="left" vertical="center" wrapText="1"/>
      <protection/>
    </xf>
    <xf numFmtId="0" fontId="0" fillId="4" borderId="39" xfId="0" applyFont="1" applyFill="1" applyBorder="1" applyAlignment="1" applyProtection="1">
      <alignment horizontal="left" vertical="center" wrapText="1"/>
      <protection/>
    </xf>
    <xf numFmtId="0" fontId="0" fillId="4" borderId="130" xfId="0" applyFont="1" applyFill="1" applyBorder="1" applyAlignment="1" applyProtection="1">
      <alignment horizontal="left" vertical="center" wrapText="1"/>
      <protection/>
    </xf>
    <xf numFmtId="0" fontId="18" fillId="9" borderId="46" xfId="0" applyFont="1" applyFill="1" applyBorder="1" applyAlignment="1" applyProtection="1">
      <alignment horizontal="left" vertical="center" wrapText="1"/>
      <protection locked="0"/>
    </xf>
    <xf numFmtId="0" fontId="18" fillId="9" borderId="39" xfId="0" applyFont="1" applyFill="1" applyBorder="1" applyAlignment="1" applyProtection="1">
      <alignment horizontal="left" vertical="center" wrapText="1"/>
      <protection locked="0"/>
    </xf>
    <xf numFmtId="0" fontId="18" fillId="9" borderId="59"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top" wrapText="1"/>
      <protection locked="0"/>
    </xf>
    <xf numFmtId="0" fontId="4" fillId="5" borderId="101" xfId="0" applyFont="1" applyFill="1" applyBorder="1" applyAlignment="1" applyProtection="1">
      <alignment horizontal="left" vertical="top" wrapText="1"/>
      <protection locked="0"/>
    </xf>
    <xf numFmtId="0" fontId="3" fillId="6" borderId="131" xfId="0" applyFont="1" applyFill="1" applyBorder="1" applyAlignment="1" applyProtection="1">
      <alignment horizontal="left" vertical="top" wrapText="1"/>
      <protection/>
    </xf>
    <xf numFmtId="0" fontId="0" fillId="0" borderId="132" xfId="0" applyBorder="1" applyAlignment="1" applyProtection="1">
      <alignment horizontal="left" vertical="top" wrapText="1"/>
      <protection/>
    </xf>
    <xf numFmtId="0" fontId="0" fillId="0" borderId="133" xfId="0" applyBorder="1" applyAlignment="1" applyProtection="1">
      <alignment horizontal="left" vertical="top" wrapText="1"/>
      <protection/>
    </xf>
    <xf numFmtId="0" fontId="7" fillId="6" borderId="43" xfId="0" applyFont="1" applyFill="1" applyBorder="1" applyAlignment="1" applyProtection="1">
      <alignment horizontal="left" vertical="center" wrapText="1"/>
      <protection locked="0"/>
    </xf>
    <xf numFmtId="0" fontId="7" fillId="6" borderId="33" xfId="0" applyFont="1" applyFill="1" applyBorder="1" applyAlignment="1" applyProtection="1">
      <alignment horizontal="left" vertical="center" wrapText="1"/>
      <protection locked="0"/>
    </xf>
    <xf numFmtId="0" fontId="7" fillId="6" borderId="82"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22"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6" borderId="16"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2" xfId="0" applyFont="1" applyFill="1" applyBorder="1" applyAlignment="1" applyProtection="1">
      <alignment horizontal="left" vertical="top" wrapText="1"/>
      <protection locked="0"/>
    </xf>
    <xf numFmtId="0" fontId="25" fillId="2" borderId="13" xfId="0" applyFont="1" applyFill="1" applyBorder="1" applyAlignment="1" applyProtection="1">
      <alignment horizontal="left" vertical="center"/>
      <protection locked="0"/>
    </xf>
    <xf numFmtId="0" fontId="25" fillId="2" borderId="39" xfId="0" applyFont="1" applyFill="1" applyBorder="1" applyAlignment="1" applyProtection="1">
      <alignment horizontal="left" vertical="center"/>
      <protection locked="0"/>
    </xf>
    <xf numFmtId="0" fontId="25" fillId="2" borderId="37" xfId="0" applyFont="1" applyFill="1" applyBorder="1" applyAlignment="1" applyProtection="1">
      <alignment horizontal="left" vertical="center"/>
      <protection locked="0"/>
    </xf>
    <xf numFmtId="169" fontId="25" fillId="0" borderId="13" xfId="0" applyNumberFormat="1" applyFont="1" applyFill="1" applyBorder="1" applyAlignment="1" applyProtection="1">
      <alignment horizontal="right" vertical="center"/>
      <protection/>
    </xf>
    <xf numFmtId="169" fontId="25" fillId="0" borderId="37" xfId="0" applyNumberFormat="1" applyFont="1" applyFill="1" applyBorder="1" applyAlignment="1" applyProtection="1">
      <alignment horizontal="right" vertical="center"/>
      <protection/>
    </xf>
    <xf numFmtId="0" fontId="26" fillId="5" borderId="8"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protection locked="0"/>
    </xf>
    <xf numFmtId="2" fontId="25" fillId="0" borderId="105" xfId="0" applyNumberFormat="1" applyFont="1" applyFill="1" applyBorder="1" applyAlignment="1" applyProtection="1">
      <alignment horizontal="right" vertical="center"/>
      <protection/>
    </xf>
    <xf numFmtId="2" fontId="25" fillId="0" borderId="104" xfId="0" applyNumberFormat="1" applyFont="1" applyFill="1" applyBorder="1" applyAlignment="1" applyProtection="1">
      <alignment horizontal="right" vertical="center"/>
      <protection/>
    </xf>
    <xf numFmtId="0" fontId="25" fillId="4" borderId="0" xfId="0" applyFont="1" applyFill="1" applyBorder="1" applyAlignment="1" applyProtection="1">
      <alignment horizontal="right" wrapText="1"/>
      <protection/>
    </xf>
    <xf numFmtId="0" fontId="0" fillId="6" borderId="43" xfId="0" applyFill="1" applyBorder="1" applyAlignment="1" applyProtection="1">
      <alignment horizontal="left" vertical="top" wrapText="1"/>
      <protection/>
    </xf>
    <xf numFmtId="0" fontId="0" fillId="6" borderId="33" xfId="0" applyFill="1" applyBorder="1" applyAlignment="1" applyProtection="1">
      <alignment horizontal="left" vertical="top" wrapText="1"/>
      <protection/>
    </xf>
    <xf numFmtId="0" fontId="0" fillId="6" borderId="82" xfId="0" applyFill="1" applyBorder="1" applyAlignment="1" applyProtection="1">
      <alignment horizontal="left" vertical="top" wrapText="1"/>
      <protection/>
    </xf>
    <xf numFmtId="0" fontId="0" fillId="6" borderId="5" xfId="0" applyFill="1" applyBorder="1" applyAlignment="1" applyProtection="1">
      <alignment horizontal="left" vertical="top" wrapText="1"/>
      <protection/>
    </xf>
    <xf numFmtId="0" fontId="0" fillId="6" borderId="0" xfId="0" applyFill="1" applyBorder="1" applyAlignment="1" applyProtection="1">
      <alignment horizontal="left" vertical="top" wrapText="1"/>
      <protection/>
    </xf>
    <xf numFmtId="0" fontId="0" fillId="6" borderId="22" xfId="0" applyFill="1" applyBorder="1" applyAlignment="1" applyProtection="1">
      <alignment horizontal="left" vertical="top" wrapText="1"/>
      <protection/>
    </xf>
    <xf numFmtId="0" fontId="0" fillId="6" borderId="134" xfId="0" applyFill="1" applyBorder="1" applyAlignment="1" applyProtection="1">
      <alignment horizontal="left" vertical="top" wrapText="1"/>
      <protection/>
    </xf>
    <xf numFmtId="0" fontId="0" fillId="6" borderId="135" xfId="0" applyFill="1" applyBorder="1" applyAlignment="1" applyProtection="1">
      <alignment horizontal="left" vertical="top" wrapText="1"/>
      <protection/>
    </xf>
    <xf numFmtId="0" fontId="0" fillId="6" borderId="136" xfId="0" applyFill="1" applyBorder="1" applyAlignment="1" applyProtection="1">
      <alignment horizontal="left" vertical="top" wrapText="1"/>
      <protection/>
    </xf>
    <xf numFmtId="0" fontId="5" fillId="5" borderId="17" xfId="0" applyFont="1" applyFill="1" applyBorder="1" applyAlignment="1" applyProtection="1">
      <alignment horizontal="left"/>
      <protection locked="0"/>
    </xf>
    <xf numFmtId="0" fontId="5" fillId="5" borderId="18" xfId="0" applyFont="1" applyFill="1" applyBorder="1" applyAlignment="1" applyProtection="1">
      <alignment horizontal="left"/>
      <protection locked="0"/>
    </xf>
    <xf numFmtId="0" fontId="5" fillId="5" borderId="19" xfId="0" applyFont="1" applyFill="1" applyBorder="1" applyAlignment="1" applyProtection="1">
      <alignment horizontal="left"/>
      <protection locked="0"/>
    </xf>
    <xf numFmtId="0" fontId="0" fillId="4" borderId="0"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3" fillId="6" borderId="33" xfId="0" applyFont="1" applyFill="1" applyBorder="1" applyAlignment="1" applyProtection="1">
      <alignment horizontal="left" vertical="top" wrapText="1"/>
      <protection/>
    </xf>
    <xf numFmtId="0" fontId="3" fillId="6" borderId="82" xfId="0" applyFont="1" applyFill="1" applyBorder="1" applyAlignment="1" applyProtection="1">
      <alignment horizontal="left" vertical="top" wrapText="1"/>
      <protection/>
    </xf>
    <xf numFmtId="0" fontId="3" fillId="6" borderId="134" xfId="0" applyFont="1" applyFill="1" applyBorder="1" applyAlignment="1" applyProtection="1">
      <alignment horizontal="left" vertical="top" wrapText="1"/>
      <protection/>
    </xf>
    <xf numFmtId="0" fontId="3" fillId="6" borderId="135" xfId="0" applyFont="1" applyFill="1" applyBorder="1" applyAlignment="1" applyProtection="1">
      <alignment horizontal="left" vertical="top" wrapText="1"/>
      <protection/>
    </xf>
    <xf numFmtId="0" fontId="3" fillId="6" borderId="136" xfId="0" applyFont="1" applyFill="1" applyBorder="1" applyAlignment="1" applyProtection="1">
      <alignment horizontal="left" vertical="top" wrapText="1"/>
      <protection/>
    </xf>
    <xf numFmtId="0" fontId="4" fillId="5" borderId="8" xfId="0" applyFont="1" applyFill="1" applyBorder="1" applyAlignment="1" applyProtection="1">
      <alignment horizontal="left"/>
      <protection locked="0"/>
    </xf>
    <xf numFmtId="0" fontId="4" fillId="5" borderId="101" xfId="0" applyFont="1" applyFill="1" applyBorder="1" applyAlignment="1" applyProtection="1">
      <alignment horizontal="left"/>
      <protection locked="0"/>
    </xf>
    <xf numFmtId="1" fontId="0" fillId="3" borderId="22" xfId="0" applyNumberFormat="1" applyFill="1" applyBorder="1" applyAlignment="1" applyProtection="1">
      <alignment horizontal="left"/>
      <protection locked="0"/>
    </xf>
    <xf numFmtId="1" fontId="0" fillId="3" borderId="16" xfId="0" applyNumberFormat="1" applyFill="1" applyBorder="1" applyAlignment="1" applyProtection="1">
      <alignment horizontal="left"/>
      <protection locked="0"/>
    </xf>
    <xf numFmtId="0" fontId="2" fillId="4" borderId="36" xfId="0" applyFont="1" applyFill="1" applyBorder="1" applyAlignment="1" applyProtection="1">
      <alignment horizontal="left" wrapText="1"/>
      <protection locked="0"/>
    </xf>
    <xf numFmtId="0" fontId="2" fillId="4" borderId="0" xfId="0" applyFont="1" applyFill="1" applyBorder="1" applyAlignment="1" applyProtection="1">
      <alignment horizontal="left" wrapText="1"/>
      <protection locked="0"/>
    </xf>
    <xf numFmtId="164" fontId="0" fillId="2" borderId="13" xfId="0" applyNumberFormat="1" applyFill="1" applyBorder="1" applyAlignment="1" applyProtection="1">
      <alignment horizontal="right" vertical="center"/>
      <protection locked="0"/>
    </xf>
    <xf numFmtId="164" fontId="0" fillId="2" borderId="37" xfId="0" applyNumberFormat="1" applyFill="1" applyBorder="1" applyAlignment="1" applyProtection="1">
      <alignment horizontal="right" vertical="center"/>
      <protection locked="0"/>
    </xf>
    <xf numFmtId="0" fontId="18" fillId="9" borderId="54" xfId="0" applyFont="1" applyFill="1" applyBorder="1" applyAlignment="1" applyProtection="1">
      <alignment horizontal="left" wrapText="1"/>
      <protection locked="0"/>
    </xf>
    <xf numFmtId="0" fontId="18" fillId="9" borderId="95" xfId="0" applyFont="1" applyFill="1" applyBorder="1" applyAlignment="1" applyProtection="1">
      <alignment horizontal="left" wrapText="1"/>
      <protection locked="0"/>
    </xf>
    <xf numFmtId="0" fontId="18" fillId="9" borderId="122" xfId="0" applyFont="1" applyFill="1" applyBorder="1" applyAlignment="1" applyProtection="1">
      <alignment horizontal="left" wrapText="1"/>
      <protection locked="0"/>
    </xf>
    <xf numFmtId="2" fontId="17" fillId="0" borderId="13" xfId="0" applyNumberFormat="1" applyFont="1" applyBorder="1" applyAlignment="1" applyProtection="1">
      <alignment horizontal="right" vertical="center"/>
      <protection/>
    </xf>
    <xf numFmtId="2" fontId="17" fillId="0" borderId="37" xfId="0" applyNumberFormat="1" applyFont="1" applyBorder="1" applyAlignment="1" applyProtection="1">
      <alignment horizontal="right" vertical="center"/>
      <protection/>
    </xf>
    <xf numFmtId="0" fontId="17" fillId="4" borderId="5"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0" fillId="4" borderId="49" xfId="0" applyFill="1" applyBorder="1" applyAlignment="1" applyProtection="1">
      <alignment horizontal="right" vertical="center" textRotation="90" wrapText="1"/>
      <protection locked="0"/>
    </xf>
    <xf numFmtId="0" fontId="0" fillId="4" borderId="0" xfId="0" applyFill="1" applyBorder="1" applyAlignment="1" applyProtection="1">
      <alignment horizontal="center" vertical="center" textRotation="90"/>
      <protection locked="0"/>
    </xf>
    <xf numFmtId="0" fontId="14" fillId="6" borderId="106" xfId="0" applyFont="1" applyFill="1" applyBorder="1" applyAlignment="1" applyProtection="1">
      <alignment horizontal="left" vertical="top" wrapText="1"/>
      <protection locked="0"/>
    </xf>
    <xf numFmtId="0" fontId="14" fillId="6" borderId="107" xfId="0" applyFont="1" applyFill="1" applyBorder="1" applyAlignment="1" applyProtection="1">
      <alignment horizontal="left" vertical="top" wrapText="1"/>
      <protection locked="0"/>
    </xf>
    <xf numFmtId="0" fontId="14" fillId="6" borderId="108" xfId="0" applyFont="1" applyFill="1" applyBorder="1" applyAlignment="1" applyProtection="1">
      <alignment horizontal="left" vertical="top" wrapText="1"/>
      <protection locked="0"/>
    </xf>
    <xf numFmtId="0" fontId="14" fillId="6" borderId="5"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6" borderId="22" xfId="0" applyFont="1" applyFill="1" applyBorder="1" applyAlignment="1" applyProtection="1">
      <alignment horizontal="left" vertical="top" wrapText="1"/>
      <protection locked="0"/>
    </xf>
    <xf numFmtId="0" fontId="14" fillId="6" borderId="6" xfId="0" applyFont="1" applyFill="1" applyBorder="1" applyAlignment="1" applyProtection="1">
      <alignment horizontal="left" vertical="top" wrapText="1"/>
      <protection locked="0"/>
    </xf>
    <xf numFmtId="0" fontId="14" fillId="6" borderId="4" xfId="0" applyFont="1" applyFill="1" applyBorder="1" applyAlignment="1" applyProtection="1">
      <alignment horizontal="left" vertical="top" wrapText="1"/>
      <protection locked="0"/>
    </xf>
    <xf numFmtId="0" fontId="14" fillId="6" borderId="16" xfId="0" applyFont="1" applyFill="1" applyBorder="1" applyAlignment="1" applyProtection="1">
      <alignment horizontal="left" vertical="top" wrapText="1"/>
      <protection locked="0"/>
    </xf>
    <xf numFmtId="2" fontId="25" fillId="0" borderId="105" xfId="0" applyNumberFormat="1" applyFont="1" applyFill="1" applyBorder="1" applyAlignment="1" applyProtection="1">
      <alignment horizontal="right"/>
      <protection/>
    </xf>
    <xf numFmtId="2" fontId="25" fillId="0" borderId="104" xfId="0" applyNumberFormat="1" applyFont="1" applyFill="1" applyBorder="1" applyAlignment="1" applyProtection="1">
      <alignment horizontal="right"/>
      <protection/>
    </xf>
    <xf numFmtId="0" fontId="0" fillId="2" borderId="13"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14" fillId="4" borderId="0" xfId="0" applyFont="1" applyFill="1" applyBorder="1" applyAlignment="1" applyProtection="1">
      <alignment horizontal="right" vertical="center" wrapText="1"/>
      <protection/>
    </xf>
    <xf numFmtId="0" fontId="14" fillId="4" borderId="49" xfId="0" applyFont="1" applyFill="1" applyBorder="1" applyAlignment="1" applyProtection="1">
      <alignment horizontal="right" vertical="center" wrapText="1"/>
      <protection/>
    </xf>
    <xf numFmtId="0" fontId="14" fillId="4" borderId="5" xfId="0" applyFont="1" applyFill="1" applyBorder="1" applyAlignment="1" applyProtection="1">
      <alignment horizontal="left" wrapText="1"/>
      <protection locked="0"/>
    </xf>
    <xf numFmtId="0" fontId="14" fillId="4" borderId="0" xfId="0" applyFont="1" applyFill="1" applyBorder="1" applyAlignment="1" applyProtection="1">
      <alignment horizontal="left" wrapText="1"/>
      <protection locked="0"/>
    </xf>
    <xf numFmtId="0" fontId="14" fillId="4" borderId="6" xfId="0" applyFont="1" applyFill="1" applyBorder="1" applyAlignment="1" applyProtection="1">
      <alignment horizontal="left" wrapText="1"/>
      <protection locked="0"/>
    </xf>
    <xf numFmtId="0" fontId="14" fillId="4" borderId="4" xfId="0" applyFont="1" applyFill="1" applyBorder="1" applyAlignment="1" applyProtection="1">
      <alignment horizontal="left" wrapText="1"/>
      <protection locked="0"/>
    </xf>
    <xf numFmtId="164" fontId="14" fillId="2" borderId="13" xfId="0" applyNumberFormat="1" applyFont="1" applyFill="1" applyBorder="1" applyAlignment="1" applyProtection="1">
      <alignment horizontal="right"/>
      <protection locked="0"/>
    </xf>
    <xf numFmtId="164" fontId="14" fillId="2" borderId="37" xfId="0" applyNumberFormat="1" applyFont="1" applyFill="1" applyBorder="1" applyAlignment="1" applyProtection="1">
      <alignment horizontal="right"/>
      <protection locked="0"/>
    </xf>
    <xf numFmtId="10" fontId="0" fillId="2" borderId="13" xfId="0" applyNumberFormat="1" applyFont="1" applyFill="1" applyBorder="1" applyAlignment="1" applyProtection="1">
      <alignment horizontal="right" vertical="center"/>
      <protection locked="0"/>
    </xf>
    <xf numFmtId="10" fontId="0" fillId="2" borderId="37" xfId="0" applyNumberFormat="1" applyFont="1" applyFill="1" applyBorder="1" applyAlignment="1" applyProtection="1">
      <alignment horizontal="right" vertical="center"/>
      <protection locked="0"/>
    </xf>
    <xf numFmtId="0" fontId="0" fillId="4" borderId="5" xfId="0" applyFill="1" applyBorder="1" applyAlignment="1" applyProtection="1">
      <alignment horizontal="right" wrapText="1"/>
      <protection locked="0"/>
    </xf>
    <xf numFmtId="0" fontId="0" fillId="4" borderId="0" xfId="0" applyFill="1" applyBorder="1" applyAlignment="1" applyProtection="1">
      <alignment horizontal="right" wrapText="1"/>
      <protection locked="0"/>
    </xf>
    <xf numFmtId="2" fontId="17" fillId="0" borderId="13" xfId="0" applyNumberFormat="1" applyFont="1" applyFill="1" applyBorder="1" applyAlignment="1" applyProtection="1">
      <alignment horizontal="right" vertical="center"/>
      <protection/>
    </xf>
    <xf numFmtId="2" fontId="17" fillId="0" borderId="37" xfId="0" applyNumberFormat="1" applyFont="1" applyFill="1" applyBorder="1" applyAlignment="1" applyProtection="1">
      <alignment horizontal="right" vertical="center"/>
      <protection/>
    </xf>
    <xf numFmtId="165" fontId="2" fillId="4" borderId="42" xfId="0" applyNumberFormat="1" applyFont="1" applyFill="1" applyBorder="1" applyAlignment="1" applyProtection="1">
      <alignment horizontal="right" vertical="center" wrapText="1"/>
      <protection/>
    </xf>
    <xf numFmtId="165" fontId="2" fillId="4" borderId="1" xfId="0" applyNumberFormat="1" applyFont="1" applyFill="1" applyBorder="1" applyAlignment="1" applyProtection="1">
      <alignment horizontal="right" vertical="center" wrapText="1"/>
      <protection/>
    </xf>
    <xf numFmtId="165" fontId="2" fillId="4" borderId="48" xfId="0" applyNumberFormat="1" applyFont="1" applyFill="1" applyBorder="1" applyAlignment="1" applyProtection="1">
      <alignment horizontal="right" vertical="center" wrapText="1"/>
      <protection/>
    </xf>
    <xf numFmtId="2" fontId="14" fillId="0" borderId="1" xfId="0" applyNumberFormat="1" applyFont="1" applyBorder="1" applyAlignment="1" applyProtection="1">
      <alignment horizontal="center" vertical="center"/>
      <protection/>
    </xf>
    <xf numFmtId="2" fontId="14" fillId="0" borderId="14" xfId="0" applyNumberFormat="1" applyFont="1" applyBorder="1" applyAlignment="1" applyProtection="1">
      <alignment horizontal="center" vertical="center"/>
      <protection/>
    </xf>
    <xf numFmtId="166" fontId="0" fillId="2" borderId="42" xfId="0" applyNumberFormat="1" applyFont="1" applyFill="1" applyBorder="1" applyAlignment="1" applyProtection="1">
      <alignment horizontal="center" vertical="center"/>
      <protection locked="0"/>
    </xf>
    <xf numFmtId="166" fontId="0" fillId="2" borderId="36" xfId="0" applyNumberFormat="1" applyFont="1" applyFill="1" applyBorder="1" applyAlignment="1" applyProtection="1">
      <alignment horizontal="center" vertical="center"/>
      <protection locked="0"/>
    </xf>
    <xf numFmtId="166" fontId="0" fillId="2" borderId="23" xfId="0" applyNumberFormat="1" applyFont="1" applyFill="1" applyBorder="1" applyAlignment="1" applyProtection="1">
      <alignment horizontal="center" vertical="center"/>
      <protection locked="0"/>
    </xf>
    <xf numFmtId="166" fontId="0" fillId="2" borderId="0"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protection/>
    </xf>
    <xf numFmtId="0" fontId="4" fillId="0" borderId="4" xfId="0" applyFont="1" applyFill="1" applyBorder="1" applyAlignment="1" applyProtection="1">
      <alignment horizontal="left" vertical="center"/>
      <protection/>
    </xf>
    <xf numFmtId="0" fontId="37" fillId="4" borderId="6" xfId="0" applyFont="1" applyFill="1" applyBorder="1" applyAlignment="1" applyProtection="1">
      <alignment horizontal="right" vertical="center" wrapText="1"/>
      <protection/>
    </xf>
    <xf numFmtId="0" fontId="37" fillId="4" borderId="71" xfId="0" applyFont="1" applyFill="1" applyBorder="1" applyAlignment="1" applyProtection="1">
      <alignment horizontal="right" vertical="center" wrapText="1"/>
      <protection/>
    </xf>
    <xf numFmtId="0" fontId="18" fillId="9" borderId="54" xfId="0" applyFont="1" applyFill="1" applyBorder="1" applyAlignment="1" applyProtection="1">
      <alignment horizontal="left" wrapText="1"/>
      <protection/>
    </xf>
    <xf numFmtId="0" fontId="18" fillId="9" borderId="95" xfId="0" applyFont="1" applyFill="1" applyBorder="1" applyAlignment="1" applyProtection="1">
      <alignment horizontal="left" wrapText="1"/>
      <protection/>
    </xf>
    <xf numFmtId="0" fontId="0" fillId="4" borderId="126" xfId="0" applyFont="1" applyFill="1" applyBorder="1" applyAlignment="1" applyProtection="1">
      <alignment vertical="center" wrapText="1"/>
      <protection/>
    </xf>
    <xf numFmtId="0" fontId="0" fillId="4" borderId="137" xfId="0" applyFont="1" applyFill="1" applyBorder="1" applyAlignment="1" applyProtection="1">
      <alignment vertical="center" wrapText="1"/>
      <protection/>
    </xf>
    <xf numFmtId="0" fontId="0" fillId="4" borderId="138" xfId="0" applyFont="1" applyFill="1" applyBorder="1" applyAlignment="1" applyProtection="1">
      <alignment vertical="center" wrapText="1"/>
      <protection/>
    </xf>
    <xf numFmtId="0" fontId="0" fillId="4" borderId="139" xfId="0" applyFont="1" applyFill="1" applyBorder="1" applyAlignment="1" applyProtection="1">
      <alignment vertical="center" wrapText="1"/>
      <protection/>
    </xf>
    <xf numFmtId="0" fontId="0" fillId="4" borderId="0" xfId="0" applyFill="1" applyBorder="1" applyAlignment="1" applyProtection="1">
      <alignment vertical="center" wrapText="1"/>
      <protection/>
    </xf>
    <xf numFmtId="0" fontId="0" fillId="4" borderId="140" xfId="0" applyFill="1" applyBorder="1" applyAlignment="1" applyProtection="1">
      <alignment vertical="center" wrapText="1"/>
      <protection/>
    </xf>
    <xf numFmtId="0" fontId="0" fillId="4" borderId="113" xfId="0" applyFont="1" applyFill="1" applyBorder="1" applyAlignment="1" applyProtection="1">
      <alignment horizontal="left" vertical="center" wrapText="1"/>
      <protection/>
    </xf>
    <xf numFmtId="0" fontId="2" fillId="4" borderId="113" xfId="0" applyFont="1" applyFill="1" applyBorder="1" applyAlignment="1" applyProtection="1">
      <alignment horizontal="left" vertical="center" wrapText="1"/>
      <protection/>
    </xf>
    <xf numFmtId="0" fontId="2" fillId="4" borderId="114" xfId="0" applyFont="1" applyFill="1" applyBorder="1" applyAlignment="1" applyProtection="1">
      <alignment horizontal="left" vertical="center" wrapText="1"/>
      <protection/>
    </xf>
    <xf numFmtId="0" fontId="17" fillId="0" borderId="75" xfId="0" applyFont="1" applyBorder="1" applyAlignment="1" applyProtection="1">
      <alignment horizontal="right" vertical="center"/>
      <protection/>
    </xf>
    <xf numFmtId="0" fontId="18" fillId="4" borderId="0" xfId="0" applyFont="1" applyFill="1" applyBorder="1" applyAlignment="1" applyProtection="1">
      <alignment horizontal="center"/>
      <protection locked="0"/>
    </xf>
    <xf numFmtId="0" fontId="15" fillId="4" borderId="0" xfId="0" applyFont="1" applyFill="1" applyBorder="1" applyAlignment="1" applyProtection="1">
      <alignment horizontal="right"/>
      <protection locked="0"/>
    </xf>
    <xf numFmtId="2" fontId="15" fillId="4" borderId="0" xfId="0" applyNumberFormat="1" applyFont="1" applyFill="1" applyBorder="1" applyAlignment="1" applyProtection="1">
      <alignment horizontal="right" vertical="center"/>
      <protection locked="0"/>
    </xf>
    <xf numFmtId="2" fontId="15" fillId="4" borderId="93" xfId="0" applyNumberFormat="1" applyFont="1" applyFill="1" applyBorder="1" applyAlignment="1" applyProtection="1">
      <alignment horizontal="right" vertical="center"/>
      <protection locked="0"/>
    </xf>
    <xf numFmtId="0" fontId="5" fillId="4" borderId="50" xfId="0" applyFont="1" applyFill="1" applyBorder="1" applyAlignment="1" applyProtection="1">
      <alignment horizontal="center"/>
      <protection locked="0"/>
    </xf>
    <xf numFmtId="0" fontId="5" fillId="4" borderId="2" xfId="0" applyFont="1" applyFill="1" applyBorder="1" applyAlignment="1" applyProtection="1">
      <alignment horizontal="center"/>
      <protection locked="0"/>
    </xf>
    <xf numFmtId="0" fontId="31" fillId="4" borderId="94" xfId="0" applyFont="1" applyFill="1" applyBorder="1" applyAlignment="1" applyProtection="1">
      <alignment horizontal="right" vertical="center" wrapText="1"/>
      <protection/>
    </xf>
    <xf numFmtId="0" fontId="31" fillId="4" borderId="48" xfId="0" applyFont="1" applyFill="1" applyBorder="1" applyAlignment="1" applyProtection="1">
      <alignment horizontal="right" vertical="center" wrapText="1"/>
      <protection/>
    </xf>
    <xf numFmtId="0" fontId="0" fillId="2" borderId="1" xfId="0" applyFont="1" applyFill="1" applyBorder="1" applyAlignment="1" applyProtection="1">
      <alignment horizontal="left" vertical="center"/>
      <protection locked="0"/>
    </xf>
    <xf numFmtId="0" fontId="0" fillId="2" borderId="47"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38" fillId="4" borderId="46" xfId="0" applyFont="1" applyFill="1" applyBorder="1" applyAlignment="1" applyProtection="1">
      <alignment horizontal="right" vertical="center"/>
      <protection/>
    </xf>
    <xf numFmtId="0" fontId="38" fillId="4" borderId="39" xfId="0" applyFont="1" applyFill="1" applyBorder="1" applyAlignment="1" applyProtection="1">
      <alignment horizontal="right" vertical="center"/>
      <protection/>
    </xf>
    <xf numFmtId="174" fontId="14" fillId="2" borderId="13" xfId="0" applyNumberFormat="1" applyFont="1" applyFill="1" applyBorder="1" applyAlignment="1" applyProtection="1">
      <alignment horizontal="center" vertical="center"/>
      <protection locked="0"/>
    </xf>
    <xf numFmtId="174" fontId="14" fillId="2" borderId="39" xfId="0" applyNumberFormat="1" applyFont="1" applyFill="1" applyBorder="1" applyAlignment="1" applyProtection="1">
      <alignment horizontal="center" vertical="center"/>
      <protection locked="0"/>
    </xf>
    <xf numFmtId="0" fontId="38" fillId="4" borderId="13" xfId="0" applyFont="1" applyFill="1" applyBorder="1" applyAlignment="1" applyProtection="1">
      <alignment horizontal="right" vertical="center" wrapText="1"/>
      <protection locked="0"/>
    </xf>
    <xf numFmtId="0" fontId="38" fillId="4" borderId="39" xfId="0" applyFont="1" applyFill="1" applyBorder="1" applyAlignment="1" applyProtection="1">
      <alignment horizontal="right" vertical="center" wrapText="1"/>
      <protection locked="0"/>
    </xf>
    <xf numFmtId="0" fontId="2" fillId="4" borderId="7" xfId="0" applyFont="1" applyFill="1" applyBorder="1" applyAlignment="1" applyProtection="1">
      <alignment horizontal="right" vertical="center" wrapText="1"/>
      <protection locked="0"/>
    </xf>
    <xf numFmtId="0" fontId="2" fillId="4" borderId="8" xfId="0" applyFont="1" applyFill="1" applyBorder="1" applyAlignment="1" applyProtection="1">
      <alignment horizontal="right" vertical="center" wrapText="1"/>
      <protection locked="0"/>
    </xf>
    <xf numFmtId="0" fontId="2" fillId="4" borderId="115" xfId="0" applyFont="1" applyFill="1" applyBorder="1" applyAlignment="1" applyProtection="1">
      <alignment horizontal="right" vertical="center" wrapText="1"/>
      <protection locked="0"/>
    </xf>
    <xf numFmtId="0" fontId="2" fillId="4" borderId="141" xfId="0" applyFont="1" applyFill="1" applyBorder="1" applyAlignment="1" applyProtection="1">
      <alignment horizontal="right" vertical="center" wrapText="1"/>
      <protection locked="0"/>
    </xf>
    <xf numFmtId="0" fontId="2" fillId="4" borderId="142" xfId="0" applyFont="1" applyFill="1" applyBorder="1" applyAlignment="1" applyProtection="1">
      <alignment horizontal="right" vertical="center" wrapText="1"/>
      <protection locked="0"/>
    </xf>
    <xf numFmtId="0" fontId="2" fillId="4" borderId="143" xfId="0" applyFont="1" applyFill="1" applyBorder="1" applyAlignment="1" applyProtection="1">
      <alignment horizontal="right" vertical="center" wrapText="1"/>
      <protection locked="0"/>
    </xf>
    <xf numFmtId="0" fontId="2" fillId="2" borderId="73" xfId="0" applyFont="1" applyFill="1" applyBorder="1" applyAlignment="1" applyProtection="1">
      <alignment horizontal="left" vertical="center" wrapText="1"/>
      <protection locked="0"/>
    </xf>
    <xf numFmtId="0" fontId="2" fillId="2" borderId="144"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0" fontId="2" fillId="2" borderId="145"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2" borderId="59"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174" fontId="0" fillId="0" borderId="13" xfId="0" applyNumberFormat="1" applyFont="1" applyFill="1" applyBorder="1" applyAlignment="1" applyProtection="1">
      <alignment horizontal="center" vertical="center"/>
      <protection/>
    </xf>
    <xf numFmtId="174" fontId="0" fillId="0" borderId="59" xfId="0" applyNumberFormat="1" applyFont="1" applyFill="1" applyBorder="1" applyAlignment="1" applyProtection="1">
      <alignment horizontal="center" vertical="center"/>
      <protection/>
    </xf>
    <xf numFmtId="174" fontId="14" fillId="2" borderId="13" xfId="0" applyNumberFormat="1" applyFont="1" applyFill="1" applyBorder="1" applyAlignment="1" applyProtection="1">
      <alignment horizontal="center" vertical="center" wrapText="1"/>
      <protection locked="0"/>
    </xf>
    <xf numFmtId="174" fontId="14" fillId="2" borderId="59" xfId="0" applyNumberFormat="1" applyFont="1" applyFill="1" applyBorder="1" applyAlignment="1" applyProtection="1">
      <alignment horizontal="center" vertical="center" wrapText="1"/>
      <protection locked="0"/>
    </xf>
    <xf numFmtId="0" fontId="2" fillId="4" borderId="147" xfId="0" applyFont="1" applyFill="1" applyBorder="1" applyAlignment="1" applyProtection="1">
      <alignment horizontal="right" vertical="center" wrapText="1"/>
      <protection/>
    </xf>
    <xf numFmtId="0" fontId="2" fillId="4" borderId="73" xfId="0" applyFont="1" applyFill="1" applyBorder="1" applyAlignment="1" applyProtection="1">
      <alignment horizontal="right" vertical="center" wrapText="1"/>
      <protection/>
    </xf>
    <xf numFmtId="0" fontId="2" fillId="4" borderId="148" xfId="0" applyFont="1" applyFill="1" applyBorder="1" applyAlignment="1" applyProtection="1">
      <alignment horizontal="right" vertical="center" wrapText="1"/>
      <protection/>
    </xf>
    <xf numFmtId="0" fontId="2" fillId="4" borderId="50" xfId="0" applyFont="1" applyFill="1" applyBorder="1" applyAlignment="1" applyProtection="1">
      <alignment horizontal="right" vertical="center" wrapText="1"/>
      <protection/>
    </xf>
    <xf numFmtId="0" fontId="2" fillId="4" borderId="149" xfId="0" applyFont="1" applyFill="1" applyBorder="1" applyAlignment="1" applyProtection="1">
      <alignment horizontal="right" vertical="center" wrapText="1"/>
      <protection/>
    </xf>
    <xf numFmtId="0" fontId="2" fillId="4" borderId="2" xfId="0" applyFont="1" applyFill="1" applyBorder="1" applyAlignment="1" applyProtection="1">
      <alignment horizontal="right" vertical="center" wrapText="1"/>
      <protection/>
    </xf>
    <xf numFmtId="0" fontId="2" fillId="4" borderId="67" xfId="0" applyFont="1" applyFill="1" applyBorder="1" applyAlignment="1" applyProtection="1">
      <alignment horizontal="center" vertical="center"/>
      <protection locked="0"/>
    </xf>
    <xf numFmtId="0" fontId="2" fillId="4" borderId="150" xfId="0" applyFont="1" applyFill="1" applyBorder="1" applyAlignment="1" applyProtection="1">
      <alignment horizontal="center" vertical="center"/>
      <protection locked="0"/>
    </xf>
    <xf numFmtId="0" fontId="2" fillId="4" borderId="151" xfId="0" applyFont="1" applyFill="1" applyBorder="1" applyAlignment="1" applyProtection="1">
      <alignment horizontal="center" vertical="center"/>
      <protection locked="0"/>
    </xf>
    <xf numFmtId="0" fontId="26" fillId="5" borderId="101" xfId="0" applyFont="1" applyFill="1" applyBorder="1" applyAlignment="1" applyProtection="1">
      <alignment horizontal="left" vertical="top" wrapText="1"/>
      <protection locked="0"/>
    </xf>
    <xf numFmtId="0" fontId="26" fillId="5" borderId="0" xfId="0" applyFont="1" applyFill="1" applyBorder="1" applyAlignment="1" applyProtection="1">
      <alignment horizontal="left" vertical="top" wrapText="1"/>
      <protection locked="0"/>
    </xf>
    <xf numFmtId="0" fontId="26" fillId="5" borderId="22" xfId="0" applyFont="1" applyFill="1" applyBorder="1" applyAlignment="1" applyProtection="1">
      <alignment horizontal="left" vertical="top" wrapText="1"/>
      <protection locked="0"/>
    </xf>
    <xf numFmtId="0" fontId="0" fillId="4" borderId="23" xfId="0" applyFont="1" applyFill="1" applyBorder="1" applyAlignment="1" applyProtection="1">
      <alignment horizontal="right" wrapText="1"/>
      <protection/>
    </xf>
    <xf numFmtId="0" fontId="0" fillId="4" borderId="23" xfId="0" applyFill="1" applyBorder="1" applyAlignment="1" applyProtection="1">
      <alignment horizontal="right" wrapText="1"/>
      <protection/>
    </xf>
    <xf numFmtId="0" fontId="31" fillId="4" borderId="47" xfId="0" applyFont="1" applyFill="1" applyBorder="1" applyAlignment="1" applyProtection="1">
      <alignment horizontal="right" vertical="center"/>
      <protection/>
    </xf>
    <xf numFmtId="0" fontId="31" fillId="4" borderId="48" xfId="0" applyFont="1" applyFill="1" applyBorder="1" applyAlignment="1" applyProtection="1">
      <alignment horizontal="right" vertical="center"/>
      <protection/>
    </xf>
    <xf numFmtId="167" fontId="0" fillId="0" borderId="109" xfId="0" applyNumberFormat="1" applyFont="1" applyFill="1" applyBorder="1" applyAlignment="1" applyProtection="1">
      <alignment horizontal="center" vertical="center"/>
      <protection/>
    </xf>
    <xf numFmtId="167" fontId="0" fillId="0" borderId="152" xfId="0" applyNumberFormat="1" applyFont="1" applyFill="1" applyBorder="1" applyAlignment="1" applyProtection="1">
      <alignment horizontal="center" vertical="center"/>
      <protection/>
    </xf>
    <xf numFmtId="0" fontId="2" fillId="4" borderId="5" xfId="0" applyFont="1" applyFill="1" applyBorder="1" applyAlignment="1" applyProtection="1">
      <alignment horizontal="right" vertical="center" wrapText="1"/>
      <protection/>
    </xf>
    <xf numFmtId="0" fontId="2" fillId="4" borderId="0" xfId="0" applyFont="1" applyFill="1" applyBorder="1" applyAlignment="1" applyProtection="1">
      <alignment horizontal="right" vertical="center" wrapText="1"/>
      <protection/>
    </xf>
    <xf numFmtId="0" fontId="2" fillId="4" borderId="49" xfId="0" applyFont="1" applyFill="1" applyBorder="1" applyAlignment="1" applyProtection="1">
      <alignment horizontal="right" vertical="center" wrapText="1"/>
      <protection/>
    </xf>
    <xf numFmtId="0" fontId="2" fillId="4" borderId="94" xfId="0" applyFont="1" applyFill="1" applyBorder="1" applyAlignment="1" applyProtection="1">
      <alignment horizontal="left" vertical="center"/>
      <protection locked="0"/>
    </xf>
    <xf numFmtId="0" fontId="2" fillId="4" borderId="47" xfId="0" applyFont="1" applyFill="1" applyBorder="1" applyAlignment="1" applyProtection="1">
      <alignment horizontal="left" vertical="center"/>
      <protection locked="0"/>
    </xf>
    <xf numFmtId="0" fontId="17" fillId="4" borderId="5" xfId="0" applyFont="1" applyFill="1" applyBorder="1" applyAlignment="1" applyProtection="1">
      <alignment horizontal="left" wrapText="1"/>
      <protection locked="0"/>
    </xf>
    <xf numFmtId="0" fontId="17" fillId="4" borderId="0" xfId="0" applyFont="1" applyFill="1" applyBorder="1" applyAlignment="1" applyProtection="1">
      <alignment horizontal="left" wrapText="1"/>
      <protection locked="0"/>
    </xf>
    <xf numFmtId="0" fontId="25" fillId="4" borderId="5" xfId="0" applyFont="1" applyFill="1" applyBorder="1" applyAlignment="1" applyProtection="1">
      <alignment horizontal="right" wrapText="1"/>
      <protection/>
    </xf>
    <xf numFmtId="0" fontId="15" fillId="4" borderId="49" xfId="0" applyFont="1" applyFill="1" applyBorder="1" applyAlignment="1" applyProtection="1">
      <alignment horizontal="right" wrapText="1"/>
      <protection/>
    </xf>
    <xf numFmtId="0" fontId="0" fillId="4" borderId="50" xfId="0" applyFill="1" applyBorder="1" applyAlignment="1" applyProtection="1">
      <alignment horizontal="center" vertical="center" textRotation="90" wrapText="1"/>
      <protection locked="0"/>
    </xf>
    <xf numFmtId="0" fontId="12" fillId="5" borderId="19" xfId="0" applyFont="1" applyFill="1" applyBorder="1" applyAlignment="1" applyProtection="1">
      <alignment horizontal="left" vertical="top" wrapText="1"/>
      <protection locked="0"/>
    </xf>
    <xf numFmtId="0" fontId="0" fillId="6" borderId="43" xfId="0" applyFont="1" applyFill="1" applyBorder="1" applyAlignment="1" applyProtection="1">
      <alignment horizontal="left" vertical="top" wrapText="1"/>
      <protection/>
    </xf>
    <xf numFmtId="0" fontId="0" fillId="6" borderId="33" xfId="0" applyFont="1" applyFill="1" applyBorder="1" applyAlignment="1" applyProtection="1">
      <alignment horizontal="left" vertical="top" wrapText="1"/>
      <protection/>
    </xf>
    <xf numFmtId="0" fontId="0" fillId="6" borderId="82" xfId="0" applyFont="1" applyFill="1" applyBorder="1" applyAlignment="1" applyProtection="1">
      <alignment horizontal="left" vertical="top" wrapText="1"/>
      <protection/>
    </xf>
    <xf numFmtId="0" fontId="0" fillId="6" borderId="134" xfId="0" applyFont="1" applyFill="1" applyBorder="1" applyAlignment="1" applyProtection="1">
      <alignment horizontal="left" vertical="top" wrapText="1"/>
      <protection/>
    </xf>
    <xf numFmtId="0" fontId="0" fillId="6" borderId="135" xfId="0" applyFont="1" applyFill="1" applyBorder="1" applyAlignment="1" applyProtection="1">
      <alignment horizontal="left" vertical="top" wrapText="1"/>
      <protection/>
    </xf>
    <xf numFmtId="0" fontId="0" fillId="6" borderId="136" xfId="0" applyFont="1" applyFill="1" applyBorder="1" applyAlignment="1" applyProtection="1">
      <alignment horizontal="left" vertical="top" wrapText="1"/>
      <protection/>
    </xf>
    <xf numFmtId="164" fontId="14" fillId="0" borderId="13" xfId="0" applyNumberFormat="1" applyFont="1" applyBorder="1" applyAlignment="1" applyProtection="1">
      <alignment horizontal="right" vertical="center"/>
      <protection/>
    </xf>
    <xf numFmtId="164" fontId="14" fillId="0" borderId="37" xfId="0" applyNumberFormat="1" applyFont="1" applyBorder="1" applyAlignment="1" applyProtection="1">
      <alignment horizontal="right" vertical="center"/>
      <protection/>
    </xf>
    <xf numFmtId="0" fontId="2" fillId="4" borderId="0" xfId="0" applyFont="1" applyFill="1" applyBorder="1" applyAlignment="1" applyProtection="1">
      <alignment horizontal="right" wrapText="1"/>
      <protection/>
    </xf>
    <xf numFmtId="169" fontId="14" fillId="0" borderId="13" xfId="0" applyNumberFormat="1" applyFont="1" applyFill="1" applyBorder="1" applyAlignment="1" applyProtection="1">
      <alignment horizontal="right"/>
      <protection/>
    </xf>
    <xf numFmtId="169" fontId="14" fillId="0" borderId="37" xfId="0" applyNumberFormat="1" applyFont="1" applyFill="1" applyBorder="1" applyAlignment="1" applyProtection="1">
      <alignment horizontal="right"/>
      <protection/>
    </xf>
    <xf numFmtId="0" fontId="0" fillId="4" borderId="23" xfId="0" applyFill="1" applyBorder="1" applyAlignment="1" applyProtection="1">
      <alignment horizontal="right" vertical="center" textRotation="90" wrapText="1"/>
      <protection locked="0"/>
    </xf>
    <xf numFmtId="0" fontId="0" fillId="4" borderId="49" xfId="0" applyFill="1" applyBorder="1" applyAlignment="1" applyProtection="1">
      <alignment horizontal="center" vertical="center" textRotation="90" wrapText="1"/>
      <protection locked="0"/>
    </xf>
    <xf numFmtId="2" fontId="17" fillId="0" borderId="64" xfId="0" applyNumberFormat="1" applyFont="1" applyFill="1" applyBorder="1" applyAlignment="1" applyProtection="1">
      <alignment horizontal="right"/>
      <protection/>
    </xf>
    <xf numFmtId="2" fontId="17" fillId="0" borderId="75" xfId="0" applyNumberFormat="1" applyFont="1" applyFill="1" applyBorder="1" applyAlignment="1" applyProtection="1">
      <alignment horizontal="right"/>
      <protection/>
    </xf>
    <xf numFmtId="2" fontId="14" fillId="0" borderId="13" xfId="0" applyNumberFormat="1" applyFont="1" applyFill="1" applyBorder="1" applyAlignment="1" applyProtection="1">
      <alignment horizontal="right" vertical="center"/>
      <protection/>
    </xf>
    <xf numFmtId="2" fontId="14" fillId="0" borderId="37" xfId="0" applyNumberFormat="1" applyFont="1" applyFill="1" applyBorder="1" applyAlignment="1" applyProtection="1">
      <alignment horizontal="right" vertical="center"/>
      <protection/>
    </xf>
    <xf numFmtId="0" fontId="2" fillId="4" borderId="0" xfId="0" applyFont="1" applyFill="1" applyBorder="1" applyAlignment="1" applyProtection="1">
      <alignment horizontal="right" wrapText="1"/>
      <protection locked="0"/>
    </xf>
    <xf numFmtId="0" fontId="0" fillId="4" borderId="0" xfId="0" applyFont="1" applyFill="1" applyBorder="1" applyAlignment="1" applyProtection="1">
      <alignment horizontal="right" wrapText="1"/>
      <protection locked="0"/>
    </xf>
    <xf numFmtId="169" fontId="14" fillId="0" borderId="13" xfId="0" applyNumberFormat="1" applyFont="1" applyBorder="1" applyAlignment="1" applyProtection="1">
      <alignment horizontal="right" vertical="center"/>
      <protection/>
    </xf>
    <xf numFmtId="169" fontId="14" fillId="0" borderId="37" xfId="0" applyNumberFormat="1" applyFont="1" applyBorder="1" applyAlignment="1" applyProtection="1">
      <alignment horizontal="right" vertical="center"/>
      <protection/>
    </xf>
    <xf numFmtId="0" fontId="0" fillId="0" borderId="134" xfId="0" applyBorder="1" applyAlignment="1" applyProtection="1">
      <alignment horizontal="left" vertical="top" wrapText="1"/>
      <protection/>
    </xf>
    <xf numFmtId="0" fontId="0" fillId="0" borderId="135" xfId="0" applyBorder="1" applyAlignment="1" applyProtection="1">
      <alignment horizontal="left" vertical="top" wrapText="1"/>
      <protection/>
    </xf>
    <xf numFmtId="0" fontId="0" fillId="0" borderId="136" xfId="0" applyBorder="1" applyAlignment="1" applyProtection="1">
      <alignment horizontal="left" vertical="top" wrapText="1"/>
      <protection/>
    </xf>
    <xf numFmtId="0" fontId="17" fillId="4" borderId="33" xfId="0"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protection locked="0"/>
    </xf>
    <xf numFmtId="2" fontId="0" fillId="0" borderId="105" xfId="0" applyNumberFormat="1" applyFill="1" applyBorder="1" applyAlignment="1" applyProtection="1">
      <alignment horizontal="right" vertical="center"/>
      <protection/>
    </xf>
    <xf numFmtId="2" fontId="0" fillId="0" borderId="104" xfId="0" applyNumberFormat="1" applyFill="1" applyBorder="1" applyAlignment="1" applyProtection="1">
      <alignment horizontal="right" vertical="center"/>
      <protection/>
    </xf>
    <xf numFmtId="2" fontId="0" fillId="2" borderId="13" xfId="0" applyNumberFormat="1" applyFill="1" applyBorder="1" applyAlignment="1" applyProtection="1">
      <alignment horizontal="right"/>
      <protection locked="0"/>
    </xf>
    <xf numFmtId="2" fontId="0" fillId="2" borderId="37" xfId="0" applyNumberFormat="1" applyFill="1" applyBorder="1" applyAlignment="1" applyProtection="1">
      <alignment horizontal="right"/>
      <protection locked="0"/>
    </xf>
    <xf numFmtId="0" fontId="4" fillId="5"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0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2" fontId="0" fillId="2" borderId="153" xfId="0" applyNumberFormat="1" applyFill="1" applyBorder="1" applyAlignment="1" applyProtection="1">
      <alignment horizontal="right"/>
      <protection locked="0"/>
    </xf>
    <xf numFmtId="2" fontId="0" fillId="2" borderId="154" xfId="0" applyNumberFormat="1" applyFill="1" applyBorder="1" applyAlignment="1" applyProtection="1">
      <alignment horizontal="right"/>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2" fillId="6" borderId="45" xfId="0" applyFont="1" applyFill="1" applyBorder="1" applyAlignment="1" applyProtection="1">
      <alignment horizontal="left"/>
      <protection/>
    </xf>
    <xf numFmtId="0" fontId="2" fillId="6" borderId="34" xfId="0" applyFont="1" applyFill="1" applyBorder="1" applyAlignment="1" applyProtection="1">
      <alignment horizontal="left"/>
      <protection/>
    </xf>
    <xf numFmtId="1" fontId="0" fillId="0" borderId="13" xfId="0" applyNumberFormat="1" applyFill="1" applyBorder="1" applyAlignment="1" applyProtection="1">
      <alignment horizontal="right" vertical="center"/>
      <protection/>
    </xf>
    <xf numFmtId="1" fontId="0" fillId="0" borderId="37" xfId="0" applyNumberFormat="1" applyFill="1" applyBorder="1" applyAlignment="1" applyProtection="1">
      <alignment horizontal="right" vertical="center"/>
      <protection/>
    </xf>
    <xf numFmtId="0" fontId="0" fillId="2" borderId="37" xfId="0" applyFont="1" applyFill="1" applyBorder="1" applyAlignment="1" applyProtection="1">
      <alignment horizontal="left" vertical="center"/>
      <protection locked="0"/>
    </xf>
    <xf numFmtId="2" fontId="0" fillId="2" borderId="13" xfId="0" applyNumberFormat="1" applyFill="1" applyBorder="1" applyAlignment="1" applyProtection="1">
      <alignment horizontal="right" vertical="center"/>
      <protection locked="0"/>
    </xf>
    <xf numFmtId="2" fontId="0" fillId="2" borderId="37" xfId="0" applyNumberFormat="1" applyFill="1" applyBorder="1" applyAlignment="1" applyProtection="1">
      <alignment horizontal="right" vertical="center"/>
      <protection locked="0"/>
    </xf>
    <xf numFmtId="2" fontId="0" fillId="0" borderId="13" xfId="0" applyNumberFormat="1" applyFill="1" applyBorder="1" applyAlignment="1" applyProtection="1">
      <alignment horizontal="right" vertical="center"/>
      <protection/>
    </xf>
    <xf numFmtId="2" fontId="0" fillId="0" borderId="37" xfId="0" applyNumberFormat="1" applyFill="1" applyBorder="1" applyAlignment="1" applyProtection="1">
      <alignment horizontal="right" vertical="center"/>
      <protection/>
    </xf>
    <xf numFmtId="2" fontId="0" fillId="0" borderId="12" xfId="0" applyNumberFormat="1" applyFill="1" applyBorder="1" applyAlignment="1" applyProtection="1">
      <alignment horizontal="right" vertical="center"/>
      <protection/>
    </xf>
    <xf numFmtId="2" fontId="0" fillId="4" borderId="0" xfId="0" applyNumberFormat="1" applyFont="1" applyFill="1" applyBorder="1" applyAlignment="1" applyProtection="1">
      <alignment horizontal="left" vertical="center"/>
      <protection/>
    </xf>
    <xf numFmtId="165" fontId="0" fillId="4" borderId="0" xfId="0" applyNumberFormat="1" applyFill="1" applyBorder="1" applyAlignment="1" applyProtection="1">
      <alignment horizontal="right" vertical="center"/>
      <protection/>
    </xf>
    <xf numFmtId="0" fontId="2" fillId="2" borderId="103"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10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47"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right" vertical="center" wrapText="1"/>
      <protection/>
    </xf>
    <xf numFmtId="0" fontId="8" fillId="4" borderId="85" xfId="0" applyFont="1" applyFill="1" applyBorder="1" applyAlignment="1" applyProtection="1">
      <alignment horizontal="right" vertical="center" wrapText="1"/>
      <protection/>
    </xf>
    <xf numFmtId="0" fontId="8" fillId="4" borderId="94" xfId="0" applyFont="1" applyFill="1" applyBorder="1" applyAlignment="1" applyProtection="1">
      <alignment horizontal="right" vertical="center" wrapText="1"/>
      <protection/>
    </xf>
    <xf numFmtId="0" fontId="8" fillId="4" borderId="48" xfId="0" applyFont="1" applyFill="1" applyBorder="1" applyAlignment="1" applyProtection="1">
      <alignment horizontal="right" vertical="center" wrapText="1"/>
      <protection/>
    </xf>
    <xf numFmtId="0" fontId="0" fillId="2" borderId="42" xfId="0" applyFont="1" applyFill="1" applyBorder="1" applyAlignment="1" applyProtection="1">
      <alignment horizontal="left" vertical="center"/>
      <protection locked="0"/>
    </xf>
    <xf numFmtId="0" fontId="0" fillId="2" borderId="36" xfId="0" applyFont="1" applyFill="1" applyBorder="1" applyAlignment="1" applyProtection="1">
      <alignment horizontal="left" vertical="center"/>
      <protection locked="0"/>
    </xf>
    <xf numFmtId="0" fontId="0" fillId="2" borderId="74" xfId="0" applyFont="1" applyFill="1" applyBorder="1" applyAlignment="1" applyProtection="1">
      <alignment horizontal="left" vertical="center"/>
      <protection locked="0"/>
    </xf>
    <xf numFmtId="0" fontId="0" fillId="4" borderId="2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165" fontId="2" fillId="4" borderId="0" xfId="0" applyNumberFormat="1" applyFont="1" applyFill="1" applyBorder="1" applyAlignment="1" applyProtection="1">
      <alignment horizontal="right" vertical="center"/>
      <protection/>
    </xf>
    <xf numFmtId="165" fontId="2" fillId="4" borderId="49" xfId="0" applyNumberFormat="1" applyFont="1" applyFill="1" applyBorder="1" applyAlignment="1" applyProtection="1">
      <alignment horizontal="right" vertical="center"/>
      <protection/>
    </xf>
    <xf numFmtId="167" fontId="0" fillId="0" borderId="109" xfId="0" applyNumberFormat="1" applyFill="1" applyBorder="1" applyAlignment="1" applyProtection="1">
      <alignment horizontal="center" vertical="center"/>
      <protection/>
    </xf>
    <xf numFmtId="167" fontId="0" fillId="0" borderId="152" xfId="0" applyNumberFormat="1" applyFill="1" applyBorder="1" applyAlignment="1" applyProtection="1">
      <alignment horizontal="center" vertical="center"/>
      <protection/>
    </xf>
    <xf numFmtId="165" fontId="0" fillId="4" borderId="49" xfId="0" applyNumberFormat="1" applyFill="1" applyBorder="1" applyAlignment="1" applyProtection="1">
      <alignment horizontal="right"/>
      <protection locked="0"/>
    </xf>
    <xf numFmtId="165" fontId="0" fillId="4" borderId="23" xfId="0" applyNumberFormat="1" applyFill="1" applyBorder="1" applyAlignment="1" applyProtection="1">
      <alignment horizontal="right"/>
      <protection locked="0"/>
    </xf>
    <xf numFmtId="0" fontId="8" fillId="4" borderId="7" xfId="0" applyFont="1" applyFill="1" applyBorder="1" applyAlignment="1" applyProtection="1">
      <alignment horizontal="right" vertical="center" wrapText="1"/>
      <protection/>
    </xf>
    <xf numFmtId="0" fontId="8" fillId="4" borderId="115" xfId="0" applyFont="1" applyFill="1" applyBorder="1" applyAlignment="1" applyProtection="1">
      <alignment horizontal="right" vertical="center" wrapText="1"/>
      <protection/>
    </xf>
    <xf numFmtId="0" fontId="0" fillId="6" borderId="106" xfId="0" applyFont="1" applyFill="1" applyBorder="1" applyAlignment="1" applyProtection="1">
      <alignment horizontal="left" vertical="top"/>
      <protection locked="0"/>
    </xf>
    <xf numFmtId="0" fontId="0" fillId="6" borderId="107" xfId="0" applyFont="1" applyFill="1" applyBorder="1" applyAlignment="1" applyProtection="1">
      <alignment horizontal="left" vertical="top"/>
      <protection locked="0"/>
    </xf>
    <xf numFmtId="0" fontId="0" fillId="6" borderId="108" xfId="0" applyFont="1" applyFill="1" applyBorder="1" applyAlignment="1" applyProtection="1">
      <alignment horizontal="left" vertical="top"/>
      <protection locked="0"/>
    </xf>
    <xf numFmtId="0" fontId="0" fillId="6" borderId="5" xfId="0" applyFont="1" applyFill="1" applyBorder="1" applyAlignment="1" applyProtection="1">
      <alignment horizontal="left" vertical="top"/>
      <protection locked="0"/>
    </xf>
    <xf numFmtId="0" fontId="0" fillId="6" borderId="0" xfId="0" applyFont="1" applyFill="1" applyBorder="1" applyAlignment="1" applyProtection="1">
      <alignment horizontal="left" vertical="top"/>
      <protection locked="0"/>
    </xf>
    <xf numFmtId="0" fontId="0" fillId="6" borderId="22" xfId="0" applyFont="1" applyFill="1" applyBorder="1" applyAlignment="1" applyProtection="1">
      <alignment horizontal="left" vertical="top"/>
      <protection locked="0"/>
    </xf>
    <xf numFmtId="0" fontId="0" fillId="6" borderId="6" xfId="0" applyFont="1" applyFill="1" applyBorder="1" applyAlignment="1" applyProtection="1">
      <alignment horizontal="left" vertical="top"/>
      <protection locked="0"/>
    </xf>
    <xf numFmtId="0" fontId="0" fillId="6" borderId="4" xfId="0" applyFont="1" applyFill="1" applyBorder="1" applyAlignment="1" applyProtection="1">
      <alignment horizontal="left" vertical="top"/>
      <protection locked="0"/>
    </xf>
    <xf numFmtId="0" fontId="0" fillId="6" borderId="16" xfId="0" applyFont="1" applyFill="1" applyBorder="1" applyAlignment="1" applyProtection="1">
      <alignment horizontal="left" vertical="top"/>
      <protection locked="0"/>
    </xf>
    <xf numFmtId="164" fontId="0" fillId="0" borderId="13" xfId="0" applyNumberFormat="1" applyFill="1" applyBorder="1" applyAlignment="1" applyProtection="1">
      <alignment horizontal="center" vertical="center"/>
      <protection/>
    </xf>
    <xf numFmtId="164" fontId="0" fillId="0" borderId="37" xfId="0" applyNumberFormat="1" applyFill="1" applyBorder="1" applyAlignment="1" applyProtection="1">
      <alignment horizontal="center" vertical="center"/>
      <protection/>
    </xf>
    <xf numFmtId="169" fontId="0" fillId="0" borderId="39" xfId="0" applyNumberFormat="1" applyFill="1" applyBorder="1" applyAlignment="1" applyProtection="1">
      <alignment horizontal="right" vertical="center"/>
      <protection/>
    </xf>
    <xf numFmtId="2" fontId="17" fillId="0" borderId="55" xfId="0" applyNumberFormat="1" applyFont="1" applyBorder="1" applyAlignment="1" applyProtection="1">
      <alignment horizontal="right" vertical="center"/>
      <protection/>
    </xf>
    <xf numFmtId="2" fontId="0" fillId="0" borderId="13" xfId="0" applyNumberFormat="1" applyBorder="1" applyAlignment="1" applyProtection="1">
      <alignment horizontal="right" vertical="center"/>
      <protection/>
    </xf>
    <xf numFmtId="2" fontId="0" fillId="0" borderId="37" xfId="0" applyNumberFormat="1" applyBorder="1" applyAlignment="1" applyProtection="1">
      <alignment horizontal="right" vertical="center"/>
      <protection/>
    </xf>
    <xf numFmtId="0" fontId="4" fillId="5" borderId="0" xfId="0" applyFont="1" applyFill="1" applyBorder="1" applyAlignment="1" applyProtection="1">
      <alignment horizontal="left" vertical="top" wrapText="1"/>
      <protection locked="0"/>
    </xf>
    <xf numFmtId="0" fontId="4" fillId="5" borderId="22" xfId="0" applyFont="1" applyFill="1" applyBorder="1" applyAlignment="1" applyProtection="1">
      <alignment horizontal="left" vertical="top" wrapText="1"/>
      <protection locked="0"/>
    </xf>
    <xf numFmtId="0" fontId="2" fillId="3" borderId="0" xfId="0" applyFont="1" applyFill="1" applyBorder="1" applyAlignment="1" applyProtection="1">
      <alignment horizontal="right" wrapText="1"/>
      <protection locked="0"/>
    </xf>
    <xf numFmtId="0" fontId="2" fillId="3" borderId="49" xfId="0" applyFont="1" applyFill="1" applyBorder="1" applyAlignment="1" applyProtection="1">
      <alignment horizontal="right" wrapText="1"/>
      <protection locked="0"/>
    </xf>
    <xf numFmtId="0" fontId="2"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right" vertical="center" wrapText="1"/>
      <protection/>
    </xf>
    <xf numFmtId="0" fontId="15" fillId="4" borderId="49" xfId="0" applyFont="1" applyFill="1" applyBorder="1" applyAlignment="1" applyProtection="1">
      <alignment horizontal="right" vertical="center" wrapText="1"/>
      <protection/>
    </xf>
    <xf numFmtId="0" fontId="4" fillId="5" borderId="8" xfId="0" applyFont="1" applyFill="1" applyBorder="1" applyAlignment="1" applyProtection="1">
      <alignment horizontal="left" vertical="center"/>
      <protection locked="0"/>
    </xf>
    <xf numFmtId="0" fontId="4" fillId="5" borderId="101" xfId="0" applyFont="1" applyFill="1" applyBorder="1" applyAlignment="1" applyProtection="1">
      <alignment horizontal="left" vertical="center"/>
      <protection locked="0"/>
    </xf>
    <xf numFmtId="164" fontId="0" fillId="2" borderId="103" xfId="0" applyNumberFormat="1" applyFill="1" applyBorder="1" applyAlignment="1" applyProtection="1">
      <alignment horizontal="center" vertical="center"/>
      <protection locked="0"/>
    </xf>
    <xf numFmtId="164" fontId="0" fillId="2" borderId="8" xfId="0" applyNumberFormat="1" applyFill="1" applyBorder="1" applyAlignment="1" applyProtection="1">
      <alignment horizontal="center" vertical="center"/>
      <protection locked="0"/>
    </xf>
    <xf numFmtId="166" fontId="0" fillId="2" borderId="42" xfId="0" applyNumberFormat="1" applyFill="1" applyBorder="1" applyAlignment="1" applyProtection="1">
      <alignment horizontal="center" vertical="center"/>
      <protection locked="0"/>
    </xf>
    <xf numFmtId="166" fontId="0" fillId="2" borderId="85" xfId="0" applyNumberFormat="1" applyFill="1" applyBorder="1" applyAlignment="1" applyProtection="1">
      <alignment horizontal="center" vertical="center"/>
      <protection locked="0"/>
    </xf>
    <xf numFmtId="166" fontId="0" fillId="2" borderId="15" xfId="0" applyNumberFormat="1" applyFill="1" applyBorder="1" applyAlignment="1" applyProtection="1">
      <alignment horizontal="center" vertical="center"/>
      <protection locked="0"/>
    </xf>
    <xf numFmtId="166" fontId="0" fillId="2" borderId="71" xfId="0" applyNumberFormat="1" applyFill="1" applyBorder="1" applyAlignment="1" applyProtection="1">
      <alignment horizontal="center" vertical="center"/>
      <protection locked="0"/>
    </xf>
    <xf numFmtId="0" fontId="2" fillId="4" borderId="7" xfId="0" applyFont="1" applyFill="1" applyBorder="1" applyAlignment="1" applyProtection="1">
      <alignment horizontal="right" vertical="center" wrapText="1"/>
      <protection/>
    </xf>
    <xf numFmtId="0" fontId="2" fillId="4" borderId="8" xfId="0" applyFont="1" applyFill="1" applyBorder="1" applyAlignment="1" applyProtection="1">
      <alignment horizontal="right" vertical="center" wrapText="1"/>
      <protection/>
    </xf>
    <xf numFmtId="0" fontId="2" fillId="4" borderId="115" xfId="0" applyFont="1" applyFill="1" applyBorder="1" applyAlignment="1" applyProtection="1">
      <alignment horizontal="right" vertical="center" wrapText="1"/>
      <protection/>
    </xf>
    <xf numFmtId="2" fontId="14" fillId="0" borderId="23" xfId="0" applyNumberFormat="1" applyFont="1" applyBorder="1" applyAlignment="1" applyProtection="1">
      <alignment horizontal="center" vertical="center"/>
      <protection/>
    </xf>
    <xf numFmtId="2" fontId="14" fillId="0" borderId="22" xfId="0" applyNumberFormat="1" applyFont="1" applyBorder="1" applyAlignment="1" applyProtection="1">
      <alignment horizontal="center" vertical="center"/>
      <protection/>
    </xf>
    <xf numFmtId="0" fontId="18" fillId="9" borderId="46" xfId="0" applyFont="1" applyFill="1" applyBorder="1" applyAlignment="1" applyProtection="1">
      <alignment horizontal="left" wrapText="1"/>
      <protection/>
    </xf>
    <xf numFmtId="0" fontId="18" fillId="9" borderId="39" xfId="0" applyFont="1" applyFill="1" applyBorder="1" applyAlignment="1" applyProtection="1">
      <alignment horizontal="left" wrapText="1"/>
      <protection/>
    </xf>
    <xf numFmtId="0" fontId="18" fillId="9" borderId="59" xfId="0" applyFont="1" applyFill="1" applyBorder="1" applyAlignment="1" applyProtection="1">
      <alignment horizontal="left" wrapText="1"/>
      <protection/>
    </xf>
    <xf numFmtId="0" fontId="5" fillId="5" borderId="17"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8" fillId="4" borderId="5" xfId="0" applyFont="1" applyFill="1" applyBorder="1" applyAlignment="1" applyProtection="1">
      <alignment horizontal="right" wrapText="1"/>
      <protection locked="0"/>
    </xf>
    <xf numFmtId="0" fontId="8" fillId="4" borderId="0" xfId="0" applyFont="1" applyFill="1" applyBorder="1" applyAlignment="1" applyProtection="1">
      <alignment horizontal="right" wrapText="1"/>
      <protection locked="0"/>
    </xf>
    <xf numFmtId="0" fontId="2" fillId="4" borderId="43"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8" fillId="4" borderId="49" xfId="0" applyFont="1" applyFill="1" applyBorder="1" applyAlignment="1" applyProtection="1">
      <alignment horizontal="center" textRotation="90" wrapText="1"/>
      <protection locked="0"/>
    </xf>
    <xf numFmtId="0" fontId="0" fillId="4" borderId="12" xfId="0" applyFill="1" applyBorder="1" applyAlignment="1" applyProtection="1">
      <alignment horizontal="left" vertical="center" wrapText="1"/>
      <protection locked="0"/>
    </xf>
    <xf numFmtId="0" fontId="5" fillId="5" borderId="5" xfId="0" applyFont="1" applyFill="1" applyBorder="1" applyAlignment="1" applyProtection="1">
      <alignment horizontal="left" wrapText="1"/>
      <protection locked="0"/>
    </xf>
    <xf numFmtId="0" fontId="5" fillId="5" borderId="0" xfId="0" applyFont="1" applyFill="1" applyBorder="1" applyAlignment="1" applyProtection="1">
      <alignment horizontal="left" wrapText="1"/>
      <protection locked="0"/>
    </xf>
    <xf numFmtId="0" fontId="5" fillId="5" borderId="22" xfId="0" applyFont="1" applyFill="1" applyBorder="1" applyAlignment="1" applyProtection="1">
      <alignment horizontal="left" wrapText="1"/>
      <protection locked="0"/>
    </xf>
    <xf numFmtId="0" fontId="34" fillId="4" borderId="0" xfId="0" applyFont="1" applyFill="1" applyBorder="1" applyAlignment="1" applyProtection="1">
      <alignment horizontal="left" vertical="center"/>
      <protection locked="0"/>
    </xf>
    <xf numFmtId="0" fontId="0" fillId="4" borderId="5" xfId="0" applyFont="1" applyFill="1" applyBorder="1" applyAlignment="1" applyProtection="1">
      <alignment horizontal="right" vertical="top" wrapText="1"/>
      <protection/>
    </xf>
    <xf numFmtId="0" fontId="0" fillId="4" borderId="0" xfId="0" applyFont="1" applyFill="1" applyBorder="1" applyAlignment="1" applyProtection="1">
      <alignment horizontal="right" vertical="top" wrapText="1"/>
      <protection/>
    </xf>
    <xf numFmtId="0" fontId="0" fillId="4" borderId="49" xfId="0" applyFont="1" applyFill="1" applyBorder="1" applyAlignment="1" applyProtection="1">
      <alignment horizontal="right" vertical="top" wrapText="1"/>
      <protection/>
    </xf>
    <xf numFmtId="0" fontId="0" fillId="4" borderId="0" xfId="0" applyFill="1" applyBorder="1" applyAlignment="1" applyProtection="1">
      <alignment horizontal="left" vertical="center" wrapText="1"/>
      <protection locked="0"/>
    </xf>
    <xf numFmtId="0" fontId="2" fillId="6" borderId="45" xfId="0" applyFont="1" applyFill="1" applyBorder="1" applyAlignment="1" applyProtection="1">
      <alignment horizontal="left" vertical="center"/>
      <protection/>
    </xf>
    <xf numFmtId="0" fontId="2" fillId="6" borderId="34" xfId="0" applyFont="1" applyFill="1" applyBorder="1" applyAlignment="1" applyProtection="1">
      <alignment horizontal="left" vertical="center"/>
      <protection/>
    </xf>
    <xf numFmtId="169" fontId="0" fillId="0" borderId="13" xfId="0" applyNumberFormat="1" applyFill="1" applyBorder="1" applyAlignment="1" applyProtection="1">
      <alignment horizontal="right"/>
      <protection/>
    </xf>
    <xf numFmtId="169" fontId="0" fillId="0" borderId="37" xfId="0" applyNumberFormat="1" applyFill="1" applyBorder="1" applyAlignment="1" applyProtection="1">
      <alignment horizontal="right"/>
      <protection/>
    </xf>
    <xf numFmtId="0" fontId="0" fillId="2" borderId="13"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4" borderId="5" xfId="0" applyFont="1" applyFill="1" applyBorder="1" applyAlignment="1" applyProtection="1">
      <alignment horizontal="right" vertical="center" wrapText="1"/>
      <protection/>
    </xf>
    <xf numFmtId="0" fontId="0" fillId="4" borderId="0" xfId="0" applyFont="1" applyFill="1" applyBorder="1" applyAlignment="1" applyProtection="1">
      <alignment horizontal="right" vertical="center" wrapText="1"/>
      <protection/>
    </xf>
    <xf numFmtId="0" fontId="0" fillId="4" borderId="0" xfId="0" applyFill="1" applyBorder="1" applyAlignment="1" applyProtection="1">
      <alignment horizontal="right" vertical="center" wrapText="1"/>
      <protection/>
    </xf>
    <xf numFmtId="164" fontId="0" fillId="2" borderId="153" xfId="0" applyNumberFormat="1" applyFill="1" applyBorder="1" applyAlignment="1" applyProtection="1">
      <alignment horizontal="right"/>
      <protection locked="0"/>
    </xf>
    <xf numFmtId="164" fontId="0" fillId="2" borderId="155" xfId="0" applyNumberFormat="1" applyFill="1" applyBorder="1" applyAlignment="1" applyProtection="1">
      <alignment horizontal="right"/>
      <protection locked="0"/>
    </xf>
    <xf numFmtId="164" fontId="0" fillId="2" borderId="154" xfId="0" applyNumberFormat="1" applyFill="1" applyBorder="1" applyAlignment="1" applyProtection="1">
      <alignment horizontal="right"/>
      <protection locked="0"/>
    </xf>
    <xf numFmtId="0" fontId="0" fillId="3" borderId="9" xfId="0" applyFill="1" applyBorder="1" applyAlignment="1" applyProtection="1">
      <alignment horizontal="center"/>
      <protection locked="0"/>
    </xf>
    <xf numFmtId="0" fontId="0" fillId="4" borderId="0" xfId="0" applyFill="1" applyBorder="1" applyAlignment="1" applyProtection="1">
      <alignment horizontal="left"/>
      <protection locked="0"/>
    </xf>
    <xf numFmtId="169" fontId="0" fillId="4" borderId="0" xfId="0" applyNumberFormat="1" applyFill="1" applyBorder="1" applyAlignment="1" applyProtection="1">
      <alignment horizontal="left"/>
      <protection locked="0"/>
    </xf>
    <xf numFmtId="0" fontId="4" fillId="5" borderId="0" xfId="0" applyFont="1" applyFill="1" applyBorder="1" applyAlignment="1" applyProtection="1">
      <alignment horizontal="left" vertical="top" wrapText="1"/>
      <protection locked="0"/>
    </xf>
    <xf numFmtId="0" fontId="4" fillId="5" borderId="22" xfId="0" applyFont="1" applyFill="1" applyBorder="1" applyAlignment="1" applyProtection="1">
      <alignment horizontal="left" vertical="top" wrapText="1"/>
      <protection locked="0"/>
    </xf>
    <xf numFmtId="0" fontId="0" fillId="4" borderId="0" xfId="0" applyFill="1" applyBorder="1" applyAlignment="1" applyProtection="1">
      <alignment horizontal="center"/>
      <protection locked="0"/>
    </xf>
    <xf numFmtId="0" fontId="2" fillId="4" borderId="5" xfId="0" applyFont="1" applyFill="1" applyBorder="1" applyAlignment="1" applyProtection="1">
      <alignment horizontal="left" wrapText="1"/>
      <protection locked="0"/>
    </xf>
    <xf numFmtId="0" fontId="17" fillId="4" borderId="5" xfId="0" applyFont="1" applyFill="1" applyBorder="1" applyAlignment="1" applyProtection="1">
      <alignment horizontal="right" vertical="center"/>
      <protection locked="0"/>
    </xf>
    <xf numFmtId="0" fontId="0" fillId="3" borderId="5" xfId="0" applyFill="1" applyBorder="1" applyAlignment="1" applyProtection="1">
      <alignment horizontal="right"/>
      <protection locked="0"/>
    </xf>
    <xf numFmtId="0" fontId="0" fillId="3" borderId="22" xfId="0" applyFill="1" applyBorder="1" applyAlignment="1" applyProtection="1">
      <alignment horizontal="right"/>
      <protection locked="0"/>
    </xf>
    <xf numFmtId="0" fontId="15" fillId="4" borderId="0"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center"/>
      <protection locked="0"/>
    </xf>
    <xf numFmtId="0" fontId="14" fillId="4" borderId="4" xfId="0" applyFont="1" applyFill="1" applyBorder="1" applyAlignment="1" applyProtection="1">
      <alignment horizontal="left" vertical="center"/>
      <protection locked="0"/>
    </xf>
    <xf numFmtId="2" fontId="28" fillId="6" borderId="106" xfId="0" applyNumberFormat="1" applyFont="1" applyFill="1" applyBorder="1" applyAlignment="1" applyProtection="1">
      <alignment horizontal="left" vertical="top"/>
      <protection locked="0"/>
    </xf>
    <xf numFmtId="2" fontId="28" fillId="6" borderId="107" xfId="0" applyNumberFormat="1" applyFont="1" applyFill="1" applyBorder="1" applyAlignment="1" applyProtection="1">
      <alignment horizontal="left" vertical="top"/>
      <protection locked="0"/>
    </xf>
    <xf numFmtId="2" fontId="28" fillId="6" borderId="108" xfId="0" applyNumberFormat="1" applyFont="1" applyFill="1" applyBorder="1" applyAlignment="1" applyProtection="1">
      <alignment horizontal="left" vertical="top"/>
      <protection locked="0"/>
    </xf>
    <xf numFmtId="2" fontId="28" fillId="6" borderId="5" xfId="0" applyNumberFormat="1" applyFont="1" applyFill="1" applyBorder="1" applyAlignment="1" applyProtection="1">
      <alignment horizontal="left" vertical="top"/>
      <protection locked="0"/>
    </xf>
    <xf numFmtId="2" fontId="28" fillId="6" borderId="0" xfId="0" applyNumberFormat="1" applyFont="1" applyFill="1" applyBorder="1" applyAlignment="1" applyProtection="1">
      <alignment horizontal="left" vertical="top"/>
      <protection locked="0"/>
    </xf>
    <xf numFmtId="2" fontId="28" fillId="6" borderId="22" xfId="0" applyNumberFormat="1" applyFont="1" applyFill="1" applyBorder="1" applyAlignment="1" applyProtection="1">
      <alignment horizontal="left" vertical="top"/>
      <protection locked="0"/>
    </xf>
    <xf numFmtId="2" fontId="28" fillId="6" borderId="6" xfId="0" applyNumberFormat="1" applyFont="1" applyFill="1" applyBorder="1" applyAlignment="1" applyProtection="1">
      <alignment horizontal="left" vertical="top"/>
      <protection locked="0"/>
    </xf>
    <xf numFmtId="2" fontId="28" fillId="6" borderId="4" xfId="0" applyNumberFormat="1" applyFont="1" applyFill="1" applyBorder="1" applyAlignment="1" applyProtection="1">
      <alignment horizontal="left" vertical="top"/>
      <protection locked="0"/>
    </xf>
    <xf numFmtId="2" fontId="28" fillId="6" borderId="16" xfId="0" applyNumberFormat="1" applyFont="1" applyFill="1" applyBorder="1" applyAlignment="1" applyProtection="1">
      <alignment horizontal="left" vertical="top"/>
      <protection locked="0"/>
    </xf>
    <xf numFmtId="2" fontId="28" fillId="0" borderId="64" xfId="0" applyNumberFormat="1" applyFont="1" applyFill="1" applyBorder="1" applyAlignment="1" applyProtection="1">
      <alignment horizontal="right" vertical="center"/>
      <protection/>
    </xf>
    <xf numFmtId="2" fontId="28" fillId="0" borderId="55" xfId="0" applyNumberFormat="1" applyFont="1" applyFill="1" applyBorder="1" applyAlignment="1" applyProtection="1">
      <alignment horizontal="right" vertical="center"/>
      <protection/>
    </xf>
    <xf numFmtId="2" fontId="28" fillId="0" borderId="75" xfId="0" applyNumberFormat="1" applyFont="1" applyFill="1" applyBorder="1" applyAlignment="1" applyProtection="1">
      <alignment horizontal="right" vertical="center"/>
      <protection/>
    </xf>
    <xf numFmtId="0" fontId="0" fillId="2" borderId="0" xfId="0" applyFill="1" applyBorder="1" applyAlignment="1" applyProtection="1">
      <alignment horizontal="left"/>
      <protection locked="0"/>
    </xf>
    <xf numFmtId="0" fontId="14" fillId="4" borderId="0" xfId="0" applyFont="1" applyFill="1" applyBorder="1" applyAlignment="1" applyProtection="1">
      <alignment horizontal="left" vertical="top" wrapText="1"/>
      <protection locked="0"/>
    </xf>
    <xf numFmtId="0" fontId="17" fillId="4" borderId="4"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0" fillId="4" borderId="0" xfId="0" applyFill="1" applyBorder="1" applyAlignment="1" applyProtection="1">
      <alignment horizontal="left" vertical="center"/>
      <protection locked="0"/>
    </xf>
    <xf numFmtId="0" fontId="12" fillId="4" borderId="0" xfId="0" applyFont="1" applyFill="1" applyBorder="1" applyAlignment="1" applyProtection="1">
      <alignment horizontal="left" vertical="top"/>
      <protection locked="0"/>
    </xf>
    <xf numFmtId="2" fontId="28" fillId="0" borderId="55" xfId="0" applyNumberFormat="1" applyFont="1" applyBorder="1" applyAlignment="1" applyProtection="1">
      <alignment horizontal="right" vertical="center"/>
      <protection/>
    </xf>
    <xf numFmtId="2" fontId="17" fillId="0" borderId="64" xfId="0" applyNumberFormat="1" applyFont="1" applyBorder="1" applyAlignment="1" applyProtection="1">
      <alignment horizontal="right"/>
      <protection/>
    </xf>
    <xf numFmtId="2" fontId="17" fillId="0" borderId="55" xfId="0" applyNumberFormat="1" applyFont="1" applyBorder="1" applyAlignment="1" applyProtection="1">
      <alignment horizontal="right"/>
      <protection/>
    </xf>
    <xf numFmtId="2" fontId="17" fillId="0" borderId="75" xfId="0" applyNumberFormat="1" applyFont="1" applyBorder="1" applyAlignment="1" applyProtection="1">
      <alignment horizontal="right"/>
      <protection/>
    </xf>
    <xf numFmtId="0" fontId="2" fillId="4" borderId="33" xfId="0" applyFont="1" applyFill="1" applyBorder="1" applyAlignment="1" applyProtection="1">
      <alignment horizontal="left" wrapText="1"/>
      <protection locked="0"/>
    </xf>
    <xf numFmtId="0" fontId="2" fillId="4" borderId="82" xfId="0" applyFont="1" applyFill="1" applyBorder="1" applyAlignment="1" applyProtection="1">
      <alignment horizontal="left" wrapText="1"/>
      <protection locked="0"/>
    </xf>
    <xf numFmtId="0" fontId="0" fillId="4" borderId="156" xfId="0" applyFont="1" applyFill="1" applyBorder="1" applyAlignment="1" applyProtection="1">
      <alignment horizontal="left" vertical="center" wrapText="1"/>
      <protection/>
    </xf>
    <xf numFmtId="0" fontId="0" fillId="4" borderId="157" xfId="0" applyFont="1" applyFill="1" applyBorder="1" applyAlignment="1" applyProtection="1">
      <alignment horizontal="left" vertical="center" wrapText="1"/>
      <protection/>
    </xf>
    <xf numFmtId="0" fontId="0" fillId="4" borderId="126" xfId="0" applyFont="1" applyFill="1" applyBorder="1" applyAlignment="1" applyProtection="1">
      <alignment horizontal="left" wrapText="1"/>
      <protection/>
    </xf>
    <xf numFmtId="0" fontId="0" fillId="4" borderId="127" xfId="0" applyFont="1" applyFill="1" applyBorder="1" applyAlignment="1" applyProtection="1">
      <alignment horizontal="left" wrapText="1"/>
      <protection/>
    </xf>
    <xf numFmtId="0" fontId="0" fillId="4" borderId="0" xfId="0" applyFill="1" applyBorder="1" applyAlignment="1" applyProtection="1">
      <alignment horizontal="left" vertical="center" wrapText="1"/>
      <protection/>
    </xf>
    <xf numFmtId="0" fontId="0" fillId="4" borderId="140" xfId="0" applyFill="1" applyBorder="1" applyAlignment="1" applyProtection="1">
      <alignment horizontal="left" vertical="center" wrapText="1"/>
      <protection/>
    </xf>
    <xf numFmtId="0" fontId="4" fillId="0" borderId="123" xfId="0" applyFont="1" applyBorder="1" applyAlignment="1" applyProtection="1">
      <alignment horizontal="left" vertical="center"/>
      <protection/>
    </xf>
    <xf numFmtId="0" fontId="4" fillId="0" borderId="124" xfId="0" applyFont="1" applyBorder="1" applyAlignment="1" applyProtection="1">
      <alignment horizontal="left" vertical="center"/>
      <protection/>
    </xf>
    <xf numFmtId="0" fontId="4" fillId="0" borderId="125" xfId="0" applyFont="1" applyBorder="1" applyAlignment="1" applyProtection="1">
      <alignment horizontal="left" vertical="center"/>
      <protection/>
    </xf>
    <xf numFmtId="0" fontId="1" fillId="7" borderId="5"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22" xfId="0" applyFont="1" applyFill="1" applyBorder="1" applyAlignment="1" applyProtection="1">
      <alignment horizontal="center" vertical="center"/>
      <protection locked="0"/>
    </xf>
    <xf numFmtId="0" fontId="0" fillId="4" borderId="39" xfId="0" applyFont="1" applyFill="1" applyBorder="1" applyAlignment="1" applyProtection="1">
      <alignment horizontal="left" wrapText="1"/>
      <protection/>
    </xf>
    <xf numFmtId="0" fontId="0" fillId="4" borderId="130" xfId="0" applyFont="1" applyFill="1" applyBorder="1" applyAlignment="1" applyProtection="1">
      <alignment horizontal="left" wrapText="1"/>
      <protection/>
    </xf>
    <xf numFmtId="0" fontId="18" fillId="9" borderId="54" xfId="0" applyFont="1" applyFill="1" applyBorder="1" applyAlignment="1" applyProtection="1">
      <alignment horizontal="left"/>
      <protection/>
    </xf>
    <xf numFmtId="0" fontId="18" fillId="9" borderId="95" xfId="0" applyFont="1" applyFill="1" applyBorder="1" applyAlignment="1" applyProtection="1">
      <alignment horizontal="left"/>
      <protection/>
    </xf>
    <xf numFmtId="0" fontId="18" fillId="9" borderId="122" xfId="0" applyFont="1" applyFill="1" applyBorder="1" applyAlignment="1" applyProtection="1">
      <alignment horizontal="left"/>
      <protection/>
    </xf>
    <xf numFmtId="0" fontId="17" fillId="4" borderId="43" xfId="0" applyFont="1" applyFill="1" applyBorder="1" applyAlignment="1" applyProtection="1">
      <alignment horizontal="left" vertical="center" wrapText="1"/>
      <protection locked="0"/>
    </xf>
    <xf numFmtId="0" fontId="17" fillId="4" borderId="33"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right"/>
      <protection/>
    </xf>
    <xf numFmtId="0" fontId="15" fillId="4" borderId="49" xfId="0" applyFont="1" applyFill="1" applyBorder="1" applyAlignment="1" applyProtection="1">
      <alignment horizontal="right"/>
      <protection/>
    </xf>
    <xf numFmtId="2" fontId="0" fillId="4" borderId="4" xfId="0" applyNumberFormat="1" applyFill="1" applyBorder="1" applyAlignment="1" applyProtection="1">
      <alignment horizontal="left" vertical="center"/>
      <protection locked="0"/>
    </xf>
    <xf numFmtId="0" fontId="15" fillId="4" borderId="0" xfId="0" applyFont="1" applyFill="1" applyBorder="1" applyAlignment="1" applyProtection="1">
      <alignment horizontal="right" vertical="center" wrapText="1"/>
      <protection locked="0"/>
    </xf>
    <xf numFmtId="0" fontId="15" fillId="4" borderId="93" xfId="0" applyFont="1" applyFill="1" applyBorder="1" applyAlignment="1" applyProtection="1">
      <alignment horizontal="right" vertical="center" wrapText="1"/>
      <protection locked="0"/>
    </xf>
    <xf numFmtId="165" fontId="0" fillId="4" borderId="0" xfId="0" applyNumberFormat="1" applyFill="1" applyBorder="1" applyAlignment="1" applyProtection="1">
      <alignment horizontal="right"/>
      <protection locked="0"/>
    </xf>
    <xf numFmtId="0" fontId="15" fillId="4" borderId="4" xfId="0" applyFont="1" applyFill="1" applyBorder="1" applyAlignment="1" applyProtection="1">
      <alignment horizontal="center" wrapText="1"/>
      <protection locked="0"/>
    </xf>
    <xf numFmtId="0" fontId="3" fillId="4" borderId="42"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3" fillId="4" borderId="85"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15" fillId="4" borderId="24"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29" fillId="4" borderId="42" xfId="0" applyFont="1" applyFill="1" applyBorder="1" applyAlignment="1" applyProtection="1">
      <alignment horizontal="left" vertical="center" wrapText="1"/>
      <protection/>
    </xf>
    <xf numFmtId="0" fontId="29" fillId="4" borderId="36" xfId="0" applyFont="1" applyFill="1" applyBorder="1" applyAlignment="1" applyProtection="1">
      <alignment horizontal="left" vertical="center" wrapText="1"/>
      <protection/>
    </xf>
    <xf numFmtId="0" fontId="29" fillId="4" borderId="85" xfId="0" applyFont="1" applyFill="1" applyBorder="1" applyAlignment="1" applyProtection="1">
      <alignment horizontal="left" vertical="center" wrapText="1"/>
      <protection/>
    </xf>
    <xf numFmtId="0" fontId="29" fillId="4" borderId="23" xfId="0" applyFont="1" applyFill="1" applyBorder="1" applyAlignment="1" applyProtection="1">
      <alignment horizontal="left" vertical="center" wrapText="1"/>
      <protection/>
    </xf>
    <xf numFmtId="0" fontId="29" fillId="4" borderId="0" xfId="0" applyFont="1" applyFill="1" applyBorder="1" applyAlignment="1" applyProtection="1">
      <alignment horizontal="left" vertical="center" wrapText="1"/>
      <protection/>
    </xf>
    <xf numFmtId="0" fontId="29" fillId="4" borderId="49" xfId="0" applyFont="1" applyFill="1" applyBorder="1" applyAlignment="1" applyProtection="1">
      <alignment horizontal="left" vertical="center" wrapText="1"/>
      <protection/>
    </xf>
    <xf numFmtId="0" fontId="29" fillId="4" borderId="1" xfId="0" applyFont="1" applyFill="1" applyBorder="1" applyAlignment="1" applyProtection="1">
      <alignment horizontal="left" vertical="center" wrapText="1"/>
      <protection/>
    </xf>
    <xf numFmtId="0" fontId="29" fillId="4" borderId="47" xfId="0" applyFont="1" applyFill="1" applyBorder="1" applyAlignment="1" applyProtection="1">
      <alignment horizontal="left" vertical="center" wrapText="1"/>
      <protection/>
    </xf>
    <xf numFmtId="0" fontId="29" fillId="4" borderId="48" xfId="0" applyFont="1" applyFill="1" applyBorder="1" applyAlignment="1" applyProtection="1">
      <alignment horizontal="left" vertical="center" wrapText="1"/>
      <protection/>
    </xf>
    <xf numFmtId="0" fontId="0" fillId="2" borderId="13" xfId="0" applyFill="1" applyBorder="1" applyAlignment="1">
      <alignment horizontal="left" vertical="center"/>
    </xf>
    <xf numFmtId="0" fontId="0" fillId="2" borderId="39" xfId="0" applyFill="1" applyBorder="1" applyAlignment="1">
      <alignment horizontal="left" vertical="center"/>
    </xf>
    <xf numFmtId="0" fontId="0" fillId="2" borderId="37" xfId="0" applyFill="1" applyBorder="1" applyAlignment="1">
      <alignment horizontal="left" vertical="center"/>
    </xf>
    <xf numFmtId="0" fontId="0" fillId="4" borderId="33" xfId="0" applyFont="1" applyFill="1" applyBorder="1" applyAlignment="1" applyProtection="1">
      <alignment horizontal="right" wrapText="1"/>
      <protection/>
    </xf>
    <xf numFmtId="0" fontId="5" fillId="5" borderId="17" xfId="0" applyFont="1" applyFill="1" applyBorder="1" applyAlignment="1" applyProtection="1">
      <alignment horizontal="left" wrapText="1"/>
      <protection/>
    </xf>
    <xf numFmtId="0" fontId="5" fillId="5" borderId="18" xfId="0" applyFont="1" applyFill="1" applyBorder="1" applyAlignment="1" applyProtection="1">
      <alignment horizontal="left" wrapText="1"/>
      <protection/>
    </xf>
    <xf numFmtId="0" fontId="5" fillId="5" borderId="19" xfId="0" applyFont="1" applyFill="1" applyBorder="1" applyAlignment="1" applyProtection="1">
      <alignment horizontal="left" wrapText="1"/>
      <protection/>
    </xf>
    <xf numFmtId="0" fontId="0" fillId="4" borderId="0" xfId="0" applyFill="1" applyBorder="1" applyAlignment="1">
      <alignment horizontal="left" vertical="center"/>
    </xf>
    <xf numFmtId="0" fontId="14" fillId="3" borderId="6" xfId="0" applyFont="1" applyFill="1" applyBorder="1" applyAlignment="1" applyProtection="1">
      <alignment horizontal="left"/>
      <protection/>
    </xf>
    <xf numFmtId="0" fontId="14" fillId="3" borderId="16" xfId="0" applyFont="1" applyFill="1" applyBorder="1" applyAlignment="1" applyProtection="1">
      <alignment horizontal="left"/>
      <protection/>
    </xf>
    <xf numFmtId="0" fontId="5" fillId="5" borderId="17" xfId="0" applyFont="1" applyFill="1" applyBorder="1" applyAlignment="1" applyProtection="1">
      <alignment horizontal="left" vertical="center"/>
      <protection/>
    </xf>
    <xf numFmtId="0" fontId="5" fillId="5" borderId="18" xfId="0" applyFont="1" applyFill="1" applyBorder="1" applyAlignment="1" applyProtection="1">
      <alignment horizontal="left" vertical="center"/>
      <protection/>
    </xf>
    <xf numFmtId="0" fontId="5" fillId="5" borderId="19" xfId="0" applyFont="1" applyFill="1" applyBorder="1" applyAlignment="1" applyProtection="1">
      <alignment horizontal="left" vertical="center"/>
      <protection/>
    </xf>
    <xf numFmtId="0" fontId="4" fillId="5" borderId="8" xfId="0" applyFont="1" applyFill="1" applyBorder="1" applyAlignment="1" applyProtection="1">
      <alignment horizontal="left" vertical="top"/>
      <protection/>
    </xf>
    <xf numFmtId="0" fontId="4" fillId="5" borderId="101" xfId="0" applyFont="1" applyFill="1" applyBorder="1" applyAlignment="1" applyProtection="1">
      <alignment horizontal="left" vertical="top"/>
      <protection/>
    </xf>
    <xf numFmtId="0" fontId="12" fillId="4" borderId="24" xfId="0" applyFont="1" applyFill="1" applyBorder="1" applyAlignment="1" applyProtection="1">
      <alignment horizontal="center"/>
      <protection/>
    </xf>
    <xf numFmtId="0" fontId="12" fillId="4" borderId="50" xfId="0" applyFont="1" applyFill="1" applyBorder="1" applyAlignment="1" applyProtection="1">
      <alignment horizontal="center"/>
      <protection/>
    </xf>
    <xf numFmtId="0" fontId="12" fillId="4" borderId="2" xfId="0" applyFont="1" applyFill="1" applyBorder="1" applyAlignment="1" applyProtection="1">
      <alignment horizontal="center"/>
      <protection/>
    </xf>
    <xf numFmtId="0" fontId="4" fillId="5" borderId="8" xfId="0" applyFont="1" applyFill="1" applyBorder="1" applyAlignment="1" applyProtection="1">
      <alignment horizontal="left"/>
      <protection/>
    </xf>
    <xf numFmtId="0" fontId="4" fillId="5" borderId="101" xfId="0" applyFont="1" applyFill="1" applyBorder="1" applyAlignment="1" applyProtection="1">
      <alignment horizontal="left"/>
      <protection/>
    </xf>
    <xf numFmtId="0" fontId="0" fillId="4" borderId="13" xfId="0" applyFill="1" applyBorder="1" applyAlignment="1" applyProtection="1">
      <alignment horizontal="left" vertical="center"/>
      <protection/>
    </xf>
    <xf numFmtId="0" fontId="0" fillId="4" borderId="39" xfId="0" applyFill="1" applyBorder="1" applyAlignment="1" applyProtection="1">
      <alignment horizontal="left" vertical="center"/>
      <protection/>
    </xf>
    <xf numFmtId="0" fontId="0" fillId="4" borderId="37" xfId="0" applyFill="1" applyBorder="1" applyAlignment="1" applyProtection="1">
      <alignment horizontal="left" vertical="center"/>
      <protection/>
    </xf>
    <xf numFmtId="0" fontId="0" fillId="4" borderId="13" xfId="0" applyFont="1" applyFill="1" applyBorder="1" applyAlignment="1" applyProtection="1">
      <alignment horizontal="left" vertical="top" wrapText="1"/>
      <protection/>
    </xf>
    <xf numFmtId="0" fontId="0" fillId="4" borderId="39" xfId="0" applyFont="1" applyFill="1" applyBorder="1" applyAlignment="1" applyProtection="1">
      <alignment horizontal="left" vertical="top" wrapText="1"/>
      <protection/>
    </xf>
    <xf numFmtId="0" fontId="0" fillId="4" borderId="37" xfId="0" applyFont="1" applyFill="1" applyBorder="1" applyAlignment="1" applyProtection="1">
      <alignment horizontal="left" vertical="top" wrapText="1"/>
      <protection/>
    </xf>
    <xf numFmtId="0" fontId="0" fillId="2" borderId="13" xfId="0" applyFont="1" applyFill="1" applyBorder="1" applyAlignment="1" applyProtection="1">
      <alignment horizontal="left" vertical="center" wrapText="1"/>
      <protection/>
    </xf>
    <xf numFmtId="0" fontId="0" fillId="2" borderId="39" xfId="0" applyFont="1" applyFill="1" applyBorder="1" applyAlignment="1" applyProtection="1">
      <alignment horizontal="left" vertical="center" wrapText="1"/>
      <protection/>
    </xf>
    <xf numFmtId="0" fontId="0" fillId="2" borderId="37" xfId="0" applyFont="1" applyFill="1" applyBorder="1" applyAlignment="1" applyProtection="1">
      <alignment horizontal="left" vertical="center" wrapText="1"/>
      <protection/>
    </xf>
    <xf numFmtId="0" fontId="0" fillId="4" borderId="13" xfId="0" applyFont="1" applyFill="1" applyBorder="1" applyAlignment="1" applyProtection="1">
      <alignment horizontal="left" vertical="center" wrapText="1"/>
      <protection/>
    </xf>
    <xf numFmtId="0" fontId="0" fillId="4" borderId="39" xfId="0" applyFont="1" applyFill="1" applyBorder="1" applyAlignment="1" applyProtection="1">
      <alignment horizontal="left" vertical="center" wrapText="1"/>
      <protection/>
    </xf>
    <xf numFmtId="0" fontId="0" fillId="4" borderId="37" xfId="0" applyFont="1" applyFill="1" applyBorder="1" applyAlignment="1" applyProtection="1">
      <alignment horizontal="left" vertical="center" wrapText="1"/>
      <protection/>
    </xf>
    <xf numFmtId="0" fontId="0" fillId="4" borderId="43" xfId="0" applyFont="1" applyFill="1" applyBorder="1" applyAlignment="1" applyProtection="1">
      <alignment horizontal="right" wrapText="1"/>
      <protection/>
    </xf>
    <xf numFmtId="165" fontId="2" fillId="4" borderId="0" xfId="0" applyNumberFormat="1" applyFont="1" applyFill="1" applyBorder="1" applyAlignment="1" applyProtection="1">
      <alignment horizontal="right" vertical="center"/>
      <protection locked="0"/>
    </xf>
    <xf numFmtId="165" fontId="2" fillId="4" borderId="49" xfId="0" applyNumberFormat="1" applyFont="1" applyFill="1" applyBorder="1" applyAlignment="1" applyProtection="1">
      <alignment horizontal="right" vertical="center"/>
      <protection locked="0"/>
    </xf>
    <xf numFmtId="167" fontId="0" fillId="0" borderId="109" xfId="0" applyNumberFormat="1" applyFill="1" applyBorder="1" applyAlignment="1" applyProtection="1">
      <alignment horizontal="center" vertical="center"/>
      <protection locked="0"/>
    </xf>
    <xf numFmtId="167" fontId="0" fillId="0" borderId="152" xfId="0" applyNumberFormat="1" applyFill="1" applyBorder="1" applyAlignment="1" applyProtection="1">
      <alignment horizontal="center" vertical="center"/>
      <protection locked="0"/>
    </xf>
    <xf numFmtId="0" fontId="0" fillId="2" borderId="13" xfId="0" applyFont="1" applyFill="1" applyBorder="1" applyAlignment="1" applyProtection="1">
      <alignment horizontal="left" wrapText="1"/>
      <protection/>
    </xf>
    <xf numFmtId="0" fontId="0" fillId="2" borderId="39" xfId="0" applyFont="1" applyFill="1" applyBorder="1" applyAlignment="1" applyProtection="1">
      <alignment horizontal="left" wrapText="1"/>
      <protection/>
    </xf>
    <xf numFmtId="0" fontId="0" fillId="2" borderId="37" xfId="0" applyFont="1" applyFill="1" applyBorder="1" applyAlignment="1" applyProtection="1">
      <alignment horizontal="left" wrapText="1"/>
      <protection/>
    </xf>
    <xf numFmtId="0" fontId="2" fillId="4" borderId="112" xfId="0" applyFont="1" applyFill="1" applyBorder="1" applyAlignment="1" applyProtection="1">
      <alignment horizontal="right"/>
      <protection locked="0"/>
    </xf>
    <xf numFmtId="0" fontId="2" fillId="4" borderId="113" xfId="0" applyFont="1" applyFill="1" applyBorder="1" applyAlignment="1" applyProtection="1">
      <alignment horizontal="right"/>
      <protection locked="0"/>
    </xf>
    <xf numFmtId="0" fontId="2" fillId="4" borderId="114" xfId="0" applyFont="1" applyFill="1" applyBorder="1" applyAlignment="1" applyProtection="1">
      <alignment horizontal="right"/>
      <protection locked="0"/>
    </xf>
    <xf numFmtId="2" fontId="14" fillId="0" borderId="1" xfId="0" applyNumberFormat="1" applyFont="1" applyBorder="1" applyAlignment="1" applyProtection="1">
      <alignment horizontal="center" vertical="center"/>
      <protection locked="0"/>
    </xf>
    <xf numFmtId="2" fontId="14" fillId="0" borderId="14" xfId="0" applyNumberFormat="1" applyFont="1" applyBorder="1" applyAlignment="1" applyProtection="1">
      <alignment horizontal="center" vertical="center"/>
      <protection locked="0"/>
    </xf>
    <xf numFmtId="0" fontId="2" fillId="3" borderId="94" xfId="0" applyFont="1" applyFill="1" applyBorder="1" applyAlignment="1" applyProtection="1">
      <alignment horizontal="right" wrapText="1"/>
      <protection locked="0"/>
    </xf>
    <xf numFmtId="0" fontId="2" fillId="3" borderId="47" xfId="0" applyFont="1" applyFill="1" applyBorder="1" applyAlignment="1" applyProtection="1">
      <alignment horizontal="right" wrapText="1"/>
      <protection locked="0"/>
    </xf>
    <xf numFmtId="0" fontId="2" fillId="3" borderId="48" xfId="0" applyFont="1" applyFill="1" applyBorder="1" applyAlignment="1" applyProtection="1">
      <alignment horizontal="right" wrapText="1"/>
      <protection locked="0"/>
    </xf>
    <xf numFmtId="1" fontId="0" fillId="2" borderId="24" xfId="0" applyNumberFormat="1" applyFill="1" applyBorder="1" applyAlignment="1" applyProtection="1">
      <alignment horizontal="center" vertical="center"/>
      <protection locked="0"/>
    </xf>
    <xf numFmtId="1" fontId="0" fillId="2" borderId="2" xfId="0" applyNumberFormat="1" applyFill="1" applyBorder="1" applyAlignment="1" applyProtection="1">
      <alignment horizontal="center" vertical="center"/>
      <protection locked="0"/>
    </xf>
    <xf numFmtId="0" fontId="0" fillId="4" borderId="24" xfId="0" applyFont="1" applyFill="1" applyBorder="1" applyAlignment="1" applyProtection="1">
      <alignment horizontal="center" vertical="center"/>
      <protection/>
    </xf>
    <xf numFmtId="0" fontId="0" fillId="4" borderId="50" xfId="0" applyFont="1" applyFill="1" applyBorder="1" applyAlignment="1" applyProtection="1">
      <alignment horizontal="center" vertical="center"/>
      <protection/>
    </xf>
    <xf numFmtId="0" fontId="0" fillId="4" borderId="2" xfId="0" applyFont="1" applyFill="1" applyBorder="1" applyAlignment="1" applyProtection="1">
      <alignment horizontal="center" vertical="center"/>
      <protection/>
    </xf>
    <xf numFmtId="164" fontId="15" fillId="0" borderId="13" xfId="0" applyNumberFormat="1" applyFont="1" applyFill="1" applyBorder="1" applyAlignment="1">
      <alignment horizontal="right" vertical="center"/>
    </xf>
    <xf numFmtId="164" fontId="15" fillId="0" borderId="37" xfId="0" applyNumberFormat="1" applyFont="1" applyFill="1" applyBorder="1" applyAlignment="1">
      <alignment horizontal="right" vertical="center"/>
    </xf>
    <xf numFmtId="0" fontId="0" fillId="4" borderId="0" xfId="0" applyFont="1" applyFill="1" applyBorder="1" applyAlignment="1" applyProtection="1">
      <alignment horizontal="left" vertical="center"/>
      <protection/>
    </xf>
    <xf numFmtId="0" fontId="33" fillId="4" borderId="5" xfId="0" applyFont="1" applyFill="1" applyBorder="1" applyAlignment="1">
      <alignment horizontal="right" wrapText="1"/>
    </xf>
    <xf numFmtId="0" fontId="33" fillId="4" borderId="0" xfId="0" applyFont="1" applyFill="1" applyBorder="1" applyAlignment="1">
      <alignment horizontal="right" wrapText="1"/>
    </xf>
    <xf numFmtId="0" fontId="33" fillId="4" borderId="49" xfId="0" applyFont="1" applyFill="1" applyBorder="1" applyAlignment="1">
      <alignment horizontal="right" wrapText="1"/>
    </xf>
    <xf numFmtId="0" fontId="18" fillId="9" borderId="54" xfId="0" applyFont="1" applyFill="1" applyBorder="1" applyAlignment="1" applyProtection="1">
      <alignment horizontal="left" vertical="center"/>
      <protection/>
    </xf>
    <xf numFmtId="0" fontId="18" fillId="9" borderId="95" xfId="0" applyFont="1" applyFill="1" applyBorder="1" applyAlignment="1" applyProtection="1">
      <alignment horizontal="left" vertical="center"/>
      <protection/>
    </xf>
    <xf numFmtId="0" fontId="18" fillId="9" borderId="122" xfId="0" applyFont="1" applyFill="1" applyBorder="1" applyAlignment="1" applyProtection="1">
      <alignment horizontal="left" vertical="center"/>
      <protection/>
    </xf>
    <xf numFmtId="0" fontId="1" fillId="7" borderId="64" xfId="0" applyFont="1" applyFill="1" applyBorder="1" applyAlignment="1" applyProtection="1">
      <alignment horizontal="center" vertical="center"/>
      <protection/>
    </xf>
    <xf numFmtId="0" fontId="1" fillId="7" borderId="55" xfId="0" applyFont="1" applyFill="1" applyBorder="1" applyAlignment="1" applyProtection="1">
      <alignment horizontal="center" vertical="center"/>
      <protection/>
    </xf>
    <xf numFmtId="0" fontId="1" fillId="7" borderId="75" xfId="0" applyFont="1" applyFill="1" applyBorder="1" applyAlignment="1" applyProtection="1">
      <alignment horizontal="center" vertical="center"/>
      <protection/>
    </xf>
    <xf numFmtId="0" fontId="2" fillId="4" borderId="0" xfId="0" applyFont="1" applyFill="1" applyBorder="1" applyAlignment="1" applyProtection="1">
      <alignment horizontal="right" vertical="center"/>
      <protection/>
    </xf>
    <xf numFmtId="0" fontId="2" fillId="4" borderId="0" xfId="0" applyFont="1" applyFill="1" applyBorder="1" applyAlignment="1" applyProtection="1">
      <alignment horizontal="center" vertical="center"/>
      <protection/>
    </xf>
    <xf numFmtId="0" fontId="0" fillId="4" borderId="13" xfId="0" applyFont="1" applyFill="1" applyBorder="1" applyAlignment="1" applyProtection="1">
      <alignment horizontal="left" vertical="center" wrapText="1"/>
      <protection/>
    </xf>
    <xf numFmtId="0" fontId="0" fillId="4" borderId="37" xfId="0" applyFont="1" applyFill="1" applyBorder="1" applyAlignment="1" applyProtection="1">
      <alignment horizontal="left" vertical="center" wrapText="1"/>
      <protection/>
    </xf>
    <xf numFmtId="0" fontId="0" fillId="0" borderId="39" xfId="0" applyBorder="1" applyAlignment="1">
      <alignment horizontal="left" vertical="top" wrapText="1"/>
    </xf>
    <xf numFmtId="0" fontId="0" fillId="0" borderId="37" xfId="0" applyBorder="1" applyAlignment="1">
      <alignment horizontal="left" vertical="top" wrapText="1"/>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2" xfId="0" applyFont="1" applyFill="1" applyBorder="1" applyAlignment="1" applyProtection="1">
      <alignment horizontal="left" vertical="center"/>
      <protection locked="0"/>
    </xf>
    <xf numFmtId="0" fontId="0" fillId="4" borderId="0" xfId="0" applyFont="1" applyFill="1" applyBorder="1" applyAlignment="1" applyProtection="1">
      <alignment horizontal="left" wrapText="1"/>
      <protection/>
    </xf>
    <xf numFmtId="0" fontId="0" fillId="4" borderId="114" xfId="0" applyFont="1" applyFill="1" applyBorder="1" applyAlignment="1" applyProtection="1">
      <alignment horizontal="left" vertical="center" wrapText="1"/>
      <protection/>
    </xf>
    <xf numFmtId="0" fontId="18" fillId="9" borderId="122" xfId="0" applyFont="1" applyFill="1" applyBorder="1" applyAlignment="1" applyProtection="1">
      <alignment horizontal="left" wrapText="1"/>
      <protection/>
    </xf>
    <xf numFmtId="0" fontId="0" fillId="4" borderId="42" xfId="0" applyFont="1" applyFill="1" applyBorder="1" applyAlignment="1" applyProtection="1">
      <alignment horizontal="left" vertical="center" wrapText="1"/>
      <protection/>
    </xf>
    <xf numFmtId="0" fontId="0" fillId="4" borderId="36" xfId="0" applyFont="1" applyFill="1" applyBorder="1" applyAlignment="1" applyProtection="1">
      <alignment horizontal="left" vertical="center" wrapText="1"/>
      <protection/>
    </xf>
    <xf numFmtId="0" fontId="0" fillId="4" borderId="85" xfId="0" applyFont="1" applyFill="1" applyBorder="1" applyAlignment="1" applyProtection="1">
      <alignment horizontal="left" vertical="center" wrapText="1"/>
      <protection/>
    </xf>
    <xf numFmtId="0" fontId="14" fillId="2" borderId="13" xfId="0" applyFont="1" applyFill="1" applyBorder="1" applyAlignment="1" applyProtection="1">
      <alignment horizontal="left" vertical="center" wrapText="1"/>
      <protection/>
    </xf>
    <xf numFmtId="0" fontId="14" fillId="2" borderId="39" xfId="0" applyFont="1" applyFill="1" applyBorder="1" applyAlignment="1" applyProtection="1">
      <alignment horizontal="left" vertical="center" wrapText="1"/>
      <protection/>
    </xf>
    <xf numFmtId="0" fontId="14" fillId="2" borderId="37" xfId="0" applyFont="1" applyFill="1" applyBorder="1" applyAlignment="1" applyProtection="1">
      <alignment horizontal="left" vertical="center" wrapText="1"/>
      <protection/>
    </xf>
    <xf numFmtId="0" fontId="2" fillId="4" borderId="46" xfId="0" applyFont="1" applyFill="1" applyBorder="1" applyAlignment="1" applyProtection="1">
      <alignment horizontal="right" vertical="center"/>
      <protection locked="0"/>
    </xf>
    <xf numFmtId="0" fontId="2" fillId="4" borderId="37" xfId="0" applyFont="1" applyFill="1" applyBorder="1" applyAlignment="1" applyProtection="1">
      <alignment horizontal="right" vertical="center"/>
      <protection locked="0"/>
    </xf>
    <xf numFmtId="0" fontId="2" fillId="4" borderId="111" xfId="0" applyFont="1" applyFill="1" applyBorder="1" applyAlignment="1" applyProtection="1">
      <alignment horizontal="right" vertical="center"/>
      <protection locked="0"/>
    </xf>
    <xf numFmtId="0" fontId="2" fillId="4" borderId="110" xfId="0" applyFont="1" applyFill="1" applyBorder="1" applyAlignment="1" applyProtection="1">
      <alignment horizontal="right" vertical="center"/>
      <protection locked="0"/>
    </xf>
    <xf numFmtId="0" fontId="2" fillId="4" borderId="42" xfId="0" applyFont="1" applyFill="1" applyBorder="1" applyAlignment="1" applyProtection="1">
      <alignment horizontal="right" vertical="center" wrapText="1"/>
      <protection locked="0"/>
    </xf>
    <xf numFmtId="0" fontId="2" fillId="4" borderId="85" xfId="0" applyFont="1" applyFill="1" applyBorder="1" applyAlignment="1" applyProtection="1">
      <alignment horizontal="right" vertical="center" wrapText="1"/>
      <protection locked="0"/>
    </xf>
    <xf numFmtId="0" fontId="2" fillId="4" borderId="1" xfId="0" applyFont="1" applyFill="1" applyBorder="1" applyAlignment="1" applyProtection="1">
      <alignment horizontal="right" vertical="center" wrapText="1"/>
      <protection locked="0"/>
    </xf>
    <xf numFmtId="0" fontId="2" fillId="4" borderId="48" xfId="0" applyFont="1" applyFill="1" applyBorder="1" applyAlignment="1" applyProtection="1">
      <alignment horizontal="right" vertical="center" wrapText="1"/>
      <protection locked="0"/>
    </xf>
    <xf numFmtId="0" fontId="37" fillId="4" borderId="94" xfId="0" applyFont="1" applyFill="1" applyBorder="1" applyAlignment="1" applyProtection="1">
      <alignment horizontal="right" vertical="center" wrapText="1"/>
      <protection locked="0"/>
    </xf>
    <xf numFmtId="0" fontId="37" fillId="4" borderId="48" xfId="0" applyFont="1" applyFill="1" applyBorder="1" applyAlignment="1" applyProtection="1">
      <alignment horizontal="right" vertical="center" wrapText="1"/>
      <protection locked="0"/>
    </xf>
    <xf numFmtId="0" fontId="4" fillId="0" borderId="123" xfId="0" applyFont="1" applyFill="1" applyBorder="1" applyAlignment="1" applyProtection="1">
      <alignment horizontal="left" vertical="center"/>
      <protection locked="0"/>
    </xf>
    <xf numFmtId="0" fontId="4" fillId="0" borderId="124" xfId="0" applyFont="1" applyFill="1" applyBorder="1" applyAlignment="1" applyProtection="1">
      <alignment horizontal="left" vertical="center"/>
      <protection/>
    </xf>
    <xf numFmtId="0" fontId="4" fillId="0" borderId="125" xfId="0" applyFont="1" applyFill="1" applyBorder="1" applyAlignment="1" applyProtection="1">
      <alignment horizontal="left" vertical="center"/>
      <protection/>
    </xf>
    <xf numFmtId="0" fontId="2" fillId="4" borderId="94" xfId="0" applyFont="1" applyFill="1" applyBorder="1" applyAlignment="1" applyProtection="1">
      <alignment horizontal="right" vertical="center" wrapText="1"/>
      <protection locked="0"/>
    </xf>
    <xf numFmtId="0" fontId="8" fillId="4" borderId="85" xfId="0" applyFont="1" applyFill="1" applyBorder="1" applyAlignment="1" applyProtection="1">
      <alignment horizontal="right" vertical="center" wrapText="1"/>
      <protection locked="0"/>
    </xf>
    <xf numFmtId="0" fontId="8" fillId="4" borderId="49" xfId="0" applyFont="1" applyFill="1" applyBorder="1" applyAlignment="1" applyProtection="1">
      <alignment horizontal="right" vertical="center" wrapText="1"/>
      <protection locked="0"/>
    </xf>
    <xf numFmtId="0" fontId="8" fillId="4" borderId="94" xfId="0" applyFont="1" applyFill="1" applyBorder="1" applyAlignment="1" applyProtection="1">
      <alignment horizontal="right" vertical="center" wrapText="1"/>
      <protection locked="0"/>
    </xf>
    <xf numFmtId="0" fontId="8" fillId="4" borderId="48" xfId="0" applyFont="1" applyFill="1" applyBorder="1" applyAlignment="1" applyProtection="1">
      <alignment horizontal="right" vertical="center" wrapText="1"/>
      <protection locked="0"/>
    </xf>
    <xf numFmtId="0" fontId="4" fillId="5" borderId="8" xfId="0" applyFont="1" applyFill="1" applyBorder="1" applyAlignment="1" applyProtection="1">
      <alignment horizontal="left" vertical="center"/>
      <protection/>
    </xf>
    <xf numFmtId="0" fontId="4" fillId="5" borderId="101" xfId="0" applyFont="1" applyFill="1" applyBorder="1" applyAlignment="1" applyProtection="1">
      <alignment horizontal="left" vertical="center"/>
      <protection/>
    </xf>
    <xf numFmtId="0" fontId="5" fillId="5" borderId="17" xfId="0" applyFont="1" applyFill="1" applyBorder="1" applyAlignment="1" applyProtection="1">
      <alignment horizontal="left" vertical="center"/>
      <protection/>
    </xf>
    <xf numFmtId="0" fontId="5" fillId="5" borderId="18" xfId="0" applyFont="1" applyFill="1" applyBorder="1" applyAlignment="1" applyProtection="1">
      <alignment horizontal="left" vertical="center"/>
      <protection/>
    </xf>
    <xf numFmtId="0" fontId="5" fillId="5" borderId="19" xfId="0" applyFont="1" applyFill="1" applyBorder="1" applyAlignment="1" applyProtection="1">
      <alignment horizontal="left" vertical="center"/>
      <protection/>
    </xf>
    <xf numFmtId="164" fontId="0" fillId="2" borderId="13" xfId="0" applyNumberFormat="1" applyFont="1" applyFill="1" applyBorder="1" applyAlignment="1" applyProtection="1">
      <alignment horizontal="center" vertical="center" wrapText="1"/>
      <protection locked="0"/>
    </xf>
    <xf numFmtId="164" fontId="0" fillId="2" borderId="37" xfId="0" applyNumberFormat="1" applyFont="1" applyFill="1" applyBorder="1" applyAlignment="1" applyProtection="1">
      <alignment horizontal="center" vertical="center" wrapText="1"/>
      <protection locked="0"/>
    </xf>
    <xf numFmtId="0" fontId="2" fillId="4" borderId="46" xfId="0" applyFont="1" applyFill="1" applyBorder="1" applyAlignment="1" applyProtection="1">
      <alignment horizontal="right" vertical="center" wrapText="1"/>
      <protection locked="0"/>
    </xf>
    <xf numFmtId="0" fontId="2" fillId="4" borderId="39" xfId="0" applyFont="1" applyFill="1" applyBorder="1" applyAlignment="1" applyProtection="1">
      <alignment horizontal="right" vertical="center" wrapText="1"/>
      <protection locked="0"/>
    </xf>
    <xf numFmtId="0" fontId="2" fillId="4" borderId="37" xfId="0" applyFont="1" applyFill="1" applyBorder="1" applyAlignment="1" applyProtection="1">
      <alignment horizontal="right" vertical="center" wrapText="1"/>
      <protection locked="0"/>
    </xf>
    <xf numFmtId="0" fontId="2" fillId="4" borderId="84" xfId="0" applyFont="1" applyFill="1" applyBorder="1" applyAlignment="1" applyProtection="1">
      <alignment horizontal="right" vertical="center" wrapText="1"/>
      <protection locked="0"/>
    </xf>
    <xf numFmtId="0" fontId="2" fillId="4" borderId="36" xfId="0" applyFont="1" applyFill="1" applyBorder="1" applyAlignment="1" applyProtection="1">
      <alignment horizontal="right" vertical="center" wrapText="1"/>
      <protection locked="0"/>
    </xf>
    <xf numFmtId="0" fontId="2" fillId="4" borderId="47" xfId="0" applyFont="1" applyFill="1" applyBorder="1" applyAlignment="1" applyProtection="1">
      <alignment horizontal="right" vertical="center" wrapText="1"/>
      <protection locked="0"/>
    </xf>
    <xf numFmtId="166" fontId="0" fillId="2" borderId="1" xfId="0" applyNumberFormat="1" applyFill="1" applyBorder="1" applyAlignment="1" applyProtection="1">
      <alignment horizontal="center" vertical="center"/>
      <protection locked="0"/>
    </xf>
    <xf numFmtId="166" fontId="0" fillId="2" borderId="48" xfId="0" applyNumberFormat="1" applyFill="1" applyBorder="1" applyAlignment="1" applyProtection="1">
      <alignment horizontal="center" vertical="center"/>
      <protection locked="0"/>
    </xf>
    <xf numFmtId="0" fontId="0" fillId="4" borderId="158" xfId="0" applyFill="1" applyBorder="1" applyAlignment="1">
      <alignment horizontal="left" vertical="center" wrapText="1"/>
    </xf>
    <xf numFmtId="0" fontId="0" fillId="4" borderId="159" xfId="0" applyFill="1" applyBorder="1" applyAlignment="1">
      <alignment horizontal="left" vertical="center" wrapText="1"/>
    </xf>
    <xf numFmtId="0" fontId="0" fillId="6" borderId="160" xfId="0" applyFill="1" applyBorder="1" applyAlignment="1">
      <alignment horizontal="left" vertical="center"/>
    </xf>
    <xf numFmtId="0" fontId="0" fillId="6" borderId="161" xfId="0" applyFill="1" applyBorder="1" applyAlignment="1">
      <alignment horizontal="left" vertical="center"/>
    </xf>
    <xf numFmtId="0" fontId="0" fillId="6" borderId="162" xfId="0" applyFill="1" applyBorder="1" applyAlignment="1">
      <alignment horizontal="left" vertical="center"/>
    </xf>
    <xf numFmtId="0" fontId="12" fillId="4" borderId="0" xfId="0" applyFont="1" applyFill="1" applyBorder="1" applyAlignment="1" applyProtection="1">
      <alignment horizontal="left" vertical="top"/>
      <protection/>
    </xf>
    <xf numFmtId="0" fontId="0" fillId="6" borderId="116" xfId="0" applyFill="1" applyBorder="1" applyAlignment="1">
      <alignment horizontal="left" vertical="top" wrapText="1"/>
    </xf>
    <xf numFmtId="0" fontId="0" fillId="0" borderId="117" xfId="0" applyBorder="1" applyAlignment="1">
      <alignment horizontal="left" vertical="top" wrapText="1"/>
    </xf>
    <xf numFmtId="0" fontId="0" fillId="0" borderId="11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left" vertical="top" wrapText="1"/>
    </xf>
    <xf numFmtId="0" fontId="12" fillId="2" borderId="13" xfId="0" applyFont="1" applyFill="1" applyBorder="1" applyAlignment="1" applyProtection="1">
      <alignment horizontal="left"/>
      <protection/>
    </xf>
    <xf numFmtId="0" fontId="12" fillId="2" borderId="39" xfId="0" applyFont="1" applyFill="1" applyBorder="1" applyAlignment="1" applyProtection="1">
      <alignment horizontal="left"/>
      <protection/>
    </xf>
    <xf numFmtId="0" fontId="12" fillId="2" borderId="37" xfId="0" applyFont="1" applyFill="1" applyBorder="1" applyAlignment="1" applyProtection="1">
      <alignment horizontal="left"/>
      <protection/>
    </xf>
    <xf numFmtId="0" fontId="5" fillId="5" borderId="17" xfId="0" applyFont="1" applyFill="1" applyBorder="1" applyAlignment="1" applyProtection="1">
      <alignment horizontal="left"/>
      <protection/>
    </xf>
    <xf numFmtId="0" fontId="5" fillId="5" borderId="18" xfId="0" applyFont="1" applyFill="1" applyBorder="1" applyAlignment="1" applyProtection="1">
      <alignment horizontal="left"/>
      <protection/>
    </xf>
    <xf numFmtId="0" fontId="5" fillId="5" borderId="19" xfId="0" applyFont="1" applyFill="1" applyBorder="1" applyAlignment="1" applyProtection="1">
      <alignment horizontal="left"/>
      <protection/>
    </xf>
    <xf numFmtId="166" fontId="0" fillId="0" borderId="13" xfId="0" applyNumberFormat="1" applyFont="1" applyFill="1" applyBorder="1" applyAlignment="1" applyProtection="1">
      <alignment horizontal="right" vertical="center"/>
      <protection/>
    </xf>
    <xf numFmtId="166" fontId="0" fillId="0" borderId="37" xfId="0" applyNumberFormat="1" applyFont="1" applyFill="1" applyBorder="1" applyAlignment="1" applyProtection="1">
      <alignment horizontal="right" vertical="center"/>
      <protection/>
    </xf>
    <xf numFmtId="2" fontId="0" fillId="0" borderId="105" xfId="0" applyNumberFormat="1" applyFont="1" applyFill="1" applyBorder="1" applyAlignment="1" applyProtection="1">
      <alignment horizontal="right" vertical="center"/>
      <protection/>
    </xf>
    <xf numFmtId="2" fontId="0" fillId="0" borderId="104" xfId="0" applyNumberFormat="1" applyFont="1" applyFill="1" applyBorder="1" applyAlignment="1" applyProtection="1">
      <alignment horizontal="right" vertical="center"/>
      <protection/>
    </xf>
    <xf numFmtId="166" fontId="0" fillId="2" borderId="13" xfId="0" applyNumberFormat="1" applyFont="1" applyFill="1" applyBorder="1" applyAlignment="1" applyProtection="1">
      <alignment horizontal="right" vertical="center"/>
      <protection/>
    </xf>
    <xf numFmtId="166" fontId="0" fillId="2" borderId="37" xfId="0" applyNumberFormat="1" applyFont="1" applyFill="1" applyBorder="1" applyAlignment="1" applyProtection="1">
      <alignment horizontal="right" vertical="center"/>
      <protection/>
    </xf>
    <xf numFmtId="0" fontId="0" fillId="4" borderId="126" xfId="0" applyFont="1" applyFill="1" applyBorder="1" applyAlignment="1" applyProtection="1">
      <alignment horizontal="left" vertical="top" wrapText="1"/>
      <protection/>
    </xf>
    <xf numFmtId="0" fontId="0" fillId="4" borderId="137" xfId="0" applyFont="1" applyFill="1" applyBorder="1" applyAlignment="1" applyProtection="1">
      <alignment horizontal="left" vertical="top" wrapText="1"/>
      <protection/>
    </xf>
    <xf numFmtId="0" fontId="0" fillId="4" borderId="163" xfId="0" applyFont="1" applyFill="1" applyBorder="1" applyAlignment="1" applyProtection="1">
      <alignment horizontal="left" vertical="center" wrapText="1"/>
      <protection/>
    </xf>
    <xf numFmtId="170" fontId="0" fillId="2" borderId="13" xfId="0" applyNumberFormat="1" applyFont="1" applyFill="1" applyBorder="1" applyAlignment="1" applyProtection="1">
      <alignment horizontal="right" vertical="center"/>
      <protection/>
    </xf>
    <xf numFmtId="170" fontId="0" fillId="2" borderId="37" xfId="0" applyNumberFormat="1" applyFont="1" applyFill="1" applyBorder="1" applyAlignment="1" applyProtection="1">
      <alignment horizontal="right" vertical="center"/>
      <protection/>
    </xf>
    <xf numFmtId="0" fontId="1" fillId="7" borderId="7" xfId="0" applyFont="1" applyFill="1" applyBorder="1" applyAlignment="1" applyProtection="1">
      <alignment horizontal="center" vertical="center"/>
      <protection/>
    </xf>
    <xf numFmtId="0" fontId="1" fillId="7" borderId="8" xfId="0" applyFont="1" applyFill="1" applyBorder="1" applyAlignment="1" applyProtection="1">
      <alignment horizontal="center" vertical="center"/>
      <protection/>
    </xf>
    <xf numFmtId="0" fontId="1" fillId="7" borderId="101" xfId="0" applyFont="1" applyFill="1" applyBorder="1" applyAlignment="1" applyProtection="1">
      <alignment horizontal="center" vertical="center"/>
      <protection/>
    </xf>
    <xf numFmtId="0" fontId="5" fillId="5" borderId="17" xfId="0" applyFont="1" applyFill="1" applyBorder="1" applyAlignment="1" applyProtection="1">
      <alignment horizontal="left" vertical="center" wrapText="1"/>
      <protection/>
    </xf>
    <xf numFmtId="0" fontId="5" fillId="5" borderId="18" xfId="0" applyFont="1" applyFill="1" applyBorder="1" applyAlignment="1" applyProtection="1">
      <alignment horizontal="left" vertical="center" wrapText="1"/>
      <protection/>
    </xf>
    <xf numFmtId="0" fontId="5" fillId="5" borderId="19" xfId="0" applyFont="1" applyFill="1" applyBorder="1" applyAlignment="1" applyProtection="1">
      <alignment horizontal="left" vertical="center" wrapText="1"/>
      <protection/>
    </xf>
    <xf numFmtId="0" fontId="14" fillId="4" borderId="5" xfId="0" applyFont="1" applyFill="1" applyBorder="1" applyAlignment="1">
      <alignment horizontal="left" wrapText="1"/>
    </xf>
    <xf numFmtId="0" fontId="14" fillId="4" borderId="0" xfId="0" applyFont="1" applyFill="1" applyBorder="1" applyAlignment="1">
      <alignment horizontal="left" wrapText="1"/>
    </xf>
    <xf numFmtId="0" fontId="14" fillId="4" borderId="6" xfId="0" applyFont="1" applyFill="1" applyBorder="1" applyAlignment="1">
      <alignment horizontal="left" wrapText="1"/>
    </xf>
    <xf numFmtId="0" fontId="14" fillId="4" borderId="4" xfId="0" applyFont="1" applyFill="1" applyBorder="1" applyAlignment="1">
      <alignment horizontal="left" wrapText="1"/>
    </xf>
    <xf numFmtId="0" fontId="0" fillId="4" borderId="24" xfId="0" applyFill="1" applyBorder="1" applyAlignment="1">
      <alignment horizontal="center"/>
    </xf>
    <xf numFmtId="0" fontId="0" fillId="4" borderId="50" xfId="0" applyFill="1" applyBorder="1" applyAlignment="1">
      <alignment horizontal="center"/>
    </xf>
    <xf numFmtId="0" fontId="0" fillId="4" borderId="2" xfId="0" applyFill="1" applyBorder="1" applyAlignment="1">
      <alignment horizontal="center"/>
    </xf>
    <xf numFmtId="0" fontId="4" fillId="5" borderId="8" xfId="0" applyFont="1" applyFill="1" applyBorder="1" applyAlignment="1" applyProtection="1">
      <alignment horizontal="left" wrapText="1"/>
      <protection/>
    </xf>
    <xf numFmtId="0" fontId="4" fillId="5" borderId="101" xfId="0" applyFont="1" applyFill="1" applyBorder="1" applyAlignment="1" applyProtection="1">
      <alignment horizontal="left" wrapText="1"/>
      <protection/>
    </xf>
    <xf numFmtId="0" fontId="3" fillId="6" borderId="7" xfId="0" applyFont="1" applyFill="1" applyBorder="1" applyAlignment="1">
      <alignment horizontal="left" vertical="top" wrapText="1"/>
    </xf>
    <xf numFmtId="0" fontId="0" fillId="0" borderId="8" xfId="0" applyBorder="1" applyAlignment="1">
      <alignment horizontal="left" vertical="top" wrapText="1"/>
    </xf>
    <xf numFmtId="0" fontId="0" fillId="0" borderId="101" xfId="0" applyBorder="1" applyAlignment="1">
      <alignment horizontal="left" vertical="top" wrapText="1"/>
    </xf>
    <xf numFmtId="0" fontId="3" fillId="6" borderId="106" xfId="0" applyFont="1" applyFill="1" applyBorder="1" applyAlignment="1">
      <alignment horizontal="left" vertical="top" wrapText="1"/>
    </xf>
    <xf numFmtId="0" fontId="3" fillId="6" borderId="107" xfId="0" applyFont="1" applyFill="1" applyBorder="1" applyAlignment="1">
      <alignment horizontal="left" vertical="top" wrapText="1"/>
    </xf>
    <xf numFmtId="0" fontId="3" fillId="6" borderId="108"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6" xfId="0" applyFont="1" applyFill="1" applyBorder="1" applyAlignment="1">
      <alignment horizontal="left" vertical="top" wrapText="1"/>
    </xf>
    <xf numFmtId="0" fontId="0" fillId="0" borderId="33"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134" xfId="0" applyBorder="1" applyAlignment="1" applyProtection="1">
      <alignment horizontal="left" vertical="top" wrapText="1"/>
      <protection locked="0"/>
    </xf>
    <xf numFmtId="0" fontId="0" fillId="0" borderId="135" xfId="0" applyBorder="1" applyAlignment="1" applyProtection="1">
      <alignment horizontal="left" vertical="top" wrapText="1"/>
      <protection locked="0"/>
    </xf>
    <xf numFmtId="0" fontId="0" fillId="0" borderId="136" xfId="0" applyBorder="1" applyAlignment="1" applyProtection="1">
      <alignment horizontal="left" vertical="top" wrapText="1"/>
      <protection locked="0"/>
    </xf>
    <xf numFmtId="0" fontId="5" fillId="4" borderId="42" xfId="0" applyFont="1" applyFill="1" applyBorder="1" applyAlignment="1" applyProtection="1">
      <alignment horizontal="left"/>
      <protection locked="0"/>
    </xf>
    <xf numFmtId="0" fontId="5" fillId="4" borderId="85"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5" fillId="4" borderId="48" xfId="0" applyFont="1" applyFill="1" applyBorder="1" applyAlignment="1" applyProtection="1">
      <alignment horizontal="left"/>
      <protection locked="0"/>
    </xf>
    <xf numFmtId="0" fontId="18" fillId="4" borderId="42" xfId="0" applyFont="1" applyFill="1" applyBorder="1" applyAlignment="1" applyProtection="1">
      <alignment horizontal="left"/>
      <protection locked="0"/>
    </xf>
    <xf numFmtId="0" fontId="18" fillId="4" borderId="85" xfId="0" applyFont="1" applyFill="1" applyBorder="1" applyAlignment="1" applyProtection="1">
      <alignment horizontal="left"/>
      <protection locked="0"/>
    </xf>
    <xf numFmtId="0" fontId="18" fillId="4" borderId="1" xfId="0" applyFont="1" applyFill="1" applyBorder="1" applyAlignment="1" applyProtection="1">
      <alignment horizontal="left"/>
      <protection locked="0"/>
    </xf>
    <xf numFmtId="0" fontId="18" fillId="4" borderId="48" xfId="0" applyFont="1" applyFill="1" applyBorder="1" applyAlignment="1" applyProtection="1">
      <alignment horizontal="left"/>
      <protection locked="0"/>
    </xf>
    <xf numFmtId="0" fontId="0" fillId="4" borderId="22" xfId="0" applyFill="1" applyBorder="1" applyAlignment="1" applyProtection="1">
      <alignment horizontal="left" wrapText="1"/>
      <protection locked="0"/>
    </xf>
    <xf numFmtId="0" fontId="2" fillId="6" borderId="45" xfId="0" applyFont="1" applyFill="1" applyBorder="1" applyAlignment="1" applyProtection="1">
      <alignment horizontal="left" vertical="center"/>
      <protection locked="0"/>
    </xf>
    <xf numFmtId="0" fontId="2" fillId="6" borderId="34" xfId="0" applyFont="1" applyFill="1" applyBorder="1" applyAlignment="1" applyProtection="1">
      <alignment horizontal="left" vertical="center"/>
      <protection locked="0"/>
    </xf>
    <xf numFmtId="164" fontId="0" fillId="2" borderId="153" xfId="0" applyNumberFormat="1" applyFill="1" applyBorder="1" applyAlignment="1" applyProtection="1">
      <alignment horizontal="right" vertical="center"/>
      <protection locked="0"/>
    </xf>
    <xf numFmtId="164" fontId="0" fillId="2" borderId="154" xfId="0" applyNumberFormat="1" applyFill="1" applyBorder="1" applyAlignment="1" applyProtection="1">
      <alignment horizontal="right" vertical="center"/>
      <protection locked="0"/>
    </xf>
    <xf numFmtId="0" fontId="0" fillId="6" borderId="43" xfId="0" applyFont="1" applyFill="1" applyBorder="1" applyAlignment="1" applyProtection="1">
      <alignment horizontal="left" vertical="top" wrapText="1"/>
      <protection locked="0"/>
    </xf>
    <xf numFmtId="0" fontId="0" fillId="6" borderId="33" xfId="0" applyFont="1" applyFill="1" applyBorder="1" applyAlignment="1" applyProtection="1">
      <alignment horizontal="left" vertical="top" wrapText="1"/>
      <protection locked="0"/>
    </xf>
    <xf numFmtId="0" fontId="0" fillId="6" borderId="82" xfId="0" applyFont="1" applyFill="1" applyBorder="1" applyAlignment="1" applyProtection="1">
      <alignment horizontal="left" vertical="top" wrapText="1"/>
      <protection locked="0"/>
    </xf>
    <xf numFmtId="0" fontId="0" fillId="6" borderId="134" xfId="0" applyFont="1" applyFill="1" applyBorder="1" applyAlignment="1" applyProtection="1">
      <alignment horizontal="left" vertical="top" wrapText="1"/>
      <protection locked="0"/>
    </xf>
    <xf numFmtId="0" fontId="0" fillId="6" borderId="135" xfId="0" applyFont="1" applyFill="1" applyBorder="1" applyAlignment="1" applyProtection="1">
      <alignment horizontal="left" vertical="top" wrapText="1"/>
      <protection locked="0"/>
    </xf>
    <xf numFmtId="0" fontId="0" fillId="6" borderId="136" xfId="0" applyFont="1" applyFill="1" applyBorder="1" applyAlignment="1" applyProtection="1">
      <alignment horizontal="left" vertical="top" wrapText="1"/>
      <protection locked="0"/>
    </xf>
    <xf numFmtId="0" fontId="5" fillId="6" borderId="106" xfId="0" applyFont="1" applyFill="1" applyBorder="1" applyAlignment="1" applyProtection="1">
      <alignment horizontal="left" vertical="top" wrapText="1"/>
      <protection locked="0"/>
    </xf>
    <xf numFmtId="0" fontId="5" fillId="6" borderId="107" xfId="0" applyFont="1" applyFill="1" applyBorder="1" applyAlignment="1" applyProtection="1">
      <alignment horizontal="left" vertical="top" wrapText="1"/>
      <protection locked="0"/>
    </xf>
    <xf numFmtId="0" fontId="5" fillId="6" borderId="108"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6" xfId="0" applyFont="1" applyFill="1" applyBorder="1" applyAlignment="1" applyProtection="1">
      <alignment horizontal="left" vertical="top" wrapText="1"/>
      <protection locked="0"/>
    </xf>
    <xf numFmtId="0" fontId="25" fillId="4" borderId="5" xfId="0" applyFont="1" applyFill="1" applyBorder="1" applyAlignment="1" applyProtection="1">
      <alignment horizontal="right" wrapText="1"/>
      <protection locked="0"/>
    </xf>
    <xf numFmtId="0" fontId="25" fillId="4" borderId="0" xfId="0" applyFont="1" applyFill="1" applyBorder="1" applyAlignment="1" applyProtection="1">
      <alignment horizontal="right" wrapText="1"/>
      <protection locked="0"/>
    </xf>
    <xf numFmtId="0" fontId="4" fillId="5" borderId="8"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2" fontId="0" fillId="4" borderId="22" xfId="0" applyNumberFormat="1" applyFont="1" applyFill="1" applyBorder="1" applyAlignment="1" applyProtection="1">
      <alignment horizontal="left" vertical="center"/>
      <protection/>
    </xf>
    <xf numFmtId="0" fontId="12" fillId="4" borderId="0" xfId="0" applyFont="1" applyFill="1" applyBorder="1" applyAlignment="1" applyProtection="1">
      <alignment horizontal="right" wrapText="1"/>
      <protection locked="0"/>
    </xf>
    <xf numFmtId="0" fontId="14" fillId="4" borderId="5"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7" fillId="4" borderId="43" xfId="0" applyFon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4" borderId="0" xfId="0" applyFont="1" applyFill="1" applyBorder="1" applyAlignment="1" applyProtection="1">
      <alignment horizontal="left" wrapText="1"/>
      <protection locked="0"/>
    </xf>
    <xf numFmtId="0" fontId="17" fillId="0" borderId="75" xfId="0" applyFont="1" applyFill="1" applyBorder="1" applyAlignment="1" applyProtection="1">
      <alignment horizontal="right"/>
      <protection/>
    </xf>
    <xf numFmtId="0" fontId="12" fillId="4" borderId="0" xfId="0" applyFont="1" applyFill="1" applyBorder="1" applyAlignment="1" applyProtection="1">
      <alignment horizontal="right" vertical="top" wrapText="1"/>
      <protection locked="0"/>
    </xf>
    <xf numFmtId="2" fontId="17" fillId="0" borderId="105" xfId="0" applyNumberFormat="1" applyFont="1" applyFill="1" applyBorder="1" applyAlignment="1" applyProtection="1">
      <alignment horizontal="right" vertical="center"/>
      <protection/>
    </xf>
    <xf numFmtId="2" fontId="17" fillId="0" borderId="104" xfId="0" applyNumberFormat="1" applyFont="1" applyFill="1" applyBorder="1" applyAlignment="1" applyProtection="1">
      <alignment horizontal="right" vertical="center"/>
      <protection/>
    </xf>
    <xf numFmtId="2" fontId="17" fillId="0" borderId="105" xfId="0" applyNumberFormat="1" applyFont="1" applyBorder="1" applyAlignment="1" applyProtection="1">
      <alignment horizontal="right" vertical="center"/>
      <protection/>
    </xf>
    <xf numFmtId="2" fontId="17" fillId="0" borderId="104" xfId="0" applyNumberFormat="1" applyFont="1" applyBorder="1" applyAlignment="1" applyProtection="1">
      <alignment horizontal="right" vertical="center"/>
      <protection/>
    </xf>
    <xf numFmtId="0" fontId="15" fillId="4" borderId="13" xfId="0" applyFont="1" applyFill="1" applyBorder="1" applyAlignment="1" applyProtection="1">
      <alignment horizontal="left" vertical="center" wrapText="1"/>
      <protection locked="0"/>
    </xf>
    <xf numFmtId="0" fontId="15" fillId="4" borderId="39" xfId="0" applyFont="1" applyFill="1" applyBorder="1" applyAlignment="1" applyProtection="1">
      <alignment horizontal="left" vertical="center" wrapText="1"/>
      <protection locked="0"/>
    </xf>
    <xf numFmtId="0" fontId="15" fillId="4" borderId="37" xfId="0" applyFont="1" applyFill="1" applyBorder="1" applyAlignment="1" applyProtection="1">
      <alignment horizontal="left" vertical="center" wrapText="1"/>
      <protection locked="0"/>
    </xf>
    <xf numFmtId="0" fontId="15" fillId="4" borderId="13" xfId="0" applyFont="1" applyFill="1" applyBorder="1" applyAlignment="1" applyProtection="1">
      <alignment horizontal="left" vertical="center"/>
      <protection locked="0"/>
    </xf>
    <xf numFmtId="0" fontId="15" fillId="4" borderId="39" xfId="0" applyFont="1" applyFill="1" applyBorder="1" applyAlignment="1" applyProtection="1">
      <alignment horizontal="left" vertical="center"/>
      <protection locked="0"/>
    </xf>
    <xf numFmtId="0" fontId="15" fillId="4" borderId="37" xfId="0" applyFont="1" applyFill="1" applyBorder="1" applyAlignment="1" applyProtection="1">
      <alignment horizontal="left" vertical="center"/>
      <protection locked="0"/>
    </xf>
    <xf numFmtId="0" fontId="33" fillId="4" borderId="5" xfId="0" applyFont="1" applyFill="1" applyBorder="1" applyAlignment="1" applyProtection="1">
      <alignment horizontal="right" wrapText="1"/>
      <protection locked="0"/>
    </xf>
    <xf numFmtId="0" fontId="33" fillId="4" borderId="0" xfId="0" applyFont="1" applyFill="1" applyBorder="1" applyAlignment="1" applyProtection="1">
      <alignment horizontal="right" wrapText="1"/>
      <protection locked="0"/>
    </xf>
    <xf numFmtId="0" fontId="2" fillId="4" borderId="6" xfId="0" applyFont="1" applyFill="1" applyBorder="1" applyAlignment="1" applyProtection="1">
      <alignment horizontal="right" vertical="center" wrapText="1"/>
      <protection locked="0"/>
    </xf>
    <xf numFmtId="0" fontId="2" fillId="4" borderId="4" xfId="0" applyFont="1" applyFill="1" applyBorder="1" applyAlignment="1" applyProtection="1">
      <alignment horizontal="right" vertical="center" wrapText="1"/>
      <protection locked="0"/>
    </xf>
    <xf numFmtId="0" fontId="2" fillId="4" borderId="71" xfId="0" applyFont="1" applyFill="1" applyBorder="1" applyAlignment="1" applyProtection="1">
      <alignment horizontal="right" vertical="center" wrapText="1"/>
      <protection locked="0"/>
    </xf>
    <xf numFmtId="166" fontId="0" fillId="2" borderId="15" xfId="0" applyNumberFormat="1" applyFont="1" applyFill="1" applyBorder="1" applyAlignment="1" applyProtection="1">
      <alignment horizontal="center" vertical="center"/>
      <protection locked="0"/>
    </xf>
    <xf numFmtId="166" fontId="0" fillId="2" borderId="4" xfId="0" applyNumberFormat="1" applyFont="1" applyFill="1" applyBorder="1" applyAlignment="1" applyProtection="1">
      <alignment horizontal="center" vertical="center"/>
      <protection locked="0"/>
    </xf>
    <xf numFmtId="0" fontId="0" fillId="4" borderId="164" xfId="0" applyFont="1" applyFill="1" applyBorder="1" applyAlignment="1" applyProtection="1">
      <alignment horizontal="left" vertical="center" wrapText="1"/>
      <protection/>
    </xf>
    <xf numFmtId="0" fontId="2" fillId="4" borderId="165" xfId="0" applyFont="1" applyFill="1" applyBorder="1" applyAlignment="1" applyProtection="1">
      <alignment horizontal="right" vertical="center"/>
      <protection locked="0"/>
    </xf>
    <xf numFmtId="0" fontId="2" fillId="4" borderId="166" xfId="0" applyFont="1" applyFill="1" applyBorder="1" applyAlignment="1" applyProtection="1">
      <alignment horizontal="right" vertical="center"/>
      <protection locked="0"/>
    </xf>
    <xf numFmtId="0" fontId="2" fillId="4" borderId="167" xfId="0" applyFont="1" applyFill="1" applyBorder="1" applyAlignment="1" applyProtection="1">
      <alignment horizontal="right" vertical="center"/>
      <protection locked="0"/>
    </xf>
    <xf numFmtId="49" fontId="18" fillId="9" borderId="54" xfId="0" applyNumberFormat="1" applyFont="1" applyFill="1" applyBorder="1" applyAlignment="1" applyProtection="1">
      <alignment horizontal="left" vertical="center"/>
      <protection locked="0"/>
    </xf>
    <xf numFmtId="49" fontId="18" fillId="9" borderId="95" xfId="0" applyNumberFormat="1" applyFont="1" applyFill="1" applyBorder="1" applyAlignment="1" applyProtection="1">
      <alignment horizontal="left" vertical="center"/>
      <protection locked="0"/>
    </xf>
    <xf numFmtId="49" fontId="18" fillId="9" borderId="122" xfId="0" applyNumberFormat="1" applyFont="1" applyFill="1" applyBorder="1" applyAlignment="1" applyProtection="1">
      <alignment horizontal="left" vertical="center"/>
      <protection locked="0"/>
    </xf>
    <xf numFmtId="0" fontId="2" fillId="4" borderId="113" xfId="0" applyFont="1" applyFill="1" applyBorder="1" applyAlignment="1" applyProtection="1">
      <alignment horizontal="left" vertical="center"/>
      <protection locked="0"/>
    </xf>
    <xf numFmtId="0" fontId="31" fillId="4" borderId="113" xfId="0" applyFont="1" applyFill="1" applyBorder="1" applyAlignment="1" applyProtection="1">
      <alignment horizontal="right" vertical="center"/>
      <protection locked="0"/>
    </xf>
    <xf numFmtId="0" fontId="31" fillId="4" borderId="114" xfId="0" applyFont="1" applyFill="1" applyBorder="1" applyAlignment="1" applyProtection="1">
      <alignment horizontal="right" vertical="center"/>
      <protection locked="0"/>
    </xf>
    <xf numFmtId="0" fontId="31" fillId="4" borderId="168" xfId="0" applyFont="1" applyFill="1" applyBorder="1" applyAlignment="1" applyProtection="1">
      <alignment horizontal="right" vertical="center" wrapText="1"/>
      <protection/>
    </xf>
    <xf numFmtId="0" fontId="31" fillId="4" borderId="24" xfId="0" applyFont="1" applyFill="1" applyBorder="1" applyAlignment="1" applyProtection="1">
      <alignment horizontal="right" vertical="center" wrapText="1"/>
      <protection/>
    </xf>
    <xf numFmtId="0" fontId="31" fillId="4" borderId="149" xfId="0" applyFont="1" applyFill="1" applyBorder="1" applyAlignment="1" applyProtection="1">
      <alignment horizontal="right" vertical="center" wrapText="1"/>
      <protection/>
    </xf>
    <xf numFmtId="0" fontId="31" fillId="4" borderId="2" xfId="0" applyFont="1" applyFill="1" applyBorder="1" applyAlignment="1" applyProtection="1">
      <alignment horizontal="right" vertical="center" wrapText="1"/>
      <protection/>
    </xf>
    <xf numFmtId="0" fontId="0" fillId="2" borderId="24" xfId="0" applyFont="1" applyFill="1" applyBorder="1" applyAlignment="1" applyProtection="1">
      <alignment horizontal="left" vertical="center"/>
      <protection locked="0"/>
    </xf>
    <xf numFmtId="0" fontId="0" fillId="2" borderId="169"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174" fontId="0" fillId="2" borderId="13" xfId="0" applyNumberFormat="1" applyFont="1" applyFill="1" applyBorder="1" applyAlignment="1" applyProtection="1">
      <alignment horizontal="center" vertical="center"/>
      <protection locked="0"/>
    </xf>
    <xf numFmtId="174" fontId="0" fillId="2" borderId="59" xfId="0" applyNumberFormat="1" applyFont="1" applyFill="1" applyBorder="1" applyAlignment="1" applyProtection="1">
      <alignment horizontal="center" vertical="center"/>
      <protection locked="0"/>
    </xf>
    <xf numFmtId="165" fontId="2" fillId="4" borderId="42" xfId="0" applyNumberFormat="1" applyFont="1" applyFill="1" applyBorder="1" applyAlignment="1" applyProtection="1">
      <alignment horizontal="right" vertical="center" wrapText="1"/>
      <protection locked="0"/>
    </xf>
    <xf numFmtId="165" fontId="2" fillId="4" borderId="85" xfId="0" applyNumberFormat="1" applyFont="1" applyFill="1" applyBorder="1" applyAlignment="1" applyProtection="1">
      <alignment horizontal="right" vertical="center" wrapText="1"/>
      <protection locked="0"/>
    </xf>
    <xf numFmtId="165" fontId="2" fillId="4" borderId="15" xfId="0" applyNumberFormat="1" applyFont="1" applyFill="1" applyBorder="1" applyAlignment="1" applyProtection="1">
      <alignment horizontal="right" vertical="center" wrapText="1"/>
      <protection locked="0"/>
    </xf>
    <xf numFmtId="165" fontId="2" fillId="4" borderId="71" xfId="0" applyNumberFormat="1" applyFont="1" applyFill="1" applyBorder="1" applyAlignment="1" applyProtection="1">
      <alignment horizontal="right" vertical="center" wrapText="1"/>
      <protection locked="0"/>
    </xf>
    <xf numFmtId="0" fontId="35" fillId="4" borderId="6" xfId="0" applyFont="1" applyFill="1" applyBorder="1" applyAlignment="1" applyProtection="1">
      <alignment horizontal="right" vertical="center"/>
      <protection/>
    </xf>
    <xf numFmtId="0" fontId="35" fillId="4" borderId="4" xfId="0" applyFont="1" applyFill="1" applyBorder="1" applyAlignment="1" applyProtection="1">
      <alignment horizontal="right" vertical="center"/>
      <protection/>
    </xf>
    <xf numFmtId="0" fontId="0" fillId="4" borderId="150" xfId="0" applyFont="1" applyFill="1" applyBorder="1" applyAlignment="1" applyProtection="1">
      <alignment horizontal="left" vertical="center" wrapText="1"/>
      <protection/>
    </xf>
    <xf numFmtId="0" fontId="0" fillId="4" borderId="170" xfId="0" applyFont="1" applyFill="1" applyBorder="1" applyAlignment="1" applyProtection="1">
      <alignment horizontal="left" vertical="center" wrapText="1"/>
      <protection/>
    </xf>
    <xf numFmtId="0" fontId="0" fillId="4" borderId="171" xfId="0" applyFont="1" applyFill="1" applyBorder="1" applyAlignment="1" applyProtection="1">
      <alignment horizontal="left" vertical="center" wrapText="1"/>
      <protection/>
    </xf>
    <xf numFmtId="0" fontId="0" fillId="4" borderId="172" xfId="0" applyFont="1" applyFill="1" applyBorder="1" applyAlignment="1" applyProtection="1">
      <alignment horizontal="left" vertical="center" wrapText="1"/>
      <protection/>
    </xf>
    <xf numFmtId="49" fontId="2" fillId="4" borderId="0" xfId="0" applyNumberFormat="1" applyFont="1" applyFill="1" applyBorder="1" applyAlignment="1" applyProtection="1">
      <alignment horizontal="left" vertical="center" wrapText="1"/>
      <protection locked="0"/>
    </xf>
    <xf numFmtId="49" fontId="0" fillId="4" borderId="0" xfId="0" applyNumberFormat="1" applyFill="1" applyBorder="1" applyAlignment="1" applyProtection="1">
      <alignment horizontal="left" vertical="center" wrapText="1"/>
      <protection locked="0"/>
    </xf>
    <xf numFmtId="49" fontId="0" fillId="4" borderId="22" xfId="0" applyNumberFormat="1" applyFill="1" applyBorder="1" applyAlignment="1" applyProtection="1">
      <alignment horizontal="left" vertical="center" wrapText="1"/>
      <protection locked="0"/>
    </xf>
    <xf numFmtId="0" fontId="15" fillId="4" borderId="49" xfId="0" applyFont="1" applyFill="1" applyBorder="1" applyAlignment="1" applyProtection="1">
      <alignment horizontal="right"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48"/>
  <sheetViews>
    <sheetView showGridLines="0" workbookViewId="0" topLeftCell="P1">
      <selection activeCell="D181" sqref="D181:G181"/>
    </sheetView>
  </sheetViews>
  <sheetFormatPr defaultColWidth="9.140625" defaultRowHeight="12.75"/>
  <cols>
    <col min="1" max="1" width="9.7109375" style="0" customWidth="1"/>
    <col min="2" max="2" width="5.57421875" style="0" customWidth="1"/>
    <col min="4" max="4" width="8.28125" style="0" customWidth="1"/>
    <col min="5" max="5" width="7.7109375" style="0" customWidth="1"/>
    <col min="6" max="6" width="9.421875" style="0" customWidth="1"/>
    <col min="7" max="7" width="6.7109375" style="0" customWidth="1"/>
    <col min="8" max="8" width="5.00390625" style="0" customWidth="1"/>
    <col min="9" max="9" width="5.57421875" style="0" customWidth="1"/>
    <col min="10" max="10" width="3.8515625" style="0" customWidth="1"/>
    <col min="11" max="11" width="6.57421875" style="0" customWidth="1"/>
    <col min="12" max="16" width="6.00390625" style="0" customWidth="1"/>
    <col min="17" max="17" width="7.00390625" style="0" customWidth="1"/>
    <col min="18" max="18" width="4.7109375" style="0" customWidth="1"/>
    <col min="19" max="19" width="11.140625" style="61" customWidth="1"/>
    <col min="20" max="20" width="9.140625" style="58" customWidth="1"/>
    <col min="21" max="23" width="9.140625" style="42" customWidth="1"/>
  </cols>
  <sheetData>
    <row r="1" spans="1:21" ht="18.75" thickBot="1">
      <c r="A1" s="1009" t="s">
        <v>48</v>
      </c>
      <c r="B1" s="1010"/>
      <c r="C1" s="1010"/>
      <c r="D1" s="1010"/>
      <c r="E1" s="1010"/>
      <c r="F1" s="1010"/>
      <c r="G1" s="1010"/>
      <c r="H1" s="1010"/>
      <c r="I1" s="1010"/>
      <c r="J1" s="1010"/>
      <c r="K1" s="1010"/>
      <c r="L1" s="1010"/>
      <c r="M1" s="1010"/>
      <c r="N1" s="1010"/>
      <c r="O1" s="1010"/>
      <c r="P1" s="1010"/>
      <c r="Q1" s="1011"/>
      <c r="S1" s="63"/>
      <c r="T1" s="62"/>
      <c r="U1" s="41"/>
    </row>
    <row r="2" spans="1:21" ht="15" customHeight="1">
      <c r="A2" s="1035" t="s">
        <v>281</v>
      </c>
      <c r="B2" s="1036"/>
      <c r="C2" s="876"/>
      <c r="D2" s="877"/>
      <c r="E2" s="877"/>
      <c r="F2" s="878"/>
      <c r="G2" s="1024" t="s">
        <v>265</v>
      </c>
      <c r="H2" s="1025"/>
      <c r="I2" s="1025"/>
      <c r="J2" s="1026"/>
      <c r="K2" s="507" t="s">
        <v>362</v>
      </c>
      <c r="L2" s="15"/>
      <c r="M2" s="16"/>
      <c r="N2" s="17"/>
      <c r="O2" s="18"/>
      <c r="P2" s="15"/>
      <c r="Q2" s="172"/>
      <c r="S2" s="63"/>
      <c r="T2" s="62"/>
      <c r="U2" s="41"/>
    </row>
    <row r="3" spans="1:21" ht="15" customHeight="1">
      <c r="A3" s="1037"/>
      <c r="B3" s="1038"/>
      <c r="C3" s="879"/>
      <c r="D3" s="880"/>
      <c r="E3" s="880"/>
      <c r="F3" s="873"/>
      <c r="G3" s="1027" t="s">
        <v>282</v>
      </c>
      <c r="H3" s="1028"/>
      <c r="I3" s="1028"/>
      <c r="J3" s="1029"/>
      <c r="K3" s="508" t="s">
        <v>363</v>
      </c>
      <c r="L3" s="19"/>
      <c r="M3" s="20"/>
      <c r="N3" s="20"/>
      <c r="O3" s="19"/>
      <c r="P3" s="20"/>
      <c r="Q3" s="173"/>
      <c r="S3" s="63"/>
      <c r="T3" s="62"/>
      <c r="U3" s="41"/>
    </row>
    <row r="4" spans="1:21" ht="27.75" customHeight="1">
      <c r="A4" s="1039"/>
      <c r="B4" s="1040"/>
      <c r="C4" s="871"/>
      <c r="D4" s="872"/>
      <c r="E4" s="872"/>
      <c r="F4" s="945"/>
      <c r="G4" s="960"/>
      <c r="H4" s="947"/>
      <c r="I4" s="947"/>
      <c r="J4" s="509"/>
      <c r="K4" s="510"/>
      <c r="L4" s="947" t="s">
        <v>221</v>
      </c>
      <c r="M4" s="947"/>
      <c r="N4" s="947"/>
      <c r="O4" s="511"/>
      <c r="P4" s="510" t="s">
        <v>329</v>
      </c>
      <c r="Q4" s="512"/>
      <c r="S4" s="63"/>
      <c r="T4" s="62"/>
      <c r="U4" s="41"/>
    </row>
    <row r="5" spans="1:21" ht="21" customHeight="1">
      <c r="A5" s="1030" t="s">
        <v>416</v>
      </c>
      <c r="B5" s="1031"/>
      <c r="C5" s="957"/>
      <c r="D5" s="958"/>
      <c r="E5" s="958"/>
      <c r="F5" s="959"/>
      <c r="G5" s="961"/>
      <c r="H5" s="948"/>
      <c r="I5" s="948"/>
      <c r="J5" s="513"/>
      <c r="K5" s="514"/>
      <c r="L5" s="948"/>
      <c r="M5" s="948"/>
      <c r="N5" s="948"/>
      <c r="O5" s="365"/>
      <c r="P5" s="514" t="s">
        <v>330</v>
      </c>
      <c r="Q5" s="515"/>
      <c r="S5" s="63"/>
      <c r="T5" s="62"/>
      <c r="U5" s="41"/>
    </row>
    <row r="6" spans="1:21" ht="24" customHeight="1">
      <c r="A6" s="1032"/>
      <c r="B6" s="1033"/>
      <c r="C6" s="954"/>
      <c r="D6" s="955"/>
      <c r="E6" s="955"/>
      <c r="F6" s="956"/>
      <c r="G6" s="332"/>
      <c r="H6" s="306"/>
      <c r="I6" s="1034"/>
      <c r="J6" s="1034"/>
      <c r="K6" s="516"/>
      <c r="L6" s="949" t="s">
        <v>220</v>
      </c>
      <c r="M6" s="949"/>
      <c r="N6" s="517">
        <v>0</v>
      </c>
      <c r="O6" s="987" t="s">
        <v>224</v>
      </c>
      <c r="P6" s="988"/>
      <c r="Q6" s="518">
        <v>0</v>
      </c>
      <c r="S6" s="63"/>
      <c r="T6" s="62"/>
      <c r="U6" s="41"/>
    </row>
    <row r="7" spans="1:21" ht="4.5" customHeight="1">
      <c r="A7" s="663"/>
      <c r="B7" s="664"/>
      <c r="C7" s="519"/>
      <c r="D7" s="520"/>
      <c r="E7" s="520"/>
      <c r="F7" s="521"/>
      <c r="G7" s="950" t="s">
        <v>222</v>
      </c>
      <c r="H7" s="951"/>
      <c r="I7" s="951"/>
      <c r="J7" s="522"/>
      <c r="K7" s="522"/>
      <c r="L7" s="367"/>
      <c r="M7" s="367"/>
      <c r="N7" s="523"/>
      <c r="O7" s="524"/>
      <c r="P7" s="525"/>
      <c r="Q7" s="526"/>
      <c r="S7" s="63"/>
      <c r="T7" s="62"/>
      <c r="U7" s="41"/>
    </row>
    <row r="8" spans="1:21" ht="24.75" customHeight="1">
      <c r="A8" s="1000" t="s">
        <v>266</v>
      </c>
      <c r="B8" s="1001"/>
      <c r="C8" s="954"/>
      <c r="D8" s="955"/>
      <c r="E8" s="955"/>
      <c r="F8" s="956"/>
      <c r="G8" s="952"/>
      <c r="H8" s="953"/>
      <c r="I8" s="953"/>
      <c r="J8" s="527"/>
      <c r="K8" s="528" t="s">
        <v>329</v>
      </c>
      <c r="L8" s="529" t="s">
        <v>330</v>
      </c>
      <c r="M8" s="946" t="s">
        <v>223</v>
      </c>
      <c r="N8" s="946"/>
      <c r="O8" s="517">
        <v>0</v>
      </c>
      <c r="P8" s="530"/>
      <c r="Q8" s="276">
        <v>2</v>
      </c>
      <c r="S8" s="63"/>
      <c r="T8" s="62"/>
      <c r="U8" s="41"/>
    </row>
    <row r="9" spans="1:21" ht="14.25" customHeight="1">
      <c r="A9" s="1004" t="s">
        <v>702</v>
      </c>
      <c r="B9" s="1005"/>
      <c r="C9" s="1005"/>
      <c r="D9" s="1005"/>
      <c r="E9" s="1006"/>
      <c r="F9" s="135">
        <v>0</v>
      </c>
      <c r="G9" s="994" t="s">
        <v>470</v>
      </c>
      <c r="H9" s="995"/>
      <c r="I9" s="995"/>
      <c r="J9" s="996"/>
      <c r="K9" s="1012">
        <v>0</v>
      </c>
      <c r="L9" s="1013"/>
      <c r="M9" s="519">
        <v>2</v>
      </c>
      <c r="N9" s="1020" t="s">
        <v>392</v>
      </c>
      <c r="O9" s="1021"/>
      <c r="P9" s="1016">
        <f>SUM(P31,P42,P55,P64,P78,I90,I103,I110,I129,I143,I155,I186)</f>
        <v>0</v>
      </c>
      <c r="Q9" s="1017"/>
      <c r="S9" s="95"/>
      <c r="T9" s="62"/>
      <c r="U9" s="41"/>
    </row>
    <row r="10" spans="1:21" ht="16.5" customHeight="1" thickBot="1">
      <c r="A10" s="1007" t="s">
        <v>267</v>
      </c>
      <c r="B10" s="1008"/>
      <c r="C10" s="992"/>
      <c r="D10" s="993"/>
      <c r="E10" s="531" t="s">
        <v>283</v>
      </c>
      <c r="F10" s="662">
        <f ca="1">IF(C10="","",NOW())</f>
      </c>
      <c r="G10" s="997"/>
      <c r="H10" s="998"/>
      <c r="I10" s="998"/>
      <c r="J10" s="999"/>
      <c r="K10" s="1014"/>
      <c r="L10" s="1015"/>
      <c r="M10" s="532"/>
      <c r="N10" s="1022"/>
      <c r="O10" s="1023"/>
      <c r="P10" s="1018"/>
      <c r="Q10" s="1019"/>
      <c r="S10" s="95"/>
      <c r="T10" s="62"/>
      <c r="U10" s="41"/>
    </row>
    <row r="11" spans="1:21" ht="16.5" customHeight="1" thickBot="1">
      <c r="A11" s="1002" t="s">
        <v>813</v>
      </c>
      <c r="B11" s="1003"/>
      <c r="C11" s="1100">
        <f>IF(F10="","",IF(OR(P13="NO",P14="YES"),"LOW PRIORITY",IF(P16="YES","MEDIUM PRIORITY","HIGH PRIORITY")))</f>
      </c>
      <c r="D11" s="1101"/>
      <c r="E11" s="1101"/>
      <c r="F11" s="1102"/>
      <c r="G11" s="310"/>
      <c r="H11" s="533"/>
      <c r="I11" s="533"/>
      <c r="J11" s="533"/>
      <c r="K11" s="260"/>
      <c r="L11" s="260"/>
      <c r="M11" s="534"/>
      <c r="N11" s="535"/>
      <c r="O11" s="535"/>
      <c r="P11" s="536"/>
      <c r="Q11" s="537"/>
      <c r="S11" s="95"/>
      <c r="T11" s="62"/>
      <c r="U11" s="41"/>
    </row>
    <row r="12" spans="1:21" ht="18.75" thickBot="1">
      <c r="A12" s="883" t="s">
        <v>49</v>
      </c>
      <c r="B12" s="884"/>
      <c r="C12" s="884"/>
      <c r="D12" s="884"/>
      <c r="E12" s="884"/>
      <c r="F12" s="884"/>
      <c r="G12" s="884"/>
      <c r="H12" s="884"/>
      <c r="I12" s="884"/>
      <c r="J12" s="884"/>
      <c r="K12" s="884"/>
      <c r="L12" s="884"/>
      <c r="M12" s="884"/>
      <c r="N12" s="884"/>
      <c r="O12" s="884"/>
      <c r="P12" s="884"/>
      <c r="Q12" s="885"/>
      <c r="S12" s="171"/>
      <c r="T12" s="62"/>
      <c r="U12" s="41"/>
    </row>
    <row r="13" spans="1:21" ht="25.5" customHeight="1">
      <c r="A13" s="538" t="s">
        <v>815</v>
      </c>
      <c r="B13" s="1112" t="s">
        <v>256</v>
      </c>
      <c r="C13" s="1112"/>
      <c r="D13" s="1112"/>
      <c r="E13" s="1112"/>
      <c r="F13" s="1112"/>
      <c r="G13" s="1112"/>
      <c r="H13" s="1112"/>
      <c r="I13" s="1112"/>
      <c r="J13" s="1112"/>
      <c r="K13" s="1112"/>
      <c r="L13" s="1112"/>
      <c r="M13" s="1112"/>
      <c r="N13" s="1112"/>
      <c r="O13" s="1113"/>
      <c r="P13" s="539"/>
      <c r="Q13" s="540">
        <f>COUNTIF(P13:P14,"NO")</f>
        <v>0</v>
      </c>
      <c r="S13" s="63"/>
      <c r="T13" s="62"/>
      <c r="U13" s="41"/>
    </row>
    <row r="14" spans="1:21" ht="27" customHeight="1" thickBot="1">
      <c r="A14" s="541" t="s">
        <v>816</v>
      </c>
      <c r="B14" s="1114" t="s">
        <v>232</v>
      </c>
      <c r="C14" s="1114"/>
      <c r="D14" s="1114"/>
      <c r="E14" s="1114"/>
      <c r="F14" s="1114"/>
      <c r="G14" s="1114"/>
      <c r="H14" s="1114"/>
      <c r="I14" s="1114"/>
      <c r="J14" s="1114"/>
      <c r="K14" s="1114"/>
      <c r="L14" s="1114"/>
      <c r="M14" s="1114"/>
      <c r="N14" s="1114"/>
      <c r="O14" s="1115"/>
      <c r="P14" s="542"/>
      <c r="Q14" s="543"/>
      <c r="S14" s="63"/>
      <c r="T14" s="62"/>
      <c r="U14" s="41"/>
    </row>
    <row r="15" spans="1:21" ht="28.5" customHeight="1" thickBot="1">
      <c r="A15" s="1119" t="s">
        <v>2</v>
      </c>
      <c r="B15" s="1120"/>
      <c r="C15" s="1120"/>
      <c r="D15" s="1120"/>
      <c r="E15" s="1120"/>
      <c r="F15" s="1120"/>
      <c r="G15" s="1120"/>
      <c r="H15" s="1120"/>
      <c r="I15" s="1120"/>
      <c r="J15" s="1120"/>
      <c r="K15" s="1120"/>
      <c r="L15" s="1120"/>
      <c r="M15" s="1120"/>
      <c r="N15" s="1120"/>
      <c r="O15" s="1120"/>
      <c r="P15" s="1121"/>
      <c r="Q15" s="544"/>
      <c r="S15"/>
      <c r="T15" s="62"/>
      <c r="U15" s="41"/>
    </row>
    <row r="16" spans="1:21" ht="51.75" customHeight="1" thickBot="1">
      <c r="A16" s="545" t="s">
        <v>814</v>
      </c>
      <c r="B16" s="1116" t="s">
        <v>610</v>
      </c>
      <c r="C16" s="1117"/>
      <c r="D16" s="1117"/>
      <c r="E16" s="1117"/>
      <c r="F16" s="1117"/>
      <c r="G16" s="1117"/>
      <c r="H16" s="1117"/>
      <c r="I16" s="1117"/>
      <c r="J16" s="1117"/>
      <c r="K16" s="1117"/>
      <c r="L16" s="1117"/>
      <c r="M16" s="1117"/>
      <c r="N16" s="1117"/>
      <c r="O16" s="1118"/>
      <c r="P16" s="546"/>
      <c r="Q16" s="544"/>
      <c r="S16"/>
      <c r="T16" s="62"/>
      <c r="U16" s="41"/>
    </row>
    <row r="17" spans="1:21" ht="15.75" customHeight="1" thickBot="1">
      <c r="A17" s="1081" t="s">
        <v>465</v>
      </c>
      <c r="B17" s="1082"/>
      <c r="C17" s="1082"/>
      <c r="D17" s="1082"/>
      <c r="E17" s="1082"/>
      <c r="F17" s="1082"/>
      <c r="G17" s="1082"/>
      <c r="H17" s="1082"/>
      <c r="I17" s="1082"/>
      <c r="J17" s="1082"/>
      <c r="K17" s="1082"/>
      <c r="L17" s="1082"/>
      <c r="M17" s="1082"/>
      <c r="N17" s="1082"/>
      <c r="O17" s="1082"/>
      <c r="P17" s="1083"/>
      <c r="Q17" s="544"/>
      <c r="S17"/>
      <c r="T17" s="62"/>
      <c r="U17" s="41"/>
    </row>
    <row r="18" spans="1:21" ht="18.75" thickBot="1">
      <c r="A18" s="883" t="s">
        <v>53</v>
      </c>
      <c r="B18" s="884"/>
      <c r="C18" s="884"/>
      <c r="D18" s="884"/>
      <c r="E18" s="884"/>
      <c r="F18" s="884"/>
      <c r="G18" s="884"/>
      <c r="H18" s="884"/>
      <c r="I18" s="884"/>
      <c r="J18" s="884"/>
      <c r="K18" s="884"/>
      <c r="L18" s="884"/>
      <c r="M18" s="884"/>
      <c r="N18" s="884"/>
      <c r="O18" s="884"/>
      <c r="P18" s="884"/>
      <c r="Q18" s="885"/>
      <c r="S18" s="63"/>
      <c r="T18" s="62"/>
      <c r="U18" s="41"/>
    </row>
    <row r="19" spans="1:21" ht="15.75">
      <c r="A19" s="547" t="s">
        <v>437</v>
      </c>
      <c r="B19" s="322"/>
      <c r="C19" s="902" t="s">
        <v>257</v>
      </c>
      <c r="D19" s="902"/>
      <c r="E19" s="902"/>
      <c r="F19" s="902"/>
      <c r="G19" s="902"/>
      <c r="H19" s="902"/>
      <c r="I19" s="902"/>
      <c r="J19" s="902"/>
      <c r="K19" s="902"/>
      <c r="L19" s="902"/>
      <c r="M19" s="902"/>
      <c r="N19" s="902"/>
      <c r="O19" s="902"/>
      <c r="P19" s="902"/>
      <c r="Q19" s="903"/>
      <c r="S19" s="63"/>
      <c r="T19" s="62"/>
      <c r="U19" s="41"/>
    </row>
    <row r="20" spans="1:21" ht="12.75" customHeight="1" thickBot="1">
      <c r="A20" s="989" t="s">
        <v>260</v>
      </c>
      <c r="B20" s="990"/>
      <c r="C20" s="990"/>
      <c r="D20" s="990"/>
      <c r="E20" s="990"/>
      <c r="F20" s="990"/>
      <c r="G20" s="990"/>
      <c r="H20" s="990"/>
      <c r="I20" s="990"/>
      <c r="J20" s="990"/>
      <c r="K20" s="990"/>
      <c r="L20" s="990"/>
      <c r="M20" s="990"/>
      <c r="N20" s="990"/>
      <c r="O20" s="990"/>
      <c r="P20" s="990"/>
      <c r="Q20" s="991"/>
      <c r="S20" s="63"/>
      <c r="T20" s="62"/>
      <c r="U20" s="41"/>
    </row>
    <row r="21" spans="1:21" ht="15" customHeight="1" thickTop="1">
      <c r="A21" s="548"/>
      <c r="B21" s="549"/>
      <c r="C21" s="549"/>
      <c r="D21" s="549"/>
      <c r="E21" s="549"/>
      <c r="F21" s="549"/>
      <c r="G21" s="549"/>
      <c r="H21" s="549"/>
      <c r="I21" s="549"/>
      <c r="J21" s="549"/>
      <c r="K21" s="549"/>
      <c r="L21" s="549"/>
      <c r="M21" s="549"/>
      <c r="N21" s="549"/>
      <c r="O21" s="549"/>
      <c r="P21" s="549"/>
      <c r="Q21" s="550"/>
      <c r="S21" s="63"/>
      <c r="T21" s="62"/>
      <c r="U21" s="41"/>
    </row>
    <row r="22" spans="1:21" ht="24.75" customHeight="1">
      <c r="A22" s="548"/>
      <c r="B22" s="551"/>
      <c r="C22" s="1103" t="s">
        <v>722</v>
      </c>
      <c r="D22" s="1104"/>
      <c r="E22" s="1104"/>
      <c r="F22" s="1104"/>
      <c r="G22" s="1104"/>
      <c r="H22" s="1104"/>
      <c r="I22" s="1104"/>
      <c r="J22" s="1104"/>
      <c r="K22" s="1104"/>
      <c r="L22" s="1104"/>
      <c r="M22" s="1104"/>
      <c r="N22" s="1104"/>
      <c r="O22" s="1105"/>
      <c r="P22" s="549"/>
      <c r="Q22" s="552">
        <f>IF($Q$30=1,12,"")</f>
      </c>
      <c r="S22" s="92"/>
      <c r="T22" s="62"/>
      <c r="U22" s="41"/>
    </row>
    <row r="23" spans="1:21" ht="40.5" customHeight="1">
      <c r="A23" s="548"/>
      <c r="B23" s="981"/>
      <c r="C23" s="1106" t="s">
        <v>22</v>
      </c>
      <c r="D23" s="1107"/>
      <c r="E23" s="1107"/>
      <c r="F23" s="1107"/>
      <c r="G23" s="1107"/>
      <c r="H23" s="1107"/>
      <c r="I23" s="1107"/>
      <c r="J23" s="1107"/>
      <c r="K23" s="1107"/>
      <c r="L23" s="1107"/>
      <c r="M23" s="1107"/>
      <c r="N23" s="1107"/>
      <c r="O23" s="1108"/>
      <c r="P23" s="549"/>
      <c r="Q23" s="552">
        <f>IF($Q$30=2,10,"")</f>
      </c>
      <c r="S23" s="63"/>
      <c r="T23" s="62"/>
      <c r="U23" s="41"/>
    </row>
    <row r="24" spans="1:21" ht="2.25" customHeight="1">
      <c r="A24" s="548"/>
      <c r="B24" s="982"/>
      <c r="C24" s="553"/>
      <c r="D24" s="502"/>
      <c r="E24" s="502"/>
      <c r="F24" s="502"/>
      <c r="G24" s="502"/>
      <c r="H24" s="502"/>
      <c r="I24" s="502"/>
      <c r="J24" s="502"/>
      <c r="K24" s="502"/>
      <c r="L24" s="502"/>
      <c r="M24" s="502"/>
      <c r="N24" s="502"/>
      <c r="O24" s="554"/>
      <c r="P24" s="549"/>
      <c r="Q24" s="555"/>
      <c r="S24" s="63"/>
      <c r="T24" s="62"/>
      <c r="U24" s="41"/>
    </row>
    <row r="25" spans="1:21" ht="14.25" customHeight="1">
      <c r="A25" s="548"/>
      <c r="B25" s="982"/>
      <c r="C25" s="984" t="s">
        <v>21</v>
      </c>
      <c r="D25" s="985"/>
      <c r="E25" s="985"/>
      <c r="F25" s="986"/>
      <c r="G25" s="1109" t="s">
        <v>261</v>
      </c>
      <c r="H25" s="1110"/>
      <c r="I25" s="1110"/>
      <c r="J25" s="1110"/>
      <c r="K25" s="1110"/>
      <c r="L25" s="1110"/>
      <c r="M25" s="1110"/>
      <c r="N25" s="1111"/>
      <c r="O25" s="556"/>
      <c r="P25" s="549"/>
      <c r="Q25" s="555"/>
      <c r="S25" s="63"/>
      <c r="T25" s="62"/>
      <c r="U25" s="41"/>
    </row>
    <row r="26" spans="1:21" ht="3" customHeight="1">
      <c r="A26" s="548"/>
      <c r="B26" s="983"/>
      <c r="C26" s="557"/>
      <c r="D26" s="558"/>
      <c r="E26" s="558"/>
      <c r="F26" s="558"/>
      <c r="G26" s="306"/>
      <c r="H26" s="306"/>
      <c r="I26" s="306"/>
      <c r="J26" s="306"/>
      <c r="K26" s="306"/>
      <c r="L26" s="499"/>
      <c r="M26" s="502"/>
      <c r="N26" s="502"/>
      <c r="O26" s="556"/>
      <c r="P26" s="549"/>
      <c r="Q26" s="555"/>
      <c r="S26" s="63"/>
      <c r="T26" s="62"/>
      <c r="U26" s="41"/>
    </row>
    <row r="27" spans="1:21" ht="26.25" customHeight="1">
      <c r="A27" s="548"/>
      <c r="B27" s="559"/>
      <c r="C27" s="1106" t="s">
        <v>23</v>
      </c>
      <c r="D27" s="1107"/>
      <c r="E27" s="1107"/>
      <c r="F27" s="1107"/>
      <c r="G27" s="1107"/>
      <c r="H27" s="1107"/>
      <c r="I27" s="1107"/>
      <c r="J27" s="1107"/>
      <c r="K27" s="1107"/>
      <c r="L27" s="1107"/>
      <c r="M27" s="1107"/>
      <c r="N27" s="1107"/>
      <c r="O27" s="1108"/>
      <c r="P27" s="549"/>
      <c r="Q27" s="552">
        <f>IF($Q$30=3,10,"")</f>
      </c>
      <c r="S27" s="63"/>
      <c r="T27" s="62"/>
      <c r="U27" s="41"/>
    </row>
    <row r="28" spans="1:21" ht="26.25" customHeight="1">
      <c r="A28" s="548"/>
      <c r="B28" s="560"/>
      <c r="C28" s="975" t="s">
        <v>721</v>
      </c>
      <c r="D28" s="976"/>
      <c r="E28" s="976"/>
      <c r="F28" s="976"/>
      <c r="G28" s="976"/>
      <c r="H28" s="976"/>
      <c r="I28" s="976"/>
      <c r="J28" s="976"/>
      <c r="K28" s="976"/>
      <c r="L28" s="976"/>
      <c r="M28" s="976"/>
      <c r="N28" s="976"/>
      <c r="O28" s="977"/>
      <c r="P28" s="549"/>
      <c r="Q28" s="552">
        <f>IF($Q$30=4,6,"")</f>
      </c>
      <c r="S28" s="63"/>
      <c r="T28" s="62"/>
      <c r="U28" s="41"/>
    </row>
    <row r="29" spans="1:21" ht="17.25" customHeight="1">
      <c r="A29" s="548"/>
      <c r="B29" s="551"/>
      <c r="C29" s="975" t="s">
        <v>723</v>
      </c>
      <c r="D29" s="976"/>
      <c r="E29" s="976"/>
      <c r="F29" s="976"/>
      <c r="G29" s="976"/>
      <c r="H29" s="976"/>
      <c r="I29" s="976"/>
      <c r="J29" s="976"/>
      <c r="K29" s="976"/>
      <c r="L29" s="976"/>
      <c r="M29" s="976"/>
      <c r="N29" s="976"/>
      <c r="O29" s="977"/>
      <c r="P29" s="549"/>
      <c r="Q29" s="552">
        <f>IF($Q$30=5,0,"")</f>
        <v>0</v>
      </c>
      <c r="S29" s="63"/>
      <c r="T29" s="62"/>
      <c r="U29" s="41"/>
    </row>
    <row r="30" spans="1:21" ht="9.75" customHeight="1" thickBot="1">
      <c r="A30" s="548"/>
      <c r="B30" s="549"/>
      <c r="C30" s="502"/>
      <c r="D30" s="502"/>
      <c r="E30" s="502"/>
      <c r="F30" s="502"/>
      <c r="G30" s="502"/>
      <c r="H30" s="502"/>
      <c r="I30" s="502"/>
      <c r="J30" s="502"/>
      <c r="K30" s="502"/>
      <c r="L30" s="502"/>
      <c r="M30" s="502"/>
      <c r="N30" s="502"/>
      <c r="O30" s="502"/>
      <c r="P30" s="549"/>
      <c r="Q30" s="561">
        <v>5</v>
      </c>
      <c r="S30" s="63"/>
      <c r="T30" s="62"/>
      <c r="U30" s="41"/>
    </row>
    <row r="31" spans="1:21" ht="15" customHeight="1" thickBot="1">
      <c r="A31" s="562"/>
      <c r="B31" s="563"/>
      <c r="C31" s="564"/>
      <c r="D31" s="564"/>
      <c r="E31" s="564"/>
      <c r="F31" s="564"/>
      <c r="G31" s="564"/>
      <c r="H31" s="564"/>
      <c r="I31" s="564"/>
      <c r="J31" s="564"/>
      <c r="K31" s="564"/>
      <c r="L31" s="564"/>
      <c r="M31" s="564"/>
      <c r="N31" s="564"/>
      <c r="O31" s="354" t="s">
        <v>346</v>
      </c>
      <c r="P31" s="899">
        <f>MAX(Q22:Q29)</f>
        <v>0</v>
      </c>
      <c r="Q31" s="900"/>
      <c r="S31" s="63"/>
      <c r="T31" s="62"/>
      <c r="U31" s="41"/>
    </row>
    <row r="32" spans="1:21" ht="15.75" customHeight="1">
      <c r="A32" s="321" t="s">
        <v>438</v>
      </c>
      <c r="B32" s="322"/>
      <c r="C32" s="902" t="s">
        <v>466</v>
      </c>
      <c r="D32" s="902"/>
      <c r="E32" s="902"/>
      <c r="F32" s="902"/>
      <c r="G32" s="902"/>
      <c r="H32" s="902"/>
      <c r="I32" s="902"/>
      <c r="J32" s="902"/>
      <c r="K32" s="902"/>
      <c r="L32" s="902"/>
      <c r="M32" s="902"/>
      <c r="N32" s="902"/>
      <c r="O32" s="902"/>
      <c r="P32" s="902"/>
      <c r="Q32" s="903"/>
      <c r="S32" s="63"/>
      <c r="T32" s="62"/>
      <c r="U32" s="41"/>
    </row>
    <row r="33" spans="1:21" ht="14.25" customHeight="1" thickBot="1">
      <c r="A33" s="978" t="s">
        <v>467</v>
      </c>
      <c r="B33" s="979"/>
      <c r="C33" s="979"/>
      <c r="D33" s="979"/>
      <c r="E33" s="979"/>
      <c r="F33" s="979"/>
      <c r="G33" s="979"/>
      <c r="H33" s="979"/>
      <c r="I33" s="979"/>
      <c r="J33" s="979"/>
      <c r="K33" s="979"/>
      <c r="L33" s="979"/>
      <c r="M33" s="979"/>
      <c r="N33" s="979"/>
      <c r="O33" s="979"/>
      <c r="P33" s="979"/>
      <c r="Q33" s="980"/>
      <c r="S33" s="63"/>
      <c r="T33" s="62"/>
      <c r="U33" s="41"/>
    </row>
    <row r="34" spans="1:21" ht="17.25" customHeight="1" thickTop="1">
      <c r="A34" s="548"/>
      <c r="B34" s="549"/>
      <c r="C34" s="502"/>
      <c r="D34" s="502"/>
      <c r="E34" s="502"/>
      <c r="F34" s="502"/>
      <c r="G34" s="502"/>
      <c r="H34" s="502"/>
      <c r="I34" s="502"/>
      <c r="J34" s="502"/>
      <c r="K34" s="502"/>
      <c r="L34" s="502"/>
      <c r="M34" s="502"/>
      <c r="N34" s="502"/>
      <c r="O34" s="347"/>
      <c r="P34" s="565"/>
      <c r="Q34" s="566"/>
      <c r="S34" s="63"/>
      <c r="T34" s="62"/>
      <c r="U34" s="41"/>
    </row>
    <row r="35" spans="1:21" ht="27.75" customHeight="1">
      <c r="A35" s="548"/>
      <c r="B35" s="551"/>
      <c r="C35" s="975" t="s">
        <v>236</v>
      </c>
      <c r="D35" s="976"/>
      <c r="E35" s="976"/>
      <c r="F35" s="976"/>
      <c r="G35" s="976"/>
      <c r="H35" s="976"/>
      <c r="I35" s="976"/>
      <c r="J35" s="976"/>
      <c r="K35" s="976"/>
      <c r="L35" s="976"/>
      <c r="M35" s="976"/>
      <c r="N35" s="976"/>
      <c r="O35" s="977"/>
      <c r="P35" s="565"/>
      <c r="Q35" s="567">
        <f>IF($Q$41=1,12,"")</f>
      </c>
      <c r="S35" s="63"/>
      <c r="T35" s="62"/>
      <c r="U35" s="41"/>
    </row>
    <row r="36" spans="1:21" ht="41.25" customHeight="1">
      <c r="A36" s="548"/>
      <c r="B36" s="551"/>
      <c r="C36" s="975" t="s">
        <v>237</v>
      </c>
      <c r="D36" s="976"/>
      <c r="E36" s="976"/>
      <c r="F36" s="976"/>
      <c r="G36" s="976"/>
      <c r="H36" s="976"/>
      <c r="I36" s="976"/>
      <c r="J36" s="976"/>
      <c r="K36" s="976"/>
      <c r="L36" s="976"/>
      <c r="M36" s="976"/>
      <c r="N36" s="976"/>
      <c r="O36" s="977"/>
      <c r="P36" s="565"/>
      <c r="Q36" s="567">
        <f>IF($Q$41=2,10,"")</f>
      </c>
      <c r="S36" s="63"/>
      <c r="T36" s="62"/>
      <c r="U36" s="41"/>
    </row>
    <row r="37" spans="1:21" ht="43.5" customHeight="1">
      <c r="A37" s="548"/>
      <c r="B37" s="551"/>
      <c r="C37" s="975" t="s">
        <v>241</v>
      </c>
      <c r="D37" s="976"/>
      <c r="E37" s="976"/>
      <c r="F37" s="976"/>
      <c r="G37" s="976"/>
      <c r="H37" s="976"/>
      <c r="I37" s="976"/>
      <c r="J37" s="976"/>
      <c r="K37" s="976"/>
      <c r="L37" s="976"/>
      <c r="M37" s="976"/>
      <c r="N37" s="976"/>
      <c r="O37" s="977"/>
      <c r="P37" s="565"/>
      <c r="Q37" s="567">
        <f>IF($Q$41=3,7,"")</f>
      </c>
      <c r="S37" s="63"/>
      <c r="T37" s="62"/>
      <c r="U37" s="41"/>
    </row>
    <row r="38" spans="1:21" ht="25.5" customHeight="1">
      <c r="A38" s="548"/>
      <c r="B38" s="551"/>
      <c r="C38" s="975" t="s">
        <v>410</v>
      </c>
      <c r="D38" s="976"/>
      <c r="E38" s="976"/>
      <c r="F38" s="976"/>
      <c r="G38" s="976"/>
      <c r="H38" s="976"/>
      <c r="I38" s="976"/>
      <c r="J38" s="976"/>
      <c r="K38" s="976"/>
      <c r="L38" s="976"/>
      <c r="M38" s="976"/>
      <c r="N38" s="976"/>
      <c r="O38" s="977"/>
      <c r="P38" s="565"/>
      <c r="Q38" s="567">
        <f>IF($Q$41=4,5,"")</f>
      </c>
      <c r="S38" s="63"/>
      <c r="T38" s="62"/>
      <c r="U38" s="41"/>
    </row>
    <row r="39" spans="1:21" ht="25.5" customHeight="1">
      <c r="A39" s="548"/>
      <c r="B39" s="551"/>
      <c r="C39" s="975" t="s">
        <v>411</v>
      </c>
      <c r="D39" s="976"/>
      <c r="E39" s="976"/>
      <c r="F39" s="976"/>
      <c r="G39" s="976"/>
      <c r="H39" s="976"/>
      <c r="I39" s="976"/>
      <c r="J39" s="976"/>
      <c r="K39" s="976"/>
      <c r="L39" s="976"/>
      <c r="M39" s="976"/>
      <c r="N39" s="976"/>
      <c r="O39" s="977"/>
      <c r="P39" s="565"/>
      <c r="Q39" s="567">
        <f>IF($Q$41=5,2,"")</f>
      </c>
      <c r="S39" s="63"/>
      <c r="T39" s="62"/>
      <c r="U39" s="41"/>
    </row>
    <row r="40" spans="1:21" ht="18.75" customHeight="1">
      <c r="A40" s="548"/>
      <c r="B40" s="551"/>
      <c r="C40" s="975" t="s">
        <v>393</v>
      </c>
      <c r="D40" s="976"/>
      <c r="E40" s="976"/>
      <c r="F40" s="976"/>
      <c r="G40" s="976"/>
      <c r="H40" s="976"/>
      <c r="I40" s="976"/>
      <c r="J40" s="976"/>
      <c r="K40" s="976"/>
      <c r="L40" s="976"/>
      <c r="M40" s="976"/>
      <c r="N40" s="976"/>
      <c r="O40" s="977"/>
      <c r="P40" s="565"/>
      <c r="Q40" s="567">
        <f>IF($Q$41=6,0,"")</f>
        <v>0</v>
      </c>
      <c r="S40" s="63"/>
      <c r="T40" s="62"/>
      <c r="U40" s="41"/>
    </row>
    <row r="41" spans="1:21" ht="9.75" customHeight="1" thickBot="1">
      <c r="A41" s="548"/>
      <c r="B41" s="306"/>
      <c r="C41" s="502"/>
      <c r="D41" s="502"/>
      <c r="E41" s="502"/>
      <c r="F41" s="502"/>
      <c r="G41" s="568"/>
      <c r="H41" s="972"/>
      <c r="I41" s="972"/>
      <c r="J41" s="569"/>
      <c r="K41" s="502"/>
      <c r="L41" s="502"/>
      <c r="M41" s="502"/>
      <c r="N41" s="502"/>
      <c r="O41" s="347"/>
      <c r="P41" s="565"/>
      <c r="Q41" s="552">
        <v>6</v>
      </c>
      <c r="S41" s="63"/>
      <c r="T41" s="62"/>
      <c r="U41" s="41"/>
    </row>
    <row r="42" spans="1:21" ht="14.25" customHeight="1" thickBot="1">
      <c r="A42" s="562"/>
      <c r="B42" s="351"/>
      <c r="C42" s="564"/>
      <c r="D42" s="564"/>
      <c r="E42" s="564"/>
      <c r="F42" s="564"/>
      <c r="G42" s="570"/>
      <c r="H42" s="964"/>
      <c r="I42" s="964"/>
      <c r="J42" s="571"/>
      <c r="K42" s="564"/>
      <c r="L42" s="564"/>
      <c r="M42" s="564"/>
      <c r="N42" s="564"/>
      <c r="O42" s="354" t="s">
        <v>361</v>
      </c>
      <c r="P42" s="973">
        <f>MAX($Q$35:$Q$40)</f>
        <v>0</v>
      </c>
      <c r="Q42" s="974"/>
      <c r="S42" s="63"/>
      <c r="T42" s="62"/>
      <c r="U42" s="41"/>
    </row>
    <row r="43" spans="1:21" ht="15.75">
      <c r="A43" s="321" t="s">
        <v>439</v>
      </c>
      <c r="B43" s="322"/>
      <c r="C43" s="902" t="s">
        <v>497</v>
      </c>
      <c r="D43" s="902"/>
      <c r="E43" s="902"/>
      <c r="F43" s="902"/>
      <c r="G43" s="902"/>
      <c r="H43" s="902"/>
      <c r="I43" s="902"/>
      <c r="J43" s="902"/>
      <c r="K43" s="902"/>
      <c r="L43" s="902"/>
      <c r="M43" s="902"/>
      <c r="N43" s="902"/>
      <c r="O43" s="902"/>
      <c r="P43" s="902"/>
      <c r="Q43" s="903"/>
      <c r="S43" s="63"/>
      <c r="T43" s="62"/>
      <c r="U43" s="41"/>
    </row>
    <row r="44" spans="1:21" ht="14.25" customHeight="1" thickBot="1">
      <c r="A44" s="379" t="s">
        <v>347</v>
      </c>
      <c r="B44" s="572"/>
      <c r="C44" s="573"/>
      <c r="D44" s="572"/>
      <c r="E44" s="572"/>
      <c r="F44" s="572"/>
      <c r="G44" s="572"/>
      <c r="H44" s="572"/>
      <c r="I44" s="574"/>
      <c r="J44" s="574"/>
      <c r="K44" s="573"/>
      <c r="L44" s="572"/>
      <c r="M44" s="572"/>
      <c r="N44" s="572"/>
      <c r="O44" s="575"/>
      <c r="P44" s="576"/>
      <c r="Q44" s="577"/>
      <c r="S44" s="63"/>
      <c r="T44" s="62"/>
      <c r="U44" s="41"/>
    </row>
    <row r="45" spans="1:21" ht="17.25" thickTop="1">
      <c r="A45" s="332"/>
      <c r="B45" s="578"/>
      <c r="C45" s="578"/>
      <c r="D45" s="578"/>
      <c r="E45" s="578"/>
      <c r="F45" s="578"/>
      <c r="G45" s="579"/>
      <c r="H45" s="580"/>
      <c r="I45" s="581"/>
      <c r="J45" s="581"/>
      <c r="K45" s="306"/>
      <c r="L45" s="346"/>
      <c r="M45" s="346"/>
      <c r="N45" s="346"/>
      <c r="O45" s="582"/>
      <c r="P45" s="583"/>
      <c r="Q45" s="584"/>
      <c r="S45" s="63"/>
      <c r="T45" s="62"/>
      <c r="U45" s="41"/>
    </row>
    <row r="46" spans="1:21" ht="17.25" customHeight="1">
      <c r="A46" s="332"/>
      <c r="B46" s="962"/>
      <c r="C46" s="966" t="s">
        <v>830</v>
      </c>
      <c r="D46" s="967"/>
      <c r="E46" s="967"/>
      <c r="F46" s="967"/>
      <c r="G46" s="967"/>
      <c r="H46" s="967"/>
      <c r="I46" s="967"/>
      <c r="J46" s="968"/>
      <c r="K46" s="306"/>
      <c r="L46" s="965" t="s">
        <v>504</v>
      </c>
      <c r="M46" s="965"/>
      <c r="N46" s="965"/>
      <c r="O46" s="965"/>
      <c r="P46" s="583"/>
      <c r="Q46" s="585">
        <v>3</v>
      </c>
      <c r="S46" s="63"/>
      <c r="T46" s="62"/>
      <c r="U46" s="41"/>
    </row>
    <row r="47" spans="1:21" ht="9.75" customHeight="1">
      <c r="A47" s="586"/>
      <c r="B47" s="963"/>
      <c r="C47" s="969"/>
      <c r="D47" s="970"/>
      <c r="E47" s="970"/>
      <c r="F47" s="970"/>
      <c r="G47" s="970"/>
      <c r="H47" s="970"/>
      <c r="I47" s="970"/>
      <c r="J47" s="971"/>
      <c r="K47" s="587"/>
      <c r="L47" s="965"/>
      <c r="M47" s="965"/>
      <c r="N47" s="965"/>
      <c r="O47" s="965"/>
      <c r="P47" s="583"/>
      <c r="Q47" s="588"/>
      <c r="S47" s="63"/>
      <c r="T47" s="62"/>
      <c r="U47" s="41"/>
    </row>
    <row r="48" spans="1:21" ht="9" customHeight="1">
      <c r="A48" s="586"/>
      <c r="B48" s="904"/>
      <c r="C48" s="918" t="s">
        <v>831</v>
      </c>
      <c r="D48" s="919"/>
      <c r="E48" s="919"/>
      <c r="F48" s="919"/>
      <c r="G48" s="919"/>
      <c r="H48" s="919"/>
      <c r="I48" s="919"/>
      <c r="J48" s="914"/>
      <c r="K48" s="306"/>
      <c r="L48" s="965"/>
      <c r="M48" s="965"/>
      <c r="N48" s="965"/>
      <c r="O48" s="965"/>
      <c r="P48" s="583"/>
      <c r="Q48" s="588"/>
      <c r="S48" s="63"/>
      <c r="T48" s="62"/>
      <c r="U48" s="41"/>
    </row>
    <row r="49" spans="1:21" ht="16.5">
      <c r="A49" s="586"/>
      <c r="B49" s="905"/>
      <c r="C49" s="915"/>
      <c r="D49" s="913"/>
      <c r="E49" s="913"/>
      <c r="F49" s="913"/>
      <c r="G49" s="913"/>
      <c r="H49" s="913"/>
      <c r="I49" s="913"/>
      <c r="J49" s="911"/>
      <c r="K49" s="306"/>
      <c r="L49" s="589"/>
      <c r="M49" s="558" t="s">
        <v>329</v>
      </c>
      <c r="N49" s="589"/>
      <c r="O49" s="590" t="s">
        <v>330</v>
      </c>
      <c r="P49" s="591"/>
      <c r="Q49" s="588"/>
      <c r="S49" s="63"/>
      <c r="T49" s="62"/>
      <c r="U49" s="41"/>
    </row>
    <row r="50" spans="1:21" ht="12" customHeight="1">
      <c r="A50" s="586"/>
      <c r="B50" s="904"/>
      <c r="C50" s="918" t="s">
        <v>824</v>
      </c>
      <c r="D50" s="919"/>
      <c r="E50" s="919"/>
      <c r="F50" s="919"/>
      <c r="G50" s="919"/>
      <c r="H50" s="919"/>
      <c r="I50" s="919"/>
      <c r="J50" s="914"/>
      <c r="K50" s="589"/>
      <c r="L50" s="306"/>
      <c r="M50" s="306"/>
      <c r="N50" s="306"/>
      <c r="O50" s="306"/>
      <c r="P50" s="306"/>
      <c r="Q50" s="585">
        <v>2</v>
      </c>
      <c r="S50" s="63"/>
      <c r="T50" s="62"/>
      <c r="U50" s="41"/>
    </row>
    <row r="51" spans="1:21" ht="16.5" customHeight="1">
      <c r="A51" s="586"/>
      <c r="B51" s="905"/>
      <c r="C51" s="915"/>
      <c r="D51" s="913"/>
      <c r="E51" s="913"/>
      <c r="F51" s="913"/>
      <c r="G51" s="913"/>
      <c r="H51" s="913"/>
      <c r="I51" s="913"/>
      <c r="J51" s="911"/>
      <c r="K51" s="587"/>
      <c r="L51" s="416"/>
      <c r="M51" s="416"/>
      <c r="N51" s="416"/>
      <c r="O51" s="416"/>
      <c r="P51" s="592"/>
      <c r="Q51" s="588"/>
      <c r="S51" s="63"/>
      <c r="T51" s="62"/>
      <c r="U51" s="41"/>
    </row>
    <row r="52" spans="1:21" ht="9" customHeight="1" thickBot="1">
      <c r="A52" s="586"/>
      <c r="B52" s="355"/>
      <c r="C52" s="355"/>
      <c r="D52" s="355"/>
      <c r="E52" s="306"/>
      <c r="F52" s="593"/>
      <c r="G52" s="594"/>
      <c r="H52" s="594"/>
      <c r="I52" s="306"/>
      <c r="J52" s="306"/>
      <c r="K52" s="587"/>
      <c r="L52" s="371"/>
      <c r="M52" s="371"/>
      <c r="N52" s="371"/>
      <c r="O52" s="595"/>
      <c r="P52" s="583"/>
      <c r="Q52" s="596"/>
      <c r="S52" s="63"/>
      <c r="T52" s="62"/>
      <c r="U52" s="41"/>
    </row>
    <row r="53" spans="1:21" ht="15" customHeight="1" thickBot="1" thickTop="1">
      <c r="A53" s="586"/>
      <c r="B53" s="355"/>
      <c r="C53" s="355"/>
      <c r="D53" s="355"/>
      <c r="E53" s="306"/>
      <c r="F53" s="593" t="s">
        <v>354</v>
      </c>
      <c r="G53" s="281">
        <f>IF(Q46=1,5,IF(Q46=2,2,0))</f>
        <v>0</v>
      </c>
      <c r="H53" s="597" t="s">
        <v>352</v>
      </c>
      <c r="I53" s="306"/>
      <c r="J53" s="306"/>
      <c r="K53" s="587"/>
      <c r="L53" s="901" t="s">
        <v>498</v>
      </c>
      <c r="M53" s="901"/>
      <c r="N53" s="901"/>
      <c r="O53" s="279">
        <f>IF(Q50=1,7,0)</f>
        <v>0</v>
      </c>
      <c r="P53" s="592" t="s">
        <v>353</v>
      </c>
      <c r="Q53" s="596"/>
      <c r="S53" s="63"/>
      <c r="T53" s="62"/>
      <c r="U53" s="41"/>
    </row>
    <row r="54" spans="1:21" ht="4.5" customHeight="1" thickBot="1" thickTop="1">
      <c r="A54" s="586"/>
      <c r="B54" s="355"/>
      <c r="C54" s="355"/>
      <c r="D54" s="355"/>
      <c r="E54" s="306"/>
      <c r="F54" s="593"/>
      <c r="G54" s="594"/>
      <c r="H54" s="594"/>
      <c r="I54" s="306"/>
      <c r="J54" s="306"/>
      <c r="K54" s="587"/>
      <c r="L54" s="371"/>
      <c r="M54" s="371"/>
      <c r="N54" s="371"/>
      <c r="O54" s="595"/>
      <c r="P54" s="583"/>
      <c r="Q54" s="596"/>
      <c r="S54" s="63"/>
      <c r="T54" s="62"/>
      <c r="U54" s="41"/>
    </row>
    <row r="55" spans="1:21" ht="15.75" thickBot="1">
      <c r="A55" s="350" t="s">
        <v>355</v>
      </c>
      <c r="B55" s="351"/>
      <c r="C55" s="351"/>
      <c r="D55" s="351"/>
      <c r="E55" s="351"/>
      <c r="F55" s="351"/>
      <c r="G55" s="351"/>
      <c r="H55" s="351"/>
      <c r="I55" s="351"/>
      <c r="J55" s="351"/>
      <c r="K55" s="351"/>
      <c r="L55" s="351"/>
      <c r="M55" s="351"/>
      <c r="N55" s="351"/>
      <c r="O55" s="354" t="s">
        <v>368</v>
      </c>
      <c r="P55" s="899">
        <f>G53+O53</f>
        <v>0</v>
      </c>
      <c r="Q55" s="900"/>
      <c r="S55" s="63"/>
      <c r="T55" s="62"/>
      <c r="U55" s="41"/>
    </row>
    <row r="56" spans="1:21" ht="15.75">
      <c r="A56" s="321" t="s">
        <v>440</v>
      </c>
      <c r="B56" s="322"/>
      <c r="C56" s="902" t="s">
        <v>367</v>
      </c>
      <c r="D56" s="902"/>
      <c r="E56" s="902"/>
      <c r="F56" s="902"/>
      <c r="G56" s="902"/>
      <c r="H56" s="902"/>
      <c r="I56" s="902"/>
      <c r="J56" s="902"/>
      <c r="K56" s="902"/>
      <c r="L56" s="902"/>
      <c r="M56" s="902"/>
      <c r="N56" s="902"/>
      <c r="O56" s="902"/>
      <c r="P56" s="902"/>
      <c r="Q56" s="903"/>
      <c r="S56" s="63"/>
      <c r="T56" s="62"/>
      <c r="U56" s="41"/>
    </row>
    <row r="57" spans="1:21" ht="25.5" customHeight="1" thickBot="1">
      <c r="A57" s="897" t="s">
        <v>33</v>
      </c>
      <c r="B57" s="898"/>
      <c r="C57" s="898"/>
      <c r="D57" s="898"/>
      <c r="E57" s="898"/>
      <c r="F57" s="898"/>
      <c r="G57" s="898"/>
      <c r="H57" s="898"/>
      <c r="I57" s="898"/>
      <c r="J57" s="898"/>
      <c r="K57" s="898"/>
      <c r="L57" s="898"/>
      <c r="M57" s="898"/>
      <c r="N57" s="898"/>
      <c r="O57" s="898"/>
      <c r="P57" s="898"/>
      <c r="Q57" s="895"/>
      <c r="S57" s="63"/>
      <c r="T57" s="62"/>
      <c r="U57" s="41"/>
    </row>
    <row r="58" spans="1:21" ht="7.5" customHeight="1" thickTop="1">
      <c r="A58" s="912" t="s">
        <v>149</v>
      </c>
      <c r="B58" s="910"/>
      <c r="C58" s="910"/>
      <c r="D58" s="910"/>
      <c r="E58" s="910"/>
      <c r="F58" s="910"/>
      <c r="G58" s="910"/>
      <c r="H58" s="598"/>
      <c r="I58" s="598"/>
      <c r="J58" s="599"/>
      <c r="K58" s="600"/>
      <c r="L58" s="601"/>
      <c r="M58" s="601"/>
      <c r="N58" s="601"/>
      <c r="O58" s="602"/>
      <c r="P58" s="603"/>
      <c r="Q58" s="584"/>
      <c r="S58" s="63"/>
      <c r="T58" s="62"/>
      <c r="U58" s="41"/>
    </row>
    <row r="59" spans="1:21" ht="14.25" customHeight="1">
      <c r="A59" s="908"/>
      <c r="B59" s="909"/>
      <c r="C59" s="909"/>
      <c r="D59" s="909"/>
      <c r="E59" s="909"/>
      <c r="F59" s="909"/>
      <c r="G59" s="909"/>
      <c r="H59" s="906">
        <f>F9</f>
        <v>0</v>
      </c>
      <c r="I59" s="907"/>
      <c r="J59" s="402" t="s">
        <v>152</v>
      </c>
      <c r="K59" s="336"/>
      <c r="L59" s="306"/>
      <c r="M59" s="336"/>
      <c r="N59" s="306"/>
      <c r="O59" s="347"/>
      <c r="P59" s="604"/>
      <c r="Q59" s="605"/>
      <c r="S59" s="63"/>
      <c r="T59" s="62"/>
      <c r="U59" s="41"/>
    </row>
    <row r="60" spans="1:21" ht="14.25" customHeight="1" thickBot="1">
      <c r="A60" s="1041" t="s">
        <v>151</v>
      </c>
      <c r="B60" s="1042"/>
      <c r="C60" s="1042"/>
      <c r="D60" s="1042"/>
      <c r="E60" s="1042"/>
      <c r="F60" s="1042"/>
      <c r="G60" s="1042"/>
      <c r="H60" s="1043">
        <v>0</v>
      </c>
      <c r="I60" s="1044"/>
      <c r="J60" s="404" t="s">
        <v>153</v>
      </c>
      <c r="K60" s="336"/>
      <c r="L60" s="306"/>
      <c r="M60" s="336"/>
      <c r="N60" s="306"/>
      <c r="O60" s="347"/>
      <c r="P60" s="604"/>
      <c r="Q60" s="605"/>
      <c r="S60" s="63"/>
      <c r="T60" s="62"/>
      <c r="U60" s="41"/>
    </row>
    <row r="61" spans="1:21" ht="15" customHeight="1" thickBot="1" thickTop="1">
      <c r="A61" s="7"/>
      <c r="B61" s="147"/>
      <c r="C61" s="6"/>
      <c r="D61" s="147"/>
      <c r="E61" s="147"/>
      <c r="F61" s="6"/>
      <c r="G61" s="77" t="s">
        <v>155</v>
      </c>
      <c r="H61" s="1045">
        <f>IF(H60=0,0,H60/H59)</f>
        <v>0</v>
      </c>
      <c r="I61" s="1046"/>
      <c r="J61" s="402" t="s">
        <v>154</v>
      </c>
      <c r="K61" s="336"/>
      <c r="L61" s="306"/>
      <c r="M61" s="336"/>
      <c r="N61" s="77" t="s">
        <v>595</v>
      </c>
      <c r="O61" s="287">
        <f>IF(H60=0,0,-3.4901*LN(H61)+28.206)</f>
        <v>0</v>
      </c>
      <c r="P61" s="592" t="s">
        <v>596</v>
      </c>
      <c r="Q61" s="605"/>
      <c r="S61" s="63"/>
      <c r="T61" s="62"/>
      <c r="U61" s="41"/>
    </row>
    <row r="62" spans="1:21" ht="5.25" customHeight="1" thickTop="1">
      <c r="A62" s="332"/>
      <c r="B62" s="371"/>
      <c r="C62" s="306"/>
      <c r="D62" s="371"/>
      <c r="E62" s="371"/>
      <c r="F62" s="306"/>
      <c r="G62" s="329"/>
      <c r="H62" s="606"/>
      <c r="I62" s="606"/>
      <c r="J62" s="402"/>
      <c r="K62" s="336"/>
      <c r="L62" s="336"/>
      <c r="M62" s="336"/>
      <c r="N62" s="306"/>
      <c r="O62" s="347"/>
      <c r="P62" s="604"/>
      <c r="Q62" s="605"/>
      <c r="S62" s="63"/>
      <c r="T62" s="62"/>
      <c r="U62" s="41"/>
    </row>
    <row r="63" spans="1:21" ht="15" customHeight="1" thickBot="1">
      <c r="A63" s="882" t="s">
        <v>35</v>
      </c>
      <c r="B63" s="881"/>
      <c r="C63" s="881"/>
      <c r="D63" s="881"/>
      <c r="E63" s="881"/>
      <c r="F63" s="881"/>
      <c r="G63" s="881"/>
      <c r="H63" s="881"/>
      <c r="I63" s="881"/>
      <c r="J63" s="881"/>
      <c r="K63" s="336"/>
      <c r="L63" s="336"/>
      <c r="M63" s="336"/>
      <c r="N63" s="306"/>
      <c r="O63" s="347"/>
      <c r="P63" s="604"/>
      <c r="Q63" s="607"/>
      <c r="S63" s="63"/>
      <c r="T63" s="62"/>
      <c r="U63" s="41"/>
    </row>
    <row r="64" spans="1:21" ht="15" customHeight="1" thickBot="1">
      <c r="A64" s="874"/>
      <c r="B64" s="875"/>
      <c r="C64" s="875"/>
      <c r="D64" s="875"/>
      <c r="E64" s="875"/>
      <c r="F64" s="875"/>
      <c r="G64" s="875"/>
      <c r="H64" s="875"/>
      <c r="I64" s="875"/>
      <c r="J64" s="875"/>
      <c r="K64" s="390"/>
      <c r="L64" s="351"/>
      <c r="M64" s="351"/>
      <c r="N64" s="608"/>
      <c r="O64" s="354" t="s">
        <v>249</v>
      </c>
      <c r="P64" s="899">
        <f>IF(O61&lt;0,0,IF(O61&gt;20,20,O61))</f>
        <v>0</v>
      </c>
      <c r="Q64" s="900"/>
      <c r="S64" s="63"/>
      <c r="T64" s="62"/>
      <c r="U64" s="41"/>
    </row>
    <row r="65" spans="1:21" ht="15" customHeight="1">
      <c r="A65" s="321" t="s">
        <v>252</v>
      </c>
      <c r="B65" s="322"/>
      <c r="C65" s="902" t="s">
        <v>654</v>
      </c>
      <c r="D65" s="902"/>
      <c r="E65" s="902"/>
      <c r="F65" s="902"/>
      <c r="G65" s="902"/>
      <c r="H65" s="902"/>
      <c r="I65" s="902"/>
      <c r="J65" s="902"/>
      <c r="K65" s="902"/>
      <c r="L65" s="902"/>
      <c r="M65" s="902"/>
      <c r="N65" s="902"/>
      <c r="O65" s="902"/>
      <c r="P65" s="902"/>
      <c r="Q65" s="903"/>
      <c r="S65" s="63"/>
      <c r="T65" s="62"/>
      <c r="U65" s="41"/>
    </row>
    <row r="66" spans="1:21" ht="25.5" customHeight="1" thickBot="1">
      <c r="A66" s="896" t="s">
        <v>65</v>
      </c>
      <c r="B66" s="893"/>
      <c r="C66" s="893"/>
      <c r="D66" s="893"/>
      <c r="E66" s="893"/>
      <c r="F66" s="893"/>
      <c r="G66" s="893"/>
      <c r="H66" s="893"/>
      <c r="I66" s="893"/>
      <c r="J66" s="893"/>
      <c r="K66" s="893"/>
      <c r="L66" s="893"/>
      <c r="M66" s="893"/>
      <c r="N66" s="893"/>
      <c r="O66" s="893"/>
      <c r="P66" s="893"/>
      <c r="Q66" s="894"/>
      <c r="S66" s="63"/>
      <c r="T66" s="62"/>
      <c r="U66" s="41"/>
    </row>
    <row r="67" spans="1:21" ht="3" customHeight="1" thickTop="1">
      <c r="A67" s="332"/>
      <c r="B67" s="371"/>
      <c r="C67" s="306"/>
      <c r="D67" s="371"/>
      <c r="E67" s="371"/>
      <c r="F67" s="306"/>
      <c r="G67" s="329"/>
      <c r="H67" s="606"/>
      <c r="I67" s="306"/>
      <c r="J67" s="306"/>
      <c r="K67" s="384"/>
      <c r="L67" s="417"/>
      <c r="M67" s="417"/>
      <c r="N67" s="306"/>
      <c r="O67" s="347"/>
      <c r="P67" s="604"/>
      <c r="Q67" s="605"/>
      <c r="S67" s="63"/>
      <c r="T67" s="62"/>
      <c r="U67" s="41"/>
    </row>
    <row r="68" spans="1:21" ht="27" customHeight="1">
      <c r="A68" s="888" t="s">
        <v>258</v>
      </c>
      <c r="B68" s="889"/>
      <c r="C68" s="889"/>
      <c r="D68" s="889"/>
      <c r="E68" s="889"/>
      <c r="F68" s="889"/>
      <c r="G68" s="889"/>
      <c r="H68" s="665" t="str">
        <f>IF($Q$8=1,"YES","NO")</f>
        <v>NO</v>
      </c>
      <c r="I68" s="306"/>
      <c r="J68" s="306"/>
      <c r="K68" s="384"/>
      <c r="L68" s="426" t="s">
        <v>488</v>
      </c>
      <c r="M68" s="417"/>
      <c r="N68" s="306"/>
      <c r="O68" s="347"/>
      <c r="P68" s="604"/>
      <c r="Q68" s="605"/>
      <c r="S68" s="63"/>
      <c r="T68" s="62"/>
      <c r="U68" s="41"/>
    </row>
    <row r="69" spans="1:21" ht="15" customHeight="1" thickBot="1">
      <c r="A69" s="888" t="s">
        <v>699</v>
      </c>
      <c r="B69" s="889"/>
      <c r="C69" s="889"/>
      <c r="D69" s="889"/>
      <c r="E69" s="889"/>
      <c r="F69" s="889"/>
      <c r="G69" s="889"/>
      <c r="H69" s="606"/>
      <c r="I69" s="306"/>
      <c r="J69" s="306"/>
      <c r="K69" s="384"/>
      <c r="L69" s="426" t="s">
        <v>489</v>
      </c>
      <c r="M69" s="417"/>
      <c r="N69" s="306"/>
      <c r="O69" s="347"/>
      <c r="P69" s="604"/>
      <c r="Q69" s="605"/>
      <c r="S69" s="63"/>
      <c r="T69" s="62"/>
      <c r="U69" s="41"/>
    </row>
    <row r="70" spans="1:21" ht="15" customHeight="1" thickBot="1">
      <c r="A70" s="888"/>
      <c r="B70" s="889"/>
      <c r="C70" s="889"/>
      <c r="D70" s="889"/>
      <c r="E70" s="889"/>
      <c r="F70" s="889"/>
      <c r="G70" s="889"/>
      <c r="H70" s="939">
        <f>IF(Q8=1,Q6,0)</f>
        <v>0</v>
      </c>
      <c r="I70" s="940"/>
      <c r="J70" s="326" t="s">
        <v>66</v>
      </c>
      <c r="K70" s="384"/>
      <c r="L70" s="336"/>
      <c r="M70" s="306"/>
      <c r="N70" s="306" t="s">
        <v>490</v>
      </c>
      <c r="O70" s="306"/>
      <c r="P70" s="609"/>
      <c r="Q70" s="610">
        <f>IF(H$70&lt;0.01,0,IF(H$70&lt;0.25,0,(IF(H$70&lt;0.5,5,(IF(H$70&lt;0.75,24,27))))))</f>
        <v>0</v>
      </c>
      <c r="S70" s="162"/>
      <c r="T70" s="62"/>
      <c r="U70" s="41"/>
    </row>
    <row r="71" spans="1:21" ht="4.5" customHeight="1" thickBot="1">
      <c r="A71" s="611"/>
      <c r="B71" s="370"/>
      <c r="C71" s="370"/>
      <c r="D71" s="370"/>
      <c r="E71" s="370"/>
      <c r="F71" s="370"/>
      <c r="G71" s="370"/>
      <c r="H71" s="612"/>
      <c r="I71" s="612"/>
      <c r="J71" s="306"/>
      <c r="K71" s="384"/>
      <c r="L71" s="417"/>
      <c r="M71" s="329"/>
      <c r="N71" s="306"/>
      <c r="O71" s="347"/>
      <c r="P71" s="604"/>
      <c r="Q71" s="605"/>
      <c r="S71" s="162"/>
      <c r="T71" s="62"/>
      <c r="U71" s="41"/>
    </row>
    <row r="72" spans="1:21" ht="15" customHeight="1" thickBot="1" thickTop="1">
      <c r="A72" s="611"/>
      <c r="B72" s="370"/>
      <c r="C72" s="370"/>
      <c r="D72" s="370"/>
      <c r="E72" s="370"/>
      <c r="F72" s="370"/>
      <c r="G72" s="370"/>
      <c r="H72" s="306"/>
      <c r="I72" s="613"/>
      <c r="J72" s="306"/>
      <c r="K72" s="115" t="s">
        <v>655</v>
      </c>
      <c r="L72" s="890">
        <f>Q70</f>
        <v>0</v>
      </c>
      <c r="M72" s="886"/>
      <c r="N72" s="326" t="s">
        <v>67</v>
      </c>
      <c r="O72" s="347"/>
      <c r="P72" s="604"/>
      <c r="Q72" s="605"/>
      <c r="S72" s="162"/>
      <c r="T72" s="62"/>
      <c r="U72" s="41"/>
    </row>
    <row r="73" spans="1:21" ht="3.75" customHeight="1" thickBot="1" thickTop="1">
      <c r="A73" s="332"/>
      <c r="B73" s="371"/>
      <c r="C73" s="370"/>
      <c r="D73" s="370"/>
      <c r="E73" s="370"/>
      <c r="F73" s="370"/>
      <c r="G73" s="370"/>
      <c r="H73" s="614"/>
      <c r="I73" s="614"/>
      <c r="J73" s="306"/>
      <c r="K73" s="115"/>
      <c r="L73" s="417"/>
      <c r="M73" s="417"/>
      <c r="N73" s="326"/>
      <c r="O73" s="347"/>
      <c r="P73" s="604"/>
      <c r="Q73" s="605"/>
      <c r="S73" s="63"/>
      <c r="T73" s="62"/>
      <c r="U73" s="41"/>
    </row>
    <row r="74" spans="1:21" ht="15" customHeight="1" thickBot="1" thickTop="1">
      <c r="A74" s="332"/>
      <c r="B74" s="371"/>
      <c r="C74" s="306"/>
      <c r="D74" s="371"/>
      <c r="E74" s="371"/>
      <c r="F74" s="306"/>
      <c r="G74" s="329"/>
      <c r="H74" s="606"/>
      <c r="I74" s="306"/>
      <c r="J74" s="306"/>
      <c r="K74" s="115" t="s">
        <v>259</v>
      </c>
      <c r="L74" s="890">
        <f>IF(M9=1,O8*2,0)</f>
        <v>0</v>
      </c>
      <c r="M74" s="886"/>
      <c r="N74" s="326" t="s">
        <v>68</v>
      </c>
      <c r="O74" s="347"/>
      <c r="P74" s="604"/>
      <c r="Q74" s="605"/>
      <c r="S74" s="63"/>
      <c r="T74" s="62"/>
      <c r="U74" s="41"/>
    </row>
    <row r="75" spans="1:21" ht="3.75" customHeight="1" thickTop="1">
      <c r="A75" s="332"/>
      <c r="B75" s="371"/>
      <c r="C75" s="306"/>
      <c r="D75" s="371"/>
      <c r="E75" s="371"/>
      <c r="F75" s="306"/>
      <c r="G75" s="329"/>
      <c r="H75" s="606"/>
      <c r="I75" s="306"/>
      <c r="J75" s="306"/>
      <c r="K75" s="384"/>
      <c r="L75" s="295"/>
      <c r="M75" s="295"/>
      <c r="N75" s="326"/>
      <c r="O75" s="347"/>
      <c r="P75" s="604"/>
      <c r="Q75" s="605"/>
      <c r="S75" s="63"/>
      <c r="T75" s="62"/>
      <c r="U75" s="41"/>
    </row>
    <row r="76" spans="1:21" ht="14.25" customHeight="1">
      <c r="A76" s="332"/>
      <c r="B76" s="371"/>
      <c r="C76" s="306"/>
      <c r="D76" s="371"/>
      <c r="E76" s="371"/>
      <c r="F76" s="306"/>
      <c r="G76" s="329"/>
      <c r="H76" s="606"/>
      <c r="I76" s="306"/>
      <c r="J76" s="306"/>
      <c r="K76" s="384"/>
      <c r="L76" s="887"/>
      <c r="M76" s="887"/>
      <c r="N76" s="326"/>
      <c r="O76" s="347"/>
      <c r="P76" s="604"/>
      <c r="Q76" s="605"/>
      <c r="S76" s="63"/>
      <c r="T76" s="62"/>
      <c r="U76" s="41"/>
    </row>
    <row r="77" spans="1:21" ht="3.75" customHeight="1" thickBot="1">
      <c r="A77" s="332"/>
      <c r="B77" s="371"/>
      <c r="C77" s="306"/>
      <c r="D77" s="371"/>
      <c r="E77" s="371"/>
      <c r="F77" s="306"/>
      <c r="G77" s="329"/>
      <c r="H77" s="606"/>
      <c r="I77" s="306"/>
      <c r="J77" s="306"/>
      <c r="K77" s="384"/>
      <c r="L77" s="295"/>
      <c r="M77" s="295"/>
      <c r="N77" s="326"/>
      <c r="O77" s="347"/>
      <c r="P77" s="604"/>
      <c r="Q77" s="607"/>
      <c r="S77" s="63"/>
      <c r="T77" s="62"/>
      <c r="U77" s="41"/>
    </row>
    <row r="78" spans="1:21" ht="15.75" thickBot="1">
      <c r="A78" s="615" t="s">
        <v>839</v>
      </c>
      <c r="B78" s="351"/>
      <c r="C78" s="351"/>
      <c r="D78" s="351"/>
      <c r="E78" s="351"/>
      <c r="F78" s="351"/>
      <c r="G78" s="351"/>
      <c r="H78" s="351"/>
      <c r="I78" s="616"/>
      <c r="J78" s="456"/>
      <c r="K78" s="351"/>
      <c r="L78" s="351"/>
      <c r="M78" s="351"/>
      <c r="N78" s="351"/>
      <c r="O78" s="617" t="s">
        <v>646</v>
      </c>
      <c r="P78" s="899">
        <f>IF(L72+L74&gt;27,27,L72+L74)</f>
        <v>0</v>
      </c>
      <c r="Q78" s="900"/>
      <c r="S78" s="63"/>
      <c r="T78" s="62"/>
      <c r="U78" s="41"/>
    </row>
    <row r="79" spans="1:21" ht="18.75" thickBot="1">
      <c r="A79" s="883" t="s">
        <v>54</v>
      </c>
      <c r="B79" s="884"/>
      <c r="C79" s="884"/>
      <c r="D79" s="884"/>
      <c r="E79" s="884"/>
      <c r="F79" s="884"/>
      <c r="G79" s="884"/>
      <c r="H79" s="884"/>
      <c r="I79" s="884"/>
      <c r="J79" s="884"/>
      <c r="K79" s="884"/>
      <c r="L79" s="884"/>
      <c r="M79" s="884"/>
      <c r="N79" s="884"/>
      <c r="O79" s="884"/>
      <c r="P79" s="884"/>
      <c r="Q79" s="885"/>
      <c r="S79" s="63"/>
      <c r="T79" s="62"/>
      <c r="U79" s="41"/>
    </row>
    <row r="80" spans="1:21" ht="17.25" customHeight="1" thickBot="1">
      <c r="A80" s="409" t="s">
        <v>437</v>
      </c>
      <c r="B80" s="410"/>
      <c r="C80" s="891" t="s">
        <v>289</v>
      </c>
      <c r="D80" s="891"/>
      <c r="E80" s="891"/>
      <c r="F80" s="891"/>
      <c r="G80" s="891"/>
      <c r="H80" s="891"/>
      <c r="I80" s="891"/>
      <c r="J80" s="892"/>
      <c r="K80" s="167" t="s">
        <v>250</v>
      </c>
      <c r="L80" s="667"/>
      <c r="M80" s="667"/>
      <c r="N80" s="667"/>
      <c r="O80" s="668" t="s">
        <v>386</v>
      </c>
      <c r="P80" s="51"/>
      <c r="Q80" s="669"/>
      <c r="S80" s="63"/>
      <c r="T80" s="62"/>
      <c r="U80" s="41"/>
    </row>
    <row r="81" spans="1:21" ht="14.25" customHeight="1" thickBot="1" thickTop="1">
      <c r="A81" s="1158" t="s">
        <v>0</v>
      </c>
      <c r="B81" s="1159"/>
      <c r="C81" s="1159"/>
      <c r="D81" s="1159"/>
      <c r="E81" s="1159"/>
      <c r="F81" s="1159"/>
      <c r="G81" s="1159"/>
      <c r="H81" s="1159"/>
      <c r="I81" s="1159"/>
      <c r="J81" s="1160"/>
      <c r="K81" s="1149" t="s">
        <v>429</v>
      </c>
      <c r="L81" s="1150"/>
      <c r="M81" s="1150"/>
      <c r="N81" s="1150"/>
      <c r="O81" s="1150"/>
      <c r="P81" s="1150"/>
      <c r="Q81" s="1151"/>
      <c r="S81" s="63"/>
      <c r="T81" s="62"/>
      <c r="U81" s="41"/>
    </row>
    <row r="82" spans="1:21" ht="16.5" thickTop="1">
      <c r="A82" s="332"/>
      <c r="B82" s="306"/>
      <c r="C82" s="306"/>
      <c r="D82" s="306"/>
      <c r="E82" s="8" t="s">
        <v>853</v>
      </c>
      <c r="F82" s="292"/>
      <c r="G82" s="618" t="s">
        <v>69</v>
      </c>
      <c r="H82" s="323"/>
      <c r="I82" s="323"/>
      <c r="J82" s="412"/>
      <c r="K82" s="1152"/>
      <c r="L82" s="1153"/>
      <c r="M82" s="1153"/>
      <c r="N82" s="1153"/>
      <c r="O82" s="1153"/>
      <c r="P82" s="1153"/>
      <c r="Q82" s="1154"/>
      <c r="S82" s="63"/>
      <c r="T82" s="62"/>
      <c r="U82" s="41"/>
    </row>
    <row r="83" spans="1:21" ht="15.75">
      <c r="A83" s="332"/>
      <c r="B83" s="306"/>
      <c r="C83" s="306"/>
      <c r="D83" s="306"/>
      <c r="E83" s="8" t="s">
        <v>854</v>
      </c>
      <c r="F83" s="292"/>
      <c r="G83" s="335" t="s">
        <v>70</v>
      </c>
      <c r="H83" s="306"/>
      <c r="I83" s="306"/>
      <c r="J83" s="414"/>
      <c r="K83" s="1155"/>
      <c r="L83" s="1156"/>
      <c r="M83" s="1156"/>
      <c r="N83" s="1156"/>
      <c r="O83" s="1156"/>
      <c r="P83" s="1156"/>
      <c r="Q83" s="1157"/>
      <c r="S83" s="63"/>
      <c r="T83" s="62"/>
      <c r="U83" s="41"/>
    </row>
    <row r="84" spans="1:21" ht="3.75" customHeight="1">
      <c r="A84" s="332"/>
      <c r="B84" s="306"/>
      <c r="C84" s="306"/>
      <c r="D84" s="306"/>
      <c r="E84" s="8"/>
      <c r="F84" s="160"/>
      <c r="G84" s="326"/>
      <c r="H84" s="306"/>
      <c r="I84" s="306"/>
      <c r="J84" s="414"/>
      <c r="K84" s="1072"/>
      <c r="L84" s="1073"/>
      <c r="M84" s="1073"/>
      <c r="N84" s="1073"/>
      <c r="O84" s="1073"/>
      <c r="P84" s="1073"/>
      <c r="Q84" s="1074"/>
      <c r="S84" s="63"/>
      <c r="T84" s="62"/>
      <c r="U84" s="41"/>
    </row>
    <row r="85" spans="1:21" ht="12.75">
      <c r="A85" s="332"/>
      <c r="B85" s="306"/>
      <c r="C85" s="306"/>
      <c r="D85" s="306"/>
      <c r="E85" s="8" t="s">
        <v>855</v>
      </c>
      <c r="F85" s="666">
        <f>IF(F83=0,0,F83-F82)</f>
        <v>0</v>
      </c>
      <c r="G85" s="326" t="s">
        <v>71</v>
      </c>
      <c r="H85" s="306"/>
      <c r="I85" s="306"/>
      <c r="J85" s="414"/>
      <c r="K85" s="1060"/>
      <c r="L85" s="1061"/>
      <c r="M85" s="1061"/>
      <c r="N85" s="1061"/>
      <c r="O85" s="1061"/>
      <c r="P85" s="1061"/>
      <c r="Q85" s="1062"/>
      <c r="S85" s="63"/>
      <c r="T85" s="62"/>
      <c r="U85" s="41"/>
    </row>
    <row r="86" spans="1:21" ht="15.75">
      <c r="A86" s="332"/>
      <c r="B86" s="306"/>
      <c r="C86" s="306"/>
      <c r="D86" s="306"/>
      <c r="E86" s="8" t="s">
        <v>856</v>
      </c>
      <c r="F86" s="185">
        <v>1.5</v>
      </c>
      <c r="G86" s="326" t="s">
        <v>72</v>
      </c>
      <c r="H86" s="306"/>
      <c r="I86" s="306"/>
      <c r="J86" s="414"/>
      <c r="K86" s="1060"/>
      <c r="L86" s="1061"/>
      <c r="M86" s="1061"/>
      <c r="N86" s="1061"/>
      <c r="O86" s="1061"/>
      <c r="P86" s="1061"/>
      <c r="Q86" s="1062"/>
      <c r="S86" s="63"/>
      <c r="T86" s="62"/>
      <c r="U86" s="41"/>
    </row>
    <row r="87" spans="1:21" ht="3" customHeight="1" thickBot="1">
      <c r="A87" s="332"/>
      <c r="B87" s="306"/>
      <c r="C87" s="306"/>
      <c r="D87" s="306"/>
      <c r="E87" s="336"/>
      <c r="F87" s="161"/>
      <c r="G87" s="326"/>
      <c r="H87" s="306"/>
      <c r="I87" s="306"/>
      <c r="J87" s="420"/>
      <c r="K87" s="1060"/>
      <c r="L87" s="1061"/>
      <c r="M87" s="1061"/>
      <c r="N87" s="1061"/>
      <c r="O87" s="1061"/>
      <c r="P87" s="1061"/>
      <c r="Q87" s="1062"/>
      <c r="S87" s="63"/>
      <c r="T87" s="62"/>
      <c r="U87" s="41"/>
    </row>
    <row r="88" spans="1:21" ht="39" customHeight="1" thickBot="1">
      <c r="A88" s="1049"/>
      <c r="B88" s="1050"/>
      <c r="C88" s="1050"/>
      <c r="D88" s="1161"/>
      <c r="E88" s="1161"/>
      <c r="F88" s="1161"/>
      <c r="G88" s="1161"/>
      <c r="H88" s="1161"/>
      <c r="I88" s="1162"/>
      <c r="J88" s="620"/>
      <c r="K88" s="1060"/>
      <c r="L88" s="1061"/>
      <c r="M88" s="1061"/>
      <c r="N88" s="1061"/>
      <c r="O88" s="1061"/>
      <c r="P88" s="1061"/>
      <c r="Q88" s="1062"/>
      <c r="S88" s="63"/>
      <c r="T88" s="62"/>
      <c r="U88" s="41"/>
    </row>
    <row r="89" spans="1:21" ht="6.75" customHeight="1" thickBot="1">
      <c r="A89" s="621"/>
      <c r="B89" s="501"/>
      <c r="C89" s="501"/>
      <c r="D89" s="501"/>
      <c r="E89" s="336"/>
      <c r="F89" s="161"/>
      <c r="G89" s="326"/>
      <c r="H89" s="306"/>
      <c r="I89" s="306"/>
      <c r="J89" s="620"/>
      <c r="K89" s="1060"/>
      <c r="L89" s="1061"/>
      <c r="M89" s="1061"/>
      <c r="N89" s="1061"/>
      <c r="O89" s="1061"/>
      <c r="P89" s="1061"/>
      <c r="Q89" s="1062"/>
      <c r="S89" s="63"/>
      <c r="T89" s="62"/>
      <c r="U89" s="41"/>
    </row>
    <row r="90" spans="1:21" ht="15.75" thickBot="1">
      <c r="A90" s="350" t="s">
        <v>594</v>
      </c>
      <c r="B90" s="351"/>
      <c r="C90" s="351"/>
      <c r="D90" s="351"/>
      <c r="E90" s="351"/>
      <c r="F90" s="351"/>
      <c r="G90" s="351"/>
      <c r="H90" s="354" t="s">
        <v>369</v>
      </c>
      <c r="I90" s="973">
        <f>F85*100*F86</f>
        <v>0</v>
      </c>
      <c r="J90" s="974"/>
      <c r="K90" s="1063"/>
      <c r="L90" s="1064"/>
      <c r="M90" s="1064"/>
      <c r="N90" s="1064"/>
      <c r="O90" s="1064"/>
      <c r="P90" s="1064"/>
      <c r="Q90" s="1065"/>
      <c r="S90" s="63"/>
      <c r="T90" s="62"/>
      <c r="U90" s="41"/>
    </row>
    <row r="91" spans="1:21" ht="17.25" thickBot="1">
      <c r="A91" s="321" t="s">
        <v>438</v>
      </c>
      <c r="B91" s="406"/>
      <c r="C91" s="902" t="s">
        <v>284</v>
      </c>
      <c r="D91" s="902"/>
      <c r="E91" s="902"/>
      <c r="F91" s="902"/>
      <c r="G91" s="902"/>
      <c r="H91" s="902"/>
      <c r="I91" s="902"/>
      <c r="J91" s="903"/>
      <c r="K91" s="168" t="s">
        <v>250</v>
      </c>
      <c r="L91" s="667"/>
      <c r="M91" s="667"/>
      <c r="N91" s="667"/>
      <c r="O91" s="667"/>
      <c r="P91" s="667"/>
      <c r="Q91" s="669"/>
      <c r="S91" s="63"/>
      <c r="T91" s="62"/>
      <c r="U91" s="41"/>
    </row>
    <row r="92" spans="1:21" ht="36.75" customHeight="1" thickTop="1">
      <c r="A92" s="1051" t="s">
        <v>384</v>
      </c>
      <c r="B92" s="1052"/>
      <c r="C92" s="1052"/>
      <c r="D92" s="1052"/>
      <c r="E92" s="1052"/>
      <c r="F92" s="1052"/>
      <c r="G92" s="1052"/>
      <c r="H92" s="1052"/>
      <c r="I92" s="1052"/>
      <c r="J92" s="1053"/>
      <c r="K92" s="1066" t="s">
        <v>372</v>
      </c>
      <c r="L92" s="1163"/>
      <c r="M92" s="1163"/>
      <c r="N92" s="1163"/>
      <c r="O92" s="1163"/>
      <c r="P92" s="1163"/>
      <c r="Q92" s="1164"/>
      <c r="S92" s="63"/>
      <c r="T92" s="62"/>
      <c r="U92" s="41"/>
    </row>
    <row r="93" spans="1:21" ht="3.75" customHeight="1">
      <c r="A93" s="622"/>
      <c r="B93" s="623"/>
      <c r="C93" s="623"/>
      <c r="D93" s="623"/>
      <c r="E93" s="624"/>
      <c r="F93" s="624"/>
      <c r="G93" s="624"/>
      <c r="H93" s="624"/>
      <c r="I93" s="624"/>
      <c r="J93" s="625"/>
      <c r="K93" s="1165"/>
      <c r="L93" s="1166"/>
      <c r="M93" s="1166"/>
      <c r="N93" s="1166"/>
      <c r="O93" s="1166"/>
      <c r="P93" s="1166"/>
      <c r="Q93" s="1167"/>
      <c r="S93" s="63"/>
      <c r="T93" s="62"/>
      <c r="U93" s="41"/>
    </row>
    <row r="94" spans="1:21" ht="38.25" customHeight="1" thickBot="1">
      <c r="A94" s="897" t="s">
        <v>700</v>
      </c>
      <c r="B94" s="898"/>
      <c r="C94" s="898"/>
      <c r="D94" s="898"/>
      <c r="E94" s="898"/>
      <c r="F94" s="898"/>
      <c r="G94" s="898"/>
      <c r="H94" s="898"/>
      <c r="I94" s="898"/>
      <c r="J94" s="895"/>
      <c r="K94" s="1072"/>
      <c r="L94" s="1073"/>
      <c r="M94" s="1073"/>
      <c r="N94" s="1073"/>
      <c r="O94" s="1073"/>
      <c r="P94" s="1073"/>
      <c r="Q94" s="1074"/>
      <c r="S94" s="63"/>
      <c r="T94" s="62"/>
      <c r="U94" s="41"/>
    </row>
    <row r="95" spans="1:21" ht="13.5" thickTop="1">
      <c r="A95" s="332"/>
      <c r="B95" s="306"/>
      <c r="C95" s="306"/>
      <c r="D95" s="306"/>
      <c r="E95" s="8" t="s">
        <v>285</v>
      </c>
      <c r="F95" s="14"/>
      <c r="G95" s="326" t="s">
        <v>73</v>
      </c>
      <c r="H95" s="306"/>
      <c r="I95" s="306"/>
      <c r="J95" s="440"/>
      <c r="K95" s="1060"/>
      <c r="L95" s="1061"/>
      <c r="M95" s="1061"/>
      <c r="N95" s="1061"/>
      <c r="O95" s="1061"/>
      <c r="P95" s="1061"/>
      <c r="Q95" s="1062"/>
      <c r="S95" s="63"/>
      <c r="T95" s="62"/>
      <c r="U95" s="41"/>
    </row>
    <row r="96" spans="1:21" ht="13.5" customHeight="1">
      <c r="A96" s="332"/>
      <c r="B96" s="306"/>
      <c r="C96" s="306"/>
      <c r="D96" s="306"/>
      <c r="E96" s="336" t="s">
        <v>383</v>
      </c>
      <c r="F96" s="488">
        <f>IF(F9=0,0,F95/$F$9)</f>
        <v>0</v>
      </c>
      <c r="G96" s="326" t="s">
        <v>74</v>
      </c>
      <c r="H96" s="306"/>
      <c r="I96" s="306"/>
      <c r="J96" s="440"/>
      <c r="K96" s="1060"/>
      <c r="L96" s="1061"/>
      <c r="M96" s="1061"/>
      <c r="N96" s="1061"/>
      <c r="O96" s="1061"/>
      <c r="P96" s="1061"/>
      <c r="Q96" s="1062"/>
      <c r="S96" s="63"/>
      <c r="T96" s="62"/>
      <c r="U96" s="41"/>
    </row>
    <row r="97" spans="1:21" ht="17.25" customHeight="1">
      <c r="A97" s="332"/>
      <c r="B97" s="306"/>
      <c r="C97" s="306"/>
      <c r="D97" s="306"/>
      <c r="E97" s="336"/>
      <c r="F97" s="91"/>
      <c r="G97" s="306"/>
      <c r="H97" s="306"/>
      <c r="I97" s="306"/>
      <c r="J97" s="440"/>
      <c r="K97" s="1060"/>
      <c r="L97" s="1061"/>
      <c r="M97" s="1061"/>
      <c r="N97" s="1061"/>
      <c r="O97" s="1061"/>
      <c r="P97" s="1061"/>
      <c r="Q97" s="1062"/>
      <c r="S97" s="63"/>
      <c r="T97" s="62"/>
      <c r="U97" s="41"/>
    </row>
    <row r="98" spans="1:21" ht="26.25" customHeight="1">
      <c r="A98" s="332"/>
      <c r="B98" s="397"/>
      <c r="C98" s="942" t="s">
        <v>246</v>
      </c>
      <c r="D98" s="943"/>
      <c r="E98" s="943"/>
      <c r="F98" s="943"/>
      <c r="G98" s="943"/>
      <c r="H98" s="944"/>
      <c r="I98" s="306"/>
      <c r="J98" s="440"/>
      <c r="K98" s="1060"/>
      <c r="L98" s="1061"/>
      <c r="M98" s="1061"/>
      <c r="N98" s="1061"/>
      <c r="O98" s="1061"/>
      <c r="P98" s="1061"/>
      <c r="Q98" s="1062"/>
      <c r="S98" s="63"/>
      <c r="T98" s="62"/>
      <c r="U98" s="41"/>
    </row>
    <row r="99" spans="1:21" ht="27" customHeight="1">
      <c r="A99" s="332"/>
      <c r="B99" s="397"/>
      <c r="C99" s="942" t="s">
        <v>247</v>
      </c>
      <c r="D99" s="943"/>
      <c r="E99" s="943"/>
      <c r="F99" s="943"/>
      <c r="G99" s="943"/>
      <c r="H99" s="944"/>
      <c r="I99" s="306"/>
      <c r="J99" s="440"/>
      <c r="K99" s="1060"/>
      <c r="L99" s="1061"/>
      <c r="M99" s="1061"/>
      <c r="N99" s="1061"/>
      <c r="O99" s="1061"/>
      <c r="P99" s="1061"/>
      <c r="Q99" s="1062"/>
      <c r="S99" s="63"/>
      <c r="T99" s="62"/>
      <c r="U99" s="41"/>
    </row>
    <row r="100" spans="1:21" ht="36.75" customHeight="1">
      <c r="A100" s="332"/>
      <c r="B100" s="626"/>
      <c r="C100" s="942" t="s">
        <v>405</v>
      </c>
      <c r="D100" s="943"/>
      <c r="E100" s="943"/>
      <c r="F100" s="943"/>
      <c r="G100" s="943"/>
      <c r="H100" s="944"/>
      <c r="I100" s="306"/>
      <c r="J100" s="440"/>
      <c r="K100" s="1060"/>
      <c r="L100" s="1061"/>
      <c r="M100" s="1061"/>
      <c r="N100" s="1061"/>
      <c r="O100" s="1061"/>
      <c r="P100" s="1061"/>
      <c r="Q100" s="1062"/>
      <c r="S100" s="63"/>
      <c r="T100" s="62"/>
      <c r="U100" s="41"/>
    </row>
    <row r="101" spans="1:21" ht="9" customHeight="1">
      <c r="A101" s="332"/>
      <c r="B101" s="306"/>
      <c r="C101" s="306"/>
      <c r="D101" s="306"/>
      <c r="E101" s="336"/>
      <c r="F101" s="91"/>
      <c r="G101" s="306"/>
      <c r="H101" s="306"/>
      <c r="I101" s="306"/>
      <c r="J101" s="440"/>
      <c r="K101" s="1060"/>
      <c r="L101" s="1061"/>
      <c r="M101" s="1061"/>
      <c r="N101" s="1061"/>
      <c r="O101" s="1061"/>
      <c r="P101" s="1061"/>
      <c r="Q101" s="1062"/>
      <c r="S101" s="63"/>
      <c r="T101" s="62"/>
      <c r="U101" s="41"/>
    </row>
    <row r="102" spans="1:21" ht="13.5" thickBot="1">
      <c r="A102" s="332"/>
      <c r="B102" s="306"/>
      <c r="C102" s="306"/>
      <c r="D102" s="306"/>
      <c r="E102" s="306"/>
      <c r="F102" s="336" t="s">
        <v>385</v>
      </c>
      <c r="G102" s="670">
        <f>IF(J102=1,12,IF(J102=2,8,0))</f>
        <v>0</v>
      </c>
      <c r="H102" s="326" t="s">
        <v>75</v>
      </c>
      <c r="I102" s="306"/>
      <c r="J102" s="627">
        <v>3</v>
      </c>
      <c r="K102" s="1060"/>
      <c r="L102" s="1061"/>
      <c r="M102" s="1061"/>
      <c r="N102" s="1061"/>
      <c r="O102" s="1061"/>
      <c r="P102" s="1061"/>
      <c r="Q102" s="1062"/>
      <c r="S102" s="63"/>
      <c r="T102" s="62"/>
      <c r="U102" s="41"/>
    </row>
    <row r="103" spans="1:21" ht="15.75" thickBot="1">
      <c r="A103" s="350" t="s">
        <v>78</v>
      </c>
      <c r="B103" s="351"/>
      <c r="C103" s="351"/>
      <c r="D103" s="351"/>
      <c r="E103" s="351"/>
      <c r="F103" s="351"/>
      <c r="G103" s="351"/>
      <c r="H103" s="354" t="s">
        <v>370</v>
      </c>
      <c r="I103" s="1093">
        <f>F96*G102</f>
        <v>0</v>
      </c>
      <c r="J103" s="1094"/>
      <c r="K103" s="1063"/>
      <c r="L103" s="1064"/>
      <c r="M103" s="1064"/>
      <c r="N103" s="1064"/>
      <c r="O103" s="1064"/>
      <c r="P103" s="1064"/>
      <c r="Q103" s="1065"/>
      <c r="S103" s="63"/>
      <c r="T103" s="62"/>
      <c r="U103" s="41"/>
    </row>
    <row r="104" spans="1:21" ht="17.25" thickBot="1">
      <c r="A104" s="321" t="s">
        <v>439</v>
      </c>
      <c r="B104" s="406"/>
      <c r="C104" s="891" t="s">
        <v>290</v>
      </c>
      <c r="D104" s="891"/>
      <c r="E104" s="891"/>
      <c r="F104" s="891"/>
      <c r="G104" s="891"/>
      <c r="H104" s="891"/>
      <c r="I104" s="891"/>
      <c r="J104" s="892"/>
      <c r="K104" s="169" t="s">
        <v>250</v>
      </c>
      <c r="L104" s="667"/>
      <c r="M104" s="667"/>
      <c r="N104" s="667"/>
      <c r="O104" s="667"/>
      <c r="P104" s="667"/>
      <c r="Q104" s="669"/>
      <c r="S104" s="63"/>
      <c r="T104" s="62"/>
      <c r="U104" s="41"/>
    </row>
    <row r="105" spans="1:21" ht="27" customHeight="1" thickBot="1" thickTop="1">
      <c r="A105" s="897" t="s">
        <v>388</v>
      </c>
      <c r="B105" s="898"/>
      <c r="C105" s="898"/>
      <c r="D105" s="898"/>
      <c r="E105" s="898"/>
      <c r="F105" s="898"/>
      <c r="G105" s="898"/>
      <c r="H105" s="898"/>
      <c r="I105" s="898"/>
      <c r="J105" s="895"/>
      <c r="K105" s="1090"/>
      <c r="L105" s="1091"/>
      <c r="M105" s="1091"/>
      <c r="N105" s="1091"/>
      <c r="O105" s="1091"/>
      <c r="P105" s="1091"/>
      <c r="Q105" s="1092"/>
      <c r="S105" s="63"/>
      <c r="T105" s="62"/>
      <c r="U105" s="41"/>
    </row>
    <row r="106" spans="1:21" ht="15" customHeight="1" thickTop="1">
      <c r="A106" s="332"/>
      <c r="B106" s="306"/>
      <c r="C106" s="306"/>
      <c r="D106" s="306"/>
      <c r="E106" s="8" t="s">
        <v>286</v>
      </c>
      <c r="F106" s="163"/>
      <c r="G106" s="326" t="s">
        <v>76</v>
      </c>
      <c r="H106" s="306"/>
      <c r="I106" s="306"/>
      <c r="J106" s="412"/>
      <c r="K106" s="932"/>
      <c r="L106" s="933"/>
      <c r="M106" s="933"/>
      <c r="N106" s="933"/>
      <c r="O106" s="933"/>
      <c r="P106" s="933"/>
      <c r="Q106" s="934"/>
      <c r="S106" s="63"/>
      <c r="T106" s="62"/>
      <c r="U106" s="41"/>
    </row>
    <row r="107" spans="1:21" ht="14.25" customHeight="1">
      <c r="A107" s="332"/>
      <c r="B107" s="306"/>
      <c r="C107" s="306"/>
      <c r="D107" s="306"/>
      <c r="E107" s="8" t="s">
        <v>383</v>
      </c>
      <c r="F107" s="488">
        <f>IF(F9=0,0,F106/$F$9)</f>
        <v>0</v>
      </c>
      <c r="G107" s="326" t="s">
        <v>77</v>
      </c>
      <c r="H107" s="306"/>
      <c r="I107" s="306"/>
      <c r="J107" s="414"/>
      <c r="K107" s="932"/>
      <c r="L107" s="933"/>
      <c r="M107" s="933"/>
      <c r="N107" s="933"/>
      <c r="O107" s="933"/>
      <c r="P107" s="933"/>
      <c r="Q107" s="934"/>
      <c r="S107" s="63"/>
      <c r="T107" s="62"/>
      <c r="U107" s="41"/>
    </row>
    <row r="108" spans="1:21" ht="4.5" customHeight="1">
      <c r="A108" s="332"/>
      <c r="B108" s="306"/>
      <c r="C108" s="306"/>
      <c r="D108" s="306"/>
      <c r="E108" s="8"/>
      <c r="F108" s="94"/>
      <c r="G108" s="306"/>
      <c r="H108" s="306"/>
      <c r="I108" s="306"/>
      <c r="J108" s="414"/>
      <c r="K108" s="932"/>
      <c r="L108" s="933"/>
      <c r="M108" s="933"/>
      <c r="N108" s="933"/>
      <c r="O108" s="933"/>
      <c r="P108" s="933"/>
      <c r="Q108" s="934"/>
      <c r="S108" s="63"/>
      <c r="T108" s="62"/>
      <c r="U108" s="41"/>
    </row>
    <row r="109" spans="1:21" ht="16.5" thickBot="1">
      <c r="A109" s="332"/>
      <c r="B109" s="306"/>
      <c r="C109" s="306"/>
      <c r="D109" s="306"/>
      <c r="E109" s="8" t="s">
        <v>275</v>
      </c>
      <c r="F109" s="671">
        <v>50</v>
      </c>
      <c r="G109" s="306"/>
      <c r="H109" s="306"/>
      <c r="I109" s="306"/>
      <c r="J109" s="420"/>
      <c r="K109" s="932"/>
      <c r="L109" s="933"/>
      <c r="M109" s="933"/>
      <c r="N109" s="933"/>
      <c r="O109" s="933"/>
      <c r="P109" s="933"/>
      <c r="Q109" s="934"/>
      <c r="S109" s="63"/>
      <c r="T109" s="62"/>
      <c r="U109" s="41"/>
    </row>
    <row r="110" spans="1:21" ht="15.75" thickBot="1">
      <c r="A110" s="350" t="s">
        <v>79</v>
      </c>
      <c r="B110" s="351"/>
      <c r="C110" s="351"/>
      <c r="D110" s="351"/>
      <c r="E110" s="351"/>
      <c r="F110" s="351"/>
      <c r="G110" s="306"/>
      <c r="H110" s="354" t="s">
        <v>377</v>
      </c>
      <c r="I110" s="973">
        <f>F107*F109</f>
        <v>0</v>
      </c>
      <c r="J110" s="974"/>
      <c r="K110" s="935"/>
      <c r="L110" s="936"/>
      <c r="M110" s="936"/>
      <c r="N110" s="936"/>
      <c r="O110" s="936"/>
      <c r="P110" s="936"/>
      <c r="Q110" s="937"/>
      <c r="S110" s="63"/>
      <c r="T110" s="62"/>
      <c r="U110" s="41"/>
    </row>
    <row r="111" spans="1:21" ht="17.25" thickBot="1">
      <c r="A111" s="321" t="s">
        <v>440</v>
      </c>
      <c r="B111" s="406"/>
      <c r="C111" s="1095" t="s">
        <v>291</v>
      </c>
      <c r="D111" s="1095"/>
      <c r="E111" s="1095"/>
      <c r="F111" s="1095"/>
      <c r="G111" s="1095"/>
      <c r="H111" s="1095"/>
      <c r="I111" s="1095"/>
      <c r="J111" s="1096"/>
      <c r="K111" s="167" t="s">
        <v>250</v>
      </c>
      <c r="L111" s="51"/>
      <c r="M111" s="51"/>
      <c r="N111" s="51"/>
      <c r="O111" s="673" t="s">
        <v>387</v>
      </c>
      <c r="P111" s="667"/>
      <c r="Q111" s="52"/>
      <c r="S111" s="63"/>
      <c r="T111" s="62"/>
      <c r="U111" s="41"/>
    </row>
    <row r="112" spans="1:21" ht="13.5" thickTop="1">
      <c r="A112" s="462"/>
      <c r="B112" s="624"/>
      <c r="C112" s="1097"/>
      <c r="D112" s="1097"/>
      <c r="E112" s="1097"/>
      <c r="F112" s="1097"/>
      <c r="G112" s="1097"/>
      <c r="H112" s="1097"/>
      <c r="I112" s="1097"/>
      <c r="J112" s="1098"/>
      <c r="K112" s="1066" t="s">
        <v>701</v>
      </c>
      <c r="L112" s="1067"/>
      <c r="M112" s="1067"/>
      <c r="N112" s="1067"/>
      <c r="O112" s="1067"/>
      <c r="P112" s="1067"/>
      <c r="Q112" s="1068"/>
      <c r="S112" s="63"/>
      <c r="T112" s="62"/>
      <c r="U112" s="41"/>
    </row>
    <row r="113" spans="1:21" ht="24.75" customHeight="1" thickBot="1">
      <c r="A113" s="897" t="s">
        <v>184</v>
      </c>
      <c r="B113" s="898"/>
      <c r="C113" s="898"/>
      <c r="D113" s="898"/>
      <c r="E113" s="898"/>
      <c r="F113" s="898"/>
      <c r="G113" s="898"/>
      <c r="H113" s="898"/>
      <c r="I113" s="898"/>
      <c r="J113" s="895"/>
      <c r="K113" s="1069"/>
      <c r="L113" s="1070"/>
      <c r="M113" s="1070"/>
      <c r="N113" s="1070"/>
      <c r="O113" s="1070"/>
      <c r="P113" s="1070"/>
      <c r="Q113" s="1071"/>
      <c r="S113" s="63"/>
      <c r="T113" s="62"/>
      <c r="U113" s="41"/>
    </row>
    <row r="114" spans="1:21" ht="17.25" customHeight="1" thickBot="1" thickTop="1">
      <c r="A114" s="1054" t="s">
        <v>179</v>
      </c>
      <c r="B114" s="1055"/>
      <c r="C114" s="1055"/>
      <c r="D114" s="1055"/>
      <c r="E114" s="1055"/>
      <c r="F114" s="629"/>
      <c r="G114" s="629"/>
      <c r="H114" s="629"/>
      <c r="I114" s="629"/>
      <c r="J114" s="630"/>
      <c r="K114" s="1057"/>
      <c r="L114" s="1058"/>
      <c r="M114" s="1058"/>
      <c r="N114" s="1058"/>
      <c r="O114" s="1058"/>
      <c r="P114" s="1058"/>
      <c r="Q114" s="1059"/>
      <c r="S114" s="63"/>
      <c r="T114" s="62"/>
      <c r="U114" s="41"/>
    </row>
    <row r="115" spans="1:21" ht="14.25" customHeight="1" thickTop="1">
      <c r="A115" s="1056"/>
      <c r="B115" s="941"/>
      <c r="C115" s="941"/>
      <c r="D115" s="941"/>
      <c r="E115" s="941"/>
      <c r="F115" s="289"/>
      <c r="G115" s="326" t="s">
        <v>180</v>
      </c>
      <c r="H115" s="306"/>
      <c r="I115" s="306"/>
      <c r="J115" s="412"/>
      <c r="K115" s="1060"/>
      <c r="L115" s="1061"/>
      <c r="M115" s="1061"/>
      <c r="N115" s="1061"/>
      <c r="O115" s="1061"/>
      <c r="P115" s="1061"/>
      <c r="Q115" s="1062"/>
      <c r="S115" s="63"/>
      <c r="T115" s="62"/>
      <c r="U115" s="41"/>
    </row>
    <row r="116" spans="1:21" ht="14.25" customHeight="1">
      <c r="A116" s="1056" t="s">
        <v>181</v>
      </c>
      <c r="B116" s="941"/>
      <c r="C116" s="941"/>
      <c r="D116" s="941"/>
      <c r="E116" s="941"/>
      <c r="F116" s="288"/>
      <c r="G116" s="326"/>
      <c r="H116" s="306"/>
      <c r="I116" s="306"/>
      <c r="J116" s="414"/>
      <c r="K116" s="1060"/>
      <c r="L116" s="1061"/>
      <c r="M116" s="1061"/>
      <c r="N116" s="1061"/>
      <c r="O116" s="1061"/>
      <c r="P116" s="1061"/>
      <c r="Q116" s="1062"/>
      <c r="S116" s="63"/>
      <c r="T116" s="62"/>
      <c r="U116" s="41"/>
    </row>
    <row r="117" spans="1:21" ht="13.5" customHeight="1">
      <c r="A117" s="1056"/>
      <c r="B117" s="941"/>
      <c r="C117" s="941"/>
      <c r="D117" s="941"/>
      <c r="E117" s="941"/>
      <c r="F117" s="290"/>
      <c r="G117" s="326" t="s">
        <v>182</v>
      </c>
      <c r="H117" s="306"/>
      <c r="I117" s="306"/>
      <c r="J117" s="414"/>
      <c r="K117" s="1060"/>
      <c r="L117" s="1061"/>
      <c r="M117" s="1061"/>
      <c r="N117" s="1061"/>
      <c r="O117" s="1061"/>
      <c r="P117" s="1061"/>
      <c r="Q117" s="1062"/>
      <c r="S117" s="63"/>
      <c r="T117" s="62"/>
      <c r="U117" s="41"/>
    </row>
    <row r="118" spans="1:21" ht="18.75" customHeight="1">
      <c r="A118" s="1047" t="s">
        <v>188</v>
      </c>
      <c r="B118" s="1048"/>
      <c r="C118" s="416"/>
      <c r="D118" s="941" t="s">
        <v>185</v>
      </c>
      <c r="E118" s="941"/>
      <c r="F118" s="941"/>
      <c r="G118" s="306"/>
      <c r="H118" s="306"/>
      <c r="I118" s="306"/>
      <c r="J118" s="414"/>
      <c r="K118" s="1060"/>
      <c r="L118" s="1061"/>
      <c r="M118" s="1061"/>
      <c r="N118" s="1061"/>
      <c r="O118" s="1061"/>
      <c r="P118" s="1061"/>
      <c r="Q118" s="1062"/>
      <c r="S118" s="63"/>
      <c r="T118" s="62"/>
      <c r="U118" s="41"/>
    </row>
    <row r="119" spans="1:21" ht="15" customHeight="1">
      <c r="A119" s="1047"/>
      <c r="B119" s="1048"/>
      <c r="C119" s="336"/>
      <c r="D119" s="941"/>
      <c r="E119" s="941"/>
      <c r="F119" s="941"/>
      <c r="G119" s="672">
        <f>F115-F117</f>
        <v>0</v>
      </c>
      <c r="H119" s="326" t="s">
        <v>183</v>
      </c>
      <c r="I119" s="306"/>
      <c r="J119" s="414"/>
      <c r="K119" s="1060"/>
      <c r="L119" s="1061"/>
      <c r="M119" s="1061"/>
      <c r="N119" s="1061"/>
      <c r="O119" s="1061"/>
      <c r="P119" s="1061"/>
      <c r="Q119" s="1062"/>
      <c r="S119" s="63"/>
      <c r="T119" s="62"/>
      <c r="U119" s="41"/>
    </row>
    <row r="120" spans="1:21" ht="15" customHeight="1">
      <c r="A120" s="1047"/>
      <c r="B120" s="1048"/>
      <c r="C120" s="306"/>
      <c r="D120" s="306"/>
      <c r="E120" s="336"/>
      <c r="F120" s="161"/>
      <c r="G120" s="306"/>
      <c r="H120" s="306"/>
      <c r="I120" s="306"/>
      <c r="J120" s="414"/>
      <c r="K120" s="1060"/>
      <c r="L120" s="1061"/>
      <c r="M120" s="1061"/>
      <c r="N120" s="1061"/>
      <c r="O120" s="1061"/>
      <c r="P120" s="1061"/>
      <c r="Q120" s="1062"/>
      <c r="S120" s="63"/>
      <c r="T120" s="62"/>
      <c r="U120" s="41"/>
    </row>
    <row r="121" spans="1:21" ht="12" customHeight="1">
      <c r="A121" s="1047"/>
      <c r="B121" s="1048"/>
      <c r="C121" s="426"/>
      <c r="D121" s="941" t="s">
        <v>186</v>
      </c>
      <c r="E121" s="941"/>
      <c r="F121" s="941"/>
      <c r="G121" s="306"/>
      <c r="H121" s="306"/>
      <c r="I121" s="306"/>
      <c r="J121" s="414"/>
      <c r="K121" s="1060"/>
      <c r="L121" s="1061"/>
      <c r="M121" s="1061"/>
      <c r="N121" s="1061"/>
      <c r="O121" s="1061"/>
      <c r="P121" s="1061"/>
      <c r="Q121" s="1062"/>
      <c r="S121" s="63"/>
      <c r="T121" s="62"/>
      <c r="U121" s="41"/>
    </row>
    <row r="122" spans="1:21" ht="12.75">
      <c r="A122" s="1075" t="s">
        <v>479</v>
      </c>
      <c r="B122" s="985"/>
      <c r="C122" s="426"/>
      <c r="D122" s="941"/>
      <c r="E122" s="941"/>
      <c r="F122" s="941"/>
      <c r="G122" s="306"/>
      <c r="H122" s="306"/>
      <c r="I122" s="306"/>
      <c r="J122" s="414"/>
      <c r="K122" s="1060"/>
      <c r="L122" s="1061"/>
      <c r="M122" s="1061"/>
      <c r="N122" s="1061"/>
      <c r="O122" s="1061"/>
      <c r="P122" s="1061"/>
      <c r="Q122" s="1062"/>
      <c r="S122" s="63"/>
      <c r="T122" s="62"/>
      <c r="U122" s="41"/>
    </row>
    <row r="123" spans="1:21" ht="14.25" customHeight="1">
      <c r="A123" s="1075"/>
      <c r="B123" s="985"/>
      <c r="C123" s="426"/>
      <c r="D123" s="941"/>
      <c r="E123" s="941"/>
      <c r="F123" s="941"/>
      <c r="G123" s="1174"/>
      <c r="H123" s="1175"/>
      <c r="I123" s="326" t="s">
        <v>825</v>
      </c>
      <c r="J123" s="414" t="b">
        <v>0</v>
      </c>
      <c r="K123" s="1060"/>
      <c r="L123" s="1061"/>
      <c r="M123" s="1061"/>
      <c r="N123" s="1061"/>
      <c r="O123" s="1061"/>
      <c r="P123" s="1061"/>
      <c r="Q123" s="1062"/>
      <c r="S123" s="63"/>
      <c r="T123" s="62"/>
      <c r="U123" s="41"/>
    </row>
    <row r="124" spans="1:21" ht="17.25" customHeight="1">
      <c r="A124" s="1075"/>
      <c r="B124" s="985"/>
      <c r="C124" s="341"/>
      <c r="D124" s="941" t="s">
        <v>187</v>
      </c>
      <c r="E124" s="941"/>
      <c r="F124" s="941"/>
      <c r="G124" s="306"/>
      <c r="H124" s="306"/>
      <c r="I124" s="306"/>
      <c r="J124" s="414"/>
      <c r="K124" s="1060"/>
      <c r="L124" s="1061"/>
      <c r="M124" s="1061"/>
      <c r="N124" s="1061"/>
      <c r="O124" s="1061"/>
      <c r="P124" s="1061"/>
      <c r="Q124" s="1062"/>
      <c r="S124" s="63"/>
      <c r="T124" s="62"/>
      <c r="U124" s="41"/>
    </row>
    <row r="125" spans="1:21" ht="15" customHeight="1">
      <c r="A125" s="332"/>
      <c r="B125" s="306"/>
      <c r="C125" s="336"/>
      <c r="D125" s="941"/>
      <c r="E125" s="941"/>
      <c r="F125" s="941"/>
      <c r="G125" s="939">
        <f>IF(F9=0,"",G123/F9)</f>
      </c>
      <c r="H125" s="940"/>
      <c r="I125" s="326" t="s">
        <v>826</v>
      </c>
      <c r="J125" s="414"/>
      <c r="K125" s="1060"/>
      <c r="L125" s="1061"/>
      <c r="M125" s="1061"/>
      <c r="N125" s="1061"/>
      <c r="O125" s="1061"/>
      <c r="P125" s="1061"/>
      <c r="Q125" s="1062"/>
      <c r="S125" s="63"/>
      <c r="T125" s="62"/>
      <c r="U125" s="41"/>
    </row>
    <row r="126" spans="1:21" ht="12.75">
      <c r="A126" s="332"/>
      <c r="B126" s="336"/>
      <c r="C126" s="336"/>
      <c r="D126" s="336"/>
      <c r="E126" s="336"/>
      <c r="F126" s="306"/>
      <c r="G126" s="306"/>
      <c r="H126" s="306"/>
      <c r="I126" s="306"/>
      <c r="J126" s="414"/>
      <c r="K126" s="1060"/>
      <c r="L126" s="1061"/>
      <c r="M126" s="1061"/>
      <c r="N126" s="1061"/>
      <c r="O126" s="1061"/>
      <c r="P126" s="1061"/>
      <c r="Q126" s="1062"/>
      <c r="S126" s="63"/>
      <c r="T126" s="62"/>
      <c r="U126" s="41"/>
    </row>
    <row r="127" spans="1:21" ht="15.75">
      <c r="A127" s="332"/>
      <c r="B127" s="306"/>
      <c r="C127" s="306"/>
      <c r="D127" s="306"/>
      <c r="E127" s="306"/>
      <c r="F127" s="8" t="s">
        <v>275</v>
      </c>
      <c r="G127" s="671">
        <v>4</v>
      </c>
      <c r="H127" s="306"/>
      <c r="I127" s="306"/>
      <c r="J127" s="414"/>
      <c r="K127" s="1060"/>
      <c r="L127" s="1061"/>
      <c r="M127" s="1061"/>
      <c r="N127" s="1061"/>
      <c r="O127" s="1061"/>
      <c r="P127" s="1061"/>
      <c r="Q127" s="1062"/>
      <c r="S127" s="63"/>
      <c r="T127" s="62"/>
      <c r="U127" s="41"/>
    </row>
    <row r="128" spans="1:21" ht="3.75" customHeight="1" thickBot="1">
      <c r="A128" s="332"/>
      <c r="B128" s="306"/>
      <c r="C128" s="306"/>
      <c r="D128" s="306"/>
      <c r="E128" s="336"/>
      <c r="F128" s="628"/>
      <c r="G128" s="306"/>
      <c r="H128" s="306"/>
      <c r="I128" s="427"/>
      <c r="J128" s="440"/>
      <c r="K128" s="1060"/>
      <c r="L128" s="1061"/>
      <c r="M128" s="1061"/>
      <c r="N128" s="1061"/>
      <c r="O128" s="1061"/>
      <c r="P128" s="1061"/>
      <c r="Q128" s="1062"/>
      <c r="S128" s="63"/>
      <c r="T128" s="62"/>
      <c r="U128" s="41"/>
    </row>
    <row r="129" spans="1:21" ht="15.75" thickBot="1">
      <c r="A129" s="350" t="s">
        <v>827</v>
      </c>
      <c r="B129" s="351"/>
      <c r="C129" s="351"/>
      <c r="D129" s="351"/>
      <c r="E129" s="351"/>
      <c r="F129" s="351"/>
      <c r="G129" s="351"/>
      <c r="H129" s="633" t="s">
        <v>251</v>
      </c>
      <c r="I129" s="899">
        <f>IF(J123=TRUE,(F115-F117)*G127+G125*G127,0)</f>
        <v>0</v>
      </c>
      <c r="J129" s="900"/>
      <c r="K129" s="1063"/>
      <c r="L129" s="1064"/>
      <c r="M129" s="1064"/>
      <c r="N129" s="1064"/>
      <c r="O129" s="1064"/>
      <c r="P129" s="1064"/>
      <c r="Q129" s="1065"/>
      <c r="S129" s="63"/>
      <c r="T129" s="62"/>
      <c r="U129" s="41"/>
    </row>
    <row r="130" spans="1:21" ht="17.25" thickBot="1">
      <c r="A130" s="321" t="s">
        <v>252</v>
      </c>
      <c r="B130" s="406"/>
      <c r="C130" s="1168" t="s">
        <v>287</v>
      </c>
      <c r="D130" s="1168"/>
      <c r="E130" s="1168"/>
      <c r="F130" s="1168"/>
      <c r="G130" s="1168"/>
      <c r="H130" s="1168"/>
      <c r="I130" s="1168"/>
      <c r="J130" s="1169"/>
      <c r="K130" s="168" t="s">
        <v>250</v>
      </c>
      <c r="L130" s="667"/>
      <c r="M130" s="667"/>
      <c r="N130" s="667"/>
      <c r="O130" s="667"/>
      <c r="P130" s="667"/>
      <c r="Q130" s="669"/>
      <c r="S130" s="63"/>
      <c r="T130" s="62"/>
      <c r="U130" s="41"/>
    </row>
    <row r="131" spans="1:21" ht="28.5" customHeight="1" thickTop="1">
      <c r="A131" s="1136" t="s">
        <v>189</v>
      </c>
      <c r="B131" s="1137"/>
      <c r="C131" s="1137"/>
      <c r="D131" s="1137"/>
      <c r="E131" s="1137"/>
      <c r="F131" s="1137"/>
      <c r="G131" s="1137"/>
      <c r="H131" s="1137"/>
      <c r="I131" s="1137"/>
      <c r="J131" s="1138"/>
      <c r="K131" s="1127"/>
      <c r="L131" s="1128"/>
      <c r="M131" s="1128"/>
      <c r="N131" s="1128"/>
      <c r="O131" s="1128"/>
      <c r="P131" s="1128"/>
      <c r="Q131" s="1129"/>
      <c r="S131" s="63"/>
      <c r="T131" s="62"/>
      <c r="U131" s="41"/>
    </row>
    <row r="132" spans="1:21" ht="12.75">
      <c r="A132" s="1136"/>
      <c r="B132" s="1137"/>
      <c r="C132" s="1137"/>
      <c r="D132" s="1137"/>
      <c r="E132" s="1137"/>
      <c r="F132" s="1137"/>
      <c r="G132" s="1137"/>
      <c r="H132" s="1137"/>
      <c r="I132" s="1137"/>
      <c r="J132" s="1138"/>
      <c r="K132" s="1130"/>
      <c r="L132" s="1131"/>
      <c r="M132" s="1131"/>
      <c r="N132" s="1131"/>
      <c r="O132" s="1131"/>
      <c r="P132" s="1131"/>
      <c r="Q132" s="1132"/>
      <c r="S132" s="63"/>
      <c r="T132" s="62"/>
      <c r="U132" s="41"/>
    </row>
    <row r="133" spans="1:21" ht="13.5" thickBot="1">
      <c r="A133" s="896"/>
      <c r="B133" s="893"/>
      <c r="C133" s="893"/>
      <c r="D133" s="893"/>
      <c r="E133" s="893"/>
      <c r="F133" s="893"/>
      <c r="G133" s="893"/>
      <c r="H133" s="893"/>
      <c r="I133" s="893"/>
      <c r="J133" s="894"/>
      <c r="K133" s="1130"/>
      <c r="L133" s="1131"/>
      <c r="M133" s="1131"/>
      <c r="N133" s="1131"/>
      <c r="O133" s="1131"/>
      <c r="P133" s="1131"/>
      <c r="Q133" s="1132"/>
      <c r="S133" s="63"/>
      <c r="T133" s="62"/>
      <c r="U133" s="41"/>
    </row>
    <row r="134" spans="1:21" ht="17.25" customHeight="1" thickTop="1">
      <c r="A134" s="332"/>
      <c r="B134" s="306"/>
      <c r="C134" s="306"/>
      <c r="D134" s="306"/>
      <c r="E134" s="411"/>
      <c r="F134" s="291"/>
      <c r="G134" s="326"/>
      <c r="H134" s="306"/>
      <c r="I134" s="634"/>
      <c r="J134" s="440"/>
      <c r="K134" s="1130"/>
      <c r="L134" s="1131"/>
      <c r="M134" s="1131"/>
      <c r="N134" s="1131"/>
      <c r="O134" s="1131"/>
      <c r="P134" s="1131"/>
      <c r="Q134" s="1132"/>
      <c r="S134" s="63"/>
      <c r="T134" s="62"/>
      <c r="U134" s="41"/>
    </row>
    <row r="135" spans="1:21" ht="24.75" customHeight="1">
      <c r="A135" s="332"/>
      <c r="B135" s="397"/>
      <c r="C135" s="942" t="s">
        <v>191</v>
      </c>
      <c r="D135" s="943"/>
      <c r="E135" s="943"/>
      <c r="F135" s="943"/>
      <c r="G135" s="944"/>
      <c r="H135" s="306"/>
      <c r="I135" s="427"/>
      <c r="J135" s="440">
        <f>IF(J140=1,8,"")</f>
      </c>
      <c r="K135" s="1130"/>
      <c r="L135" s="1131"/>
      <c r="M135" s="1131"/>
      <c r="N135" s="1131"/>
      <c r="O135" s="1131"/>
      <c r="P135" s="1131"/>
      <c r="Q135" s="1132"/>
      <c r="S135" s="63"/>
      <c r="T135" s="62"/>
      <c r="U135" s="41"/>
    </row>
    <row r="136" spans="1:21" ht="23.25" customHeight="1">
      <c r="A136" s="332"/>
      <c r="B136" s="635"/>
      <c r="C136" s="942" t="s">
        <v>194</v>
      </c>
      <c r="D136" s="943"/>
      <c r="E136" s="943"/>
      <c r="F136" s="943"/>
      <c r="G136" s="944"/>
      <c r="H136" s="306"/>
      <c r="I136" s="427"/>
      <c r="J136" s="636">
        <f>IF(J140=2,5,"")</f>
      </c>
      <c r="K136" s="1130"/>
      <c r="L136" s="1131"/>
      <c r="M136" s="1131"/>
      <c r="N136" s="1131"/>
      <c r="O136" s="1131"/>
      <c r="P136" s="1131"/>
      <c r="Q136" s="1132"/>
      <c r="S136" s="63"/>
      <c r="T136" s="62"/>
      <c r="U136" s="41"/>
    </row>
    <row r="137" spans="1:21" ht="23.25" customHeight="1">
      <c r="A137" s="332"/>
      <c r="B137" s="635"/>
      <c r="C137" s="942" t="s">
        <v>193</v>
      </c>
      <c r="D137" s="943"/>
      <c r="E137" s="943"/>
      <c r="F137" s="943"/>
      <c r="G137" s="944"/>
      <c r="H137" s="306"/>
      <c r="I137" s="427"/>
      <c r="J137" s="440">
        <f>IF(J140=3,2.5,"")</f>
      </c>
      <c r="K137" s="1130"/>
      <c r="L137" s="1131"/>
      <c r="M137" s="1131"/>
      <c r="N137" s="1131"/>
      <c r="O137" s="1131"/>
      <c r="P137" s="1131"/>
      <c r="Q137" s="1132"/>
      <c r="S137" s="63"/>
      <c r="T137" s="62"/>
      <c r="U137" s="41"/>
    </row>
    <row r="138" spans="1:21" ht="23.25" customHeight="1">
      <c r="A138" s="332"/>
      <c r="B138" s="635"/>
      <c r="C138" s="942" t="s">
        <v>192</v>
      </c>
      <c r="D138" s="943"/>
      <c r="E138" s="943"/>
      <c r="F138" s="943"/>
      <c r="G138" s="944"/>
      <c r="H138" s="306"/>
      <c r="I138" s="427"/>
      <c r="J138" s="440">
        <f>IF(J140=4,1,"")</f>
      </c>
      <c r="K138" s="1130"/>
      <c r="L138" s="1131"/>
      <c r="M138" s="1131"/>
      <c r="N138" s="1131"/>
      <c r="O138" s="1131"/>
      <c r="P138" s="1131"/>
      <c r="Q138" s="1132"/>
      <c r="S138" s="63"/>
      <c r="T138" s="62"/>
      <c r="U138" s="41"/>
    </row>
    <row r="139" spans="1:21" ht="23.25" customHeight="1">
      <c r="A139" s="332"/>
      <c r="B139" s="635"/>
      <c r="C139" s="942" t="s">
        <v>190</v>
      </c>
      <c r="D139" s="943"/>
      <c r="E139" s="943"/>
      <c r="F139" s="943"/>
      <c r="G139" s="944"/>
      <c r="H139" s="306"/>
      <c r="I139" s="427"/>
      <c r="J139" s="440">
        <f>IF(J140=5,0,"")</f>
        <v>0</v>
      </c>
      <c r="K139" s="1130"/>
      <c r="L139" s="1131"/>
      <c r="M139" s="1131"/>
      <c r="N139" s="1131"/>
      <c r="O139" s="1131"/>
      <c r="P139" s="1131"/>
      <c r="Q139" s="1132"/>
      <c r="S139" s="63"/>
      <c r="T139" s="62"/>
      <c r="U139" s="41"/>
    </row>
    <row r="140" spans="1:21" ht="26.25" customHeight="1">
      <c r="A140" s="332"/>
      <c r="B140" s="1172" t="s">
        <v>195</v>
      </c>
      <c r="C140" s="1172"/>
      <c r="D140" s="1172"/>
      <c r="E140" s="1172"/>
      <c r="F140" s="1172"/>
      <c r="G140" s="416"/>
      <c r="H140" s="590"/>
      <c r="I140" s="637"/>
      <c r="J140" s="638">
        <v>5</v>
      </c>
      <c r="K140" s="1130"/>
      <c r="L140" s="1131"/>
      <c r="M140" s="1131"/>
      <c r="N140" s="1131"/>
      <c r="O140" s="1131"/>
      <c r="P140" s="1131"/>
      <c r="Q140" s="1132"/>
      <c r="S140" s="63"/>
      <c r="T140" s="62"/>
      <c r="U140" s="41"/>
    </row>
    <row r="141" spans="1:21" ht="12.75">
      <c r="A141" s="639"/>
      <c r="B141" s="1173"/>
      <c r="C141" s="1173"/>
      <c r="D141" s="1173"/>
      <c r="E141" s="1173"/>
      <c r="F141" s="1173"/>
      <c r="G141" s="590"/>
      <c r="H141" s="590"/>
      <c r="I141" s="637"/>
      <c r="J141" s="1170"/>
      <c r="K141" s="1130"/>
      <c r="L141" s="1131"/>
      <c r="M141" s="1131"/>
      <c r="N141" s="1131"/>
      <c r="O141" s="1131"/>
      <c r="P141" s="1131"/>
      <c r="Q141" s="1132"/>
      <c r="S141" s="63"/>
      <c r="T141" s="62"/>
      <c r="U141" s="41"/>
    </row>
    <row r="142" spans="1:21" ht="6.75" customHeight="1" thickBot="1">
      <c r="A142" s="470"/>
      <c r="B142" s="306"/>
      <c r="C142" s="306"/>
      <c r="D142" s="306"/>
      <c r="E142" s="306"/>
      <c r="F142" s="306"/>
      <c r="G142" s="590"/>
      <c r="H142" s="590"/>
      <c r="I142" s="640"/>
      <c r="J142" s="1171"/>
      <c r="K142" s="1130"/>
      <c r="L142" s="1131"/>
      <c r="M142" s="1131"/>
      <c r="N142" s="1131"/>
      <c r="O142" s="1131"/>
      <c r="P142" s="1131"/>
      <c r="Q142" s="1132"/>
      <c r="S142" s="63"/>
      <c r="T142" s="62"/>
      <c r="U142" s="41"/>
    </row>
    <row r="143" spans="1:21" ht="15.75" customHeight="1" thickBot="1">
      <c r="A143" s="350"/>
      <c r="B143" s="351"/>
      <c r="C143" s="351"/>
      <c r="D143" s="351"/>
      <c r="E143" s="351"/>
      <c r="F143" s="351"/>
      <c r="G143" s="351"/>
      <c r="H143" s="354" t="s">
        <v>253</v>
      </c>
      <c r="I143" s="973">
        <f>IF(I103=0,0,MAX(J135:J139))</f>
        <v>0</v>
      </c>
      <c r="J143" s="974"/>
      <c r="K143" s="1133"/>
      <c r="L143" s="1134"/>
      <c r="M143" s="1134"/>
      <c r="N143" s="1134"/>
      <c r="O143" s="1134"/>
      <c r="P143" s="1134"/>
      <c r="Q143" s="1135"/>
      <c r="S143" s="63"/>
      <c r="T143" s="62"/>
      <c r="U143" s="41"/>
    </row>
    <row r="144" spans="1:21" ht="17.25" thickBot="1">
      <c r="A144" s="321" t="s">
        <v>254</v>
      </c>
      <c r="B144" s="406"/>
      <c r="C144" s="1122" t="s">
        <v>163</v>
      </c>
      <c r="D144" s="1122"/>
      <c r="E144" s="1122"/>
      <c r="F144" s="1122"/>
      <c r="G144" s="1122"/>
      <c r="H144" s="1122"/>
      <c r="I144" s="1122"/>
      <c r="J144" s="1123"/>
      <c r="K144" s="168" t="s">
        <v>250</v>
      </c>
      <c r="L144" s="667"/>
      <c r="M144" s="667"/>
      <c r="N144" s="667"/>
      <c r="O144" s="667"/>
      <c r="P144" s="667"/>
      <c r="Q144" s="669"/>
      <c r="S144" s="63"/>
      <c r="T144" s="62"/>
      <c r="U144" s="41"/>
    </row>
    <row r="145" spans="1:21" ht="40.5" customHeight="1" thickBot="1" thickTop="1">
      <c r="A145" s="978" t="s">
        <v>358</v>
      </c>
      <c r="B145" s="979"/>
      <c r="C145" s="979"/>
      <c r="D145" s="979"/>
      <c r="E145" s="979"/>
      <c r="F145" s="979"/>
      <c r="G145" s="979"/>
      <c r="H145" s="979"/>
      <c r="I145" s="979"/>
      <c r="J145" s="980"/>
      <c r="K145" s="1124" t="s">
        <v>404</v>
      </c>
      <c r="L145" s="1125"/>
      <c r="M145" s="1125"/>
      <c r="N145" s="1125"/>
      <c r="O145" s="1125"/>
      <c r="P145" s="1125"/>
      <c r="Q145" s="1126"/>
      <c r="S145" s="63"/>
      <c r="T145" s="62"/>
      <c r="U145" s="41"/>
    </row>
    <row r="146" spans="1:21" ht="16.5" customHeight="1" thickTop="1">
      <c r="A146" s="641"/>
      <c r="B146" s="642"/>
      <c r="C146" s="642"/>
      <c r="D146" s="642"/>
      <c r="E146" s="642"/>
      <c r="F146" s="642"/>
      <c r="G146" s="642"/>
      <c r="H146" s="643"/>
      <c r="I146" s="644"/>
      <c r="J146" s="645"/>
      <c r="K146" s="1072"/>
      <c r="L146" s="1073"/>
      <c r="M146" s="1073"/>
      <c r="N146" s="1073"/>
      <c r="O146" s="1073"/>
      <c r="P146" s="1073"/>
      <c r="Q146" s="1074"/>
      <c r="S146" s="63"/>
      <c r="T146" s="62"/>
      <c r="U146" s="41"/>
    </row>
    <row r="147" spans="1:21" ht="24.75" customHeight="1">
      <c r="A147" s="332"/>
      <c r="B147" s="938" t="s">
        <v>852</v>
      </c>
      <c r="C147" s="938"/>
      <c r="D147" s="938"/>
      <c r="E147" s="938"/>
      <c r="F147" s="938"/>
      <c r="G147" s="938"/>
      <c r="H147" s="646"/>
      <c r="I147" s="647">
        <v>2</v>
      </c>
      <c r="J147" s="440"/>
      <c r="K147" s="1060"/>
      <c r="L147" s="1061"/>
      <c r="M147" s="1061"/>
      <c r="N147" s="1061"/>
      <c r="O147" s="1061"/>
      <c r="P147" s="1061"/>
      <c r="Q147" s="1062"/>
      <c r="S147" s="63"/>
      <c r="T147" s="62"/>
      <c r="U147" s="41"/>
    </row>
    <row r="148" spans="1:23" ht="15.75" customHeight="1">
      <c r="A148" s="611"/>
      <c r="B148" s="370"/>
      <c r="C148" s="648"/>
      <c r="D148" s="632" t="s">
        <v>362</v>
      </c>
      <c r="E148" s="632" t="s">
        <v>363</v>
      </c>
      <c r="F148" s="415" t="s">
        <v>389</v>
      </c>
      <c r="G148" s="674">
        <f>IF(I147=1,3,0)</f>
        <v>0</v>
      </c>
      <c r="H148" s="326" t="s">
        <v>125</v>
      </c>
      <c r="I148" s="647"/>
      <c r="J148" s="649"/>
      <c r="K148" s="1060"/>
      <c r="L148" s="1061"/>
      <c r="M148" s="1061"/>
      <c r="N148" s="1061"/>
      <c r="O148" s="1061"/>
      <c r="P148" s="1061"/>
      <c r="Q148" s="1062"/>
      <c r="R148" s="63"/>
      <c r="S148" s="62"/>
      <c r="T148" s="41"/>
      <c r="W148"/>
    </row>
    <row r="149" spans="1:23" ht="15.75" customHeight="1">
      <c r="A149" s="611"/>
      <c r="B149" s="370"/>
      <c r="C149" s="648"/>
      <c r="D149" s="632"/>
      <c r="E149" s="632"/>
      <c r="F149" s="415"/>
      <c r="G149" s="650"/>
      <c r="H149" s="326"/>
      <c r="I149" s="647"/>
      <c r="J149" s="649"/>
      <c r="K149" s="1060"/>
      <c r="L149" s="1061"/>
      <c r="M149" s="1061"/>
      <c r="N149" s="1061"/>
      <c r="O149" s="1061"/>
      <c r="P149" s="1061"/>
      <c r="Q149" s="1062"/>
      <c r="R149" s="63"/>
      <c r="S149" s="62"/>
      <c r="T149" s="41"/>
      <c r="W149"/>
    </row>
    <row r="150" spans="1:23" ht="27" customHeight="1">
      <c r="A150" s="332"/>
      <c r="B150" s="1145" t="s">
        <v>391</v>
      </c>
      <c r="C150" s="1145"/>
      <c r="D150" s="1145"/>
      <c r="E150" s="1145"/>
      <c r="F150" s="1145"/>
      <c r="G150" s="1145"/>
      <c r="H150" s="326"/>
      <c r="I150" s="647"/>
      <c r="J150" s="440"/>
      <c r="K150" s="1060"/>
      <c r="L150" s="1061"/>
      <c r="M150" s="1061"/>
      <c r="N150" s="1061"/>
      <c r="O150" s="1061"/>
      <c r="P150" s="1061"/>
      <c r="Q150" s="1062"/>
      <c r="R150" s="63"/>
      <c r="S150" s="62"/>
      <c r="T150" s="41"/>
      <c r="W150"/>
    </row>
    <row r="151" spans="1:21" ht="15" customHeight="1">
      <c r="A151" s="631"/>
      <c r="B151" s="632"/>
      <c r="C151" s="632"/>
      <c r="D151" s="632" t="s">
        <v>362</v>
      </c>
      <c r="E151" s="632" t="s">
        <v>363</v>
      </c>
      <c r="F151" s="415" t="s">
        <v>390</v>
      </c>
      <c r="G151" s="674">
        <f>IF(I151=1,1,0)</f>
        <v>0</v>
      </c>
      <c r="H151" s="326" t="s">
        <v>126</v>
      </c>
      <c r="I151" s="647">
        <v>2</v>
      </c>
      <c r="J151" s="649"/>
      <c r="K151" s="1060"/>
      <c r="L151" s="1061"/>
      <c r="M151" s="1061"/>
      <c r="N151" s="1061"/>
      <c r="O151" s="1061"/>
      <c r="P151" s="1061"/>
      <c r="Q151" s="1062"/>
      <c r="S151" s="63"/>
      <c r="T151" s="62"/>
      <c r="U151" s="41"/>
    </row>
    <row r="152" spans="1:21" ht="15.75" customHeight="1">
      <c r="A152" s="651"/>
      <c r="B152" s="632"/>
      <c r="C152" s="648"/>
      <c r="D152" s="306"/>
      <c r="E152" s="306"/>
      <c r="F152" s="306"/>
      <c r="G152" s="306"/>
      <c r="H152" s="326"/>
      <c r="I152" s="647"/>
      <c r="J152" s="649"/>
      <c r="K152" s="1060"/>
      <c r="L152" s="1061"/>
      <c r="M152" s="1061"/>
      <c r="N152" s="1061"/>
      <c r="O152" s="1061"/>
      <c r="P152" s="1061"/>
      <c r="Q152" s="1062"/>
      <c r="S152" s="63"/>
      <c r="T152" s="62"/>
      <c r="U152" s="41"/>
    </row>
    <row r="153" spans="1:21" ht="15.75" customHeight="1">
      <c r="A153" s="652"/>
      <c r="B153" s="653"/>
      <c r="C153" s="653"/>
      <c r="D153" s="632"/>
      <c r="E153" s="632"/>
      <c r="F153" s="336" t="s">
        <v>275</v>
      </c>
      <c r="G153" s="628">
        <v>2.25</v>
      </c>
      <c r="H153" s="166" t="s">
        <v>127</v>
      </c>
      <c r="I153" s="647"/>
      <c r="J153" s="440"/>
      <c r="K153" s="1060"/>
      <c r="L153" s="1061"/>
      <c r="M153" s="1061"/>
      <c r="N153" s="1061"/>
      <c r="O153" s="1061"/>
      <c r="P153" s="1061"/>
      <c r="Q153" s="1062"/>
      <c r="S153" s="63"/>
      <c r="T153" s="62"/>
      <c r="U153" s="41"/>
    </row>
    <row r="154" spans="1:21" ht="3" customHeight="1" thickBot="1">
      <c r="A154" s="332"/>
      <c r="B154" s="499"/>
      <c r="C154" s="499"/>
      <c r="D154" s="499"/>
      <c r="E154" s="306"/>
      <c r="F154" s="306"/>
      <c r="G154" s="306"/>
      <c r="H154" s="628"/>
      <c r="I154" s="647"/>
      <c r="J154" s="440"/>
      <c r="K154" s="1060"/>
      <c r="L154" s="1061"/>
      <c r="M154" s="1061"/>
      <c r="N154" s="1061"/>
      <c r="O154" s="1061"/>
      <c r="P154" s="1061"/>
      <c r="Q154" s="1062"/>
      <c r="S154" s="63"/>
      <c r="T154" s="62"/>
      <c r="U154" s="41"/>
    </row>
    <row r="155" spans="1:21" ht="16.5" customHeight="1" thickBot="1">
      <c r="A155" s="874" t="s">
        <v>357</v>
      </c>
      <c r="B155" s="875"/>
      <c r="C155" s="875"/>
      <c r="D155" s="875"/>
      <c r="E155" s="351"/>
      <c r="F155" s="351"/>
      <c r="G155" s="351"/>
      <c r="H155" s="354" t="s">
        <v>255</v>
      </c>
      <c r="I155" s="973">
        <f>(G148+G151)*G153</f>
        <v>0</v>
      </c>
      <c r="J155" s="974"/>
      <c r="K155" s="1063"/>
      <c r="L155" s="1064"/>
      <c r="M155" s="1064"/>
      <c r="N155" s="1064"/>
      <c r="O155" s="1064"/>
      <c r="P155" s="1064"/>
      <c r="Q155" s="1065"/>
      <c r="S155" s="63"/>
      <c r="T155" s="62"/>
      <c r="U155" s="41"/>
    </row>
    <row r="156" spans="1:19" ht="18.75" thickBot="1">
      <c r="A156" s="883" t="s">
        <v>52</v>
      </c>
      <c r="B156" s="884"/>
      <c r="C156" s="884"/>
      <c r="D156" s="884"/>
      <c r="E156" s="884"/>
      <c r="F156" s="884"/>
      <c r="G156" s="884"/>
      <c r="H156" s="884"/>
      <c r="I156" s="884"/>
      <c r="J156" s="884"/>
      <c r="K156" s="884"/>
      <c r="L156" s="884"/>
      <c r="M156" s="884"/>
      <c r="N156" s="884"/>
      <c r="O156" s="884"/>
      <c r="P156" s="884"/>
      <c r="Q156" s="885"/>
      <c r="S156"/>
    </row>
    <row r="157" spans="1:17" ht="32.25" customHeight="1">
      <c r="A157" s="457" t="s">
        <v>437</v>
      </c>
      <c r="B157" s="458"/>
      <c r="C157" s="1144" t="s">
        <v>432</v>
      </c>
      <c r="D157" s="1144"/>
      <c r="E157" s="1144"/>
      <c r="F157" s="1144"/>
      <c r="G157" s="1144"/>
      <c r="H157" s="1144"/>
      <c r="I157" s="1144"/>
      <c r="J157" s="1144"/>
      <c r="K157" s="923" t="s">
        <v>709</v>
      </c>
      <c r="L157" s="924"/>
      <c r="M157" s="924"/>
      <c r="N157" s="924"/>
      <c r="O157" s="924"/>
      <c r="P157" s="924"/>
      <c r="Q157" s="925"/>
    </row>
    <row r="158" spans="1:17" ht="27" customHeight="1">
      <c r="A158" s="1086" t="s">
        <v>850</v>
      </c>
      <c r="B158" s="1087"/>
      <c r="C158" s="1087"/>
      <c r="D158" s="1087"/>
      <c r="E158" s="1087"/>
      <c r="F158" s="1087"/>
      <c r="G158" s="1087"/>
      <c r="H158" s="1087"/>
      <c r="I158" s="1087"/>
      <c r="J158" s="1087"/>
      <c r="K158" s="926"/>
      <c r="L158" s="927"/>
      <c r="M158" s="927"/>
      <c r="N158" s="927"/>
      <c r="O158" s="927"/>
      <c r="P158" s="927"/>
      <c r="Q158" s="928"/>
    </row>
    <row r="159" spans="1:17" ht="38.25" customHeight="1" thickBot="1">
      <c r="A159" s="1088"/>
      <c r="B159" s="1089"/>
      <c r="C159" s="1089"/>
      <c r="D159" s="1089"/>
      <c r="E159" s="1089"/>
      <c r="F159" s="1089"/>
      <c r="G159" s="1089"/>
      <c r="H159" s="1089"/>
      <c r="I159" s="1089"/>
      <c r="J159" s="1089"/>
      <c r="K159" s="926"/>
      <c r="L159" s="927"/>
      <c r="M159" s="927"/>
      <c r="N159" s="927"/>
      <c r="O159" s="927"/>
      <c r="P159" s="927"/>
      <c r="Q159" s="928"/>
    </row>
    <row r="160" spans="1:17" ht="17.25" customHeight="1" thickTop="1">
      <c r="A160" s="464"/>
      <c r="B160" s="465"/>
      <c r="C160" s="465"/>
      <c r="D160" s="465"/>
      <c r="E160" s="465"/>
      <c r="F160" s="465"/>
      <c r="G160" s="465"/>
      <c r="H160" s="465"/>
      <c r="I160" s="465"/>
      <c r="J160" s="654"/>
      <c r="K160" s="929"/>
      <c r="L160" s="930"/>
      <c r="M160" s="930"/>
      <c r="N160" s="930"/>
      <c r="O160" s="930"/>
      <c r="P160" s="930"/>
      <c r="Q160" s="931"/>
    </row>
    <row r="161" spans="1:17" ht="21.75" customHeight="1">
      <c r="A161" s="464"/>
      <c r="B161" s="916" t="s">
        <v>713</v>
      </c>
      <c r="C161" s="917"/>
      <c r="D161" s="917"/>
      <c r="E161" s="917"/>
      <c r="F161" s="917"/>
      <c r="G161" s="472"/>
      <c r="H161" s="472"/>
      <c r="I161" s="465"/>
      <c r="J161" s="654"/>
      <c r="K161" s="932"/>
      <c r="L161" s="933"/>
      <c r="M161" s="933"/>
      <c r="N161" s="933"/>
      <c r="O161" s="933"/>
      <c r="P161" s="933"/>
      <c r="Q161" s="934"/>
    </row>
    <row r="162" spans="1:17" ht="15" customHeight="1">
      <c r="A162" s="464"/>
      <c r="B162" s="917"/>
      <c r="C162" s="917"/>
      <c r="D162" s="917"/>
      <c r="E162" s="917"/>
      <c r="F162" s="917"/>
      <c r="G162" s="1084"/>
      <c r="H162" s="1085"/>
      <c r="I162" s="467" t="s">
        <v>80</v>
      </c>
      <c r="J162" s="654"/>
      <c r="K162" s="932"/>
      <c r="L162" s="933"/>
      <c r="M162" s="933"/>
      <c r="N162" s="933"/>
      <c r="O162" s="933"/>
      <c r="P162" s="933"/>
      <c r="Q162" s="934"/>
    </row>
    <row r="163" spans="1:17" ht="14.25" customHeight="1">
      <c r="A163" s="464"/>
      <c r="B163" s="1099" t="s">
        <v>225</v>
      </c>
      <c r="C163" s="1099"/>
      <c r="D163" s="1099"/>
      <c r="E163" s="1099"/>
      <c r="F163" s="1099"/>
      <c r="G163" s="1084"/>
      <c r="H163" s="1085"/>
      <c r="I163" s="467" t="s">
        <v>81</v>
      </c>
      <c r="J163" s="654"/>
      <c r="K163" s="932"/>
      <c r="L163" s="933"/>
      <c r="M163" s="933"/>
      <c r="N163" s="933"/>
      <c r="O163" s="933"/>
      <c r="P163" s="933"/>
      <c r="Q163" s="934"/>
    </row>
    <row r="164" spans="1:17" ht="4.5" customHeight="1" thickBot="1">
      <c r="A164" s="464"/>
      <c r="B164" s="174"/>
      <c r="C164" s="174"/>
      <c r="D164" s="174"/>
      <c r="E164" s="174"/>
      <c r="F164" s="174"/>
      <c r="G164" s="468"/>
      <c r="H164" s="468"/>
      <c r="I164" s="469"/>
      <c r="J164" s="654"/>
      <c r="K164" s="932"/>
      <c r="L164" s="933"/>
      <c r="M164" s="933"/>
      <c r="N164" s="933"/>
      <c r="O164" s="933"/>
      <c r="P164" s="933"/>
      <c r="Q164" s="934"/>
    </row>
    <row r="165" spans="1:17" ht="15.75" customHeight="1" thickTop="1">
      <c r="A165" s="470"/>
      <c r="B165" s="101"/>
      <c r="C165" s="101"/>
      <c r="D165" s="101"/>
      <c r="E165" s="101"/>
      <c r="F165" s="103" t="s">
        <v>843</v>
      </c>
      <c r="G165" s="1142">
        <f>IF(G162=0,0,G163/G162)</f>
        <v>0</v>
      </c>
      <c r="H165" s="1143"/>
      <c r="I165" s="473" t="s">
        <v>82</v>
      </c>
      <c r="J165" s="655"/>
      <c r="K165" s="932"/>
      <c r="L165" s="933"/>
      <c r="M165" s="933"/>
      <c r="N165" s="933"/>
      <c r="O165" s="933"/>
      <c r="P165" s="933"/>
      <c r="Q165" s="934"/>
    </row>
    <row r="166" spans="1:17" ht="5.25" customHeight="1">
      <c r="A166" s="470"/>
      <c r="B166" s="471"/>
      <c r="C166" s="475"/>
      <c r="D166" s="475"/>
      <c r="E166" s="475"/>
      <c r="F166" s="475"/>
      <c r="G166" s="475"/>
      <c r="H166" s="475"/>
      <c r="I166" s="475"/>
      <c r="J166" s="656"/>
      <c r="K166" s="932"/>
      <c r="L166" s="933"/>
      <c r="M166" s="933"/>
      <c r="N166" s="933"/>
      <c r="O166" s="933"/>
      <c r="P166" s="933"/>
      <c r="Q166" s="934"/>
    </row>
    <row r="167" spans="1:17" ht="12.75" customHeight="1" thickBot="1">
      <c r="A167" s="332"/>
      <c r="B167" s="1148" t="s">
        <v>845</v>
      </c>
      <c r="C167" s="1148"/>
      <c r="D167" s="1148"/>
      <c r="E167" s="1148"/>
      <c r="F167" s="1148"/>
      <c r="G167" s="480"/>
      <c r="H167" s="306"/>
      <c r="I167" s="306"/>
      <c r="J167" s="656"/>
      <c r="K167" s="932"/>
      <c r="L167" s="933"/>
      <c r="M167" s="933"/>
      <c r="N167" s="933"/>
      <c r="O167" s="933"/>
      <c r="P167" s="933"/>
      <c r="Q167" s="934"/>
    </row>
    <row r="168" spans="1:17" ht="15.75" thickBot="1" thickTop="1">
      <c r="A168" s="657"/>
      <c r="B168" s="1148"/>
      <c r="C168" s="1148"/>
      <c r="D168" s="1148"/>
      <c r="E168" s="1148"/>
      <c r="F168" s="1148"/>
      <c r="G168" s="1146">
        <f>G165*5</f>
        <v>0</v>
      </c>
      <c r="H168" s="1147"/>
      <c r="I168" s="658" t="s">
        <v>83</v>
      </c>
      <c r="J168" s="656"/>
      <c r="K168" s="932"/>
      <c r="L168" s="933"/>
      <c r="M168" s="933"/>
      <c r="N168" s="933"/>
      <c r="O168" s="933"/>
      <c r="P168" s="933"/>
      <c r="Q168" s="934"/>
    </row>
    <row r="169" spans="1:17" ht="8.25" customHeight="1" thickTop="1">
      <c r="A169" s="657"/>
      <c r="B169" s="505"/>
      <c r="C169" s="505"/>
      <c r="D169" s="505"/>
      <c r="E169" s="505"/>
      <c r="F169" s="505"/>
      <c r="G169" s="659"/>
      <c r="H169" s="659"/>
      <c r="I169" s="473"/>
      <c r="J169" s="656"/>
      <c r="K169" s="932"/>
      <c r="L169" s="933"/>
      <c r="M169" s="933"/>
      <c r="N169" s="933"/>
      <c r="O169" s="933"/>
      <c r="P169" s="933"/>
      <c r="Q169" s="934"/>
    </row>
    <row r="170" spans="1:17" ht="12.75">
      <c r="A170" s="470"/>
      <c r="B170" s="471"/>
      <c r="C170" s="471"/>
      <c r="D170" s="471"/>
      <c r="E170" s="471"/>
      <c r="F170" s="471"/>
      <c r="G170" s="472"/>
      <c r="H170" s="477"/>
      <c r="I170" s="471"/>
      <c r="J170" s="656"/>
      <c r="K170" s="932"/>
      <c r="L170" s="933"/>
      <c r="M170" s="933"/>
      <c r="N170" s="933"/>
      <c r="O170" s="933"/>
      <c r="P170" s="933"/>
      <c r="Q170" s="934"/>
    </row>
    <row r="171" spans="1:17" ht="49.5" customHeight="1">
      <c r="A171" s="470"/>
      <c r="B171" s="478"/>
      <c r="C171" s="922" t="s">
        <v>703</v>
      </c>
      <c r="D171" s="920"/>
      <c r="E171" s="920"/>
      <c r="F171" s="920"/>
      <c r="G171" s="920"/>
      <c r="H171" s="921"/>
      <c r="I171" s="660"/>
      <c r="J171" s="656">
        <f>IF(J177=1,5,"")</f>
      </c>
      <c r="K171" s="932"/>
      <c r="L171" s="933"/>
      <c r="M171" s="933"/>
      <c r="N171" s="933"/>
      <c r="O171" s="933"/>
      <c r="P171" s="933"/>
      <c r="Q171" s="934"/>
    </row>
    <row r="172" spans="1:17" ht="36" customHeight="1">
      <c r="A172" s="470"/>
      <c r="B172" s="478"/>
      <c r="C172" s="922" t="s">
        <v>704</v>
      </c>
      <c r="D172" s="920"/>
      <c r="E172" s="920"/>
      <c r="F172" s="920"/>
      <c r="G172" s="920"/>
      <c r="H172" s="921"/>
      <c r="I172" s="660"/>
      <c r="J172" s="656">
        <f>IF($J$177=2,4,"")</f>
      </c>
      <c r="K172" s="932"/>
      <c r="L172" s="933"/>
      <c r="M172" s="933"/>
      <c r="N172" s="933"/>
      <c r="O172" s="933"/>
      <c r="P172" s="933"/>
      <c r="Q172" s="934"/>
    </row>
    <row r="173" spans="1:17" ht="41.25" customHeight="1">
      <c r="A173" s="470"/>
      <c r="B173" s="478"/>
      <c r="C173" s="922" t="s">
        <v>705</v>
      </c>
      <c r="D173" s="920"/>
      <c r="E173" s="920"/>
      <c r="F173" s="920"/>
      <c r="G173" s="920"/>
      <c r="H173" s="921"/>
      <c r="I173" s="660"/>
      <c r="J173" s="656">
        <f>IF($J$177=3,3,"")</f>
      </c>
      <c r="K173" s="932"/>
      <c r="L173" s="933"/>
      <c r="M173" s="933"/>
      <c r="N173" s="933"/>
      <c r="O173" s="933"/>
      <c r="P173" s="933"/>
      <c r="Q173" s="934"/>
    </row>
    <row r="174" spans="1:17" ht="42" customHeight="1">
      <c r="A174" s="470"/>
      <c r="B174" s="478"/>
      <c r="C174" s="922" t="s">
        <v>706</v>
      </c>
      <c r="D174" s="920"/>
      <c r="E174" s="920"/>
      <c r="F174" s="920"/>
      <c r="G174" s="920"/>
      <c r="H174" s="921"/>
      <c r="I174" s="660"/>
      <c r="J174" s="656">
        <f>IF($J$177=4,2,"")</f>
      </c>
      <c r="K174" s="932"/>
      <c r="L174" s="933"/>
      <c r="M174" s="933"/>
      <c r="N174" s="933"/>
      <c r="O174" s="933"/>
      <c r="P174" s="933"/>
      <c r="Q174" s="934"/>
    </row>
    <row r="175" spans="1:17" ht="40.5" customHeight="1">
      <c r="A175" s="470"/>
      <c r="B175" s="478"/>
      <c r="C175" s="922" t="s">
        <v>403</v>
      </c>
      <c r="D175" s="920"/>
      <c r="E175" s="920"/>
      <c r="F175" s="920"/>
      <c r="G175" s="920"/>
      <c r="H175" s="921"/>
      <c r="I175" s="479"/>
      <c r="J175" s="656">
        <f>IF($J$177=5,0,"")</f>
        <v>0</v>
      </c>
      <c r="K175" s="932"/>
      <c r="L175" s="933"/>
      <c r="M175" s="933"/>
      <c r="N175" s="933"/>
      <c r="O175" s="933"/>
      <c r="P175" s="933"/>
      <c r="Q175" s="934"/>
    </row>
    <row r="176" spans="1:17" ht="9.75" customHeight="1" thickBot="1">
      <c r="A176" s="470"/>
      <c r="B176" s="471"/>
      <c r="C176" s="479"/>
      <c r="D176" s="479"/>
      <c r="E176" s="479"/>
      <c r="F176" s="479"/>
      <c r="G176" s="479"/>
      <c r="H176" s="479"/>
      <c r="I176" s="479"/>
      <c r="J176" s="656"/>
      <c r="K176" s="932"/>
      <c r="L176" s="933"/>
      <c r="M176" s="933"/>
      <c r="N176" s="933"/>
      <c r="O176" s="933"/>
      <c r="P176" s="933"/>
      <c r="Q176" s="934"/>
    </row>
    <row r="177" spans="1:17" ht="15.75" thickBot="1" thickTop="1">
      <c r="A177" s="470"/>
      <c r="B177" s="471"/>
      <c r="C177" s="471"/>
      <c r="D177" s="471"/>
      <c r="E177" s="306"/>
      <c r="F177" s="175" t="s">
        <v>229</v>
      </c>
      <c r="G177" s="1146">
        <f>MAX(J171:J175)</f>
        <v>0</v>
      </c>
      <c r="H177" s="1147"/>
      <c r="I177" s="473" t="s">
        <v>84</v>
      </c>
      <c r="J177" s="656">
        <v>5</v>
      </c>
      <c r="K177" s="932"/>
      <c r="L177" s="933"/>
      <c r="M177" s="933"/>
      <c r="N177" s="933"/>
      <c r="O177" s="933"/>
      <c r="P177" s="933"/>
      <c r="Q177" s="934"/>
    </row>
    <row r="178" spans="1:17" ht="13.5" thickTop="1">
      <c r="A178" s="470"/>
      <c r="B178" s="471"/>
      <c r="C178" s="471"/>
      <c r="D178" s="306"/>
      <c r="E178" s="306"/>
      <c r="F178" s="306"/>
      <c r="G178" s="306"/>
      <c r="H178" s="306"/>
      <c r="I178" s="306"/>
      <c r="J178" s="656"/>
      <c r="K178" s="932"/>
      <c r="L178" s="933"/>
      <c r="M178" s="933"/>
      <c r="N178" s="933"/>
      <c r="O178" s="933"/>
      <c r="P178" s="933"/>
      <c r="Q178" s="934"/>
    </row>
    <row r="179" spans="1:17" ht="12.75">
      <c r="A179" s="470"/>
      <c r="B179" s="471"/>
      <c r="C179" s="475" t="s">
        <v>412</v>
      </c>
      <c r="D179" s="306"/>
      <c r="E179" s="475"/>
      <c r="F179" s="475"/>
      <c r="G179" s="475"/>
      <c r="H179" s="475"/>
      <c r="I179" s="475"/>
      <c r="J179" s="656"/>
      <c r="K179" s="932"/>
      <c r="L179" s="933"/>
      <c r="M179" s="933"/>
      <c r="N179" s="933"/>
      <c r="O179" s="933"/>
      <c r="P179" s="933"/>
      <c r="Q179" s="934"/>
    </row>
    <row r="180" spans="1:17" ht="6" customHeight="1">
      <c r="A180" s="470"/>
      <c r="B180" s="471"/>
      <c r="C180" s="471"/>
      <c r="D180" s="475"/>
      <c r="E180" s="475"/>
      <c r="F180" s="475"/>
      <c r="G180" s="475"/>
      <c r="H180" s="475"/>
      <c r="I180" s="475"/>
      <c r="J180" s="656"/>
      <c r="K180" s="932"/>
      <c r="L180" s="933"/>
      <c r="M180" s="933"/>
      <c r="N180" s="933"/>
      <c r="O180" s="933"/>
      <c r="P180" s="933"/>
      <c r="Q180" s="934"/>
    </row>
    <row r="181" spans="1:17" ht="14.25">
      <c r="A181" s="470"/>
      <c r="B181" s="471"/>
      <c r="C181" s="471"/>
      <c r="D181" s="1139" t="s">
        <v>261</v>
      </c>
      <c r="E181" s="1140"/>
      <c r="F181" s="1140"/>
      <c r="G181" s="1141"/>
      <c r="H181" s="306"/>
      <c r="I181" s="306"/>
      <c r="J181" s="656"/>
      <c r="K181" s="932"/>
      <c r="L181" s="933"/>
      <c r="M181" s="933"/>
      <c r="N181" s="933"/>
      <c r="O181" s="933"/>
      <c r="P181" s="933"/>
      <c r="Q181" s="934"/>
    </row>
    <row r="182" spans="1:17" ht="14.25">
      <c r="A182" s="470"/>
      <c r="B182" s="471"/>
      <c r="C182" s="481" t="s">
        <v>230</v>
      </c>
      <c r="D182" s="471"/>
      <c r="E182" s="176"/>
      <c r="F182" s="176"/>
      <c r="G182" s="176"/>
      <c r="H182" s="176"/>
      <c r="I182" s="306"/>
      <c r="J182" s="656"/>
      <c r="K182" s="932"/>
      <c r="L182" s="933"/>
      <c r="M182" s="933"/>
      <c r="N182" s="933"/>
      <c r="O182" s="933"/>
      <c r="P182" s="933"/>
      <c r="Q182" s="934"/>
    </row>
    <row r="183" spans="1:17" ht="15.75" customHeight="1">
      <c r="A183" s="470"/>
      <c r="B183" s="471"/>
      <c r="C183" s="471"/>
      <c r="D183" s="1078"/>
      <c r="E183" s="1079"/>
      <c r="F183" s="1079"/>
      <c r="G183" s="1080"/>
      <c r="H183" s="661"/>
      <c r="I183" s="452"/>
      <c r="J183" s="656"/>
      <c r="K183" s="932"/>
      <c r="L183" s="933"/>
      <c r="M183" s="933"/>
      <c r="N183" s="933"/>
      <c r="O183" s="933"/>
      <c r="P183" s="933"/>
      <c r="Q183" s="934"/>
    </row>
    <row r="184" spans="1:17" ht="12.75">
      <c r="A184" s="470"/>
      <c r="B184" s="471"/>
      <c r="C184" s="471"/>
      <c r="D184" s="471"/>
      <c r="E184" s="471"/>
      <c r="F184" s="471"/>
      <c r="G184" s="472"/>
      <c r="H184" s="482"/>
      <c r="I184" s="471"/>
      <c r="J184" s="656"/>
      <c r="K184" s="932"/>
      <c r="L184" s="933"/>
      <c r="M184" s="933"/>
      <c r="N184" s="933"/>
      <c r="O184" s="933"/>
      <c r="P184" s="933"/>
      <c r="Q184" s="934"/>
    </row>
    <row r="185" spans="1:17" ht="7.5" customHeight="1" thickBot="1">
      <c r="A185" s="470"/>
      <c r="B185" s="471"/>
      <c r="C185" s="471"/>
      <c r="D185" s="471"/>
      <c r="E185" s="471"/>
      <c r="F185" s="471"/>
      <c r="G185" s="472"/>
      <c r="H185" s="482"/>
      <c r="I185" s="471"/>
      <c r="J185" s="656"/>
      <c r="K185" s="932"/>
      <c r="L185" s="933"/>
      <c r="M185" s="933"/>
      <c r="N185" s="933"/>
      <c r="O185" s="933"/>
      <c r="P185" s="933"/>
      <c r="Q185" s="934"/>
    </row>
    <row r="186" spans="1:17" ht="15.75" thickBot="1">
      <c r="A186" s="483" t="s">
        <v>85</v>
      </c>
      <c r="B186" s="484"/>
      <c r="C186" s="484"/>
      <c r="D186" s="484"/>
      <c r="E186" s="484"/>
      <c r="F186" s="484"/>
      <c r="G186" s="484"/>
      <c r="H186" s="485" t="s">
        <v>419</v>
      </c>
      <c r="I186" s="1076">
        <f>G168+G177</f>
        <v>0</v>
      </c>
      <c r="J186" s="1077"/>
      <c r="K186" s="935"/>
      <c r="L186" s="936"/>
      <c r="M186" s="936"/>
      <c r="N186" s="936"/>
      <c r="O186" s="936"/>
      <c r="P186" s="936"/>
      <c r="Q186" s="937"/>
    </row>
    <row r="188" spans="1:17" ht="12.75">
      <c r="A188" s="42"/>
      <c r="B188" s="42"/>
      <c r="C188" s="42"/>
      <c r="D188" s="42"/>
      <c r="E188" s="42"/>
      <c r="F188" s="42"/>
      <c r="G188" s="42"/>
      <c r="H188" s="42"/>
      <c r="I188" s="42"/>
      <c r="J188" s="42"/>
      <c r="K188" s="42"/>
      <c r="L188" s="42"/>
      <c r="M188" s="42"/>
      <c r="N188" s="42"/>
      <c r="O188" s="42"/>
      <c r="P188" s="42"/>
      <c r="Q188" s="42"/>
    </row>
    <row r="189" spans="1:17" ht="12.75">
      <c r="A189" s="42"/>
      <c r="B189" s="42"/>
      <c r="C189" s="42"/>
      <c r="D189" s="42"/>
      <c r="E189" s="42"/>
      <c r="F189" s="42"/>
      <c r="G189" s="42"/>
      <c r="H189" s="42"/>
      <c r="I189" s="42"/>
      <c r="J189" s="42"/>
      <c r="K189" s="42"/>
      <c r="L189" s="42"/>
      <c r="M189" s="42"/>
      <c r="N189" s="42"/>
      <c r="O189" s="42"/>
      <c r="P189" s="42"/>
      <c r="Q189" s="42"/>
    </row>
    <row r="190" spans="1:17" ht="12.75">
      <c r="A190" s="42"/>
      <c r="B190" s="42"/>
      <c r="C190" s="42"/>
      <c r="D190" s="42"/>
      <c r="E190" s="42"/>
      <c r="F190" s="42"/>
      <c r="G190" s="42"/>
      <c r="H190" s="42"/>
      <c r="I190" s="42"/>
      <c r="J190" s="42"/>
      <c r="K190" s="42"/>
      <c r="L190" s="42"/>
      <c r="M190" s="42"/>
      <c r="N190" s="42"/>
      <c r="O190" s="42"/>
      <c r="P190" s="42"/>
      <c r="Q190" s="42"/>
    </row>
    <row r="191" spans="1:17" ht="12.75">
      <c r="A191" s="42"/>
      <c r="B191" s="42"/>
      <c r="C191" s="42"/>
      <c r="D191" s="42"/>
      <c r="E191" s="42"/>
      <c r="F191" s="42"/>
      <c r="G191" s="42"/>
      <c r="H191" s="42"/>
      <c r="I191" s="42"/>
      <c r="J191" s="42"/>
      <c r="K191" s="42"/>
      <c r="L191" s="42"/>
      <c r="M191" s="42"/>
      <c r="N191" s="42"/>
      <c r="O191" s="42"/>
      <c r="P191" s="42"/>
      <c r="Q191" s="42"/>
    </row>
    <row r="192" spans="1:17" ht="12.75">
      <c r="A192" s="261"/>
      <c r="B192" s="42"/>
      <c r="C192" s="42"/>
      <c r="D192" s="42"/>
      <c r="E192" s="42"/>
      <c r="F192" s="42"/>
      <c r="G192" s="42"/>
      <c r="H192" s="42"/>
      <c r="I192" s="42"/>
      <c r="J192" s="42"/>
      <c r="K192" s="42"/>
      <c r="L192" s="42"/>
      <c r="M192" s="42"/>
      <c r="N192" s="42"/>
      <c r="O192" s="42"/>
      <c r="P192" s="42"/>
      <c r="Q192" s="42"/>
    </row>
    <row r="193" spans="1:17" ht="12.75">
      <c r="A193" s="283" t="str">
        <f>Sheet1!A1</f>
        <v>Canon City, CO Field Office</v>
      </c>
      <c r="B193" s="283"/>
      <c r="C193" s="283"/>
      <c r="D193" s="283"/>
      <c r="E193" s="273"/>
      <c r="F193" s="273" t="str">
        <f>Sheet1!E1</f>
        <v>B. Gohlke</v>
      </c>
      <c r="G193" s="273"/>
      <c r="H193" s="273"/>
      <c r="I193" s="273" t="str">
        <f>Sheet1!L1</f>
        <v>Not Applicable</v>
      </c>
      <c r="J193" s="273"/>
      <c r="K193" s="273"/>
      <c r="L193" s="273"/>
      <c r="M193" s="273"/>
      <c r="N193" s="273"/>
      <c r="O193" s="273"/>
      <c r="P193" s="273"/>
      <c r="Q193" s="273"/>
    </row>
    <row r="194" spans="1:17" ht="12.75">
      <c r="A194" s="283" t="str">
        <f>Sheet1!A2</f>
        <v>Cheyenne Wells, CO Field Office</v>
      </c>
      <c r="B194" s="283"/>
      <c r="C194" s="283"/>
      <c r="D194" s="283"/>
      <c r="E194" s="273"/>
      <c r="F194" s="273" t="str">
        <f>Sheet1!E2</f>
        <v>G. Langer</v>
      </c>
      <c r="G194" s="273"/>
      <c r="H194" s="273"/>
      <c r="I194" s="273" t="str">
        <f>Sheet1!L2</f>
        <v>A.B.S. Company East Farm</v>
      </c>
      <c r="J194" s="273"/>
      <c r="K194" s="273"/>
      <c r="L194" s="273"/>
      <c r="M194" s="273"/>
      <c r="N194" s="273"/>
      <c r="O194" s="273"/>
      <c r="P194" s="273"/>
      <c r="Q194" s="273"/>
    </row>
    <row r="195" spans="1:17" ht="12.75">
      <c r="A195" s="283" t="str">
        <f>Sheet1!A3</f>
        <v>Colorado Springs, CO Field Office</v>
      </c>
      <c r="B195" s="283"/>
      <c r="C195" s="283"/>
      <c r="D195" s="283"/>
      <c r="E195" s="273"/>
      <c r="F195" s="273" t="str">
        <f>Sheet1!E3</f>
        <v>J. Valentine</v>
      </c>
      <c r="G195" s="273"/>
      <c r="H195" s="273"/>
      <c r="I195" s="273" t="str">
        <f>Sheet1!L3</f>
        <v>A.B.S. Company No. 1</v>
      </c>
      <c r="J195" s="273"/>
      <c r="K195" s="273"/>
      <c r="L195" s="273"/>
      <c r="M195" s="273"/>
      <c r="N195" s="273"/>
      <c r="O195" s="273"/>
      <c r="P195" s="273"/>
      <c r="Q195" s="273"/>
    </row>
    <row r="196" spans="1:17" ht="12.75">
      <c r="A196" s="283" t="str">
        <f>Sheet1!A4</f>
        <v>Eads, CO Field Office</v>
      </c>
      <c r="B196" s="283"/>
      <c r="C196" s="283"/>
      <c r="D196" s="283"/>
      <c r="E196" s="273"/>
      <c r="F196" s="273" t="str">
        <f>Sheet1!E4</f>
        <v>R. Castle</v>
      </c>
      <c r="G196" s="273"/>
      <c r="H196" s="273"/>
      <c r="I196" s="273" t="str">
        <f>Sheet1!L4</f>
        <v>A.B.S. Company No. 2</v>
      </c>
      <c r="J196" s="273"/>
      <c r="K196" s="273"/>
      <c r="L196" s="273"/>
      <c r="M196" s="273"/>
      <c r="N196" s="273"/>
      <c r="O196" s="273"/>
      <c r="P196" s="273"/>
      <c r="Q196" s="273"/>
    </row>
    <row r="197" spans="1:17" ht="12.75">
      <c r="A197" s="283" t="str">
        <f>Sheet1!A5</f>
        <v>Holly, CO Northeast Prowers SCD</v>
      </c>
      <c r="B197" s="283"/>
      <c r="C197" s="283"/>
      <c r="D197" s="283"/>
      <c r="E197" s="273"/>
      <c r="F197" s="273" t="str">
        <f>Sheet1!E5</f>
        <v>R. Rhoades</v>
      </c>
      <c r="G197" s="273"/>
      <c r="H197" s="273"/>
      <c r="I197" s="273" t="str">
        <f>Sheet1!L5</f>
        <v>Arbor</v>
      </c>
      <c r="J197" s="273"/>
      <c r="K197" s="273"/>
      <c r="L197" s="273"/>
      <c r="M197" s="273"/>
      <c r="N197" s="273"/>
      <c r="O197" s="273"/>
      <c r="P197" s="273"/>
      <c r="Q197" s="273"/>
    </row>
    <row r="198" spans="1:17" ht="12.75">
      <c r="A198" s="283" t="str">
        <f>Sheet1!A6</f>
        <v>Hugo, CO Field Office</v>
      </c>
      <c r="B198" s="283"/>
      <c r="C198" s="283"/>
      <c r="D198" s="283"/>
      <c r="E198" s="273"/>
      <c r="F198" s="273" t="str">
        <f>Sheet1!E6</f>
        <v>B. Fortman</v>
      </c>
      <c r="G198" s="273"/>
      <c r="H198" s="273"/>
      <c r="I198" s="273" t="str">
        <f>Sheet1!L6</f>
        <v>Consolidated Extension</v>
      </c>
      <c r="J198" s="273"/>
      <c r="K198" s="273"/>
      <c r="L198" s="273"/>
      <c r="M198" s="273"/>
      <c r="N198" s="273"/>
      <c r="O198" s="273"/>
      <c r="P198" s="273"/>
      <c r="Q198" s="273"/>
    </row>
    <row r="199" spans="1:17" ht="12.75">
      <c r="A199" s="283" t="str">
        <f>Sheet1!A7</f>
        <v>Lamar, CO  Field Office</v>
      </c>
      <c r="B199" s="283"/>
      <c r="C199" s="283"/>
      <c r="D199" s="283"/>
      <c r="E199" s="273"/>
      <c r="F199" s="273" t="str">
        <f>Sheet1!E7</f>
        <v>L. Borrego</v>
      </c>
      <c r="G199" s="273"/>
      <c r="H199" s="273"/>
      <c r="I199" s="273" t="str">
        <f>Sheet1!L7</f>
        <v>Crowley</v>
      </c>
      <c r="J199" s="273"/>
      <c r="K199" s="273"/>
      <c r="L199" s="273"/>
      <c r="M199" s="273"/>
      <c r="N199" s="273"/>
      <c r="O199" s="273"/>
      <c r="P199" s="273"/>
      <c r="Q199" s="273"/>
    </row>
    <row r="200" spans="1:17" ht="12.75">
      <c r="A200" s="283" t="str">
        <f>Sheet1!A8</f>
        <v>Las Animas, CO Field Office</v>
      </c>
      <c r="B200" s="283"/>
      <c r="C200" s="283"/>
      <c r="D200" s="283"/>
      <c r="E200" s="273"/>
      <c r="F200" s="273" t="str">
        <f>Sheet1!E8</f>
        <v>M. Clark</v>
      </c>
      <c r="G200" s="273"/>
      <c r="H200" s="273"/>
      <c r="I200" s="273" t="str">
        <f>Sheet1!L8</f>
        <v>Deadman</v>
      </c>
      <c r="J200" s="273"/>
      <c r="K200" s="273"/>
      <c r="L200" s="273"/>
      <c r="M200" s="273"/>
      <c r="N200" s="273"/>
      <c r="O200" s="273"/>
      <c r="P200" s="273"/>
      <c r="Q200" s="273"/>
    </row>
    <row r="201" spans="1:17" ht="12.75">
      <c r="A201" s="283" t="str">
        <f>Sheet1!A9</f>
        <v>Pueblo, CO Field Office</v>
      </c>
      <c r="B201" s="283"/>
      <c r="C201" s="283"/>
      <c r="D201" s="283"/>
      <c r="E201" s="273"/>
      <c r="F201" s="273" t="str">
        <f>Sheet1!E9</f>
        <v>B. Klinkerman</v>
      </c>
      <c r="G201" s="273"/>
      <c r="H201" s="273"/>
      <c r="I201" s="273" t="str">
        <f>Sheet1!L9</f>
        <v>Easy May Valley</v>
      </c>
      <c r="J201" s="273"/>
      <c r="K201" s="273"/>
      <c r="L201" s="273"/>
      <c r="M201" s="273"/>
      <c r="N201" s="273"/>
      <c r="O201" s="273"/>
      <c r="P201" s="273"/>
      <c r="Q201" s="273"/>
    </row>
    <row r="202" spans="1:17" ht="12.75">
      <c r="A202" s="283" t="str">
        <f>Sheet1!A10</f>
        <v>Rocky Ford, CO Field Office</v>
      </c>
      <c r="B202" s="283"/>
      <c r="C202" s="283"/>
      <c r="D202" s="283"/>
      <c r="E202" s="273"/>
      <c r="F202" s="273" t="str">
        <f>Sheet1!E10</f>
        <v>D. Miller</v>
      </c>
      <c r="G202" s="273"/>
      <c r="H202" s="273"/>
      <c r="I202" s="273" t="str">
        <f>Sheet1!L10</f>
        <v>Granada</v>
      </c>
      <c r="J202" s="273"/>
      <c r="K202" s="273"/>
      <c r="L202" s="273"/>
      <c r="M202" s="273"/>
      <c r="N202" s="273"/>
      <c r="O202" s="273"/>
      <c r="P202" s="273"/>
      <c r="Q202" s="273"/>
    </row>
    <row r="203" spans="1:17" ht="12.75">
      <c r="A203" s="283" t="str">
        <f>Sheet1!A11</f>
        <v>Salida, CO Field Office</v>
      </c>
      <c r="B203" s="283"/>
      <c r="C203" s="283"/>
      <c r="D203" s="283"/>
      <c r="E203" s="273"/>
      <c r="F203" s="273" t="str">
        <f>Sheet1!E11</f>
        <v>D. Russell</v>
      </c>
      <c r="G203" s="273"/>
      <c r="H203" s="273"/>
      <c r="I203" s="273" t="str">
        <f>Sheet1!L11</f>
        <v>Grand View</v>
      </c>
      <c r="J203" s="273"/>
      <c r="K203" s="273"/>
      <c r="L203" s="273"/>
      <c r="M203" s="273"/>
      <c r="N203" s="273"/>
      <c r="O203" s="273"/>
      <c r="P203" s="273"/>
      <c r="Q203" s="273"/>
    </row>
    <row r="204" spans="1:17" ht="12.75">
      <c r="A204" s="283" t="str">
        <f>Sheet1!A12</f>
        <v>Silver Cliff, CO Field Office</v>
      </c>
      <c r="B204" s="283"/>
      <c r="C204" s="283"/>
      <c r="D204" s="283"/>
      <c r="E204" s="273"/>
      <c r="F204" s="273" t="str">
        <f>Sheet1!E12</f>
        <v>M. Williams</v>
      </c>
      <c r="G204" s="273"/>
      <c r="H204" s="273"/>
      <c r="I204" s="273" t="str">
        <f>Sheet1!L12</f>
        <v>Hasty</v>
      </c>
      <c r="J204" s="273"/>
      <c r="K204" s="273"/>
      <c r="L204" s="273"/>
      <c r="M204" s="273"/>
      <c r="N204" s="273"/>
      <c r="O204" s="273"/>
      <c r="P204" s="273"/>
      <c r="Q204" s="273"/>
    </row>
    <row r="205" spans="1:17" ht="12.75">
      <c r="A205" s="283" t="str">
        <f>Sheet1!A13</f>
        <v>Simla, CO Field Office</v>
      </c>
      <c r="B205" s="283"/>
      <c r="C205" s="283"/>
      <c r="D205" s="283"/>
      <c r="E205" s="273"/>
      <c r="F205" s="273" t="str">
        <f>Sheet1!E13</f>
        <v>F. Edens</v>
      </c>
      <c r="G205" s="273"/>
      <c r="H205" s="273"/>
      <c r="I205" s="273" t="str">
        <f>Sheet1!L13</f>
        <v>Holbrook</v>
      </c>
      <c r="J205" s="273"/>
      <c r="K205" s="273"/>
      <c r="L205" s="273"/>
      <c r="M205" s="273"/>
      <c r="N205" s="273"/>
      <c r="O205" s="273"/>
      <c r="P205" s="273"/>
      <c r="Q205" s="273"/>
    </row>
    <row r="206" spans="1:17" ht="12.75">
      <c r="A206" s="283" t="str">
        <f>Sheet1!A14</f>
        <v>Springfield, CO Field Office</v>
      </c>
      <c r="B206" s="283"/>
      <c r="C206" s="283"/>
      <c r="D206" s="283"/>
      <c r="E206" s="273"/>
      <c r="F206" s="273" t="str">
        <f>Sheet1!E14</f>
        <v>J. "Wade" Sigler</v>
      </c>
      <c r="G206" s="273"/>
      <c r="H206" s="273"/>
      <c r="I206" s="273" t="str">
        <f>Sheet1!L14</f>
        <v>Holly</v>
      </c>
      <c r="J206" s="273"/>
      <c r="K206" s="273"/>
      <c r="L206" s="273"/>
      <c r="M206" s="273"/>
      <c r="N206" s="273"/>
      <c r="O206" s="273"/>
      <c r="P206" s="273"/>
      <c r="Q206" s="273"/>
    </row>
    <row r="207" spans="1:17" ht="12.75">
      <c r="A207" s="283" t="str">
        <f>Sheet1!A15</f>
        <v>Trinidad, CO Field Office</v>
      </c>
      <c r="B207" s="283"/>
      <c r="C207" s="283"/>
      <c r="D207" s="283"/>
      <c r="E207" s="273"/>
      <c r="F207" s="273" t="str">
        <f>Sheet1!E15</f>
        <v>C. Waugh</v>
      </c>
      <c r="G207" s="273"/>
      <c r="H207" s="273"/>
      <c r="I207" s="273" t="str">
        <f>Sheet1!L15</f>
        <v>King Center</v>
      </c>
      <c r="J207" s="273"/>
      <c r="K207" s="273"/>
      <c r="L207" s="273"/>
      <c r="M207" s="273"/>
      <c r="N207" s="273"/>
      <c r="O207" s="273"/>
      <c r="P207" s="273"/>
      <c r="Q207" s="273"/>
    </row>
    <row r="208" spans="1:17" ht="12.75">
      <c r="A208" s="283" t="str">
        <f>Sheet1!A16</f>
        <v>Walsenburg, CO Field Office</v>
      </c>
      <c r="B208" s="283"/>
      <c r="C208" s="283"/>
      <c r="D208" s="283"/>
      <c r="E208" s="273"/>
      <c r="F208" s="273" t="str">
        <f>Sheet1!E16</f>
        <v>S. Smith</v>
      </c>
      <c r="G208" s="273"/>
      <c r="H208" s="273"/>
      <c r="I208" s="273" t="str">
        <f>Sheet1!L16</f>
        <v>Kornman</v>
      </c>
      <c r="J208" s="273"/>
      <c r="K208" s="273"/>
      <c r="L208" s="273"/>
      <c r="M208" s="273"/>
      <c r="N208" s="273"/>
      <c r="O208" s="273"/>
      <c r="P208" s="273"/>
      <c r="Q208" s="273"/>
    </row>
    <row r="209" spans="1:17" ht="12.75">
      <c r="A209" s="283" t="str">
        <f>Sheet1!A17</f>
        <v>Woodland Park, CO Teller/Park SCD</v>
      </c>
      <c r="B209" s="283"/>
      <c r="C209" s="283"/>
      <c r="D209" s="283"/>
      <c r="E209" s="273"/>
      <c r="F209" s="273" t="str">
        <f>Sheet1!E17</f>
        <v>J. Nelson</v>
      </c>
      <c r="G209" s="273"/>
      <c r="H209" s="273"/>
      <c r="I209" s="273" t="str">
        <f>Sheet1!L17</f>
        <v>Las Animas Consolidated</v>
      </c>
      <c r="J209" s="273"/>
      <c r="K209" s="273"/>
      <c r="L209" s="273"/>
      <c r="M209" s="273"/>
      <c r="N209" s="273"/>
      <c r="O209" s="273"/>
      <c r="P209" s="273"/>
      <c r="Q209" s="273"/>
    </row>
    <row r="210" spans="1:17" ht="12.75">
      <c r="A210" s="283"/>
      <c r="B210" s="283"/>
      <c r="C210" s="283"/>
      <c r="D210" s="283"/>
      <c r="E210" s="273"/>
      <c r="F210" s="273" t="str">
        <f>Sheet1!E18</f>
        <v>J. Sperry</v>
      </c>
      <c r="G210" s="273"/>
      <c r="H210" s="273"/>
      <c r="I210" s="273" t="str">
        <f>Sheet1!L18</f>
        <v>Lubers</v>
      </c>
      <c r="J210" s="273"/>
      <c r="K210" s="273"/>
      <c r="L210" s="273"/>
      <c r="M210" s="273"/>
      <c r="N210" s="273"/>
      <c r="O210" s="273"/>
      <c r="P210" s="273"/>
      <c r="Q210" s="273"/>
    </row>
    <row r="211" spans="1:17" ht="12.75">
      <c r="A211" s="283"/>
      <c r="B211" s="283"/>
      <c r="C211" s="283"/>
      <c r="D211" s="283"/>
      <c r="E211" s="273"/>
      <c r="F211" s="273" t="str">
        <f>Sheet1!E19</f>
        <v>R. Romano</v>
      </c>
      <c r="G211" s="273"/>
      <c r="H211" s="273"/>
      <c r="I211" s="273" t="str">
        <f>Sheet1!L19</f>
        <v>May Valley</v>
      </c>
      <c r="J211" s="273"/>
      <c r="K211" s="273"/>
      <c r="L211" s="273"/>
      <c r="M211" s="273"/>
      <c r="N211" s="273"/>
      <c r="O211" s="273"/>
      <c r="P211" s="273"/>
      <c r="Q211" s="273"/>
    </row>
    <row r="212" spans="1:17" ht="12.75">
      <c r="A212" s="283"/>
      <c r="B212" s="283"/>
      <c r="C212" s="283"/>
      <c r="D212" s="283"/>
      <c r="E212" s="273"/>
      <c r="F212" s="273" t="str">
        <f>Sheet1!E20</f>
        <v>R. Fontaine</v>
      </c>
      <c r="G212" s="273"/>
      <c r="H212" s="273"/>
      <c r="I212" s="273" t="str">
        <f>Sheet1!L20</f>
        <v>McClave</v>
      </c>
      <c r="J212" s="273"/>
      <c r="K212" s="273"/>
      <c r="L212" s="273"/>
      <c r="M212" s="273"/>
      <c r="N212" s="273"/>
      <c r="O212" s="273"/>
      <c r="P212" s="273"/>
      <c r="Q212" s="273"/>
    </row>
    <row r="213" spans="1:17" ht="12.75">
      <c r="A213" s="283" t="str">
        <f>Sheet1!A21</f>
        <v>Individual</v>
      </c>
      <c r="B213" s="283"/>
      <c r="C213" s="283"/>
      <c r="D213" s="283"/>
      <c r="E213" s="273"/>
      <c r="F213" s="273" t="str">
        <f>Sheet1!E21</f>
        <v>M. Watson</v>
      </c>
      <c r="G213" s="273"/>
      <c r="H213" s="273"/>
      <c r="I213" s="273" t="str">
        <f>Sheet1!L21</f>
        <v>Numa</v>
      </c>
      <c r="J213" s="273"/>
      <c r="K213" s="273"/>
      <c r="L213" s="273"/>
      <c r="M213" s="273"/>
      <c r="N213" s="273"/>
      <c r="O213" s="273"/>
      <c r="P213" s="273"/>
      <c r="Q213" s="273"/>
    </row>
    <row r="214" spans="1:17" ht="12.75">
      <c r="A214" s="283" t="str">
        <f>Sheet1!A22</f>
        <v>General Partnership</v>
      </c>
      <c r="B214" s="283"/>
      <c r="C214" s="283"/>
      <c r="D214" s="283"/>
      <c r="E214" s="273"/>
      <c r="F214" s="273" t="str">
        <f>Sheet1!E22</f>
        <v>M. Miller</v>
      </c>
      <c r="G214" s="273"/>
      <c r="H214" s="273"/>
      <c r="I214" s="273" t="str">
        <f>Sheet1!L22</f>
        <v>Olney Springs</v>
      </c>
      <c r="J214" s="273"/>
      <c r="K214" s="273"/>
      <c r="L214" s="273"/>
      <c r="M214" s="273"/>
      <c r="N214" s="273"/>
      <c r="O214" s="273"/>
      <c r="P214" s="273"/>
      <c r="Q214" s="273"/>
    </row>
    <row r="215" spans="1:17" ht="12.75">
      <c r="A215" s="283" t="str">
        <f>Sheet1!A23</f>
        <v>Joint Venture</v>
      </c>
      <c r="B215" s="283"/>
      <c r="C215" s="283"/>
      <c r="D215" s="283"/>
      <c r="E215" s="273"/>
      <c r="F215" s="273" t="str">
        <f>Sheet1!E23</f>
        <v>C. Sheley</v>
      </c>
      <c r="G215" s="273"/>
      <c r="H215" s="273"/>
      <c r="I215" s="273" t="str">
        <f>Sheet1!L23</f>
        <v>Ordway #1</v>
      </c>
      <c r="J215" s="273"/>
      <c r="K215" s="273"/>
      <c r="L215" s="273"/>
      <c r="M215" s="273"/>
      <c r="N215" s="273"/>
      <c r="O215" s="273"/>
      <c r="P215" s="273"/>
      <c r="Q215" s="273"/>
    </row>
    <row r="216" spans="1:17" ht="12.75">
      <c r="A216" s="283" t="str">
        <f>Sheet1!A24</f>
        <v>Limited Liability Partnership</v>
      </c>
      <c r="B216" s="283"/>
      <c r="C216" s="283"/>
      <c r="D216" s="283"/>
      <c r="E216" s="273"/>
      <c r="F216" s="273" t="str">
        <f>Sheet1!E24</f>
        <v>D. Sanchez</v>
      </c>
      <c r="G216" s="273"/>
      <c r="H216" s="273"/>
      <c r="I216" s="273" t="str">
        <f>Sheet1!L24</f>
        <v>Patterson Hollow</v>
      </c>
      <c r="J216" s="273"/>
      <c r="K216" s="273"/>
      <c r="L216" s="273"/>
      <c r="M216" s="273"/>
      <c r="N216" s="273"/>
      <c r="O216" s="273"/>
      <c r="P216" s="273"/>
      <c r="Q216" s="273"/>
    </row>
    <row r="217" spans="1:17" ht="12.75">
      <c r="A217" s="283" t="str">
        <f>Sheet1!A25</f>
        <v>Limited Liability Limited Partnership</v>
      </c>
      <c r="B217" s="283"/>
      <c r="C217" s="283"/>
      <c r="D217" s="283"/>
      <c r="E217" s="273"/>
      <c r="F217" s="273" t="str">
        <f>Sheet1!E25</f>
        <v>L.G. "Smitty" Smith</v>
      </c>
      <c r="G217" s="273"/>
      <c r="H217" s="273"/>
      <c r="I217" s="273" t="str">
        <f>Sheet1!L25</f>
        <v>Pleasant Valley</v>
      </c>
      <c r="J217" s="273"/>
      <c r="K217" s="273"/>
      <c r="L217" s="273"/>
      <c r="M217" s="273"/>
      <c r="N217" s="273"/>
      <c r="O217" s="273"/>
      <c r="P217" s="273"/>
      <c r="Q217" s="273"/>
    </row>
    <row r="218" spans="1:17" ht="12.75">
      <c r="A218" s="283" t="str">
        <f>Sheet1!A26</f>
        <v>Limited Partnership Association</v>
      </c>
      <c r="B218" s="283"/>
      <c r="C218" s="283"/>
      <c r="D218" s="283"/>
      <c r="E218" s="273"/>
      <c r="F218" s="273" t="str">
        <f>Sheet1!E26</f>
        <v>C. Regnier</v>
      </c>
      <c r="G218" s="273"/>
      <c r="H218" s="273"/>
      <c r="I218" s="273" t="str">
        <f>Sheet1!L26</f>
        <v>Prowers</v>
      </c>
      <c r="J218" s="273"/>
      <c r="K218" s="273"/>
      <c r="L218" s="273"/>
      <c r="M218" s="273"/>
      <c r="N218" s="273"/>
      <c r="O218" s="273"/>
      <c r="P218" s="273"/>
      <c r="Q218" s="273"/>
    </row>
    <row r="219" spans="1:17" ht="12.75">
      <c r="A219" s="283" t="str">
        <f>Sheet1!A27</f>
        <v>Limited Liability Company</v>
      </c>
      <c r="B219" s="283"/>
      <c r="C219" s="283"/>
      <c r="D219" s="283"/>
      <c r="E219" s="273"/>
      <c r="F219" s="273" t="str">
        <f>Sheet1!E27</f>
        <v>C. Melcher</v>
      </c>
      <c r="G219" s="273"/>
      <c r="H219" s="273"/>
      <c r="I219" s="273" t="str">
        <f>Sheet1!L27</f>
        <v>Riverview</v>
      </c>
      <c r="J219" s="273"/>
      <c r="K219" s="273"/>
      <c r="L219" s="273"/>
      <c r="M219" s="273"/>
      <c r="N219" s="273"/>
      <c r="O219" s="273"/>
      <c r="P219" s="273"/>
      <c r="Q219" s="273"/>
    </row>
    <row r="220" spans="1:17" ht="12.75">
      <c r="A220" s="283" t="str">
        <f>Sheet1!A28</f>
        <v>Limited Partnership  </v>
      </c>
      <c r="B220" s="283"/>
      <c r="C220" s="283"/>
      <c r="D220" s="283"/>
      <c r="E220" s="273"/>
      <c r="F220" s="273" t="str">
        <f>Sheet1!E28</f>
        <v>W. "Ted" Lonnberg</v>
      </c>
      <c r="G220" s="273"/>
      <c r="H220" s="273"/>
      <c r="I220" s="273" t="str">
        <f>Sheet1!L28</f>
        <v>Valley View</v>
      </c>
      <c r="J220" s="273"/>
      <c r="K220" s="273"/>
      <c r="L220" s="273"/>
      <c r="M220" s="273"/>
      <c r="N220" s="273"/>
      <c r="O220" s="273"/>
      <c r="P220" s="273"/>
      <c r="Q220" s="273"/>
    </row>
    <row r="221" spans="1:17" ht="12.75">
      <c r="A221" s="283" t="str">
        <f>Sheet1!A29</f>
        <v>Corporation</v>
      </c>
      <c r="B221" s="283"/>
      <c r="C221" s="283"/>
      <c r="D221" s="283"/>
      <c r="E221" s="273"/>
      <c r="F221" s="273" t="str">
        <f>Sheet1!E29</f>
        <v>B. Johnson</v>
      </c>
      <c r="G221" s="273"/>
      <c r="H221" s="273"/>
      <c r="I221" s="273" t="str">
        <f>Sheet1!L29</f>
        <v>Vista Del Rio</v>
      </c>
      <c r="J221" s="273"/>
      <c r="K221" s="273"/>
      <c r="L221" s="273"/>
      <c r="M221" s="273"/>
      <c r="N221" s="273"/>
      <c r="O221" s="273"/>
      <c r="P221" s="273"/>
      <c r="Q221" s="273"/>
    </row>
    <row r="222" spans="1:17" ht="12.75">
      <c r="A222" s="283" t="str">
        <f>Sheet1!A30</f>
        <v>Trust</v>
      </c>
      <c r="B222" s="273"/>
      <c r="C222" s="273"/>
      <c r="D222" s="273"/>
      <c r="E222" s="273"/>
      <c r="F222" s="273" t="str">
        <f>Sheet1!E30</f>
        <v>A. White</v>
      </c>
      <c r="G222" s="273"/>
      <c r="H222" s="273"/>
      <c r="I222" s="273" t="str">
        <f>Sheet1!L30</f>
        <v>Wiley of Big Bend</v>
      </c>
      <c r="J222" s="273"/>
      <c r="K222" s="273"/>
      <c r="L222" s="273"/>
      <c r="M222" s="273"/>
      <c r="N222" s="273"/>
      <c r="O222" s="273"/>
      <c r="P222" s="273"/>
      <c r="Q222" s="273"/>
    </row>
    <row r="223" spans="1:17" ht="12.75">
      <c r="A223" s="283" t="str">
        <f>Sheet1!A31</f>
        <v>Estate</v>
      </c>
      <c r="B223" s="273"/>
      <c r="C223" s="273"/>
      <c r="D223" s="273"/>
      <c r="E223" s="273"/>
      <c r="F223" s="273" t="str">
        <f>Sheet1!E31</f>
        <v>W. Bland</v>
      </c>
      <c r="G223" s="273"/>
      <c r="H223" s="273"/>
      <c r="I223" s="273"/>
      <c r="J223" s="273"/>
      <c r="K223" s="273"/>
      <c r="L223" s="273"/>
      <c r="M223" s="273"/>
      <c r="N223" s="273"/>
      <c r="O223" s="273"/>
      <c r="P223" s="273"/>
      <c r="Q223" s="273"/>
    </row>
    <row r="224" spans="1:17" ht="12.75">
      <c r="A224" s="283"/>
      <c r="B224" s="273"/>
      <c r="C224" s="273"/>
      <c r="D224" s="273"/>
      <c r="E224" s="273"/>
      <c r="F224" s="273" t="str">
        <f>Sheet1!E32</f>
        <v>S. Hansen</v>
      </c>
      <c r="G224" s="273"/>
      <c r="H224" s="273"/>
      <c r="I224" s="273"/>
      <c r="J224" s="273"/>
      <c r="K224" s="273"/>
      <c r="L224" s="273"/>
      <c r="M224" s="273"/>
      <c r="N224" s="273"/>
      <c r="O224" s="273"/>
      <c r="P224" s="273"/>
      <c r="Q224" s="273"/>
    </row>
    <row r="225" spans="1:17" ht="12.75">
      <c r="A225" s="283"/>
      <c r="B225" s="273"/>
      <c r="C225" s="273"/>
      <c r="D225" s="273"/>
      <c r="E225" s="273"/>
      <c r="F225" s="273" t="str">
        <f>Sheet1!E33</f>
        <v>K. Conrad</v>
      </c>
      <c r="G225" s="273"/>
      <c r="H225" s="273"/>
      <c r="I225" s="273" t="str">
        <f>Sheet1!L34</f>
        <v>Not Applicable</v>
      </c>
      <c r="J225" s="273"/>
      <c r="K225" s="273"/>
      <c r="L225" s="273"/>
      <c r="M225" s="273"/>
      <c r="N225" s="273"/>
      <c r="O225" s="273"/>
      <c r="P225" s="273"/>
      <c r="Q225" s="273"/>
    </row>
    <row r="226" spans="1:17" ht="12.75">
      <c r="A226" s="283" t="str">
        <f>Sheet1!A34</f>
        <v>Colorado Division of Wildlife</v>
      </c>
      <c r="B226" s="273"/>
      <c r="C226" s="273"/>
      <c r="D226" s="273"/>
      <c r="E226" s="273"/>
      <c r="F226" s="273" t="str">
        <f>Sheet1!E34</f>
        <v>M. Martin</v>
      </c>
      <c r="G226" s="273"/>
      <c r="H226" s="273"/>
      <c r="I226" s="273" t="str">
        <f>Sheet1!L35</f>
        <v>Water Division #11-Arkansas Headwaters</v>
      </c>
      <c r="J226" s="273"/>
      <c r="K226" s="273"/>
      <c r="L226" s="273"/>
      <c r="M226" s="273"/>
      <c r="N226" s="273"/>
      <c r="O226" s="273"/>
      <c r="P226" s="273"/>
      <c r="Q226" s="273"/>
    </row>
    <row r="227" spans="1:17" ht="12.75">
      <c r="A227" s="283" t="str">
        <f>Sheet1!A35</f>
        <v>U.S. Fish and Wildlife Service</v>
      </c>
      <c r="B227" s="273"/>
      <c r="C227" s="273"/>
      <c r="D227" s="273"/>
      <c r="E227" s="273"/>
      <c r="F227" s="273" t="str">
        <f>Sheet1!E35</f>
        <v>E. Kilpatrick</v>
      </c>
      <c r="G227" s="273"/>
      <c r="H227" s="273"/>
      <c r="I227" s="273" t="str">
        <f>Sheet1!L36</f>
        <v>Water Division #13-Texas/Grape Creek</v>
      </c>
      <c r="J227" s="273"/>
      <c r="K227" s="273"/>
      <c r="L227" s="273"/>
      <c r="M227" s="273"/>
      <c r="N227" s="273"/>
      <c r="O227" s="273"/>
      <c r="P227" s="273"/>
      <c r="Q227" s="273"/>
    </row>
    <row r="228" spans="1:17" ht="12.75">
      <c r="A228" s="283" t="str">
        <f>Sheet1!A36</f>
        <v>Colorado Elk Foundation</v>
      </c>
      <c r="B228" s="273"/>
      <c r="C228" s="273"/>
      <c r="D228" s="273"/>
      <c r="E228" s="273"/>
      <c r="F228" s="273" t="str">
        <f>Sheet1!E36</f>
        <v>C. Schleining</v>
      </c>
      <c r="G228" s="273"/>
      <c r="H228" s="273"/>
      <c r="I228" s="273" t="str">
        <f>Sheet1!L37</f>
        <v>Water Division #15-Upper St. Charles</v>
      </c>
      <c r="J228" s="273"/>
      <c r="K228" s="273"/>
      <c r="L228" s="273"/>
      <c r="M228" s="273"/>
      <c r="N228" s="273"/>
      <c r="O228" s="273"/>
      <c r="P228" s="273"/>
      <c r="Q228" s="273"/>
    </row>
    <row r="229" spans="1:17" ht="12.75">
      <c r="A229" s="283" t="str">
        <f>Sheet1!A37</f>
        <v>Pheasants Forever</v>
      </c>
      <c r="B229" s="273"/>
      <c r="C229" s="273"/>
      <c r="D229" s="273"/>
      <c r="E229" s="273"/>
      <c r="F229" s="273" t="str">
        <f>Sheet1!E37</f>
        <v>B. "B.J." Jones</v>
      </c>
      <c r="G229" s="273"/>
      <c r="H229" s="273"/>
      <c r="I229" s="273" t="str">
        <f>Sheet1!L38</f>
        <v>Water Division #79-Upper Huerfano</v>
      </c>
      <c r="J229" s="273"/>
      <c r="K229" s="273"/>
      <c r="L229" s="273"/>
      <c r="M229" s="273"/>
      <c r="N229" s="273"/>
      <c r="O229" s="273"/>
      <c r="P229" s="273"/>
      <c r="Q229" s="273"/>
    </row>
    <row r="230" spans="1:17" ht="12.75">
      <c r="A230" s="283" t="str">
        <f>Sheet1!A38</f>
        <v>Ducks Unlimited</v>
      </c>
      <c r="B230" s="273"/>
      <c r="C230" s="273"/>
      <c r="D230" s="273"/>
      <c r="E230" s="273"/>
      <c r="F230" s="273" t="str">
        <f>Sheet1!E38</f>
        <v>J. Hamilton</v>
      </c>
      <c r="G230" s="273"/>
      <c r="H230" s="273"/>
      <c r="I230" s="273" t="str">
        <f>Sheet1!L39</f>
        <v>Water Division #16-Upper Cucharas</v>
      </c>
      <c r="J230" s="273"/>
      <c r="K230" s="273"/>
      <c r="L230" s="273"/>
      <c r="M230" s="273"/>
      <c r="N230" s="273"/>
      <c r="O230" s="273"/>
      <c r="P230" s="273"/>
      <c r="Q230" s="273"/>
    </row>
    <row r="231" spans="1:17" ht="12.75">
      <c r="A231" s="283" t="str">
        <f>Sheet1!A39</f>
        <v>Other</v>
      </c>
      <c r="B231" s="273"/>
      <c r="C231" s="273"/>
      <c r="D231" s="273"/>
      <c r="E231" s="273"/>
      <c r="F231" s="273" t="str">
        <f>Sheet1!E39</f>
        <v>J. Moffett</v>
      </c>
      <c r="G231" s="273"/>
      <c r="H231" s="273"/>
      <c r="I231" s="273" t="str">
        <f>Sheet1!L40</f>
        <v>Water Division #19-Upper Purgatoire</v>
      </c>
      <c r="J231" s="273"/>
      <c r="K231" s="273"/>
      <c r="L231" s="273"/>
      <c r="M231" s="273"/>
      <c r="N231" s="273"/>
      <c r="O231" s="273"/>
      <c r="P231" s="273"/>
      <c r="Q231" s="273"/>
    </row>
    <row r="232" spans="1:17" ht="12.75">
      <c r="A232" s="283" t="str">
        <f>Sheet1!A40</f>
        <v>Not Applicable</v>
      </c>
      <c r="B232" s="273"/>
      <c r="C232" s="273"/>
      <c r="D232" s="273"/>
      <c r="E232" s="273"/>
      <c r="F232" s="273" t="str">
        <f>Sheet1!E40</f>
        <v>R. Grigat</v>
      </c>
      <c r="G232" s="273"/>
      <c r="H232" s="273"/>
      <c r="I232" s="273"/>
      <c r="J232" s="273"/>
      <c r="K232" s="273"/>
      <c r="L232" s="273"/>
      <c r="M232" s="273"/>
      <c r="N232" s="273"/>
      <c r="O232" s="273"/>
      <c r="P232" s="273"/>
      <c r="Q232" s="273"/>
    </row>
    <row r="233" spans="1:17" ht="12.75">
      <c r="A233" s="283"/>
      <c r="B233" s="273"/>
      <c r="C233" s="273"/>
      <c r="D233" s="273"/>
      <c r="E233" s="273"/>
      <c r="F233" s="273" t="str">
        <f>Sheet1!E41</f>
        <v>J. Dukes</v>
      </c>
      <c r="G233" s="273"/>
      <c r="H233" s="273"/>
      <c r="I233" s="273"/>
      <c r="J233" s="273"/>
      <c r="K233" s="273"/>
      <c r="L233" s="273"/>
      <c r="M233" s="273"/>
      <c r="N233" s="273"/>
      <c r="O233" s="273"/>
      <c r="P233" s="273"/>
      <c r="Q233" s="273"/>
    </row>
    <row r="234" spans="1:17" ht="12.75">
      <c r="A234" s="273"/>
      <c r="B234" s="273"/>
      <c r="C234" s="273"/>
      <c r="D234" s="273"/>
      <c r="E234" s="273"/>
      <c r="F234" s="273" t="str">
        <f>Sheet1!E42</f>
        <v>T. Werner</v>
      </c>
      <c r="G234" s="273"/>
      <c r="H234" s="273"/>
      <c r="I234" s="273"/>
      <c r="J234" s="273"/>
      <c r="K234" s="273"/>
      <c r="L234" s="273"/>
      <c r="M234" s="273"/>
      <c r="N234" s="273"/>
      <c r="O234" s="273"/>
      <c r="P234" s="273"/>
      <c r="Q234" s="273"/>
    </row>
    <row r="235" spans="1:17" ht="12.75">
      <c r="A235" s="273"/>
      <c r="B235" s="273"/>
      <c r="C235" s="273"/>
      <c r="D235" s="273"/>
      <c r="E235" s="273"/>
      <c r="F235" s="273" t="str">
        <f>Sheet1!E43</f>
        <v>K. Falen</v>
      </c>
      <c r="G235" s="273"/>
      <c r="H235" s="273"/>
      <c r="I235" s="273"/>
      <c r="J235" s="273"/>
      <c r="K235" s="273"/>
      <c r="L235" s="273"/>
      <c r="M235" s="273"/>
      <c r="N235" s="273"/>
      <c r="O235" s="273"/>
      <c r="P235" s="273"/>
      <c r="Q235" s="273"/>
    </row>
    <row r="236" spans="1:17" ht="12.75">
      <c r="A236" s="273"/>
      <c r="B236" s="273"/>
      <c r="C236" s="273"/>
      <c r="D236" s="273"/>
      <c r="E236" s="273"/>
      <c r="F236" s="273" t="str">
        <f>Sheet1!E44</f>
        <v>M. "Storm" Casper</v>
      </c>
      <c r="G236" s="273"/>
      <c r="H236" s="273"/>
      <c r="I236" s="273"/>
      <c r="J236" s="273"/>
      <c r="K236" s="273"/>
      <c r="L236" s="273"/>
      <c r="M236" s="273"/>
      <c r="N236" s="273"/>
      <c r="O236" s="273"/>
      <c r="P236" s="273"/>
      <c r="Q236" s="273"/>
    </row>
    <row r="237" spans="1:17" ht="12.75">
      <c r="A237" s="273"/>
      <c r="B237" s="273"/>
      <c r="C237" s="273"/>
      <c r="D237" s="273"/>
      <c r="E237" s="273"/>
      <c r="F237" s="273" t="str">
        <f>Sheet1!E45</f>
        <v>M. Gigante</v>
      </c>
      <c r="G237" s="273"/>
      <c r="H237" s="273"/>
      <c r="I237" s="273"/>
      <c r="J237" s="273"/>
      <c r="K237" s="273"/>
      <c r="L237" s="273"/>
      <c r="M237" s="273"/>
      <c r="N237" s="273"/>
      <c r="O237" s="273"/>
      <c r="P237" s="273"/>
      <c r="Q237" s="273"/>
    </row>
    <row r="238" spans="1:17" ht="12.75">
      <c r="A238" s="273"/>
      <c r="B238" s="273"/>
      <c r="C238" s="273"/>
      <c r="D238" s="273"/>
      <c r="E238" s="273"/>
      <c r="F238" s="273" t="str">
        <f>Sheet1!E46</f>
        <v>T. Arnhold</v>
      </c>
      <c r="G238" s="273"/>
      <c r="H238" s="273"/>
      <c r="I238" s="273"/>
      <c r="J238" s="273"/>
      <c r="K238" s="273"/>
      <c r="L238" s="273"/>
      <c r="M238" s="273"/>
      <c r="N238" s="273"/>
      <c r="O238" s="273"/>
      <c r="P238" s="273"/>
      <c r="Q238" s="273"/>
    </row>
    <row r="239" spans="1:17" ht="12.75">
      <c r="A239" s="273"/>
      <c r="B239" s="273"/>
      <c r="C239" s="273"/>
      <c r="D239" s="273"/>
      <c r="E239" s="273"/>
      <c r="F239" s="273" t="str">
        <f>Sheet1!E47</f>
        <v>K. Lutz</v>
      </c>
      <c r="G239" s="273"/>
      <c r="H239" s="273"/>
      <c r="I239" s="273"/>
      <c r="J239" s="273"/>
      <c r="K239" s="273"/>
      <c r="L239" s="273"/>
      <c r="M239" s="273"/>
      <c r="N239" s="273"/>
      <c r="O239" s="273"/>
      <c r="P239" s="273"/>
      <c r="Q239" s="273"/>
    </row>
    <row r="240" spans="1:17" ht="12.75">
      <c r="A240" s="273"/>
      <c r="B240" s="273"/>
      <c r="C240" s="273"/>
      <c r="D240" s="273"/>
      <c r="E240" s="273"/>
      <c r="F240" s="273" t="str">
        <f>Sheet1!E48</f>
        <v>D. Lane</v>
      </c>
      <c r="G240" s="273"/>
      <c r="H240" s="273"/>
      <c r="I240" s="273"/>
      <c r="J240" s="273"/>
      <c r="K240" s="273"/>
      <c r="L240" s="273"/>
      <c r="M240" s="273"/>
      <c r="N240" s="273"/>
      <c r="O240" s="273"/>
      <c r="P240" s="273"/>
      <c r="Q240" s="273"/>
    </row>
    <row r="241" spans="1:17" ht="12.75">
      <c r="A241" s="273"/>
      <c r="B241" s="273"/>
      <c r="C241" s="273"/>
      <c r="D241" s="273"/>
      <c r="E241" s="273"/>
      <c r="F241" s="273" t="str">
        <f>Sheet1!E49</f>
        <v>L."Pete" Ward, Jr.</v>
      </c>
      <c r="G241" s="273"/>
      <c r="H241" s="273"/>
      <c r="I241" s="273"/>
      <c r="J241" s="273"/>
      <c r="K241" s="273"/>
      <c r="L241" s="273"/>
      <c r="M241" s="273"/>
      <c r="N241" s="273"/>
      <c r="O241" s="273"/>
      <c r="P241" s="273"/>
      <c r="Q241" s="273"/>
    </row>
    <row r="242" spans="1:17" ht="12.75">
      <c r="A242" s="273"/>
      <c r="B242" s="273"/>
      <c r="C242" s="273"/>
      <c r="D242" s="273"/>
      <c r="E242" s="273"/>
      <c r="F242" s="273" t="str">
        <f>Sheet1!E50</f>
        <v>L. Kot</v>
      </c>
      <c r="G242" s="273"/>
      <c r="H242" s="273"/>
      <c r="I242" s="273"/>
      <c r="J242" s="273"/>
      <c r="K242" s="273"/>
      <c r="L242" s="273"/>
      <c r="M242" s="273"/>
      <c r="N242" s="273"/>
      <c r="O242" s="273"/>
      <c r="P242" s="273"/>
      <c r="Q242" s="273"/>
    </row>
    <row r="243" spans="1:17" ht="12.75">
      <c r="A243" s="273"/>
      <c r="B243" s="273"/>
      <c r="C243" s="273"/>
      <c r="D243" s="273"/>
      <c r="E243" s="273"/>
      <c r="F243" s="273" t="str">
        <f>Sheet1!E51</f>
        <v>L. Pearson</v>
      </c>
      <c r="G243" s="273"/>
      <c r="H243" s="273"/>
      <c r="I243" s="273"/>
      <c r="J243" s="273"/>
      <c r="K243" s="273"/>
      <c r="L243" s="273"/>
      <c r="M243" s="273"/>
      <c r="N243" s="273"/>
      <c r="O243" s="273"/>
      <c r="P243" s="273"/>
      <c r="Q243" s="273"/>
    </row>
    <row r="244" spans="1:17" ht="12.75">
      <c r="A244" s="273"/>
      <c r="B244" s="273"/>
      <c r="C244" s="273"/>
      <c r="D244" s="273"/>
      <c r="E244" s="273"/>
      <c r="F244" s="273" t="str">
        <f>Sheet1!E52</f>
        <v>B. Kitten</v>
      </c>
      <c r="G244" s="273"/>
      <c r="H244" s="273"/>
      <c r="I244" s="273"/>
      <c r="J244" s="273"/>
      <c r="K244" s="273"/>
      <c r="L244" s="273"/>
      <c r="M244" s="273"/>
      <c r="N244" s="273"/>
      <c r="O244" s="273"/>
      <c r="P244" s="273"/>
      <c r="Q244" s="273"/>
    </row>
    <row r="245" spans="1:17" ht="12.75">
      <c r="A245" s="273"/>
      <c r="B245" s="273"/>
      <c r="C245" s="273"/>
      <c r="D245" s="273"/>
      <c r="E245" s="273"/>
      <c r="F245" s="273" t="str">
        <f>Sheet1!E53</f>
        <v>L. Sutherland</v>
      </c>
      <c r="G245" s="273"/>
      <c r="H245" s="273"/>
      <c r="I245" s="273"/>
      <c r="J245" s="273"/>
      <c r="K245" s="273"/>
      <c r="L245" s="273"/>
      <c r="M245" s="273"/>
      <c r="N245" s="273"/>
      <c r="O245" s="273"/>
      <c r="P245" s="273"/>
      <c r="Q245" s="273"/>
    </row>
    <row r="246" spans="1:17" ht="12.75">
      <c r="A246" s="273"/>
      <c r="B246" s="273"/>
      <c r="C246" s="273"/>
      <c r="D246" s="273"/>
      <c r="E246" s="273"/>
      <c r="F246" s="273" t="str">
        <f>Sheet1!E54</f>
        <v>C. Pannebaker</v>
      </c>
      <c r="G246" s="273"/>
      <c r="H246" s="273"/>
      <c r="I246" s="273"/>
      <c r="J246" s="273"/>
      <c r="K246" s="273"/>
      <c r="L246" s="273"/>
      <c r="M246" s="273"/>
      <c r="N246" s="273"/>
      <c r="O246" s="273"/>
      <c r="P246" s="273"/>
      <c r="Q246" s="273"/>
    </row>
    <row r="247" spans="1:17" ht="12.75">
      <c r="A247" s="273"/>
      <c r="B247" s="273"/>
      <c r="C247" s="273"/>
      <c r="D247" s="273"/>
      <c r="E247" s="273"/>
      <c r="F247" s="273" t="str">
        <f>Sheet1!E55</f>
        <v>B. Berlinger</v>
      </c>
      <c r="G247" s="273"/>
      <c r="H247" s="273"/>
      <c r="I247" s="273"/>
      <c r="J247" s="273"/>
      <c r="K247" s="273"/>
      <c r="L247" s="273"/>
      <c r="M247" s="273"/>
      <c r="N247" s="273"/>
      <c r="O247" s="273"/>
      <c r="P247" s="273"/>
      <c r="Q247" s="273"/>
    </row>
    <row r="248" spans="1:17" ht="12.75">
      <c r="A248" s="58"/>
      <c r="B248" s="58"/>
      <c r="C248" s="58"/>
      <c r="D248" s="58"/>
      <c r="E248" s="58"/>
      <c r="F248" s="58"/>
      <c r="G248" s="58"/>
      <c r="H248" s="58"/>
      <c r="I248" s="58"/>
      <c r="J248" s="58"/>
      <c r="K248" s="58"/>
      <c r="L248" s="58"/>
      <c r="M248" s="58"/>
      <c r="N248" s="58"/>
      <c r="O248" s="58"/>
      <c r="P248" s="58"/>
      <c r="Q248" s="58"/>
    </row>
  </sheetData>
  <sheetProtection sheet="1" objects="1" scenarios="1"/>
  <mergeCells count="157">
    <mergeCell ref="C130:J130"/>
    <mergeCell ref="D121:F123"/>
    <mergeCell ref="J141:J142"/>
    <mergeCell ref="C139:G139"/>
    <mergeCell ref="B140:F141"/>
    <mergeCell ref="C136:G136"/>
    <mergeCell ref="C137:G137"/>
    <mergeCell ref="C138:G138"/>
    <mergeCell ref="G123:H123"/>
    <mergeCell ref="K92:Q93"/>
    <mergeCell ref="A94:J94"/>
    <mergeCell ref="C104:J104"/>
    <mergeCell ref="A105:J105"/>
    <mergeCell ref="I90:J90"/>
    <mergeCell ref="K84:Q90"/>
    <mergeCell ref="K81:Q83"/>
    <mergeCell ref="A81:J81"/>
    <mergeCell ref="D88:I88"/>
    <mergeCell ref="D181:G181"/>
    <mergeCell ref="G165:H165"/>
    <mergeCell ref="C157:J157"/>
    <mergeCell ref="B150:G150"/>
    <mergeCell ref="G163:H163"/>
    <mergeCell ref="G177:H177"/>
    <mergeCell ref="C175:H175"/>
    <mergeCell ref="B167:F168"/>
    <mergeCell ref="G168:H168"/>
    <mergeCell ref="C174:H174"/>
    <mergeCell ref="I143:J143"/>
    <mergeCell ref="A156:Q156"/>
    <mergeCell ref="C144:J144"/>
    <mergeCell ref="K146:Q155"/>
    <mergeCell ref="I155:J155"/>
    <mergeCell ref="A145:J145"/>
    <mergeCell ref="K145:Q145"/>
    <mergeCell ref="A155:D155"/>
    <mergeCell ref="K131:Q143"/>
    <mergeCell ref="A131:J133"/>
    <mergeCell ref="B163:F163"/>
    <mergeCell ref="C11:F11"/>
    <mergeCell ref="C22:O22"/>
    <mergeCell ref="C23:O23"/>
    <mergeCell ref="C27:O27"/>
    <mergeCell ref="G25:N25"/>
    <mergeCell ref="B13:O13"/>
    <mergeCell ref="B14:O14"/>
    <mergeCell ref="B16:O16"/>
    <mergeCell ref="A15:P15"/>
    <mergeCell ref="I186:J186"/>
    <mergeCell ref="D183:G183"/>
    <mergeCell ref="A17:P17"/>
    <mergeCell ref="G162:H162"/>
    <mergeCell ref="A158:J159"/>
    <mergeCell ref="P64:Q64"/>
    <mergeCell ref="K105:Q110"/>
    <mergeCell ref="I103:J103"/>
    <mergeCell ref="C91:J91"/>
    <mergeCell ref="C111:J112"/>
    <mergeCell ref="K114:Q129"/>
    <mergeCell ref="C98:H98"/>
    <mergeCell ref="I129:J129"/>
    <mergeCell ref="I110:J110"/>
    <mergeCell ref="A116:E117"/>
    <mergeCell ref="K112:Q113"/>
    <mergeCell ref="C100:H100"/>
    <mergeCell ref="K94:Q103"/>
    <mergeCell ref="D118:F119"/>
    <mergeCell ref="A122:B124"/>
    <mergeCell ref="A60:G60"/>
    <mergeCell ref="H60:I60"/>
    <mergeCell ref="H61:I61"/>
    <mergeCell ref="A118:B121"/>
    <mergeCell ref="A88:C88"/>
    <mergeCell ref="A113:J113"/>
    <mergeCell ref="C99:H99"/>
    <mergeCell ref="A92:J92"/>
    <mergeCell ref="A114:E115"/>
    <mergeCell ref="C65:Q65"/>
    <mergeCell ref="A1:Q1"/>
    <mergeCell ref="K9:L10"/>
    <mergeCell ref="P9:Q10"/>
    <mergeCell ref="A12:Q12"/>
    <mergeCell ref="N9:O10"/>
    <mergeCell ref="G2:J2"/>
    <mergeCell ref="G3:J3"/>
    <mergeCell ref="A5:B6"/>
    <mergeCell ref="I6:J6"/>
    <mergeCell ref="A2:B4"/>
    <mergeCell ref="O6:P6"/>
    <mergeCell ref="C19:Q19"/>
    <mergeCell ref="A20:Q20"/>
    <mergeCell ref="C10:D10"/>
    <mergeCell ref="A18:Q18"/>
    <mergeCell ref="G9:J10"/>
    <mergeCell ref="A8:B8"/>
    <mergeCell ref="A11:B11"/>
    <mergeCell ref="A9:E9"/>
    <mergeCell ref="A10:B10"/>
    <mergeCell ref="C35:O35"/>
    <mergeCell ref="C36:O36"/>
    <mergeCell ref="C38:O38"/>
    <mergeCell ref="C37:O37"/>
    <mergeCell ref="A33:Q33"/>
    <mergeCell ref="P31:Q31"/>
    <mergeCell ref="B23:B26"/>
    <mergeCell ref="C25:F25"/>
    <mergeCell ref="C28:O28"/>
    <mergeCell ref="C29:O29"/>
    <mergeCell ref="C32:Q32"/>
    <mergeCell ref="H41:I41"/>
    <mergeCell ref="P42:Q42"/>
    <mergeCell ref="C39:O39"/>
    <mergeCell ref="C40:O40"/>
    <mergeCell ref="B48:B49"/>
    <mergeCell ref="H42:I42"/>
    <mergeCell ref="C43:Q43"/>
    <mergeCell ref="L46:O48"/>
    <mergeCell ref="C46:J47"/>
    <mergeCell ref="C48:J49"/>
    <mergeCell ref="A63:J64"/>
    <mergeCell ref="C2:F4"/>
    <mergeCell ref="M8:N8"/>
    <mergeCell ref="L4:N5"/>
    <mergeCell ref="L6:M6"/>
    <mergeCell ref="G7:I8"/>
    <mergeCell ref="C8:F8"/>
    <mergeCell ref="C5:F6"/>
    <mergeCell ref="G4:I5"/>
    <mergeCell ref="B46:B47"/>
    <mergeCell ref="A66:Q66"/>
    <mergeCell ref="C80:J80"/>
    <mergeCell ref="A68:G68"/>
    <mergeCell ref="A69:G70"/>
    <mergeCell ref="L72:M72"/>
    <mergeCell ref="L74:M74"/>
    <mergeCell ref="H70:I70"/>
    <mergeCell ref="L76:M76"/>
    <mergeCell ref="P78:Q78"/>
    <mergeCell ref="A79:Q79"/>
    <mergeCell ref="C50:J51"/>
    <mergeCell ref="A58:G59"/>
    <mergeCell ref="C56:Q56"/>
    <mergeCell ref="B50:B51"/>
    <mergeCell ref="H59:I59"/>
    <mergeCell ref="P55:Q55"/>
    <mergeCell ref="L53:N53"/>
    <mergeCell ref="A57:Q57"/>
    <mergeCell ref="K157:Q159"/>
    <mergeCell ref="K160:Q186"/>
    <mergeCell ref="B147:G147"/>
    <mergeCell ref="G125:H125"/>
    <mergeCell ref="D124:F125"/>
    <mergeCell ref="C135:G135"/>
    <mergeCell ref="C173:H173"/>
    <mergeCell ref="C171:H171"/>
    <mergeCell ref="B161:F162"/>
    <mergeCell ref="C172:H172"/>
  </mergeCells>
  <dataValidations count="7">
    <dataValidation type="list" allowBlank="1" showInputMessage="1" showErrorMessage="1" sqref="P13:P14 P16">
      <formula1>$K$2:$K$3</formula1>
    </dataValidation>
    <dataValidation type="list" allowBlank="1" showInputMessage="1" showErrorMessage="1" sqref="G25:K25">
      <formula1>$I$225:$I$231</formula1>
    </dataValidation>
    <dataValidation type="list" showInputMessage="1" showErrorMessage="1" sqref="C10:D10">
      <formula1>$F$193:$F$247</formula1>
    </dataValidation>
    <dataValidation type="list" allowBlank="1" showInputMessage="1" showErrorMessage="1" sqref="C5:F6">
      <formula1>$A$213:$A$223</formula1>
    </dataValidation>
    <dataValidation type="list" allowBlank="1" showInputMessage="1" showErrorMessage="1" sqref="C8:F8">
      <formula1>$A$193:$A$209</formula1>
    </dataValidation>
    <dataValidation type="list" allowBlank="1" showInputMessage="1" showErrorMessage="1" sqref="E182:H182">
      <formula1>$A$209:$A$210</formula1>
    </dataValidation>
    <dataValidation type="list" allowBlank="1" showInputMessage="1" showErrorMessage="1" sqref="D181:G181">
      <formula1>$A$226:$A$232</formula1>
    </dataValidation>
  </dataValidations>
  <printOptions/>
  <pageMargins left="0.59" right="0.34" top="0.8" bottom="0.52" header="0.32" footer="0.3"/>
  <pageSetup horizontalDpi="600" verticalDpi="600" orientation="portrait" scale="83" r:id="rId3"/>
  <headerFooter alignWithMargins="0">
    <oddHeader>&amp;C&amp;"Comic Sans MS,Regular"&amp;14Environmental Quality Incentives Program (EQIP)
Upper Arkansas River Watershed-Water Quality/Water Quantity Ranking Worksheet (C1)</oddHeader>
    <oddFooter>&amp;L&amp;12February 02, 2004&amp;C&amp;12Page &amp;P of &amp;N&amp;R&amp;12USDA-NRCS, Area 3, La Junta, CO</oddFooter>
  </headerFooter>
  <rowBreaks count="3" manualBreakCount="3">
    <brk id="90" max="16" man="1"/>
    <brk id="129" max="16" man="1"/>
    <brk id="155" max="16" man="1"/>
  </rowBreaks>
  <legacyDrawing r:id="rId2"/>
</worksheet>
</file>

<file path=xl/worksheets/sheet2.xml><?xml version="1.0" encoding="utf-8"?>
<worksheet xmlns="http://schemas.openxmlformats.org/spreadsheetml/2006/main" xmlns:r="http://schemas.openxmlformats.org/officeDocument/2006/relationships">
  <dimension ref="A1:V267"/>
  <sheetViews>
    <sheetView showGridLines="0" workbookViewId="0" topLeftCell="A219">
      <selection activeCell="A1" sqref="A1:S1"/>
    </sheetView>
  </sheetViews>
  <sheetFormatPr defaultColWidth="9.140625" defaultRowHeight="12.75"/>
  <cols>
    <col min="1" max="1" width="5.140625" style="0" customWidth="1"/>
    <col min="2" max="2" width="8.421875" style="0" customWidth="1"/>
    <col min="3" max="3" width="3.140625" style="0" customWidth="1"/>
    <col min="4" max="4" width="4.140625" style="0" customWidth="1"/>
    <col min="5" max="5" width="5.28125" style="0" customWidth="1"/>
    <col min="6" max="6" width="5.140625" style="0" customWidth="1"/>
    <col min="7" max="7" width="7.00390625" style="0" customWidth="1"/>
    <col min="8" max="8" width="6.00390625" style="0" customWidth="1"/>
    <col min="9" max="9" width="6.421875" style="0" customWidth="1"/>
    <col min="10" max="10" width="3.8515625" style="0" customWidth="1"/>
    <col min="11" max="11" width="6.28125" style="0" customWidth="1"/>
    <col min="12" max="12" width="6.421875" style="0" customWidth="1"/>
    <col min="13" max="13" width="9.28125" style="0" customWidth="1"/>
    <col min="14" max="14" width="6.28125" style="0" customWidth="1"/>
    <col min="15" max="15" width="6.140625" style="0" customWidth="1"/>
    <col min="16" max="17" width="6.421875" style="0" customWidth="1"/>
    <col min="18" max="18" width="6.140625" style="0" customWidth="1"/>
    <col min="19" max="19" width="6.421875" style="0" customWidth="1"/>
    <col min="20" max="20" width="6.00390625" style="0" customWidth="1"/>
    <col min="21" max="21" width="12.7109375" style="42" customWidth="1"/>
    <col min="22" max="22" width="16.57421875" style="42" customWidth="1"/>
    <col min="23" max="27" width="9.140625" style="42" customWidth="1"/>
  </cols>
  <sheetData>
    <row r="1" spans="1:22" ht="18.75" thickBot="1">
      <c r="A1" s="1009" t="s">
        <v>48</v>
      </c>
      <c r="B1" s="1010"/>
      <c r="C1" s="1010"/>
      <c r="D1" s="1010"/>
      <c r="E1" s="1010"/>
      <c r="F1" s="1010"/>
      <c r="G1" s="1010"/>
      <c r="H1" s="1010"/>
      <c r="I1" s="1010"/>
      <c r="J1" s="1010"/>
      <c r="K1" s="1010"/>
      <c r="L1" s="1010"/>
      <c r="M1" s="1010"/>
      <c r="N1" s="1010"/>
      <c r="O1" s="1010"/>
      <c r="P1" s="1010"/>
      <c r="Q1" s="1010"/>
      <c r="R1" s="1010"/>
      <c r="S1" s="1011"/>
      <c r="U1" s="61"/>
      <c r="V1" s="61"/>
    </row>
    <row r="2" spans="1:22" ht="14.25" customHeight="1">
      <c r="A2" s="1277" t="s">
        <v>281</v>
      </c>
      <c r="B2" s="1278"/>
      <c r="C2" s="1263"/>
      <c r="D2" s="1263"/>
      <c r="E2" s="1263"/>
      <c r="F2" s="1263"/>
      <c r="G2" s="1263"/>
      <c r="H2" s="1263"/>
      <c r="I2" s="1264"/>
      <c r="J2" s="1257" t="s">
        <v>265</v>
      </c>
      <c r="K2" s="1258"/>
      <c r="L2" s="1259"/>
      <c r="M2" s="507" t="s">
        <v>362</v>
      </c>
      <c r="N2" s="675"/>
      <c r="O2" s="66"/>
      <c r="P2" s="67"/>
      <c r="Q2" s="68"/>
      <c r="R2" s="69"/>
      <c r="S2" s="70"/>
      <c r="U2" s="61"/>
      <c r="V2" s="61"/>
    </row>
    <row r="3" spans="1:22" ht="14.25" customHeight="1" thickBot="1">
      <c r="A3" s="1279"/>
      <c r="B3" s="1280"/>
      <c r="C3" s="1265"/>
      <c r="D3" s="1265"/>
      <c r="E3" s="1265"/>
      <c r="F3" s="1265"/>
      <c r="G3" s="1265"/>
      <c r="H3" s="1265"/>
      <c r="I3" s="1266"/>
      <c r="J3" s="1260"/>
      <c r="K3" s="1261"/>
      <c r="L3" s="1262"/>
      <c r="M3" s="676" t="s">
        <v>363</v>
      </c>
      <c r="N3" s="677"/>
      <c r="O3" s="71"/>
      <c r="P3" s="71"/>
      <c r="Q3" s="72"/>
      <c r="R3" s="73"/>
      <c r="S3" s="74"/>
      <c r="U3" s="61"/>
      <c r="V3" s="61"/>
    </row>
    <row r="4" spans="1:22" ht="15" customHeight="1">
      <c r="A4" s="1281"/>
      <c r="B4" s="1282"/>
      <c r="C4" s="1267"/>
      <c r="D4" s="1267"/>
      <c r="E4" s="1267"/>
      <c r="F4" s="1267"/>
      <c r="G4" s="1267"/>
      <c r="H4" s="1267"/>
      <c r="I4" s="1268"/>
      <c r="J4" s="1283" t="s">
        <v>282</v>
      </c>
      <c r="K4" s="1284"/>
      <c r="L4" s="1285"/>
      <c r="M4" s="678">
        <v>2</v>
      </c>
      <c r="N4" s="299"/>
      <c r="O4" s="1"/>
      <c r="P4" s="1"/>
      <c r="Q4" s="299"/>
      <c r="R4" s="300"/>
      <c r="S4" s="301"/>
      <c r="U4" s="61"/>
      <c r="V4" s="61"/>
    </row>
    <row r="5" spans="1:22" ht="25.5" customHeight="1">
      <c r="A5" s="1246" t="s">
        <v>416</v>
      </c>
      <c r="B5" s="1247"/>
      <c r="C5" s="1248"/>
      <c r="D5" s="1249"/>
      <c r="E5" s="1249"/>
      <c r="F5" s="1249"/>
      <c r="G5" s="1249"/>
      <c r="H5" s="1249"/>
      <c r="I5" s="1250"/>
      <c r="J5" s="1298" t="s">
        <v>328</v>
      </c>
      <c r="K5" s="1299"/>
      <c r="L5" s="1299"/>
      <c r="M5" s="1299"/>
      <c r="N5" s="1299"/>
      <c r="O5" s="303" t="s">
        <v>329</v>
      </c>
      <c r="P5" s="304" t="s">
        <v>330</v>
      </c>
      <c r="Q5" s="1291" t="s">
        <v>478</v>
      </c>
      <c r="R5" s="1292"/>
      <c r="S5" s="679">
        <v>0</v>
      </c>
      <c r="U5" s="61"/>
      <c r="V5" s="61"/>
    </row>
    <row r="6" spans="1:22" ht="27" customHeight="1">
      <c r="A6" s="1251" t="s">
        <v>820</v>
      </c>
      <c r="B6" s="1252"/>
      <c r="C6" s="1253">
        <v>0</v>
      </c>
      <c r="D6" s="1254"/>
      <c r="E6" s="1254"/>
      <c r="F6" s="1255" t="s">
        <v>821</v>
      </c>
      <c r="G6" s="1256"/>
      <c r="H6" s="1275">
        <v>0</v>
      </c>
      <c r="I6" s="1276"/>
      <c r="J6" s="680"/>
      <c r="K6" s="681"/>
      <c r="L6" s="681"/>
      <c r="M6" s="307"/>
      <c r="N6" s="307"/>
      <c r="O6" s="307"/>
      <c r="P6" s="306"/>
      <c r="Q6" s="170" t="s">
        <v>46</v>
      </c>
      <c r="R6" s="1273">
        <f>C6+H6</f>
        <v>0</v>
      </c>
      <c r="S6" s="1274"/>
      <c r="U6" s="61"/>
      <c r="V6" s="61"/>
    </row>
    <row r="7" spans="1:22" ht="16.5" customHeight="1">
      <c r="A7" s="1004" t="s">
        <v>266</v>
      </c>
      <c r="B7" s="1006"/>
      <c r="C7" s="1269"/>
      <c r="D7" s="1270"/>
      <c r="E7" s="1270"/>
      <c r="F7" s="1270"/>
      <c r="G7" s="1270"/>
      <c r="H7" s="1270"/>
      <c r="I7" s="1271"/>
      <c r="J7" s="994" t="s">
        <v>470</v>
      </c>
      <c r="K7" s="995"/>
      <c r="L7" s="995"/>
      <c r="M7" s="996"/>
      <c r="N7" s="1220">
        <v>0</v>
      </c>
      <c r="O7" s="1221"/>
      <c r="P7" s="1215" t="s">
        <v>268</v>
      </c>
      <c r="Q7" s="1021"/>
      <c r="R7" s="1016">
        <f>SUM(R30,R39,R45,R71,K104,R121,K151)</f>
        <v>0</v>
      </c>
      <c r="S7" s="1017"/>
      <c r="U7" s="61"/>
      <c r="V7" s="61"/>
    </row>
    <row r="8" spans="1:22" ht="15" customHeight="1" thickBot="1">
      <c r="A8" s="1007" t="s">
        <v>267</v>
      </c>
      <c r="B8" s="1008"/>
      <c r="C8" s="992"/>
      <c r="D8" s="1272"/>
      <c r="E8" s="1272"/>
      <c r="F8" s="993"/>
      <c r="G8" s="309" t="s">
        <v>283</v>
      </c>
      <c r="H8" s="1293">
        <f ca="1">IF(C8="","",NOW())</f>
      </c>
      <c r="I8" s="1294"/>
      <c r="J8" s="1295"/>
      <c r="K8" s="1296"/>
      <c r="L8" s="1296"/>
      <c r="M8" s="1297"/>
      <c r="N8" s="1222"/>
      <c r="O8" s="1223"/>
      <c r="P8" s="1216"/>
      <c r="Q8" s="1217"/>
      <c r="R8" s="1218"/>
      <c r="S8" s="1219"/>
      <c r="U8" s="61"/>
      <c r="V8" s="61"/>
    </row>
    <row r="9" spans="1:22" ht="17.25" customHeight="1" thickBot="1">
      <c r="A9" s="1226" t="s">
        <v>813</v>
      </c>
      <c r="B9" s="1227"/>
      <c r="C9" s="1224">
        <f>IF(H8="","",IF(OR(S12&gt;1,R12="NO",R13="YES"),"LOW PRIORITY",IF(AND(R15="YES",R11="NO"),"HIGH PRIORITY","MEDIUM PRIORITY")))</f>
      </c>
      <c r="D9" s="1225"/>
      <c r="E9" s="1225"/>
      <c r="F9" s="1225"/>
      <c r="G9" s="1225"/>
      <c r="H9" s="1225"/>
      <c r="I9" s="1225"/>
      <c r="J9" s="682"/>
      <c r="K9" s="683"/>
      <c r="L9" s="683"/>
      <c r="M9" s="683"/>
      <c r="N9" s="259"/>
      <c r="O9" s="259"/>
      <c r="P9" s="684"/>
      <c r="Q9" s="684"/>
      <c r="R9" s="685"/>
      <c r="S9" s="686"/>
      <c r="U9" s="61"/>
      <c r="V9" s="61"/>
    </row>
    <row r="10" spans="1:22" ht="18.75" customHeight="1" thickBot="1">
      <c r="A10" s="883" t="s">
        <v>49</v>
      </c>
      <c r="B10" s="884"/>
      <c r="C10" s="884"/>
      <c r="D10" s="884"/>
      <c r="E10" s="884"/>
      <c r="F10" s="884"/>
      <c r="G10" s="884"/>
      <c r="H10" s="884"/>
      <c r="I10" s="884"/>
      <c r="J10" s="884"/>
      <c r="K10" s="884"/>
      <c r="L10" s="884"/>
      <c r="M10" s="884"/>
      <c r="N10" s="884"/>
      <c r="O10" s="884"/>
      <c r="P10" s="884"/>
      <c r="Q10" s="884"/>
      <c r="R10" s="884"/>
      <c r="S10" s="885"/>
      <c r="U10" s="61"/>
      <c r="V10" s="61"/>
    </row>
    <row r="11" spans="1:22" ht="27" customHeight="1">
      <c r="A11" s="687" t="s">
        <v>815</v>
      </c>
      <c r="B11" s="1230" t="s">
        <v>1</v>
      </c>
      <c r="C11" s="1230"/>
      <c r="D11" s="1230"/>
      <c r="E11" s="1230"/>
      <c r="F11" s="1230"/>
      <c r="G11" s="1230"/>
      <c r="H11" s="1230"/>
      <c r="I11" s="1230"/>
      <c r="J11" s="1230"/>
      <c r="K11" s="1230"/>
      <c r="L11" s="1230"/>
      <c r="M11" s="1230"/>
      <c r="N11" s="1230"/>
      <c r="O11" s="1230"/>
      <c r="P11" s="1230"/>
      <c r="Q11" s="1231"/>
      <c r="R11" s="688"/>
      <c r="S11" s="689"/>
      <c r="U11" s="61"/>
      <c r="V11" s="61"/>
    </row>
    <row r="12" spans="1:22" ht="17.25" customHeight="1" thickBot="1">
      <c r="A12" s="690" t="s">
        <v>816</v>
      </c>
      <c r="B12" s="1232" t="s">
        <v>822</v>
      </c>
      <c r="C12" s="1232"/>
      <c r="D12" s="1232"/>
      <c r="E12" s="1232"/>
      <c r="F12" s="1232"/>
      <c r="G12" s="1232"/>
      <c r="H12" s="1232"/>
      <c r="I12" s="1232"/>
      <c r="J12" s="1232"/>
      <c r="K12" s="1232"/>
      <c r="L12" s="1232"/>
      <c r="M12" s="1232"/>
      <c r="N12" s="1232"/>
      <c r="O12" s="1232"/>
      <c r="P12" s="1232"/>
      <c r="Q12" s="1233"/>
      <c r="R12" s="691"/>
      <c r="S12" s="692">
        <f>COUNTIF(R11:R12,"NO")</f>
        <v>0</v>
      </c>
      <c r="U12" s="61"/>
      <c r="V12" s="61"/>
    </row>
    <row r="13" spans="1:22" ht="27.75" customHeight="1">
      <c r="A13" s="541" t="s">
        <v>814</v>
      </c>
      <c r="B13" s="1234" t="s">
        <v>232</v>
      </c>
      <c r="C13" s="1234"/>
      <c r="D13" s="1234"/>
      <c r="E13" s="1234"/>
      <c r="F13" s="1234"/>
      <c r="G13" s="1234"/>
      <c r="H13" s="1234"/>
      <c r="I13" s="1234"/>
      <c r="J13" s="1234"/>
      <c r="K13" s="1234"/>
      <c r="L13" s="1234"/>
      <c r="M13" s="1234"/>
      <c r="N13" s="1234"/>
      <c r="O13" s="1234"/>
      <c r="P13" s="1234"/>
      <c r="Q13" s="1235"/>
      <c r="R13" s="693"/>
      <c r="S13" s="692"/>
      <c r="U13" s="61"/>
      <c r="V13" s="61"/>
    </row>
    <row r="14" spans="1:22" ht="46.5" customHeight="1" thickBot="1">
      <c r="A14" s="1228" t="s">
        <v>609</v>
      </c>
      <c r="B14" s="1229"/>
      <c r="C14" s="1229"/>
      <c r="D14" s="1229"/>
      <c r="E14" s="1229"/>
      <c r="F14" s="1229"/>
      <c r="G14" s="1229"/>
      <c r="H14" s="1229"/>
      <c r="I14" s="1229"/>
      <c r="J14" s="1229"/>
      <c r="K14" s="1229"/>
      <c r="L14" s="1229"/>
      <c r="M14" s="1229"/>
      <c r="N14" s="1229"/>
      <c r="O14" s="1229"/>
      <c r="P14" s="1229"/>
      <c r="Q14" s="1229"/>
      <c r="R14" s="1229"/>
      <c r="S14" s="694"/>
      <c r="U14" s="61"/>
      <c r="V14" s="61"/>
    </row>
    <row r="15" spans="1:22" ht="27.75" customHeight="1">
      <c r="A15" s="319" t="s">
        <v>817</v>
      </c>
      <c r="B15" s="1236" t="s">
        <v>823</v>
      </c>
      <c r="C15" s="1237"/>
      <c r="D15" s="1237"/>
      <c r="E15" s="1237"/>
      <c r="F15" s="1237"/>
      <c r="G15" s="1237"/>
      <c r="H15" s="1237"/>
      <c r="I15" s="1237"/>
      <c r="J15" s="1237"/>
      <c r="K15" s="1237"/>
      <c r="L15" s="1237"/>
      <c r="M15" s="1237"/>
      <c r="N15" s="1237"/>
      <c r="O15" s="1237"/>
      <c r="P15" s="1237"/>
      <c r="Q15" s="1238"/>
      <c r="R15" s="695"/>
      <c r="S15" s="696"/>
      <c r="U15" s="61"/>
      <c r="V15" s="61"/>
    </row>
    <row r="16" spans="1:22" ht="16.5" customHeight="1" thickBot="1">
      <c r="A16" s="1176" t="s">
        <v>34</v>
      </c>
      <c r="B16" s="1177"/>
      <c r="C16" s="1177"/>
      <c r="D16" s="1177"/>
      <c r="E16" s="1177"/>
      <c r="F16" s="1177"/>
      <c r="G16" s="1177"/>
      <c r="H16" s="1177"/>
      <c r="I16" s="1177"/>
      <c r="J16" s="1177"/>
      <c r="K16" s="1177"/>
      <c r="L16" s="1177"/>
      <c r="M16" s="1177"/>
      <c r="N16" s="1177"/>
      <c r="O16" s="1177"/>
      <c r="P16" s="1177"/>
      <c r="Q16" s="1177"/>
      <c r="R16" s="1178"/>
      <c r="S16" s="376"/>
      <c r="U16" s="61"/>
      <c r="V16" s="61"/>
    </row>
    <row r="17" spans="1:22" ht="18.75" customHeight="1" thickBot="1">
      <c r="A17" s="883" t="s">
        <v>50</v>
      </c>
      <c r="B17" s="884"/>
      <c r="C17" s="884"/>
      <c r="D17" s="884"/>
      <c r="E17" s="884"/>
      <c r="F17" s="884"/>
      <c r="G17" s="884"/>
      <c r="H17" s="884"/>
      <c r="I17" s="884"/>
      <c r="J17" s="884"/>
      <c r="K17" s="884"/>
      <c r="L17" s="884"/>
      <c r="M17" s="884"/>
      <c r="N17" s="884"/>
      <c r="O17" s="884"/>
      <c r="P17" s="884"/>
      <c r="Q17" s="884"/>
      <c r="R17" s="884"/>
      <c r="S17" s="885"/>
      <c r="U17" s="61"/>
      <c r="V17" s="61"/>
    </row>
    <row r="18" spans="1:22" ht="15" customHeight="1">
      <c r="A18" s="321" t="s">
        <v>437</v>
      </c>
      <c r="B18" s="322"/>
      <c r="C18" s="322"/>
      <c r="D18" s="322"/>
      <c r="E18" s="902" t="s">
        <v>497</v>
      </c>
      <c r="F18" s="902"/>
      <c r="G18" s="902"/>
      <c r="H18" s="902"/>
      <c r="I18" s="902"/>
      <c r="J18" s="902"/>
      <c r="K18" s="902"/>
      <c r="L18" s="902"/>
      <c r="M18" s="902"/>
      <c r="N18" s="902"/>
      <c r="O18" s="902"/>
      <c r="P18" s="902"/>
      <c r="Q18" s="902"/>
      <c r="R18" s="902"/>
      <c r="S18" s="903"/>
      <c r="U18" s="61"/>
      <c r="V18" s="61"/>
    </row>
    <row r="19" spans="1:22" ht="28.5" customHeight="1" thickBot="1">
      <c r="A19" s="896" t="s">
        <v>499</v>
      </c>
      <c r="B19" s="893"/>
      <c r="C19" s="893"/>
      <c r="D19" s="893"/>
      <c r="E19" s="893"/>
      <c r="F19" s="893"/>
      <c r="G19" s="893"/>
      <c r="H19" s="893"/>
      <c r="I19" s="893"/>
      <c r="J19" s="893"/>
      <c r="K19" s="893"/>
      <c r="L19" s="893"/>
      <c r="M19" s="893"/>
      <c r="N19" s="893"/>
      <c r="O19" s="893"/>
      <c r="P19" s="893"/>
      <c r="Q19" s="893"/>
      <c r="R19" s="893"/>
      <c r="S19" s="894"/>
      <c r="U19" s="61"/>
      <c r="V19" s="61"/>
    </row>
    <row r="20" spans="1:22" ht="18" customHeight="1" thickTop="1">
      <c r="A20" s="697"/>
      <c r="B20" s="601"/>
      <c r="C20" s="601"/>
      <c r="D20" s="600"/>
      <c r="E20" s="601"/>
      <c r="F20" s="601"/>
      <c r="G20" s="601"/>
      <c r="H20" s="601"/>
      <c r="I20" s="601"/>
      <c r="J20" s="599"/>
      <c r="K20" s="599"/>
      <c r="L20" s="599"/>
      <c r="M20" s="600"/>
      <c r="N20" s="601"/>
      <c r="O20" s="601"/>
      <c r="P20" s="601"/>
      <c r="Q20" s="602"/>
      <c r="R20" s="603"/>
      <c r="S20" s="584"/>
      <c r="U20" s="61"/>
      <c r="V20" s="61"/>
    </row>
    <row r="21" spans="1:22" ht="13.5" customHeight="1">
      <c r="A21" s="361"/>
      <c r="B21" s="698"/>
      <c r="C21" s="918" t="s">
        <v>832</v>
      </c>
      <c r="D21" s="919"/>
      <c r="E21" s="919"/>
      <c r="F21" s="919"/>
      <c r="G21" s="919"/>
      <c r="H21" s="919"/>
      <c r="I21" s="919"/>
      <c r="J21" s="919"/>
      <c r="K21" s="919"/>
      <c r="L21" s="914"/>
      <c r="M21" s="699"/>
      <c r="N21" s="965" t="s">
        <v>503</v>
      </c>
      <c r="O21" s="965"/>
      <c r="P21" s="965"/>
      <c r="Q21" s="965"/>
      <c r="R21" s="583"/>
      <c r="S21" s="588"/>
      <c r="U21" s="61"/>
      <c r="V21" s="61"/>
    </row>
    <row r="22" spans="1:22" ht="19.5" customHeight="1">
      <c r="A22" s="361"/>
      <c r="B22" s="700"/>
      <c r="C22" s="915"/>
      <c r="D22" s="913"/>
      <c r="E22" s="913"/>
      <c r="F22" s="913"/>
      <c r="G22" s="913"/>
      <c r="H22" s="913"/>
      <c r="I22" s="913"/>
      <c r="J22" s="913"/>
      <c r="K22" s="913"/>
      <c r="L22" s="911"/>
      <c r="M22" s="699"/>
      <c r="N22" s="965"/>
      <c r="O22" s="965"/>
      <c r="P22" s="965"/>
      <c r="Q22" s="965"/>
      <c r="R22" s="583"/>
      <c r="S22" s="585">
        <v>3</v>
      </c>
      <c r="U22" s="61"/>
      <c r="V22" s="61"/>
    </row>
    <row r="23" spans="1:22" ht="21.75" customHeight="1">
      <c r="A23" s="332"/>
      <c r="B23" s="904"/>
      <c r="C23" s="918" t="s">
        <v>833</v>
      </c>
      <c r="D23" s="919"/>
      <c r="E23" s="919"/>
      <c r="F23" s="919"/>
      <c r="G23" s="919"/>
      <c r="H23" s="919"/>
      <c r="I23" s="919"/>
      <c r="J23" s="919"/>
      <c r="K23" s="919"/>
      <c r="L23" s="914"/>
      <c r="M23" s="306"/>
      <c r="N23" s="965"/>
      <c r="O23" s="965"/>
      <c r="P23" s="965"/>
      <c r="Q23" s="965"/>
      <c r="R23" s="359"/>
      <c r="S23" s="360"/>
      <c r="U23" s="61"/>
      <c r="V23" s="61"/>
    </row>
    <row r="24" spans="1:22" ht="15" customHeight="1">
      <c r="A24" s="361"/>
      <c r="B24" s="905"/>
      <c r="C24" s="915"/>
      <c r="D24" s="913"/>
      <c r="E24" s="913"/>
      <c r="F24" s="913"/>
      <c r="G24" s="913"/>
      <c r="H24" s="913"/>
      <c r="I24" s="913"/>
      <c r="J24" s="913"/>
      <c r="K24" s="913"/>
      <c r="L24" s="911"/>
      <c r="M24" s="306"/>
      <c r="N24" s="365" t="s">
        <v>329</v>
      </c>
      <c r="O24" s="358"/>
      <c r="P24" s="367" t="s">
        <v>330</v>
      </c>
      <c r="Q24" s="358"/>
      <c r="R24" s="359"/>
      <c r="S24" s="360"/>
      <c r="U24" s="61"/>
      <c r="V24" s="61"/>
    </row>
    <row r="25" spans="1:22" ht="15" customHeight="1">
      <c r="A25" s="364"/>
      <c r="B25" s="1244"/>
      <c r="C25" s="918" t="s">
        <v>828</v>
      </c>
      <c r="D25" s="919"/>
      <c r="E25" s="919"/>
      <c r="F25" s="919"/>
      <c r="G25" s="919"/>
      <c r="H25" s="919"/>
      <c r="I25" s="919"/>
      <c r="J25" s="919"/>
      <c r="K25" s="919"/>
      <c r="L25" s="914"/>
      <c r="M25" s="306"/>
      <c r="N25" s="358"/>
      <c r="O25" s="358"/>
      <c r="P25" s="358"/>
      <c r="Q25" s="358"/>
      <c r="R25" s="359"/>
      <c r="S25" s="360"/>
      <c r="U25" s="61"/>
      <c r="V25" s="61"/>
    </row>
    <row r="26" spans="1:22" ht="15" customHeight="1">
      <c r="A26" s="364"/>
      <c r="B26" s="1245"/>
      <c r="C26" s="915"/>
      <c r="D26" s="913"/>
      <c r="E26" s="913"/>
      <c r="F26" s="913"/>
      <c r="G26" s="913"/>
      <c r="H26" s="913"/>
      <c r="I26" s="913"/>
      <c r="J26" s="913"/>
      <c r="K26" s="913"/>
      <c r="L26" s="911"/>
      <c r="M26" s="306"/>
      <c r="N26" s="416"/>
      <c r="O26" s="366"/>
      <c r="P26" s="416"/>
      <c r="Q26" s="306"/>
      <c r="R26" s="306"/>
      <c r="S26" s="368">
        <v>2</v>
      </c>
      <c r="U26" s="61"/>
      <c r="V26" s="61"/>
    </row>
    <row r="27" spans="1:22" ht="11.25" customHeight="1" thickBot="1">
      <c r="A27" s="364"/>
      <c r="B27" s="362"/>
      <c r="C27" s="362"/>
      <c r="D27" s="362"/>
      <c r="E27" s="362"/>
      <c r="F27" s="362"/>
      <c r="G27" s="362"/>
      <c r="H27" s="362"/>
      <c r="I27" s="362"/>
      <c r="J27" s="355"/>
      <c r="K27" s="701"/>
      <c r="L27" s="357"/>
      <c r="M27" s="306"/>
      <c r="N27" s="306"/>
      <c r="O27" s="369"/>
      <c r="P27" s="369"/>
      <c r="Q27" s="370"/>
      <c r="R27" s="362"/>
      <c r="S27" s="360"/>
      <c r="U27" s="61"/>
      <c r="V27" s="61"/>
    </row>
    <row r="28" spans="1:22" ht="15" customHeight="1" thickBot="1" thickTop="1">
      <c r="A28" s="364"/>
      <c r="B28" s="362"/>
      <c r="C28" s="362"/>
      <c r="D28" s="362"/>
      <c r="E28" s="362"/>
      <c r="F28" s="362"/>
      <c r="G28" s="1242" t="s">
        <v>354</v>
      </c>
      <c r="H28" s="1242"/>
      <c r="I28" s="1242"/>
      <c r="J28" s="1242"/>
      <c r="K28" s="1243"/>
      <c r="L28" s="281">
        <f>IF(S22=1,5,IF(S22=2,2,0))</f>
        <v>0</v>
      </c>
      <c r="M28" s="326" t="s">
        <v>352</v>
      </c>
      <c r="N28" s="901" t="s">
        <v>498</v>
      </c>
      <c r="O28" s="901"/>
      <c r="P28" s="901"/>
      <c r="Q28" s="279">
        <f>IF(S26=1,7,0)</f>
        <v>0</v>
      </c>
      <c r="R28" s="372" t="s">
        <v>353</v>
      </c>
      <c r="S28" s="360"/>
      <c r="U28" s="61"/>
      <c r="V28" s="61"/>
    </row>
    <row r="29" spans="1:22" ht="8.25" customHeight="1" thickBot="1" thickTop="1">
      <c r="A29" s="364"/>
      <c r="B29" s="362"/>
      <c r="C29" s="362"/>
      <c r="D29" s="362"/>
      <c r="E29" s="362"/>
      <c r="F29" s="362"/>
      <c r="G29" s="362"/>
      <c r="H29" s="362"/>
      <c r="I29" s="306"/>
      <c r="J29" s="306"/>
      <c r="K29" s="306"/>
      <c r="L29" s="1241"/>
      <c r="M29" s="1241"/>
      <c r="N29" s="1241"/>
      <c r="O29" s="1241"/>
      <c r="P29" s="1241"/>
      <c r="Q29" s="1241"/>
      <c r="R29" s="373"/>
      <c r="S29" s="360"/>
      <c r="U29" s="61"/>
      <c r="V29" s="61"/>
    </row>
    <row r="30" spans="1:22" ht="15" customHeight="1" thickBot="1">
      <c r="A30" s="350" t="s">
        <v>355</v>
      </c>
      <c r="B30" s="377"/>
      <c r="C30" s="377"/>
      <c r="D30" s="377"/>
      <c r="E30" s="377"/>
      <c r="F30" s="377"/>
      <c r="G30" s="377"/>
      <c r="H30" s="377"/>
      <c r="I30" s="377"/>
      <c r="J30" s="377"/>
      <c r="K30" s="377"/>
      <c r="L30" s="378"/>
      <c r="M30" s="377"/>
      <c r="N30" s="377"/>
      <c r="O30" s="377"/>
      <c r="P30" s="377"/>
      <c r="Q30" s="354" t="s">
        <v>346</v>
      </c>
      <c r="R30" s="899">
        <f>L28+Q28</f>
        <v>0</v>
      </c>
      <c r="S30" s="900"/>
      <c r="U30" s="61"/>
      <c r="V30" s="61"/>
    </row>
    <row r="31" spans="1:22" ht="15" customHeight="1">
      <c r="A31" s="321" t="s">
        <v>438</v>
      </c>
      <c r="B31" s="322"/>
      <c r="C31" s="322"/>
      <c r="D31" s="902" t="s">
        <v>367</v>
      </c>
      <c r="E31" s="902"/>
      <c r="F31" s="902"/>
      <c r="G31" s="902"/>
      <c r="H31" s="902"/>
      <c r="I31" s="902"/>
      <c r="J31" s="902"/>
      <c r="K31" s="902"/>
      <c r="L31" s="902"/>
      <c r="M31" s="902"/>
      <c r="N31" s="902"/>
      <c r="O31" s="902"/>
      <c r="P31" s="902"/>
      <c r="Q31" s="902"/>
      <c r="R31" s="902"/>
      <c r="S31" s="903"/>
      <c r="U31" s="61"/>
      <c r="V31" s="61"/>
    </row>
    <row r="32" spans="1:22" ht="24.75" customHeight="1" thickBot="1">
      <c r="A32" s="897" t="s">
        <v>36</v>
      </c>
      <c r="B32" s="898"/>
      <c r="C32" s="898"/>
      <c r="D32" s="898"/>
      <c r="E32" s="898"/>
      <c r="F32" s="898"/>
      <c r="G32" s="898"/>
      <c r="H32" s="898"/>
      <c r="I32" s="898"/>
      <c r="J32" s="898"/>
      <c r="K32" s="898"/>
      <c r="L32" s="898"/>
      <c r="M32" s="898"/>
      <c r="N32" s="898"/>
      <c r="O32" s="898"/>
      <c r="P32" s="898"/>
      <c r="Q32" s="898"/>
      <c r="R32" s="898"/>
      <c r="S32" s="895"/>
      <c r="U32" s="61"/>
      <c r="V32" s="61"/>
    </row>
    <row r="33" spans="1:22" ht="7.5" customHeight="1" thickTop="1">
      <c r="A33" s="908" t="s">
        <v>149</v>
      </c>
      <c r="B33" s="909"/>
      <c r="C33" s="909"/>
      <c r="D33" s="909"/>
      <c r="E33" s="909"/>
      <c r="F33" s="909"/>
      <c r="G33" s="909"/>
      <c r="H33" s="909"/>
      <c r="I33" s="909"/>
      <c r="J33" s="909"/>
      <c r="K33" s="909"/>
      <c r="L33" s="909"/>
      <c r="M33" s="362"/>
      <c r="N33" s="362"/>
      <c r="O33" s="362"/>
      <c r="P33" s="362"/>
      <c r="Q33" s="362"/>
      <c r="R33" s="362"/>
      <c r="S33" s="360">
        <v>1</v>
      </c>
      <c r="U33" s="61"/>
      <c r="V33" s="61"/>
    </row>
    <row r="34" spans="1:22" ht="15" customHeight="1">
      <c r="A34" s="908"/>
      <c r="B34" s="909"/>
      <c r="C34" s="909"/>
      <c r="D34" s="909"/>
      <c r="E34" s="909"/>
      <c r="F34" s="909"/>
      <c r="G34" s="909"/>
      <c r="H34" s="909"/>
      <c r="I34" s="909"/>
      <c r="J34" s="909"/>
      <c r="K34" s="909"/>
      <c r="L34" s="909"/>
      <c r="M34" s="302">
        <f>C6+H6</f>
        <v>0</v>
      </c>
      <c r="N34" s="402" t="s">
        <v>152</v>
      </c>
      <c r="O34" s="362"/>
      <c r="P34" s="362"/>
      <c r="Q34" s="362"/>
      <c r="R34" s="362"/>
      <c r="S34" s="360"/>
      <c r="U34" s="61"/>
      <c r="V34" s="61"/>
    </row>
    <row r="35" spans="1:22" ht="15" customHeight="1" thickBot="1">
      <c r="A35" s="7"/>
      <c r="B35" s="6"/>
      <c r="C35" s="1042" t="s">
        <v>151</v>
      </c>
      <c r="D35" s="1042"/>
      <c r="E35" s="1042"/>
      <c r="F35" s="1042"/>
      <c r="G35" s="1042"/>
      <c r="H35" s="1042"/>
      <c r="I35" s="1042"/>
      <c r="J35" s="1042"/>
      <c r="K35" s="1042"/>
      <c r="L35" s="1303"/>
      <c r="M35" s="403">
        <v>0</v>
      </c>
      <c r="N35" s="404" t="s">
        <v>153</v>
      </c>
      <c r="O35" s="901" t="s">
        <v>595</v>
      </c>
      <c r="P35" s="901"/>
      <c r="Q35" s="371"/>
      <c r="R35" s="371"/>
      <c r="S35" s="405"/>
      <c r="U35" s="61"/>
      <c r="V35" s="61"/>
    </row>
    <row r="36" spans="1:22" ht="15" customHeight="1" thickBot="1" thickTop="1">
      <c r="A36" s="127"/>
      <c r="B36" s="128"/>
      <c r="C36" s="128"/>
      <c r="D36" s="128"/>
      <c r="E36" s="128"/>
      <c r="F36" s="128"/>
      <c r="G36" s="128"/>
      <c r="H36" s="128"/>
      <c r="I36" s="128"/>
      <c r="J36" s="128"/>
      <c r="K36" s="6"/>
      <c r="L36" s="77" t="s">
        <v>156</v>
      </c>
      <c r="M36" s="277">
        <f>IF(M35=0,0,M35/M34)</f>
        <v>0</v>
      </c>
      <c r="N36" s="402" t="s">
        <v>154</v>
      </c>
      <c r="O36" s="901"/>
      <c r="P36" s="901"/>
      <c r="Q36" s="287">
        <f>IF(M36=0,0,IF(M35&lt;0,0,-6.3898*LN(M36)+29.188))</f>
        <v>0</v>
      </c>
      <c r="R36" s="357" t="s">
        <v>596</v>
      </c>
      <c r="S36" s="360"/>
      <c r="U36" s="61"/>
      <c r="V36" s="61"/>
    </row>
    <row r="37" spans="1:22" ht="6" customHeight="1" thickTop="1">
      <c r="A37" s="364"/>
      <c r="B37" s="362"/>
      <c r="C37" s="362"/>
      <c r="D37" s="362"/>
      <c r="E37" s="362"/>
      <c r="F37" s="362"/>
      <c r="G37" s="362"/>
      <c r="H37" s="362"/>
      <c r="I37" s="362"/>
      <c r="J37" s="362"/>
      <c r="K37" s="329"/>
      <c r="L37" s="383"/>
      <c r="M37" s="383"/>
      <c r="N37" s="362"/>
      <c r="O37" s="362"/>
      <c r="P37" s="362"/>
      <c r="Q37" s="362"/>
      <c r="R37" s="362"/>
      <c r="S37" s="360"/>
      <c r="U37" s="61"/>
      <c r="V37" s="61"/>
    </row>
    <row r="38" spans="1:22" ht="14.25" customHeight="1" thickBot="1">
      <c r="A38" s="1203" t="s">
        <v>37</v>
      </c>
      <c r="B38" s="1204"/>
      <c r="C38" s="1204"/>
      <c r="D38" s="1204"/>
      <c r="E38" s="1204"/>
      <c r="F38" s="1204"/>
      <c r="G38" s="1204"/>
      <c r="H38" s="1204"/>
      <c r="I38" s="1204"/>
      <c r="J38" s="1204"/>
      <c r="K38" s="329"/>
      <c r="L38" s="383"/>
      <c r="M38" s="383"/>
      <c r="N38" s="362"/>
      <c r="O38" s="362"/>
      <c r="P38" s="362"/>
      <c r="Q38" s="362"/>
      <c r="R38" s="362"/>
      <c r="S38" s="376"/>
      <c r="U38" s="61"/>
      <c r="V38" s="61"/>
    </row>
    <row r="39" spans="1:22" ht="15" customHeight="1" thickBot="1">
      <c r="A39" s="1205"/>
      <c r="B39" s="1206"/>
      <c r="C39" s="1206"/>
      <c r="D39" s="1206"/>
      <c r="E39" s="1206"/>
      <c r="F39" s="1206"/>
      <c r="G39" s="1206"/>
      <c r="H39" s="1206"/>
      <c r="I39" s="1206"/>
      <c r="J39" s="1206"/>
      <c r="K39" s="329"/>
      <c r="L39" s="306"/>
      <c r="M39" s="384"/>
      <c r="N39" s="306"/>
      <c r="O39" s="306"/>
      <c r="P39" s="402"/>
      <c r="Q39" s="354" t="s">
        <v>361</v>
      </c>
      <c r="R39" s="973">
        <f>IF(Q36&lt;0,0,IF(Q36&gt;15,15,Q36))</f>
        <v>0</v>
      </c>
      <c r="S39" s="974"/>
      <c r="U39" s="61"/>
      <c r="V39" s="61"/>
    </row>
    <row r="40" spans="1:22" ht="15" customHeight="1">
      <c r="A40" s="321" t="s">
        <v>439</v>
      </c>
      <c r="B40" s="322"/>
      <c r="C40" s="322"/>
      <c r="D40" s="902" t="s">
        <v>652</v>
      </c>
      <c r="E40" s="902"/>
      <c r="F40" s="902"/>
      <c r="G40" s="902"/>
      <c r="H40" s="902"/>
      <c r="I40" s="902"/>
      <c r="J40" s="902"/>
      <c r="K40" s="902"/>
      <c r="L40" s="902"/>
      <c r="M40" s="902"/>
      <c r="N40" s="902"/>
      <c r="O40" s="902"/>
      <c r="P40" s="902"/>
      <c r="Q40" s="902"/>
      <c r="R40" s="1183"/>
      <c r="S40" s="1184"/>
      <c r="U40" s="61"/>
      <c r="V40" s="61"/>
    </row>
    <row r="41" spans="1:22" ht="27" customHeight="1" thickBot="1">
      <c r="A41" s="896" t="s">
        <v>86</v>
      </c>
      <c r="B41" s="893"/>
      <c r="C41" s="893"/>
      <c r="D41" s="893"/>
      <c r="E41" s="893"/>
      <c r="F41" s="893"/>
      <c r="G41" s="893"/>
      <c r="H41" s="893"/>
      <c r="I41" s="893"/>
      <c r="J41" s="893"/>
      <c r="K41" s="893"/>
      <c r="L41" s="893"/>
      <c r="M41" s="893"/>
      <c r="N41" s="893"/>
      <c r="O41" s="893"/>
      <c r="P41" s="893"/>
      <c r="Q41" s="893"/>
      <c r="R41" s="893"/>
      <c r="S41" s="894"/>
      <c r="U41" s="61"/>
      <c r="V41" s="61"/>
    </row>
    <row r="42" spans="1:22" ht="3.75" customHeight="1" thickBot="1" thickTop="1">
      <c r="A42" s="364"/>
      <c r="B42" s="362"/>
      <c r="C42" s="362"/>
      <c r="D42" s="362"/>
      <c r="E42" s="362"/>
      <c r="F42" s="362"/>
      <c r="G42" s="362"/>
      <c r="H42" s="362"/>
      <c r="I42" s="362"/>
      <c r="J42" s="362"/>
      <c r="K42" s="329"/>
      <c r="L42" s="383"/>
      <c r="M42" s="383"/>
      <c r="N42" s="362"/>
      <c r="O42" s="362"/>
      <c r="P42" s="362"/>
      <c r="Q42" s="362"/>
      <c r="R42" s="362"/>
      <c r="S42" s="360"/>
      <c r="U42" s="61"/>
      <c r="V42" s="61"/>
    </row>
    <row r="43" spans="1:22" ht="15" customHeight="1" thickBot="1" thickTop="1">
      <c r="A43" s="364"/>
      <c r="B43" s="362"/>
      <c r="C43" s="362"/>
      <c r="D43" s="362"/>
      <c r="E43" s="362"/>
      <c r="F43" s="362"/>
      <c r="G43" s="362"/>
      <c r="H43" s="362"/>
      <c r="I43" s="362"/>
      <c r="J43" s="362"/>
      <c r="K43" s="384"/>
      <c r="L43" s="306"/>
      <c r="M43" s="384" t="s">
        <v>217</v>
      </c>
      <c r="N43" s="890">
        <f>IF(M4&gt;1,0,S5*2)</f>
        <v>0</v>
      </c>
      <c r="O43" s="886"/>
      <c r="P43" s="357" t="s">
        <v>66</v>
      </c>
      <c r="Q43" s="362"/>
      <c r="R43" s="362"/>
      <c r="S43" s="360"/>
      <c r="U43" s="61"/>
      <c r="V43" s="61"/>
    </row>
    <row r="44" spans="1:22" ht="2.25" customHeight="1" thickBot="1" thickTop="1">
      <c r="A44" s="364"/>
      <c r="B44" s="362"/>
      <c r="C44" s="362"/>
      <c r="D44" s="362"/>
      <c r="E44" s="362"/>
      <c r="F44" s="362"/>
      <c r="G44" s="362"/>
      <c r="H44" s="362"/>
      <c r="I44" s="362"/>
      <c r="J44" s="362"/>
      <c r="K44" s="384"/>
      <c r="L44" s="1240"/>
      <c r="M44" s="1240"/>
      <c r="N44" s="362"/>
      <c r="O44" s="362"/>
      <c r="P44" s="362"/>
      <c r="Q44" s="362"/>
      <c r="R44" s="362"/>
      <c r="S44" s="376"/>
      <c r="U44" s="61"/>
      <c r="V44" s="61"/>
    </row>
    <row r="45" spans="1:22" ht="16.5" customHeight="1" thickBot="1">
      <c r="A45" s="350" t="s">
        <v>840</v>
      </c>
      <c r="B45" s="351"/>
      <c r="C45" s="351"/>
      <c r="D45" s="351"/>
      <c r="E45" s="351"/>
      <c r="F45" s="351"/>
      <c r="G45" s="351"/>
      <c r="H45" s="351"/>
      <c r="I45" s="351"/>
      <c r="J45" s="351"/>
      <c r="K45" s="351"/>
      <c r="L45" s="351"/>
      <c r="M45" s="351"/>
      <c r="N45" s="351"/>
      <c r="O45" s="351"/>
      <c r="P45" s="351"/>
      <c r="Q45" s="354" t="s">
        <v>368</v>
      </c>
      <c r="R45" s="973">
        <f>IF(N43&gt;10,10,N43)</f>
        <v>0</v>
      </c>
      <c r="S45" s="1239"/>
      <c r="U45" s="61"/>
      <c r="V45" s="61"/>
    </row>
    <row r="46" spans="1:22" ht="15.75" customHeight="1">
      <c r="A46" s="321" t="s">
        <v>440</v>
      </c>
      <c r="B46" s="406"/>
      <c r="C46" s="406"/>
      <c r="D46" s="902" t="s">
        <v>263</v>
      </c>
      <c r="E46" s="902"/>
      <c r="F46" s="902"/>
      <c r="G46" s="902"/>
      <c r="H46" s="902"/>
      <c r="I46" s="902"/>
      <c r="J46" s="902"/>
      <c r="K46" s="902"/>
      <c r="L46" s="902"/>
      <c r="M46" s="902"/>
      <c r="N46" s="902"/>
      <c r="O46" s="902"/>
      <c r="P46" s="902"/>
      <c r="Q46" s="902"/>
      <c r="R46" s="902"/>
      <c r="S46" s="903"/>
      <c r="U46" s="61"/>
      <c r="V46" s="61"/>
    </row>
    <row r="47" spans="1:22" ht="12" customHeight="1" thickBot="1">
      <c r="A47" s="1158" t="s">
        <v>8</v>
      </c>
      <c r="B47" s="1159"/>
      <c r="C47" s="1159"/>
      <c r="D47" s="1159"/>
      <c r="E47" s="1159"/>
      <c r="F47" s="1159"/>
      <c r="G47" s="1159"/>
      <c r="H47" s="1159"/>
      <c r="I47" s="1159"/>
      <c r="J47" s="1159"/>
      <c r="K47" s="1159"/>
      <c r="L47" s="1159"/>
      <c r="M47" s="1159"/>
      <c r="N47" s="1159"/>
      <c r="O47" s="1159"/>
      <c r="P47" s="1159"/>
      <c r="Q47" s="1159"/>
      <c r="R47" s="1159"/>
      <c r="S47" s="1160"/>
      <c r="T47" s="48"/>
      <c r="U47" s="61"/>
      <c r="V47" s="61"/>
    </row>
    <row r="48" spans="1:22" ht="6" customHeight="1" thickTop="1">
      <c r="A48" s="702"/>
      <c r="B48" s="703"/>
      <c r="C48" s="703"/>
      <c r="D48" s="703"/>
      <c r="E48" s="703"/>
      <c r="F48" s="703"/>
      <c r="G48" s="703"/>
      <c r="H48" s="703"/>
      <c r="I48" s="703"/>
      <c r="J48" s="703"/>
      <c r="K48" s="703"/>
      <c r="L48" s="703"/>
      <c r="M48" s="703"/>
      <c r="N48" s="703"/>
      <c r="O48" s="703"/>
      <c r="P48" s="703"/>
      <c r="Q48" s="703"/>
      <c r="R48" s="704"/>
      <c r="S48" s="705"/>
      <c r="T48" s="48"/>
      <c r="U48" s="61"/>
      <c r="V48" s="61"/>
    </row>
    <row r="49" spans="1:22" ht="15" customHeight="1">
      <c r="A49" s="1300" t="s">
        <v>6</v>
      </c>
      <c r="B49" s="1301"/>
      <c r="C49" s="1301"/>
      <c r="D49" s="1301"/>
      <c r="E49" s="706"/>
      <c r="F49" s="706"/>
      <c r="G49" s="706"/>
      <c r="H49" s="706"/>
      <c r="I49" s="1201" t="s">
        <v>5</v>
      </c>
      <c r="J49" s="1201"/>
      <c r="K49" s="1201"/>
      <c r="L49" s="1201"/>
      <c r="M49" s="1202"/>
      <c r="N49" s="1207">
        <v>0</v>
      </c>
      <c r="O49" s="1208"/>
      <c r="P49" s="629" t="s">
        <v>73</v>
      </c>
      <c r="Q49" s="629"/>
      <c r="R49" s="707"/>
      <c r="S49" s="708"/>
      <c r="T49" s="48"/>
      <c r="U49" s="61"/>
      <c r="V49" s="61"/>
    </row>
    <row r="50" spans="1:22" ht="9.75" customHeight="1">
      <c r="A50" s="709"/>
      <c r="B50" s="558"/>
      <c r="C50" s="558"/>
      <c r="D50" s="558"/>
      <c r="E50" s="558"/>
      <c r="F50" s="558"/>
      <c r="G50" s="558"/>
      <c r="H50" s="558"/>
      <c r="I50" s="370"/>
      <c r="J50" s="889" t="s">
        <v>600</v>
      </c>
      <c r="K50" s="889"/>
      <c r="L50" s="889"/>
      <c r="M50" s="889"/>
      <c r="N50" s="329"/>
      <c r="O50" s="629"/>
      <c r="P50" s="629"/>
      <c r="Q50" s="629"/>
      <c r="R50" s="707"/>
      <c r="S50" s="708"/>
      <c r="T50" s="48"/>
      <c r="U50" s="61"/>
      <c r="V50" s="61"/>
    </row>
    <row r="51" spans="1:22" ht="15" customHeight="1">
      <c r="A51" s="413" t="s">
        <v>602</v>
      </c>
      <c r="B51" s="336" t="s">
        <v>601</v>
      </c>
      <c r="C51" s="1186" t="s">
        <v>593</v>
      </c>
      <c r="D51" s="426" t="s">
        <v>311</v>
      </c>
      <c r="E51" s="1185" t="s">
        <v>310</v>
      </c>
      <c r="F51" s="159"/>
      <c r="G51" s="1317" t="s">
        <v>317</v>
      </c>
      <c r="H51" s="1185"/>
      <c r="I51" s="711"/>
      <c r="J51" s="889"/>
      <c r="K51" s="889"/>
      <c r="L51" s="889"/>
      <c r="M51" s="889"/>
      <c r="N51" s="416"/>
      <c r="O51" s="416"/>
      <c r="P51" s="416"/>
      <c r="Q51" s="712"/>
      <c r="R51" s="713"/>
      <c r="S51" s="440">
        <f>IF(F51="","",F51*I51)</f>
      </c>
      <c r="U51" s="61"/>
      <c r="V51" s="61"/>
    </row>
    <row r="52" spans="1:22" ht="15" customHeight="1">
      <c r="A52" s="333" t="s">
        <v>63</v>
      </c>
      <c r="B52" s="306"/>
      <c r="C52" s="1186"/>
      <c r="D52" s="426" t="s">
        <v>312</v>
      </c>
      <c r="E52" s="1185"/>
      <c r="F52" s="159"/>
      <c r="G52" s="1317"/>
      <c r="H52" s="1185"/>
      <c r="I52" s="711"/>
      <c r="J52" s="889"/>
      <c r="K52" s="889"/>
      <c r="L52" s="889"/>
      <c r="M52" s="889"/>
      <c r="N52" s="1325">
        <f>IF($H$6=0,0,N49/$H$6)</f>
        <v>0</v>
      </c>
      <c r="O52" s="1326"/>
      <c r="P52" s="714" t="s">
        <v>74</v>
      </c>
      <c r="Q52" s="715"/>
      <c r="R52" s="716"/>
      <c r="S52" s="440">
        <f>IF(F52="","",F52*I52)</f>
      </c>
      <c r="U52" s="61"/>
      <c r="V52" s="61"/>
    </row>
    <row r="53" spans="1:22" ht="15" customHeight="1">
      <c r="A53" s="333" t="s">
        <v>61</v>
      </c>
      <c r="B53" s="306"/>
      <c r="C53" s="1186"/>
      <c r="D53" s="426" t="s">
        <v>313</v>
      </c>
      <c r="E53" s="1185"/>
      <c r="F53" s="159"/>
      <c r="G53" s="1317"/>
      <c r="H53" s="1185"/>
      <c r="I53" s="711"/>
      <c r="J53" s="717"/>
      <c r="K53" s="889" t="s">
        <v>599</v>
      </c>
      <c r="L53" s="889"/>
      <c r="M53" s="889"/>
      <c r="N53" s="416"/>
      <c r="O53" s="306"/>
      <c r="P53" s="416"/>
      <c r="Q53" s="416"/>
      <c r="R53" s="718"/>
      <c r="S53" s="440">
        <f>IF(F53="","",F53*I53)</f>
      </c>
      <c r="U53" s="61"/>
      <c r="V53" s="61"/>
    </row>
    <row r="54" spans="1:22" ht="15" customHeight="1">
      <c r="A54" s="333" t="s">
        <v>60</v>
      </c>
      <c r="B54" s="306"/>
      <c r="C54" s="1186"/>
      <c r="D54" s="431" t="s">
        <v>314</v>
      </c>
      <c r="E54" s="1185"/>
      <c r="F54" s="159"/>
      <c r="G54" s="1317"/>
      <c r="H54" s="1185"/>
      <c r="I54" s="711"/>
      <c r="J54" s="719"/>
      <c r="K54" s="889"/>
      <c r="L54" s="889"/>
      <c r="M54" s="889"/>
      <c r="N54" s="749">
        <f>IF(I58&lt;25,20,(IF(I58&lt;50,10,(IF(I58&lt;75,5,0)))))</f>
        <v>0</v>
      </c>
      <c r="O54" s="402" t="s">
        <v>75</v>
      </c>
      <c r="P54" s="720"/>
      <c r="Q54" s="715"/>
      <c r="R54" s="716"/>
      <c r="S54" s="440">
        <f>IF(F54="","",F54*I54)</f>
      </c>
      <c r="U54" s="61"/>
      <c r="V54" s="61"/>
    </row>
    <row r="55" spans="1:22" ht="13.5" customHeight="1">
      <c r="A55" s="333" t="s">
        <v>62</v>
      </c>
      <c r="B55" s="415"/>
      <c r="C55" s="1186"/>
      <c r="D55" s="426" t="s">
        <v>315</v>
      </c>
      <c r="E55" s="1185"/>
      <c r="F55" s="159"/>
      <c r="G55" s="1317"/>
      <c r="H55" s="1185"/>
      <c r="I55" s="711"/>
      <c r="J55" s="719"/>
      <c r="K55" s="721"/>
      <c r="L55" s="721"/>
      <c r="M55" s="416"/>
      <c r="N55" s="416"/>
      <c r="O55" s="720"/>
      <c r="P55" s="720"/>
      <c r="Q55" s="416"/>
      <c r="R55" s="716"/>
      <c r="S55" s="440">
        <f>IF(F55="","",F55*I55)</f>
      </c>
      <c r="U55" s="61"/>
      <c r="V55" s="61"/>
    </row>
    <row r="56" spans="1:22" ht="5.25" customHeight="1" thickBot="1">
      <c r="A56" s="722"/>
      <c r="B56" s="415"/>
      <c r="C56" s="710"/>
      <c r="D56" s="426"/>
      <c r="E56" s="723"/>
      <c r="F56" s="153"/>
      <c r="G56" s="723"/>
      <c r="H56" s="723"/>
      <c r="I56" s="724"/>
      <c r="J56" s="725"/>
      <c r="K56" s="91"/>
      <c r="L56" s="306"/>
      <c r="M56" s="726"/>
      <c r="N56" s="306"/>
      <c r="O56" s="306"/>
      <c r="P56" s="306"/>
      <c r="Q56" s="715"/>
      <c r="R56" s="716"/>
      <c r="S56" s="440"/>
      <c r="U56" s="61"/>
      <c r="V56" s="61"/>
    </row>
    <row r="57" spans="1:22" ht="15" customHeight="1" thickBot="1" thickTop="1">
      <c r="A57" s="722"/>
      <c r="B57" s="415"/>
      <c r="C57" s="1323" t="s">
        <v>603</v>
      </c>
      <c r="D57" s="1324"/>
      <c r="E57" s="1324"/>
      <c r="F57" s="1324"/>
      <c r="G57" s="1324"/>
      <c r="H57" s="1324"/>
      <c r="I57" s="725"/>
      <c r="J57" s="725"/>
      <c r="K57" s="91"/>
      <c r="L57" s="306"/>
      <c r="M57" s="726"/>
      <c r="N57" s="306"/>
      <c r="O57" s="384" t="s">
        <v>598</v>
      </c>
      <c r="P57" s="294">
        <f>N54*N52</f>
        <v>0</v>
      </c>
      <c r="Q57" s="592" t="s">
        <v>88</v>
      </c>
      <c r="R57" s="716"/>
      <c r="S57" s="440"/>
      <c r="U57" s="61"/>
      <c r="V57" s="61"/>
    </row>
    <row r="58" spans="1:22" ht="14.25" customHeight="1" thickTop="1">
      <c r="A58" s="722"/>
      <c r="B58" s="415"/>
      <c r="C58" s="1324"/>
      <c r="D58" s="1324"/>
      <c r="E58" s="1324"/>
      <c r="F58" s="1324"/>
      <c r="G58" s="1324"/>
      <c r="H58" s="1324"/>
      <c r="I58" s="1321">
        <f>IF(SUM(I51:I55)=0,"",SUM(S51:S55)/SUM(I51:I55))</f>
      </c>
      <c r="J58" s="1322"/>
      <c r="K58" s="269" t="s">
        <v>87</v>
      </c>
      <c r="L58" s="306"/>
      <c r="M58" s="726"/>
      <c r="N58" s="306"/>
      <c r="O58" s="306"/>
      <c r="P58" s="306"/>
      <c r="Q58" s="715"/>
      <c r="R58" s="716"/>
      <c r="S58" s="440"/>
      <c r="U58" s="61"/>
      <c r="V58" s="61"/>
    </row>
    <row r="59" spans="1:22" ht="6" customHeight="1" thickBot="1">
      <c r="A59" s="727"/>
      <c r="B59" s="728"/>
      <c r="C59" s="729"/>
      <c r="D59" s="729"/>
      <c r="E59" s="729"/>
      <c r="F59" s="729"/>
      <c r="G59" s="729"/>
      <c r="H59" s="729"/>
      <c r="I59" s="296"/>
      <c r="J59" s="296"/>
      <c r="K59" s="730"/>
      <c r="L59" s="731"/>
      <c r="M59" s="732"/>
      <c r="N59" s="731"/>
      <c r="O59" s="731"/>
      <c r="P59" s="731"/>
      <c r="Q59" s="733"/>
      <c r="R59" s="716"/>
      <c r="S59" s="440"/>
      <c r="U59" s="61"/>
      <c r="V59" s="61"/>
    </row>
    <row r="60" spans="1:22" ht="6" customHeight="1">
      <c r="A60" s="722"/>
      <c r="B60" s="415"/>
      <c r="C60" s="370"/>
      <c r="D60" s="370"/>
      <c r="E60" s="370"/>
      <c r="F60" s="370"/>
      <c r="G60" s="370"/>
      <c r="H60" s="370"/>
      <c r="I60" s="295"/>
      <c r="J60" s="295"/>
      <c r="K60" s="91"/>
      <c r="L60" s="306"/>
      <c r="M60" s="726"/>
      <c r="N60" s="306"/>
      <c r="O60" s="306"/>
      <c r="P60" s="306"/>
      <c r="Q60" s="715"/>
      <c r="R60" s="716"/>
      <c r="S60" s="440"/>
      <c r="U60" s="61"/>
      <c r="V60" s="61"/>
    </row>
    <row r="61" spans="1:22" ht="15" customHeight="1">
      <c r="A61" s="1181" t="s">
        <v>10</v>
      </c>
      <c r="B61" s="1182"/>
      <c r="C61" s="1182"/>
      <c r="D61" s="504"/>
      <c r="E61" s="504"/>
      <c r="F61" s="504"/>
      <c r="G61" s="504"/>
      <c r="H61" s="504"/>
      <c r="I61" s="504"/>
      <c r="J61" s="504"/>
      <c r="K61" s="504"/>
      <c r="L61" s="504"/>
      <c r="M61" s="416"/>
      <c r="N61" s="268" t="s">
        <v>9</v>
      </c>
      <c r="O61" s="1207">
        <v>0</v>
      </c>
      <c r="P61" s="1208"/>
      <c r="Q61" s="269" t="s">
        <v>115</v>
      </c>
      <c r="R61" s="716"/>
      <c r="S61" s="440"/>
      <c r="U61" s="61"/>
      <c r="V61" s="61"/>
    </row>
    <row r="62" spans="1:22" ht="9.75" customHeight="1" thickBot="1">
      <c r="A62" s="503"/>
      <c r="B62" s="504"/>
      <c r="C62" s="504"/>
      <c r="D62" s="504"/>
      <c r="E62" s="504"/>
      <c r="F62" s="504"/>
      <c r="G62" s="504"/>
      <c r="H62" s="504"/>
      <c r="I62" s="504"/>
      <c r="J62" s="504"/>
      <c r="K62" s="504"/>
      <c r="L62" s="504"/>
      <c r="M62" s="416"/>
      <c r="N62" s="446"/>
      <c r="O62" s="734"/>
      <c r="P62" s="734"/>
      <c r="Q62" s="269"/>
      <c r="R62" s="716"/>
      <c r="S62" s="440"/>
      <c r="U62" s="61"/>
      <c r="V62" s="61"/>
    </row>
    <row r="63" spans="1:22" ht="15" customHeight="1" thickTop="1">
      <c r="A63" s="332"/>
      <c r="B63" s="306"/>
      <c r="C63" s="1186" t="s">
        <v>7</v>
      </c>
      <c r="D63" s="426" t="s">
        <v>311</v>
      </c>
      <c r="E63" s="1318" t="s">
        <v>318</v>
      </c>
      <c r="F63" s="155"/>
      <c r="G63" s="1317" t="s">
        <v>319</v>
      </c>
      <c r="H63" s="1185"/>
      <c r="I63" s="155"/>
      <c r="J63" s="1304" t="s">
        <v>320</v>
      </c>
      <c r="K63" s="735"/>
      <c r="L63" s="1290" t="s">
        <v>608</v>
      </c>
      <c r="M63" s="941"/>
      <c r="N63" s="941"/>
      <c r="O63" s="715"/>
      <c r="P63" s="715"/>
      <c r="Q63" s="715"/>
      <c r="R63" s="736">
        <f aca="true" t="shared" si="0" ref="R63:R68">IF(I63="","",IF(I63=0,"",F63/I63*100))</f>
      </c>
      <c r="S63" s="737">
        <f>IF(R63="","",IF(R63=0,"",R63*K63))</f>
      </c>
      <c r="U63" s="61"/>
      <c r="V63" s="61"/>
    </row>
    <row r="64" spans="1:22" ht="15" customHeight="1">
      <c r="A64" s="333" t="s">
        <v>63</v>
      </c>
      <c r="B64" s="306"/>
      <c r="C64" s="1186"/>
      <c r="D64" s="426" t="s">
        <v>312</v>
      </c>
      <c r="E64" s="1318"/>
      <c r="F64" s="57"/>
      <c r="G64" s="1317"/>
      <c r="H64" s="1185"/>
      <c r="I64" s="139"/>
      <c r="J64" s="1304"/>
      <c r="K64" s="735"/>
      <c r="L64" s="1290"/>
      <c r="M64" s="941"/>
      <c r="N64" s="941"/>
      <c r="O64" s="416"/>
      <c r="P64" s="715"/>
      <c r="Q64" s="715"/>
      <c r="R64" s="738">
        <f t="shared" si="0"/>
      </c>
      <c r="S64" s="739">
        <f>IF(R64="","",R64*K64)</f>
      </c>
      <c r="U64" s="61"/>
      <c r="V64" s="61"/>
    </row>
    <row r="65" spans="1:22" ht="15" customHeight="1">
      <c r="A65" s="333" t="s">
        <v>61</v>
      </c>
      <c r="B65" s="306"/>
      <c r="C65" s="1186"/>
      <c r="D65" s="426" t="s">
        <v>313</v>
      </c>
      <c r="E65" s="1318"/>
      <c r="F65" s="57"/>
      <c r="G65" s="1317"/>
      <c r="H65" s="1185"/>
      <c r="I65" s="139"/>
      <c r="J65" s="1304"/>
      <c r="K65" s="735"/>
      <c r="L65" s="1290"/>
      <c r="M65" s="941"/>
      <c r="N65" s="941"/>
      <c r="O65" s="1315">
        <f>IF($C$6=0,0,O61/$C$6)</f>
        <v>0</v>
      </c>
      <c r="P65" s="1316"/>
      <c r="Q65" s="740" t="s">
        <v>606</v>
      </c>
      <c r="R65" s="738">
        <f t="shared" si="0"/>
      </c>
      <c r="S65" s="739">
        <f>IF(R65="","",R65*K65)</f>
      </c>
      <c r="U65" s="61"/>
      <c r="V65" s="61"/>
    </row>
    <row r="66" spans="1:22" ht="15" customHeight="1">
      <c r="A66" s="333" t="s">
        <v>60</v>
      </c>
      <c r="B66" s="306"/>
      <c r="C66" s="1186"/>
      <c r="D66" s="426" t="s">
        <v>314</v>
      </c>
      <c r="E66" s="1318"/>
      <c r="F66" s="57"/>
      <c r="G66" s="1317"/>
      <c r="H66" s="1185"/>
      <c r="I66" s="139"/>
      <c r="J66" s="1304"/>
      <c r="K66" s="735"/>
      <c r="L66" s="1289" t="s">
        <v>607</v>
      </c>
      <c r="M66" s="889"/>
      <c r="N66" s="889"/>
      <c r="O66" s="720"/>
      <c r="P66" s="720"/>
      <c r="Q66" s="715"/>
      <c r="R66" s="738">
        <f t="shared" si="0"/>
      </c>
      <c r="S66" s="739">
        <f>IF(R66="","",R66*K66)</f>
      </c>
      <c r="U66" s="61"/>
      <c r="V66" s="61"/>
    </row>
    <row r="67" spans="1:22" ht="15" customHeight="1">
      <c r="A67" s="333" t="s">
        <v>62</v>
      </c>
      <c r="B67" s="306"/>
      <c r="C67" s="1186"/>
      <c r="D67" s="426" t="s">
        <v>315</v>
      </c>
      <c r="E67" s="1318"/>
      <c r="F67" s="57"/>
      <c r="G67" s="1317"/>
      <c r="H67" s="1185"/>
      <c r="I67" s="139"/>
      <c r="J67" s="1304"/>
      <c r="K67" s="735"/>
      <c r="L67" s="1289"/>
      <c r="M67" s="889"/>
      <c r="N67" s="889"/>
      <c r="O67" s="749">
        <f>IF(I70&lt;25,20,(IF(I70&lt;50,10,(IF(I70&lt;75,5,0)))))</f>
        <v>0</v>
      </c>
      <c r="P67" s="357" t="s">
        <v>116</v>
      </c>
      <c r="Q67" s="416"/>
      <c r="R67" s="738">
        <f t="shared" si="0"/>
      </c>
      <c r="S67" s="739">
        <f>IF(R67="","",R67*K67)</f>
      </c>
      <c r="U67" s="61"/>
      <c r="V67" s="61"/>
    </row>
    <row r="68" spans="1:22" ht="5.25" customHeight="1" thickBot="1">
      <c r="A68" s="332"/>
      <c r="B68" s="306"/>
      <c r="C68" s="306"/>
      <c r="D68" s="336"/>
      <c r="E68" s="741"/>
      <c r="F68" s="154"/>
      <c r="G68" s="710"/>
      <c r="H68" s="710"/>
      <c r="I68" s="154"/>
      <c r="J68" s="741"/>
      <c r="K68" s="742"/>
      <c r="L68" s="306"/>
      <c r="M68" s="726"/>
      <c r="N68" s="743"/>
      <c r="O68" s="715"/>
      <c r="P68" s="715"/>
      <c r="Q68" s="715"/>
      <c r="R68" s="744">
        <f t="shared" si="0"/>
      </c>
      <c r="S68" s="745">
        <f>IF(R68="","",R68*K68)</f>
      </c>
      <c r="U68" s="61"/>
      <c r="V68" s="61"/>
    </row>
    <row r="69" spans="1:22" ht="15" customHeight="1" thickBot="1" thickTop="1">
      <c r="A69" s="332"/>
      <c r="B69" s="306"/>
      <c r="C69" s="306"/>
      <c r="D69" s="336"/>
      <c r="E69" s="1314" t="s">
        <v>373</v>
      </c>
      <c r="F69" s="941"/>
      <c r="G69" s="941"/>
      <c r="H69" s="941"/>
      <c r="I69" s="297"/>
      <c r="J69" s="741"/>
      <c r="K69" s="306"/>
      <c r="L69" s="306"/>
      <c r="M69" s="726"/>
      <c r="N69" s="743"/>
      <c r="O69" s="115" t="s">
        <v>605</v>
      </c>
      <c r="P69" s="298">
        <f>O67*O65</f>
        <v>0</v>
      </c>
      <c r="Q69" s="597" t="s">
        <v>120</v>
      </c>
      <c r="R69" s="744"/>
      <c r="S69" s="745"/>
      <c r="U69" s="61"/>
      <c r="V69" s="61"/>
    </row>
    <row r="70" spans="1:22" ht="15" customHeight="1" thickBot="1" thickTop="1">
      <c r="A70" s="332"/>
      <c r="B70" s="306"/>
      <c r="C70" s="306"/>
      <c r="D70" s="336"/>
      <c r="E70" s="941"/>
      <c r="F70" s="941"/>
      <c r="G70" s="941"/>
      <c r="H70" s="941"/>
      <c r="I70" s="1312">
        <f>IF(SUM(S63:S67)=0,"",SUM(S63:S67)/SUM(K63:K67))</f>
      </c>
      <c r="J70" s="1313"/>
      <c r="K70" s="357" t="s">
        <v>119</v>
      </c>
      <c r="L70" s="306"/>
      <c r="M70" s="416"/>
      <c r="N70" s="743"/>
      <c r="O70" s="715"/>
      <c r="P70" s="715"/>
      <c r="Q70" s="715"/>
      <c r="R70" s="744"/>
      <c r="S70" s="745"/>
      <c r="U70" s="61"/>
      <c r="V70" s="61"/>
    </row>
    <row r="71" spans="1:22" ht="15.75" thickBot="1">
      <c r="A71" s="350" t="s">
        <v>604</v>
      </c>
      <c r="B71" s="351"/>
      <c r="C71" s="351"/>
      <c r="D71" s="351"/>
      <c r="E71" s="351"/>
      <c r="F71" s="351"/>
      <c r="G71" s="746"/>
      <c r="H71" s="746"/>
      <c r="I71" s="746"/>
      <c r="J71" s="746"/>
      <c r="K71" s="746"/>
      <c r="L71" s="746"/>
      <c r="M71" s="746"/>
      <c r="N71" s="747"/>
      <c r="O71" s="747"/>
      <c r="P71" s="351"/>
      <c r="Q71" s="354" t="s">
        <v>653</v>
      </c>
      <c r="R71" s="973">
        <f>P57+P69</f>
        <v>0</v>
      </c>
      <c r="S71" s="974"/>
      <c r="U71" s="61"/>
      <c r="V71" s="61"/>
    </row>
    <row r="72" spans="1:22" ht="18.75" thickBot="1">
      <c r="A72" s="883" t="s">
        <v>51</v>
      </c>
      <c r="B72" s="884"/>
      <c r="C72" s="884"/>
      <c r="D72" s="884"/>
      <c r="E72" s="884"/>
      <c r="F72" s="884"/>
      <c r="G72" s="884"/>
      <c r="H72" s="884"/>
      <c r="I72" s="884"/>
      <c r="J72" s="884"/>
      <c r="K72" s="884"/>
      <c r="L72" s="884"/>
      <c r="M72" s="884"/>
      <c r="N72" s="884"/>
      <c r="O72" s="884"/>
      <c r="P72" s="884"/>
      <c r="Q72" s="884"/>
      <c r="R72" s="884"/>
      <c r="S72" s="885"/>
      <c r="U72" s="61"/>
      <c r="V72" s="61"/>
    </row>
    <row r="73" spans="1:22" ht="15.75" customHeight="1" thickBot="1">
      <c r="A73" s="321" t="s">
        <v>437</v>
      </c>
      <c r="B73" s="406"/>
      <c r="C73" s="406"/>
      <c r="D73" s="891" t="s">
        <v>316</v>
      </c>
      <c r="E73" s="891"/>
      <c r="F73" s="891"/>
      <c r="G73" s="891"/>
      <c r="H73" s="891"/>
      <c r="I73" s="891"/>
      <c r="J73" s="891"/>
      <c r="K73" s="891"/>
      <c r="L73" s="892"/>
      <c r="M73" s="180" t="s">
        <v>250</v>
      </c>
      <c r="N73" s="181"/>
      <c r="O73" s="181"/>
      <c r="P73" s="181"/>
      <c r="Q73" s="182" t="s">
        <v>45</v>
      </c>
      <c r="R73" s="182"/>
      <c r="S73" s="183"/>
      <c r="U73" s="61"/>
      <c r="V73" s="61"/>
    </row>
    <row r="74" spans="1:22" ht="23.25" customHeight="1" thickBot="1" thickTop="1">
      <c r="A74" s="897" t="s">
        <v>332</v>
      </c>
      <c r="B74" s="898"/>
      <c r="C74" s="898"/>
      <c r="D74" s="898"/>
      <c r="E74" s="898"/>
      <c r="F74" s="898"/>
      <c r="G74" s="898"/>
      <c r="H74" s="898"/>
      <c r="I74" s="898"/>
      <c r="J74" s="898"/>
      <c r="K74" s="898"/>
      <c r="L74" s="895"/>
      <c r="M74" s="1306" t="s">
        <v>429</v>
      </c>
      <c r="N74" s="1307"/>
      <c r="O74" s="1307"/>
      <c r="P74" s="1307"/>
      <c r="Q74" s="1307"/>
      <c r="R74" s="1307"/>
      <c r="S74" s="1308"/>
      <c r="U74" s="61"/>
      <c r="V74" s="61"/>
    </row>
    <row r="75" spans="1:22" ht="15" customHeight="1" thickTop="1">
      <c r="A75" s="1211"/>
      <c r="B75" s="1212"/>
      <c r="C75" s="1212"/>
      <c r="D75" s="1212"/>
      <c r="E75" s="306"/>
      <c r="F75" s="306"/>
      <c r="G75" s="306"/>
      <c r="H75" s="306"/>
      <c r="I75" s="306"/>
      <c r="J75" s="306"/>
      <c r="K75" s="306"/>
      <c r="L75" s="412"/>
      <c r="M75" s="1309"/>
      <c r="N75" s="1310"/>
      <c r="O75" s="1310"/>
      <c r="P75" s="1310"/>
      <c r="Q75" s="1310"/>
      <c r="R75" s="1310"/>
      <c r="S75" s="1311"/>
      <c r="U75" s="61"/>
      <c r="V75" s="61"/>
    </row>
    <row r="76" spans="1:22" ht="18.75" customHeight="1">
      <c r="A76" s="332"/>
      <c r="B76" s="306" t="s">
        <v>483</v>
      </c>
      <c r="C76" s="306"/>
      <c r="D76" s="306"/>
      <c r="E76" s="306"/>
      <c r="F76" s="306"/>
      <c r="G76" s="336"/>
      <c r="H76" s="306"/>
      <c r="I76" s="306"/>
      <c r="J76" s="306"/>
      <c r="K76" s="306"/>
      <c r="L76" s="414">
        <f>IF($L$86=1,5,"")</f>
      </c>
      <c r="M76" s="1187"/>
      <c r="N76" s="1188"/>
      <c r="O76" s="1188"/>
      <c r="P76" s="1188"/>
      <c r="Q76" s="1188"/>
      <c r="R76" s="1188"/>
      <c r="S76" s="1189"/>
      <c r="U76" s="61"/>
      <c r="V76" s="61"/>
    </row>
    <row r="77" spans="1:22" ht="16.5" customHeight="1">
      <c r="A77" s="332"/>
      <c r="B77" s="306" t="s">
        <v>484</v>
      </c>
      <c r="C77" s="306"/>
      <c r="D77" s="306"/>
      <c r="E77" s="306"/>
      <c r="F77" s="306"/>
      <c r="G77" s="336"/>
      <c r="H77" s="306"/>
      <c r="I77" s="306"/>
      <c r="J77" s="306"/>
      <c r="K77" s="306"/>
      <c r="L77" s="414">
        <f>IF($L$86=2,10,"")</f>
      </c>
      <c r="M77" s="1190"/>
      <c r="N77" s="1191"/>
      <c r="O77" s="1191"/>
      <c r="P77" s="1191"/>
      <c r="Q77" s="1191"/>
      <c r="R77" s="1191"/>
      <c r="S77" s="1192"/>
      <c r="U77" s="61"/>
      <c r="V77" s="61"/>
    </row>
    <row r="78" spans="1:22" ht="16.5" customHeight="1">
      <c r="A78" s="332"/>
      <c r="B78" s="306" t="s">
        <v>485</v>
      </c>
      <c r="C78" s="306"/>
      <c r="D78" s="306"/>
      <c r="E78" s="306"/>
      <c r="F78" s="306"/>
      <c r="G78" s="336"/>
      <c r="H78" s="306"/>
      <c r="I78" s="306"/>
      <c r="J78" s="306"/>
      <c r="K78" s="306"/>
      <c r="L78" s="414">
        <f>IF($L$86=3,15,"")</f>
      </c>
      <c r="M78" s="1190"/>
      <c r="N78" s="1191"/>
      <c r="O78" s="1191"/>
      <c r="P78" s="1191"/>
      <c r="Q78" s="1191"/>
      <c r="R78" s="1191"/>
      <c r="S78" s="1192"/>
      <c r="U78" s="61"/>
      <c r="V78" s="61"/>
    </row>
    <row r="79" spans="1:22" ht="6" customHeight="1">
      <c r="A79" s="332"/>
      <c r="B79" s="306"/>
      <c r="C79" s="306"/>
      <c r="D79" s="306"/>
      <c r="E79" s="306"/>
      <c r="F79" s="306"/>
      <c r="G79" s="336"/>
      <c r="H79" s="306"/>
      <c r="I79" s="306"/>
      <c r="J79" s="306"/>
      <c r="K79" s="306"/>
      <c r="L79" s="414"/>
      <c r="M79" s="1190"/>
      <c r="N79" s="1191"/>
      <c r="O79" s="1191"/>
      <c r="P79" s="1191"/>
      <c r="Q79" s="1191"/>
      <c r="R79" s="1191"/>
      <c r="S79" s="1192"/>
      <c r="U79" s="61"/>
      <c r="V79" s="61"/>
    </row>
    <row r="80" spans="1:22" ht="12.75">
      <c r="A80" s="332"/>
      <c r="B80" s="306" t="s">
        <v>331</v>
      </c>
      <c r="C80" s="306"/>
      <c r="D80" s="306"/>
      <c r="E80" s="306"/>
      <c r="F80" s="306"/>
      <c r="G80" s="336"/>
      <c r="H80" s="306"/>
      <c r="I80" s="306"/>
      <c r="J80" s="306"/>
      <c r="K80" s="306"/>
      <c r="L80" s="414"/>
      <c r="M80" s="1190"/>
      <c r="N80" s="1191"/>
      <c r="O80" s="1191"/>
      <c r="P80" s="1191"/>
      <c r="Q80" s="1191"/>
      <c r="R80" s="1191"/>
      <c r="S80" s="1192"/>
      <c r="U80" s="61"/>
      <c r="V80" s="61"/>
    </row>
    <row r="81" spans="1:22" ht="15" customHeight="1">
      <c r="A81" s="332"/>
      <c r="B81" s="306"/>
      <c r="C81" s="306" t="s">
        <v>486</v>
      </c>
      <c r="D81" s="306"/>
      <c r="E81" s="306"/>
      <c r="F81" s="306"/>
      <c r="G81" s="336"/>
      <c r="H81" s="306"/>
      <c r="I81" s="306"/>
      <c r="J81" s="306"/>
      <c r="K81" s="306"/>
      <c r="L81" s="414">
        <f>IF($L$86=4,17,"")</f>
      </c>
      <c r="M81" s="1190"/>
      <c r="N81" s="1191"/>
      <c r="O81" s="1191"/>
      <c r="P81" s="1191"/>
      <c r="Q81" s="1191"/>
      <c r="R81" s="1191"/>
      <c r="S81" s="1192"/>
      <c r="U81" s="61"/>
      <c r="V81" s="61"/>
    </row>
    <row r="82" spans="1:22" ht="16.5" customHeight="1">
      <c r="A82" s="332"/>
      <c r="B82" s="306"/>
      <c r="C82" s="306" t="s">
        <v>487</v>
      </c>
      <c r="D82" s="306"/>
      <c r="E82" s="306"/>
      <c r="F82" s="306"/>
      <c r="G82" s="336"/>
      <c r="H82" s="306"/>
      <c r="I82" s="306"/>
      <c r="J82" s="306"/>
      <c r="K82" s="306"/>
      <c r="L82" s="414">
        <f>IF($L$86=5,19,"")</f>
      </c>
      <c r="M82" s="1190"/>
      <c r="N82" s="1191"/>
      <c r="O82" s="1191"/>
      <c r="P82" s="1191"/>
      <c r="Q82" s="1191"/>
      <c r="R82" s="1191"/>
      <c r="S82" s="1192"/>
      <c r="U82" s="61"/>
      <c r="V82" s="61"/>
    </row>
    <row r="83" spans="1:22" ht="16.5" customHeight="1">
      <c r="A83" s="332"/>
      <c r="B83" s="306"/>
      <c r="C83" s="306" t="s">
        <v>491</v>
      </c>
      <c r="D83" s="306"/>
      <c r="E83" s="306"/>
      <c r="F83" s="306"/>
      <c r="G83" s="336"/>
      <c r="H83" s="306"/>
      <c r="I83" s="306"/>
      <c r="J83" s="306"/>
      <c r="K83" s="306"/>
      <c r="L83" s="414">
        <f>IF($L$86=6,21,"")</f>
      </c>
      <c r="M83" s="1190"/>
      <c r="N83" s="1191"/>
      <c r="O83" s="1191"/>
      <c r="P83" s="1191"/>
      <c r="Q83" s="1191"/>
      <c r="R83" s="1191"/>
      <c r="S83" s="1192"/>
      <c r="U83" s="61"/>
      <c r="V83" s="61"/>
    </row>
    <row r="84" spans="1:22" ht="16.5" customHeight="1">
      <c r="A84" s="332"/>
      <c r="B84" s="306"/>
      <c r="C84" s="426" t="s">
        <v>492</v>
      </c>
      <c r="D84" s="306"/>
      <c r="E84" s="426"/>
      <c r="F84" s="426"/>
      <c r="G84" s="426"/>
      <c r="H84" s="426"/>
      <c r="I84" s="426"/>
      <c r="J84" s="426"/>
      <c r="K84" s="427"/>
      <c r="L84" s="414">
        <f>IF($L$86=7,23,"")</f>
      </c>
      <c r="M84" s="1190"/>
      <c r="N84" s="1191"/>
      <c r="O84" s="1191"/>
      <c r="P84" s="1191"/>
      <c r="Q84" s="1191"/>
      <c r="R84" s="1191"/>
      <c r="S84" s="1192"/>
      <c r="U84" s="61"/>
      <c r="V84" s="61"/>
    </row>
    <row r="85" spans="1:22" ht="19.5" customHeight="1">
      <c r="A85" s="332"/>
      <c r="B85" s="306" t="s">
        <v>493</v>
      </c>
      <c r="C85" s="306"/>
      <c r="D85" s="306"/>
      <c r="E85" s="306"/>
      <c r="F85" s="306"/>
      <c r="G85" s="336"/>
      <c r="H85" s="428"/>
      <c r="I85" s="428"/>
      <c r="J85" s="306"/>
      <c r="K85" s="427"/>
      <c r="L85" s="414">
        <f>IF($L$86=8,0,"")</f>
        <v>0</v>
      </c>
      <c r="M85" s="1190"/>
      <c r="N85" s="1191"/>
      <c r="O85" s="1191"/>
      <c r="P85" s="1191"/>
      <c r="Q85" s="1191"/>
      <c r="R85" s="1191"/>
      <c r="S85" s="1192"/>
      <c r="U85" s="61"/>
      <c r="V85" s="61"/>
    </row>
    <row r="86" spans="1:22" ht="13.5" customHeight="1" thickBot="1">
      <c r="A86" s="332"/>
      <c r="B86" s="306"/>
      <c r="C86" s="306"/>
      <c r="D86" s="306"/>
      <c r="E86" s="306"/>
      <c r="F86" s="306"/>
      <c r="G86" s="336"/>
      <c r="H86" s="428"/>
      <c r="I86" s="306"/>
      <c r="J86" s="306"/>
      <c r="K86" s="427"/>
      <c r="L86" s="420">
        <v>8</v>
      </c>
      <c r="M86" s="1190"/>
      <c r="N86" s="1191"/>
      <c r="O86" s="1191"/>
      <c r="P86" s="1191"/>
      <c r="Q86" s="1191"/>
      <c r="R86" s="1191"/>
      <c r="S86" s="1192"/>
      <c r="U86" s="61"/>
      <c r="V86" s="61"/>
    </row>
    <row r="87" spans="1:22" ht="16.5" customHeight="1">
      <c r="A87" s="332"/>
      <c r="B87" s="306"/>
      <c r="C87" s="306"/>
      <c r="D87" s="306"/>
      <c r="E87" s="306"/>
      <c r="F87" s="306"/>
      <c r="G87" s="336"/>
      <c r="H87" s="429" t="s">
        <v>226</v>
      </c>
      <c r="I87" s="1179">
        <f>MAX(L76:L85)</f>
        <v>0</v>
      </c>
      <c r="J87" s="1180"/>
      <c r="K87" s="430" t="s">
        <v>89</v>
      </c>
      <c r="L87" s="414"/>
      <c r="M87" s="1190"/>
      <c r="N87" s="1191"/>
      <c r="O87" s="1191"/>
      <c r="P87" s="1191"/>
      <c r="Q87" s="1191"/>
      <c r="R87" s="1191"/>
      <c r="S87" s="1192"/>
      <c r="U87" s="61"/>
      <c r="V87" s="61"/>
    </row>
    <row r="88" spans="1:22" ht="16.5" customHeight="1">
      <c r="A88" s="332"/>
      <c r="B88" s="306"/>
      <c r="C88" s="306"/>
      <c r="D88" s="306"/>
      <c r="E88" s="306"/>
      <c r="F88" s="306"/>
      <c r="G88" s="336"/>
      <c r="H88" s="428"/>
      <c r="I88" s="428"/>
      <c r="J88" s="306"/>
      <c r="K88" s="427"/>
      <c r="L88" s="414"/>
      <c r="M88" s="1190"/>
      <c r="N88" s="1191"/>
      <c r="O88" s="1191"/>
      <c r="P88" s="1191"/>
      <c r="Q88" s="1191"/>
      <c r="R88" s="1191"/>
      <c r="S88" s="1192"/>
      <c r="U88" s="61"/>
      <c r="V88" s="61"/>
    </row>
    <row r="89" spans="1:22" ht="42.75" customHeight="1">
      <c r="A89" s="332"/>
      <c r="B89" s="938" t="s">
        <v>64</v>
      </c>
      <c r="C89" s="938"/>
      <c r="D89" s="938"/>
      <c r="E89" s="938"/>
      <c r="F89" s="938"/>
      <c r="G89" s="938"/>
      <c r="H89" s="938"/>
      <c r="I89" s="938"/>
      <c r="J89" s="938"/>
      <c r="K89" s="427"/>
      <c r="L89" s="414"/>
      <c r="M89" s="1190"/>
      <c r="N89" s="1191"/>
      <c r="O89" s="1191"/>
      <c r="P89" s="1191"/>
      <c r="Q89" s="1191"/>
      <c r="R89" s="1191"/>
      <c r="S89" s="1192"/>
      <c r="U89" s="61"/>
      <c r="V89" s="61"/>
    </row>
    <row r="90" spans="1:22" ht="54" customHeight="1">
      <c r="A90" s="332"/>
      <c r="B90" s="1161" t="s">
        <v>205</v>
      </c>
      <c r="C90" s="1161"/>
      <c r="D90" s="1161"/>
      <c r="E90" s="1161"/>
      <c r="F90" s="1161"/>
      <c r="G90" s="1161"/>
      <c r="H90" s="1161"/>
      <c r="I90" s="1161"/>
      <c r="J90" s="1161"/>
      <c r="K90" s="427"/>
      <c r="L90" s="414"/>
      <c r="M90" s="1190"/>
      <c r="N90" s="1191"/>
      <c r="O90" s="1191"/>
      <c r="P90" s="1191"/>
      <c r="Q90" s="1191"/>
      <c r="R90" s="1191"/>
      <c r="S90" s="1192"/>
      <c r="U90" s="61"/>
      <c r="V90" s="61"/>
    </row>
    <row r="91" spans="1:22" ht="28.5" customHeight="1" thickBot="1">
      <c r="A91" s="332"/>
      <c r="B91" s="1161" t="s">
        <v>264</v>
      </c>
      <c r="C91" s="1161"/>
      <c r="D91" s="1161"/>
      <c r="E91" s="1161"/>
      <c r="F91" s="1161"/>
      <c r="G91" s="1161"/>
      <c r="H91" s="1161"/>
      <c r="I91" s="1161"/>
      <c r="J91" s="1161"/>
      <c r="K91" s="427"/>
      <c r="L91" s="420">
        <v>3</v>
      </c>
      <c r="M91" s="1190"/>
      <c r="N91" s="1191"/>
      <c r="O91" s="1191"/>
      <c r="P91" s="1191"/>
      <c r="Q91" s="1191"/>
      <c r="R91" s="1191"/>
      <c r="S91" s="1192"/>
      <c r="U91" s="61"/>
      <c r="V91" s="61"/>
    </row>
    <row r="92" spans="1:22" ht="5.25" customHeight="1">
      <c r="A92" s="332"/>
      <c r="B92" s="306"/>
      <c r="C92" s="306"/>
      <c r="D92" s="306"/>
      <c r="E92" s="306"/>
      <c r="F92" s="306"/>
      <c r="G92" s="336"/>
      <c r="H92" s="428"/>
      <c r="I92" s="428"/>
      <c r="J92" s="306"/>
      <c r="K92" s="427"/>
      <c r="L92" s="414"/>
      <c r="M92" s="1190"/>
      <c r="N92" s="1191"/>
      <c r="O92" s="1191"/>
      <c r="P92" s="1191"/>
      <c r="Q92" s="1191"/>
      <c r="R92" s="1191"/>
      <c r="S92" s="1192"/>
      <c r="U92" s="61"/>
      <c r="V92" s="61"/>
    </row>
    <row r="93" spans="1:22" ht="16.5" customHeight="1">
      <c r="A93" s="332"/>
      <c r="B93" s="306"/>
      <c r="C93" s="306"/>
      <c r="D93" s="306"/>
      <c r="E93" s="306"/>
      <c r="F93" s="306"/>
      <c r="G93" s="336"/>
      <c r="H93" s="429" t="s">
        <v>227</v>
      </c>
      <c r="I93" s="1213">
        <f>IF(L91=1,9,IF(L91=2,5,0))</f>
        <v>0</v>
      </c>
      <c r="J93" s="1214"/>
      <c r="K93" s="430" t="s">
        <v>90</v>
      </c>
      <c r="L93" s="414"/>
      <c r="M93" s="1190"/>
      <c r="N93" s="1191"/>
      <c r="O93" s="1191"/>
      <c r="P93" s="1191"/>
      <c r="Q93" s="1191"/>
      <c r="R93" s="1191"/>
      <c r="S93" s="1192"/>
      <c r="U93" s="61"/>
      <c r="V93" s="61"/>
    </row>
    <row r="94" spans="1:22" ht="16.5" customHeight="1">
      <c r="A94" s="332"/>
      <c r="B94" s="306"/>
      <c r="C94" s="306"/>
      <c r="D94" s="306"/>
      <c r="E94" s="306"/>
      <c r="F94" s="306"/>
      <c r="G94" s="336"/>
      <c r="H94" s="428"/>
      <c r="I94" s="306"/>
      <c r="J94" s="306"/>
      <c r="K94" s="427"/>
      <c r="L94" s="414"/>
      <c r="M94" s="1190"/>
      <c r="N94" s="1191"/>
      <c r="O94" s="1191"/>
      <c r="P94" s="1191"/>
      <c r="Q94" s="1191"/>
      <c r="R94" s="1191"/>
      <c r="S94" s="1192"/>
      <c r="U94" s="61"/>
      <c r="V94" s="61"/>
    </row>
    <row r="95" spans="1:22" ht="16.5" customHeight="1">
      <c r="A95" s="332"/>
      <c r="B95" s="366" t="s">
        <v>494</v>
      </c>
      <c r="C95" s="366"/>
      <c r="D95" s="366"/>
      <c r="E95" s="366"/>
      <c r="F95" s="431" t="s">
        <v>496</v>
      </c>
      <c r="G95" s="366"/>
      <c r="H95" s="432"/>
      <c r="I95" s="428"/>
      <c r="J95" s="306"/>
      <c r="K95" s="427"/>
      <c r="L95" s="414"/>
      <c r="M95" s="1190"/>
      <c r="N95" s="1191"/>
      <c r="O95" s="1191"/>
      <c r="P95" s="1191"/>
      <c r="Q95" s="1191"/>
      <c r="R95" s="1191"/>
      <c r="S95" s="1192"/>
      <c r="U95" s="61"/>
      <c r="V95" s="61"/>
    </row>
    <row r="96" spans="1:22" ht="16.5" customHeight="1">
      <c r="A96" s="332"/>
      <c r="B96" s="431" t="s">
        <v>495</v>
      </c>
      <c r="C96" s="431"/>
      <c r="D96" s="366"/>
      <c r="E96" s="366"/>
      <c r="F96" s="366" t="s">
        <v>212</v>
      </c>
      <c r="G96" s="306"/>
      <c r="H96" s="432"/>
      <c r="I96" s="428"/>
      <c r="J96" s="306"/>
      <c r="K96" s="427"/>
      <c r="L96" s="414"/>
      <c r="M96" s="1190"/>
      <c r="N96" s="1191"/>
      <c r="O96" s="1191"/>
      <c r="P96" s="1191"/>
      <c r="Q96" s="1191"/>
      <c r="R96" s="1191"/>
      <c r="S96" s="1192"/>
      <c r="U96" s="61"/>
      <c r="V96" s="61"/>
    </row>
    <row r="97" spans="1:22" ht="16.5" customHeight="1" thickBot="1">
      <c r="A97" s="332"/>
      <c r="B97" s="366" t="s">
        <v>262</v>
      </c>
      <c r="C97" s="366"/>
      <c r="D97" s="366"/>
      <c r="E97" s="366"/>
      <c r="F97" s="366"/>
      <c r="G97" s="366"/>
      <c r="H97" s="432"/>
      <c r="I97" s="428"/>
      <c r="J97" s="306"/>
      <c r="K97" s="427"/>
      <c r="L97" s="420">
        <v>1</v>
      </c>
      <c r="M97" s="1190"/>
      <c r="N97" s="1191"/>
      <c r="O97" s="1191"/>
      <c r="P97" s="1191"/>
      <c r="Q97" s="1191"/>
      <c r="R97" s="1191"/>
      <c r="S97" s="1192"/>
      <c r="U97" s="61"/>
      <c r="V97" s="61"/>
    </row>
    <row r="98" spans="1:22" ht="10.5" customHeight="1">
      <c r="A98" s="332"/>
      <c r="B98" s="306"/>
      <c r="C98" s="306"/>
      <c r="D98" s="306"/>
      <c r="E98" s="306"/>
      <c r="F98" s="306"/>
      <c r="G98" s="336"/>
      <c r="H98" s="428"/>
      <c r="I98" s="428"/>
      <c r="J98" s="306"/>
      <c r="K98" s="306"/>
      <c r="L98" s="433"/>
      <c r="M98" s="1190"/>
      <c r="N98" s="1191"/>
      <c r="O98" s="1191"/>
      <c r="P98" s="1191"/>
      <c r="Q98" s="1191"/>
      <c r="R98" s="1191"/>
      <c r="S98" s="1192"/>
      <c r="U98" s="61"/>
      <c r="V98" s="61"/>
    </row>
    <row r="99" spans="1:22" ht="16.5" customHeight="1">
      <c r="A99" s="332"/>
      <c r="B99" s="306"/>
      <c r="C99" s="306"/>
      <c r="D99" s="306"/>
      <c r="E99" s="306"/>
      <c r="F99" s="306"/>
      <c r="G99" s="336"/>
      <c r="H99" s="429" t="s">
        <v>228</v>
      </c>
      <c r="I99" s="1213">
        <f>IF(L97&lt;2,0,IF(L97&lt;3,2,(IF(L97&lt;4,3,(IF(L97&lt;5,4,5))))))</f>
        <v>0</v>
      </c>
      <c r="J99" s="1214"/>
      <c r="K99" s="372" t="s">
        <v>91</v>
      </c>
      <c r="L99" s="414"/>
      <c r="M99" s="1190"/>
      <c r="N99" s="1191"/>
      <c r="O99" s="1191"/>
      <c r="P99" s="1191"/>
      <c r="Q99" s="1191"/>
      <c r="R99" s="1191"/>
      <c r="S99" s="1192"/>
      <c r="U99" s="61"/>
      <c r="V99" s="61"/>
    </row>
    <row r="100" spans="1:22" ht="3.75" customHeight="1">
      <c r="A100" s="332"/>
      <c r="B100" s="306"/>
      <c r="C100" s="306"/>
      <c r="D100" s="306"/>
      <c r="E100" s="306"/>
      <c r="F100" s="306"/>
      <c r="G100" s="336"/>
      <c r="H100" s="428"/>
      <c r="I100" s="428"/>
      <c r="J100" s="306"/>
      <c r="K100" s="306"/>
      <c r="L100" s="414"/>
      <c r="M100" s="1190"/>
      <c r="N100" s="1191"/>
      <c r="O100" s="1191"/>
      <c r="P100" s="1191"/>
      <c r="Q100" s="1191"/>
      <c r="R100" s="1191"/>
      <c r="S100" s="1192"/>
      <c r="U100" s="61"/>
      <c r="V100" s="61"/>
    </row>
    <row r="101" spans="1:22" ht="22.5" customHeight="1">
      <c r="A101" s="1211" t="s">
        <v>611</v>
      </c>
      <c r="B101" s="1212"/>
      <c r="C101" s="1212"/>
      <c r="D101" s="1212"/>
      <c r="E101" s="1212"/>
      <c r="F101" s="1212"/>
      <c r="G101" s="1212"/>
      <c r="H101" s="1212"/>
      <c r="I101" s="428"/>
      <c r="J101" s="306"/>
      <c r="K101" s="306"/>
      <c r="L101" s="414"/>
      <c r="M101" s="1190"/>
      <c r="N101" s="1191"/>
      <c r="O101" s="1191"/>
      <c r="P101" s="1191"/>
      <c r="Q101" s="1191"/>
      <c r="R101" s="1191"/>
      <c r="S101" s="1192"/>
      <c r="U101" s="61"/>
      <c r="V101" s="61"/>
    </row>
    <row r="102" spans="1:22" ht="15.75" customHeight="1">
      <c r="A102" s="1211"/>
      <c r="B102" s="1212"/>
      <c r="C102" s="1212"/>
      <c r="D102" s="1212"/>
      <c r="E102" s="1212"/>
      <c r="F102" s="1212"/>
      <c r="G102" s="1212"/>
      <c r="H102" s="1212"/>
      <c r="I102" s="1209"/>
      <c r="J102" s="1210"/>
      <c r="K102" s="326" t="s">
        <v>92</v>
      </c>
      <c r="L102" s="414"/>
      <c r="M102" s="1190"/>
      <c r="N102" s="1191"/>
      <c r="O102" s="1191"/>
      <c r="P102" s="1191"/>
      <c r="Q102" s="1191"/>
      <c r="R102" s="1191"/>
      <c r="S102" s="1192"/>
      <c r="U102" s="61"/>
      <c r="V102" s="61"/>
    </row>
    <row r="103" spans="1:22" ht="14.25" customHeight="1" thickBot="1">
      <c r="A103" s="1203" t="s">
        <v>93</v>
      </c>
      <c r="B103" s="1204"/>
      <c r="C103" s="1204"/>
      <c r="D103" s="1204"/>
      <c r="E103" s="1204"/>
      <c r="F103" s="425"/>
      <c r="G103" s="425"/>
      <c r="H103" s="425"/>
      <c r="I103" s="428"/>
      <c r="J103" s="428"/>
      <c r="K103" s="306"/>
      <c r="L103" s="420"/>
      <c r="M103" s="1190"/>
      <c r="N103" s="1191"/>
      <c r="O103" s="1191"/>
      <c r="P103" s="1191"/>
      <c r="Q103" s="1191"/>
      <c r="R103" s="1191"/>
      <c r="S103" s="1192"/>
      <c r="U103" s="61"/>
      <c r="V103" s="61"/>
    </row>
    <row r="104" spans="1:22" ht="15" customHeight="1" thickBot="1">
      <c r="A104" s="1205"/>
      <c r="B104" s="1206"/>
      <c r="C104" s="1206"/>
      <c r="D104" s="1206"/>
      <c r="E104" s="1206"/>
      <c r="F104" s="351"/>
      <c r="G104" s="351"/>
      <c r="H104" s="351"/>
      <c r="I104" s="351"/>
      <c r="J104" s="421" t="s">
        <v>369</v>
      </c>
      <c r="K104" s="973">
        <f>SUM(I87,I93,I99)*I102</f>
        <v>0</v>
      </c>
      <c r="L104" s="1239"/>
      <c r="M104" s="1193"/>
      <c r="N104" s="1194"/>
      <c r="O104" s="1194"/>
      <c r="P104" s="1194"/>
      <c r="Q104" s="1194"/>
      <c r="R104" s="1194"/>
      <c r="S104" s="1195"/>
      <c r="U104" s="61"/>
      <c r="V104" s="61"/>
    </row>
    <row r="105" spans="1:22" ht="15.75" customHeight="1">
      <c r="A105" s="436" t="s">
        <v>438</v>
      </c>
      <c r="B105" s="406"/>
      <c r="C105" s="406"/>
      <c r="D105" s="891" t="s">
        <v>500</v>
      </c>
      <c r="E105" s="891"/>
      <c r="F105" s="891"/>
      <c r="G105" s="891"/>
      <c r="H105" s="891"/>
      <c r="I105" s="891"/>
      <c r="J105" s="891"/>
      <c r="K105" s="891"/>
      <c r="L105" s="891"/>
      <c r="M105" s="891"/>
      <c r="N105" s="891"/>
      <c r="O105" s="891"/>
      <c r="P105" s="891"/>
      <c r="Q105" s="891"/>
      <c r="R105" s="891"/>
      <c r="S105" s="892"/>
      <c r="U105" s="61"/>
      <c r="V105" s="61"/>
    </row>
    <row r="106" spans="1:22" ht="36.75" customHeight="1" thickBot="1">
      <c r="A106" s="897" t="s">
        <v>501</v>
      </c>
      <c r="B106" s="898"/>
      <c r="C106" s="898"/>
      <c r="D106" s="898"/>
      <c r="E106" s="898"/>
      <c r="F106" s="898"/>
      <c r="G106" s="898"/>
      <c r="H106" s="898"/>
      <c r="I106" s="898"/>
      <c r="J106" s="898"/>
      <c r="K106" s="898"/>
      <c r="L106" s="898"/>
      <c r="M106" s="898"/>
      <c r="N106" s="898"/>
      <c r="O106" s="898"/>
      <c r="P106" s="898"/>
      <c r="Q106" s="898"/>
      <c r="R106" s="898"/>
      <c r="S106" s="895"/>
      <c r="U106" s="61"/>
      <c r="V106" s="61"/>
    </row>
    <row r="107" spans="1:22" ht="18" customHeight="1" thickTop="1">
      <c r="A107" s="1181" t="s">
        <v>481</v>
      </c>
      <c r="B107" s="1182"/>
      <c r="C107" s="1182"/>
      <c r="D107" s="1182"/>
      <c r="E107" s="1182"/>
      <c r="F107" s="1182"/>
      <c r="G107" s="1182"/>
      <c r="H107" s="1182"/>
      <c r="I107" s="1182"/>
      <c r="J107" s="1182"/>
      <c r="K107" s="1182"/>
      <c r="L107" s="437"/>
      <c r="M107" s="306"/>
      <c r="N107" s="306"/>
      <c r="O107" s="306"/>
      <c r="P107" s="306"/>
      <c r="Q107" s="306"/>
      <c r="R107" s="306"/>
      <c r="S107" s="414"/>
      <c r="U107" s="61"/>
      <c r="V107" s="61"/>
    </row>
    <row r="108" spans="1:22" ht="15" customHeight="1">
      <c r="A108" s="7" t="s">
        <v>213</v>
      </c>
      <c r="B108" s="6"/>
      <c r="C108" s="6"/>
      <c r="D108" s="6"/>
      <c r="E108" s="6"/>
      <c r="F108" s="6"/>
      <c r="G108" s="438"/>
      <c r="H108" s="357" t="s">
        <v>94</v>
      </c>
      <c r="I108" s="366"/>
      <c r="J108" s="306"/>
      <c r="K108" s="306"/>
      <c r="L108" s="439"/>
      <c r="M108" s="439"/>
      <c r="N108" s="439"/>
      <c r="O108" s="439"/>
      <c r="P108" s="439"/>
      <c r="Q108" s="439"/>
      <c r="R108" s="306"/>
      <c r="S108" s="414"/>
      <c r="U108" s="61"/>
      <c r="V108" s="61"/>
    </row>
    <row r="109" spans="1:22" ht="15" customHeight="1">
      <c r="A109" s="7"/>
      <c r="B109" s="6"/>
      <c r="C109" s="6"/>
      <c r="D109" s="6"/>
      <c r="E109" s="6"/>
      <c r="F109" s="750" t="s">
        <v>502</v>
      </c>
      <c r="G109" s="487">
        <f>IF(G108="","",G108/$R$6)</f>
      </c>
      <c r="H109" s="442" t="s">
        <v>95</v>
      </c>
      <c r="I109" s="443"/>
      <c r="J109" s="372"/>
      <c r="K109" s="94"/>
      <c r="L109" s="439"/>
      <c r="M109" s="439"/>
      <c r="N109" s="439"/>
      <c r="O109" s="439"/>
      <c r="P109" s="439"/>
      <c r="Q109" s="439"/>
      <c r="R109" s="306"/>
      <c r="S109" s="414"/>
      <c r="U109" s="61"/>
      <c r="V109" s="61"/>
    </row>
    <row r="110" spans="1:22" ht="5.25" customHeight="1" thickBot="1">
      <c r="A110" s="332"/>
      <c r="B110" s="306"/>
      <c r="C110" s="306"/>
      <c r="D110" s="306"/>
      <c r="E110" s="306"/>
      <c r="F110" s="306"/>
      <c r="G110" s="306"/>
      <c r="H110" s="306"/>
      <c r="I110" s="306"/>
      <c r="J110" s="306"/>
      <c r="K110" s="306"/>
      <c r="L110" s="437"/>
      <c r="M110" s="306"/>
      <c r="N110" s="306"/>
      <c r="O110" s="306"/>
      <c r="P110" s="306"/>
      <c r="Q110" s="306"/>
      <c r="R110" s="306"/>
      <c r="S110" s="414"/>
      <c r="U110" s="61"/>
      <c r="V110" s="61"/>
    </row>
    <row r="111" spans="1:22" ht="16.5" customHeight="1" thickBot="1" thickTop="1">
      <c r="A111" s="332"/>
      <c r="B111" s="306"/>
      <c r="C111" s="306"/>
      <c r="D111" s="306"/>
      <c r="E111" s="306"/>
      <c r="F111" s="306"/>
      <c r="G111" s="306"/>
      <c r="H111" s="416"/>
      <c r="I111" s="416"/>
      <c r="J111" s="416"/>
      <c r="K111" s="416"/>
      <c r="L111" s="437"/>
      <c r="M111" s="268" t="s">
        <v>348</v>
      </c>
      <c r="N111" s="890">
        <f>IF(G108="","",$G109*100*0.675)</f>
      </c>
      <c r="O111" s="886"/>
      <c r="P111" s="372" t="s">
        <v>96</v>
      </c>
      <c r="Q111" s="306"/>
      <c r="R111" s="306"/>
      <c r="S111" s="414"/>
      <c r="U111" s="61"/>
      <c r="V111" s="61"/>
    </row>
    <row r="112" spans="1:22" ht="18" customHeight="1" thickTop="1">
      <c r="A112" s="447" t="s">
        <v>482</v>
      </c>
      <c r="B112" s="448"/>
      <c r="C112" s="448"/>
      <c r="D112" s="448"/>
      <c r="E112" s="448"/>
      <c r="F112" s="448"/>
      <c r="G112" s="448"/>
      <c r="H112" s="306"/>
      <c r="I112" s="306"/>
      <c r="J112" s="306"/>
      <c r="K112" s="306"/>
      <c r="L112" s="437"/>
      <c r="M112" s="306"/>
      <c r="N112" s="306"/>
      <c r="O112" s="306"/>
      <c r="P112" s="306"/>
      <c r="Q112" s="306"/>
      <c r="R112" s="306"/>
      <c r="S112" s="414"/>
      <c r="U112" s="61"/>
      <c r="V112" s="61"/>
    </row>
    <row r="113" spans="1:22" ht="15" customHeight="1">
      <c r="A113" s="7" t="s">
        <v>214</v>
      </c>
      <c r="B113" s="6"/>
      <c r="C113" s="6"/>
      <c r="D113" s="6"/>
      <c r="E113" s="6"/>
      <c r="F113" s="6"/>
      <c r="G113" s="438"/>
      <c r="H113" s="450" t="s">
        <v>96</v>
      </c>
      <c r="I113" s="366"/>
      <c r="J113" s="306"/>
      <c r="K113" s="60" t="s">
        <v>216</v>
      </c>
      <c r="L113" s="6"/>
      <c r="M113" s="6"/>
      <c r="N113" s="6"/>
      <c r="O113" s="438"/>
      <c r="P113" s="357" t="s">
        <v>100</v>
      </c>
      <c r="Q113" s="366"/>
      <c r="R113" s="427"/>
      <c r="S113" s="414"/>
      <c r="U113" s="61"/>
      <c r="V113" s="61"/>
    </row>
    <row r="114" spans="1:22" ht="15" customHeight="1">
      <c r="A114" s="7"/>
      <c r="B114" s="6"/>
      <c r="C114" s="6"/>
      <c r="D114" s="6"/>
      <c r="E114" s="6"/>
      <c r="F114" s="750" t="s">
        <v>502</v>
      </c>
      <c r="G114" s="498">
        <f>IF(G113="","",G113/$R$6)</f>
      </c>
      <c r="H114" s="451" t="s">
        <v>97</v>
      </c>
      <c r="I114" s="443"/>
      <c r="J114" s="326"/>
      <c r="K114" s="124"/>
      <c r="L114" s="117"/>
      <c r="M114" s="6"/>
      <c r="N114" s="750" t="s">
        <v>502</v>
      </c>
      <c r="O114" s="487">
        <f>IF(O113="","",O113/$R$6)</f>
      </c>
      <c r="P114" s="357" t="s">
        <v>101</v>
      </c>
      <c r="Q114" s="443"/>
      <c r="R114" s="444"/>
      <c r="S114" s="414"/>
      <c r="U114" s="61"/>
      <c r="V114" s="61"/>
    </row>
    <row r="115" spans="1:22" ht="6" customHeight="1">
      <c r="A115" s="7"/>
      <c r="B115" s="6"/>
      <c r="C115" s="6"/>
      <c r="D115" s="6"/>
      <c r="E115" s="6"/>
      <c r="F115" s="6"/>
      <c r="G115" s="366"/>
      <c r="H115" s="306"/>
      <c r="I115" s="306"/>
      <c r="J115" s="357"/>
      <c r="K115" s="306"/>
      <c r="L115" s="161"/>
      <c r="M115" s="306"/>
      <c r="N115" s="306"/>
      <c r="O115" s="366"/>
      <c r="P115" s="306"/>
      <c r="Q115" s="306"/>
      <c r="R115" s="427"/>
      <c r="S115" s="414"/>
      <c r="U115" s="61"/>
      <c r="V115" s="61"/>
    </row>
    <row r="116" spans="1:22" ht="15" customHeight="1">
      <c r="A116" s="156" t="s">
        <v>215</v>
      </c>
      <c r="B116" s="6"/>
      <c r="C116" s="6"/>
      <c r="D116" s="138"/>
      <c r="E116" s="138"/>
      <c r="F116" s="138"/>
      <c r="G116" s="438"/>
      <c r="H116" s="357" t="s">
        <v>98</v>
      </c>
      <c r="I116" s="366"/>
      <c r="J116" s="326"/>
      <c r="K116" s="6" t="s">
        <v>292</v>
      </c>
      <c r="L116" s="117"/>
      <c r="M116" s="6"/>
      <c r="N116" s="6"/>
      <c r="O116" s="438"/>
      <c r="P116" s="326" t="s">
        <v>103</v>
      </c>
      <c r="Q116" s="306"/>
      <c r="R116" s="427"/>
      <c r="S116" s="414"/>
      <c r="U116" s="61"/>
      <c r="V116" s="61"/>
    </row>
    <row r="117" spans="1:22" ht="15" customHeight="1">
      <c r="A117" s="7"/>
      <c r="B117" s="56"/>
      <c r="C117" s="56"/>
      <c r="D117" s="56"/>
      <c r="E117" s="56"/>
      <c r="F117" s="750" t="s">
        <v>502</v>
      </c>
      <c r="G117" s="487">
        <f>IF(G116="","",G116/$R$6)</f>
      </c>
      <c r="H117" s="357" t="s">
        <v>99</v>
      </c>
      <c r="I117" s="443"/>
      <c r="J117" s="326"/>
      <c r="K117" s="6"/>
      <c r="L117" s="751"/>
      <c r="M117" s="6"/>
      <c r="N117" s="750" t="s">
        <v>502</v>
      </c>
      <c r="O117" s="487">
        <f>IF(O116="","",O116/$R$6)</f>
      </c>
      <c r="P117" s="306" t="s">
        <v>104</v>
      </c>
      <c r="Q117" s="443"/>
      <c r="R117" s="427"/>
      <c r="S117" s="414"/>
      <c r="U117" s="61"/>
      <c r="V117" s="61"/>
    </row>
    <row r="118" spans="1:22" ht="5.25" customHeight="1" thickBot="1">
      <c r="A118" s="332"/>
      <c r="B118" s="452"/>
      <c r="C118" s="452"/>
      <c r="D118" s="452"/>
      <c r="E118" s="452"/>
      <c r="F118" s="452"/>
      <c r="G118" s="453"/>
      <c r="H118" s="453"/>
      <c r="I118" s="306"/>
      <c r="J118" s="357"/>
      <c r="K118" s="306"/>
      <c r="L118" s="437"/>
      <c r="M118" s="306"/>
      <c r="N118" s="306"/>
      <c r="O118" s="306"/>
      <c r="P118" s="306"/>
      <c r="Q118" s="306"/>
      <c r="R118" s="306"/>
      <c r="S118" s="414"/>
      <c r="U118" s="61"/>
      <c r="V118" s="61"/>
    </row>
    <row r="119" spans="1:22" ht="17.25" customHeight="1" thickBot="1" thickTop="1">
      <c r="A119" s="332"/>
      <c r="B119" s="452"/>
      <c r="C119" s="452"/>
      <c r="D119" s="452"/>
      <c r="E119" s="452"/>
      <c r="F119" s="452"/>
      <c r="G119" s="453"/>
      <c r="H119" s="453"/>
      <c r="I119" s="306"/>
      <c r="J119" s="357"/>
      <c r="K119" s="306"/>
      <c r="L119" s="437"/>
      <c r="M119" s="752" t="s">
        <v>349</v>
      </c>
      <c r="N119" s="890">
        <f>SUM(G114,G117,O114,O117)*100*0.675</f>
        <v>0</v>
      </c>
      <c r="O119" s="886"/>
      <c r="P119" s="326" t="s">
        <v>102</v>
      </c>
      <c r="Q119" s="306"/>
      <c r="R119" s="306"/>
      <c r="S119" s="414"/>
      <c r="U119" s="61"/>
      <c r="V119" s="61"/>
    </row>
    <row r="120" spans="1:22" ht="5.25" customHeight="1" thickBot="1" thickTop="1">
      <c r="A120" s="332"/>
      <c r="B120" s="452"/>
      <c r="C120" s="452"/>
      <c r="D120" s="452"/>
      <c r="E120" s="452"/>
      <c r="F120" s="452"/>
      <c r="G120" s="453"/>
      <c r="H120" s="453"/>
      <c r="I120" s="306"/>
      <c r="J120" s="357"/>
      <c r="K120" s="306"/>
      <c r="L120" s="437"/>
      <c r="M120" s="306"/>
      <c r="N120" s="306"/>
      <c r="O120" s="306"/>
      <c r="P120" s="306"/>
      <c r="Q120" s="306"/>
      <c r="R120" s="306"/>
      <c r="S120" s="420"/>
      <c r="U120" s="61"/>
      <c r="V120" s="61"/>
    </row>
    <row r="121" spans="1:22" ht="15" customHeight="1" thickBot="1">
      <c r="A121" s="350" t="s">
        <v>350</v>
      </c>
      <c r="B121" s="351"/>
      <c r="C121" s="351"/>
      <c r="D121" s="748"/>
      <c r="E121" s="748"/>
      <c r="F121" s="748"/>
      <c r="G121" s="351"/>
      <c r="H121" s="351"/>
      <c r="I121" s="351"/>
      <c r="J121" s="351"/>
      <c r="K121" s="351"/>
      <c r="L121" s="456"/>
      <c r="M121" s="351"/>
      <c r="N121" s="351"/>
      <c r="O121" s="351"/>
      <c r="P121" s="351"/>
      <c r="Q121" s="354" t="s">
        <v>370</v>
      </c>
      <c r="R121" s="1319">
        <f>SUM(N111,N119)</f>
        <v>0</v>
      </c>
      <c r="S121" s="1320"/>
      <c r="U121" s="61"/>
      <c r="V121" s="61"/>
    </row>
    <row r="122" spans="1:22" ht="18.75" customHeight="1" thickBot="1">
      <c r="A122" s="883" t="s">
        <v>52</v>
      </c>
      <c r="B122" s="884"/>
      <c r="C122" s="884"/>
      <c r="D122" s="884"/>
      <c r="E122" s="884"/>
      <c r="F122" s="884"/>
      <c r="G122" s="884"/>
      <c r="H122" s="884"/>
      <c r="I122" s="884"/>
      <c r="J122" s="884"/>
      <c r="K122" s="884"/>
      <c r="L122" s="884"/>
      <c r="M122" s="884"/>
      <c r="N122" s="884"/>
      <c r="O122" s="884"/>
      <c r="P122" s="884"/>
      <c r="Q122" s="884"/>
      <c r="R122" s="884"/>
      <c r="S122" s="885"/>
      <c r="U122" s="61"/>
      <c r="V122" s="61"/>
    </row>
    <row r="123" spans="1:22" ht="13.5" customHeight="1" thickBot="1">
      <c r="A123" s="457" t="s">
        <v>437</v>
      </c>
      <c r="B123" s="458"/>
      <c r="C123" s="458"/>
      <c r="D123" s="1144" t="s">
        <v>432</v>
      </c>
      <c r="E123" s="1144"/>
      <c r="F123" s="1144"/>
      <c r="G123" s="1144"/>
      <c r="H123" s="1144"/>
      <c r="I123" s="1144"/>
      <c r="J123" s="1144"/>
      <c r="K123" s="1144"/>
      <c r="L123" s="1286"/>
      <c r="M123" s="179" t="s">
        <v>250</v>
      </c>
      <c r="N123" s="753"/>
      <c r="O123" s="753"/>
      <c r="P123" s="753"/>
      <c r="Q123" s="753" t="s">
        <v>44</v>
      </c>
      <c r="R123" s="753"/>
      <c r="S123" s="754"/>
      <c r="U123" s="61"/>
      <c r="V123" s="61"/>
    </row>
    <row r="124" spans="1:22" ht="19.5" customHeight="1" thickTop="1">
      <c r="A124" s="462"/>
      <c r="B124" s="463"/>
      <c r="C124" s="463"/>
      <c r="D124" s="1287"/>
      <c r="E124" s="1287"/>
      <c r="F124" s="1287"/>
      <c r="G124" s="1287"/>
      <c r="H124" s="1287"/>
      <c r="I124" s="1287"/>
      <c r="J124" s="1287"/>
      <c r="K124" s="1287"/>
      <c r="L124" s="1288"/>
      <c r="M124" s="1149" t="s">
        <v>47</v>
      </c>
      <c r="N124" s="1067"/>
      <c r="O124" s="1067"/>
      <c r="P124" s="1067"/>
      <c r="Q124" s="1067"/>
      <c r="R124" s="1067"/>
      <c r="S124" s="1068"/>
      <c r="U124" s="61"/>
      <c r="V124" s="61"/>
    </row>
    <row r="125" spans="1:22" ht="67.5" customHeight="1" thickBot="1">
      <c r="A125" s="1088" t="s">
        <v>849</v>
      </c>
      <c r="B125" s="1089"/>
      <c r="C125" s="1089"/>
      <c r="D125" s="1089"/>
      <c r="E125" s="1089"/>
      <c r="F125" s="1089"/>
      <c r="G125" s="1089"/>
      <c r="H125" s="1089"/>
      <c r="I125" s="1089"/>
      <c r="J125" s="1089"/>
      <c r="K125" s="1089"/>
      <c r="L125" s="1305"/>
      <c r="M125" s="926"/>
      <c r="N125" s="927"/>
      <c r="O125" s="927"/>
      <c r="P125" s="927"/>
      <c r="Q125" s="927"/>
      <c r="R125" s="927"/>
      <c r="S125" s="928"/>
      <c r="U125" s="61"/>
      <c r="V125" s="61"/>
    </row>
    <row r="126" spans="1:22" ht="15.75" customHeight="1" thickTop="1">
      <c r="A126" s="464"/>
      <c r="B126" s="465"/>
      <c r="C126" s="465"/>
      <c r="D126" s="465"/>
      <c r="E126" s="465"/>
      <c r="F126" s="465"/>
      <c r="G126" s="465"/>
      <c r="H126" s="465"/>
      <c r="I126" s="465"/>
      <c r="J126" s="465"/>
      <c r="K126" s="465"/>
      <c r="L126" s="466"/>
      <c r="M126" s="1187"/>
      <c r="N126" s="1188"/>
      <c r="O126" s="1188"/>
      <c r="P126" s="1188"/>
      <c r="Q126" s="1188"/>
      <c r="R126" s="1188"/>
      <c r="S126" s="1189"/>
      <c r="U126" s="61"/>
      <c r="V126" s="61"/>
    </row>
    <row r="127" spans="1:22" ht="24" customHeight="1">
      <c r="A127" s="464"/>
      <c r="B127" s="916" t="s">
        <v>726</v>
      </c>
      <c r="C127" s="916"/>
      <c r="D127" s="916"/>
      <c r="E127" s="916"/>
      <c r="F127" s="916"/>
      <c r="G127" s="916"/>
      <c r="H127" s="916"/>
      <c r="I127" s="465"/>
      <c r="J127" s="465"/>
      <c r="K127" s="465"/>
      <c r="L127" s="466"/>
      <c r="M127" s="1190"/>
      <c r="N127" s="1191"/>
      <c r="O127" s="1191"/>
      <c r="P127" s="1191"/>
      <c r="Q127" s="1191"/>
      <c r="R127" s="1191"/>
      <c r="S127" s="1192"/>
      <c r="U127" s="61"/>
      <c r="V127" s="61"/>
    </row>
    <row r="128" spans="1:22" ht="13.5" customHeight="1">
      <c r="A128" s="464"/>
      <c r="B128" s="916"/>
      <c r="C128" s="916"/>
      <c r="D128" s="916"/>
      <c r="E128" s="916"/>
      <c r="F128" s="916"/>
      <c r="G128" s="916"/>
      <c r="H128" s="916"/>
      <c r="I128" s="1084"/>
      <c r="J128" s="1085"/>
      <c r="K128" s="467" t="s">
        <v>80</v>
      </c>
      <c r="L128" s="466"/>
      <c r="M128" s="1190"/>
      <c r="N128" s="1191"/>
      <c r="O128" s="1191"/>
      <c r="P128" s="1191"/>
      <c r="Q128" s="1191"/>
      <c r="R128" s="1191"/>
      <c r="S128" s="1192"/>
      <c r="U128" s="61"/>
      <c r="V128" s="61"/>
    </row>
    <row r="129" spans="1:22" ht="14.25" customHeight="1">
      <c r="A129" s="464"/>
      <c r="B129" s="1099" t="s">
        <v>225</v>
      </c>
      <c r="C129" s="1099"/>
      <c r="D129" s="1099"/>
      <c r="E129" s="1099"/>
      <c r="F129" s="1099"/>
      <c r="G129" s="1099"/>
      <c r="H129" s="1099"/>
      <c r="I129" s="1084"/>
      <c r="J129" s="1085"/>
      <c r="K129" s="467" t="s">
        <v>81</v>
      </c>
      <c r="L129" s="466"/>
      <c r="M129" s="1190"/>
      <c r="N129" s="1191"/>
      <c r="O129" s="1191"/>
      <c r="P129" s="1191"/>
      <c r="Q129" s="1191"/>
      <c r="R129" s="1191"/>
      <c r="S129" s="1192"/>
      <c r="U129" s="61"/>
      <c r="V129" s="61"/>
    </row>
    <row r="130" spans="1:22" ht="4.5" customHeight="1" thickBot="1">
      <c r="A130" s="464"/>
      <c r="B130" s="174"/>
      <c r="C130" s="174"/>
      <c r="D130" s="174"/>
      <c r="E130" s="174"/>
      <c r="F130" s="174"/>
      <c r="G130" s="174"/>
      <c r="H130" s="174"/>
      <c r="I130" s="469"/>
      <c r="J130" s="469"/>
      <c r="K130" s="467"/>
      <c r="L130" s="466"/>
      <c r="M130" s="1190"/>
      <c r="N130" s="1191"/>
      <c r="O130" s="1191"/>
      <c r="P130" s="1191"/>
      <c r="Q130" s="1191"/>
      <c r="R130" s="1191"/>
      <c r="S130" s="1192"/>
      <c r="U130" s="61"/>
      <c r="V130" s="61"/>
    </row>
    <row r="131" spans="1:22" ht="15" thickTop="1">
      <c r="A131" s="470"/>
      <c r="B131" s="101"/>
      <c r="C131" s="101"/>
      <c r="D131" s="101"/>
      <c r="E131" s="101"/>
      <c r="F131" s="101"/>
      <c r="G131" s="103"/>
      <c r="H131" s="103" t="s">
        <v>843</v>
      </c>
      <c r="I131" s="1142">
        <f>IF(I128=0,0,I129/I128)</f>
        <v>0</v>
      </c>
      <c r="J131" s="1143"/>
      <c r="K131" s="473" t="s">
        <v>82</v>
      </c>
      <c r="L131" s="474"/>
      <c r="M131" s="1190"/>
      <c r="N131" s="1191"/>
      <c r="O131" s="1191"/>
      <c r="P131" s="1191"/>
      <c r="Q131" s="1191"/>
      <c r="R131" s="1191"/>
      <c r="S131" s="1192"/>
      <c r="U131" s="61"/>
      <c r="V131" s="61"/>
    </row>
    <row r="132" spans="1:22" ht="10.5" customHeight="1">
      <c r="A132" s="470"/>
      <c r="B132" s="471"/>
      <c r="C132" s="475"/>
      <c r="D132" s="475"/>
      <c r="E132" s="475"/>
      <c r="F132" s="475"/>
      <c r="G132" s="475"/>
      <c r="H132" s="475"/>
      <c r="I132" s="475"/>
      <c r="J132" s="475"/>
      <c r="K132" s="465"/>
      <c r="L132" s="476"/>
      <c r="M132" s="1190"/>
      <c r="N132" s="1191"/>
      <c r="O132" s="1191"/>
      <c r="P132" s="1191"/>
      <c r="Q132" s="1191"/>
      <c r="R132" s="1191"/>
      <c r="S132" s="1192"/>
      <c r="U132" s="61"/>
      <c r="V132" s="61"/>
    </row>
    <row r="133" spans="1:21" ht="14.25" customHeight="1" thickBot="1">
      <c r="A133" s="1302" t="s">
        <v>844</v>
      </c>
      <c r="B133" s="1148"/>
      <c r="C133" s="1148"/>
      <c r="D133" s="1148"/>
      <c r="E133" s="1148"/>
      <c r="F133" s="1148"/>
      <c r="G133" s="1148"/>
      <c r="H133" s="306"/>
      <c r="I133" s="306"/>
      <c r="J133" s="306"/>
      <c r="K133" s="471"/>
      <c r="L133" s="476"/>
      <c r="M133" s="1190"/>
      <c r="N133" s="1191"/>
      <c r="O133" s="1191"/>
      <c r="P133" s="1191"/>
      <c r="Q133" s="1191"/>
      <c r="R133" s="1191"/>
      <c r="S133" s="1192"/>
      <c r="U133" s="61"/>
    </row>
    <row r="134" spans="1:21" ht="14.25" customHeight="1" thickBot="1" thickTop="1">
      <c r="A134" s="1302"/>
      <c r="B134" s="1148"/>
      <c r="C134" s="1148"/>
      <c r="D134" s="1148"/>
      <c r="E134" s="1148"/>
      <c r="F134" s="1148"/>
      <c r="G134" s="1148"/>
      <c r="H134" s="1146">
        <f>I131*5</f>
        <v>0</v>
      </c>
      <c r="I134" s="1147"/>
      <c r="J134" s="473" t="s">
        <v>83</v>
      </c>
      <c r="K134" s="471"/>
      <c r="L134" s="476"/>
      <c r="M134" s="1190"/>
      <c r="N134" s="1191"/>
      <c r="O134" s="1191"/>
      <c r="P134" s="1191"/>
      <c r="Q134" s="1191"/>
      <c r="R134" s="1191"/>
      <c r="S134" s="1192"/>
      <c r="U134" s="61"/>
    </row>
    <row r="135" spans="1:21" ht="18" customHeight="1" thickTop="1">
      <c r="A135" s="470"/>
      <c r="B135" s="471"/>
      <c r="C135" s="471"/>
      <c r="D135" s="471"/>
      <c r="E135" s="471"/>
      <c r="F135" s="471"/>
      <c r="G135" s="472"/>
      <c r="H135" s="477"/>
      <c r="I135" s="471"/>
      <c r="J135" s="471"/>
      <c r="K135" s="471"/>
      <c r="L135" s="476"/>
      <c r="M135" s="1190"/>
      <c r="N135" s="1191"/>
      <c r="O135" s="1191"/>
      <c r="P135" s="1191"/>
      <c r="Q135" s="1191"/>
      <c r="R135" s="1191"/>
      <c r="S135" s="1192"/>
      <c r="U135" s="61"/>
    </row>
    <row r="136" spans="1:21" ht="50.25" customHeight="1">
      <c r="A136" s="470"/>
      <c r="B136" s="478"/>
      <c r="C136" s="922" t="s">
        <v>11</v>
      </c>
      <c r="D136" s="920"/>
      <c r="E136" s="920"/>
      <c r="F136" s="920"/>
      <c r="G136" s="920"/>
      <c r="H136" s="920"/>
      <c r="I136" s="920"/>
      <c r="J136" s="921"/>
      <c r="K136" s="471"/>
      <c r="L136" s="476">
        <f>IF(L142=1,5,"")</f>
      </c>
      <c r="M136" s="1190"/>
      <c r="N136" s="1191"/>
      <c r="O136" s="1191"/>
      <c r="P136" s="1191"/>
      <c r="Q136" s="1191"/>
      <c r="R136" s="1191"/>
      <c r="S136" s="1192"/>
      <c r="U136" s="61"/>
    </row>
    <row r="137" spans="1:21" ht="41.25" customHeight="1">
      <c r="A137" s="470"/>
      <c r="B137" s="478"/>
      <c r="C137" s="922" t="s">
        <v>31</v>
      </c>
      <c r="D137" s="920"/>
      <c r="E137" s="920"/>
      <c r="F137" s="920"/>
      <c r="G137" s="920"/>
      <c r="H137" s="920"/>
      <c r="I137" s="920"/>
      <c r="J137" s="921"/>
      <c r="K137" s="471"/>
      <c r="L137" s="476">
        <f>IF($L$142=2,4,"")</f>
      </c>
      <c r="M137" s="1190"/>
      <c r="N137" s="1191"/>
      <c r="O137" s="1191"/>
      <c r="P137" s="1191"/>
      <c r="Q137" s="1191"/>
      <c r="R137" s="1191"/>
      <c r="S137" s="1192"/>
      <c r="U137" s="61"/>
    </row>
    <row r="138" spans="1:21" ht="41.25" customHeight="1">
      <c r="A138" s="470"/>
      <c r="B138" s="478"/>
      <c r="C138" s="922" t="s">
        <v>32</v>
      </c>
      <c r="D138" s="920"/>
      <c r="E138" s="920"/>
      <c r="F138" s="920"/>
      <c r="G138" s="920"/>
      <c r="H138" s="920"/>
      <c r="I138" s="920"/>
      <c r="J138" s="921"/>
      <c r="K138" s="471"/>
      <c r="L138" s="476">
        <f>IF($L$142=3,3,"")</f>
      </c>
      <c r="M138" s="1190"/>
      <c r="N138" s="1191"/>
      <c r="O138" s="1191"/>
      <c r="P138" s="1191"/>
      <c r="Q138" s="1191"/>
      <c r="R138" s="1191"/>
      <c r="S138" s="1192"/>
      <c r="U138" s="61"/>
    </row>
    <row r="139" spans="1:21" ht="41.25" customHeight="1">
      <c r="A139" s="470"/>
      <c r="B139" s="478"/>
      <c r="C139" s="922" t="s">
        <v>43</v>
      </c>
      <c r="D139" s="920"/>
      <c r="E139" s="920"/>
      <c r="F139" s="920"/>
      <c r="G139" s="920"/>
      <c r="H139" s="920"/>
      <c r="I139" s="920"/>
      <c r="J139" s="921"/>
      <c r="K139" s="471"/>
      <c r="L139" s="476">
        <f>IF($L$142=4,2,"")</f>
      </c>
      <c r="M139" s="1190"/>
      <c r="N139" s="1191"/>
      <c r="O139" s="1191"/>
      <c r="P139" s="1191"/>
      <c r="Q139" s="1191"/>
      <c r="R139" s="1191"/>
      <c r="S139" s="1192"/>
      <c r="U139" s="61"/>
    </row>
    <row r="140" spans="1:21" ht="38.25" customHeight="1">
      <c r="A140" s="470"/>
      <c r="B140" s="478"/>
      <c r="C140" s="922" t="s">
        <v>394</v>
      </c>
      <c r="D140" s="920"/>
      <c r="E140" s="920"/>
      <c r="F140" s="920"/>
      <c r="G140" s="920"/>
      <c r="H140" s="920"/>
      <c r="I140" s="920"/>
      <c r="J140" s="921"/>
      <c r="K140" s="471"/>
      <c r="L140" s="476">
        <f>IF($L$142=5,0,"")</f>
        <v>0</v>
      </c>
      <c r="M140" s="1190"/>
      <c r="N140" s="1191"/>
      <c r="O140" s="1191"/>
      <c r="P140" s="1191"/>
      <c r="Q140" s="1191"/>
      <c r="R140" s="1191"/>
      <c r="S140" s="1192"/>
      <c r="U140" s="61"/>
    </row>
    <row r="141" spans="1:21" ht="10.5" customHeight="1" thickBot="1">
      <c r="A141" s="470"/>
      <c r="B141" s="471"/>
      <c r="C141" s="479"/>
      <c r="D141" s="479"/>
      <c r="E141" s="479"/>
      <c r="F141" s="479"/>
      <c r="G141" s="479"/>
      <c r="H141" s="479"/>
      <c r="I141" s="479"/>
      <c r="J141" s="479"/>
      <c r="K141" s="471"/>
      <c r="L141" s="476"/>
      <c r="M141" s="1190"/>
      <c r="N141" s="1191"/>
      <c r="O141" s="1191"/>
      <c r="P141" s="1191"/>
      <c r="Q141" s="1191"/>
      <c r="R141" s="1191"/>
      <c r="S141" s="1192"/>
      <c r="U141" s="61"/>
    </row>
    <row r="142" spans="1:21" ht="13.5" customHeight="1" thickBot="1" thickTop="1">
      <c r="A142" s="470"/>
      <c r="B142" s="471"/>
      <c r="C142" s="471"/>
      <c r="D142" s="471"/>
      <c r="E142" s="471"/>
      <c r="F142" s="471"/>
      <c r="G142" s="175" t="s">
        <v>229</v>
      </c>
      <c r="H142" s="1196">
        <f>MAX(L136:L139)</f>
        <v>0</v>
      </c>
      <c r="I142" s="1197"/>
      <c r="J142" s="473" t="s">
        <v>84</v>
      </c>
      <c r="K142" s="471"/>
      <c r="L142" s="476">
        <v>5</v>
      </c>
      <c r="M142" s="1190"/>
      <c r="N142" s="1191"/>
      <c r="O142" s="1191"/>
      <c r="P142" s="1191"/>
      <c r="Q142" s="1191"/>
      <c r="R142" s="1191"/>
      <c r="S142" s="1192"/>
      <c r="U142" s="61"/>
    </row>
    <row r="143" spans="1:21" ht="12.75" customHeight="1" thickTop="1">
      <c r="A143" s="470"/>
      <c r="B143" s="471"/>
      <c r="C143" s="471"/>
      <c r="D143" s="306"/>
      <c r="E143" s="306"/>
      <c r="F143" s="306"/>
      <c r="G143" s="306"/>
      <c r="H143" s="306"/>
      <c r="I143" s="306"/>
      <c r="J143" s="306"/>
      <c r="K143" s="471"/>
      <c r="L143" s="476"/>
      <c r="M143" s="1190"/>
      <c r="N143" s="1191"/>
      <c r="O143" s="1191"/>
      <c r="P143" s="1191"/>
      <c r="Q143" s="1191"/>
      <c r="R143" s="1191"/>
      <c r="S143" s="1192"/>
      <c r="U143" s="61"/>
    </row>
    <row r="144" spans="1:21" ht="12.75" customHeight="1">
      <c r="A144" s="470"/>
      <c r="B144" s="471"/>
      <c r="C144" s="475" t="s">
        <v>412</v>
      </c>
      <c r="D144" s="306"/>
      <c r="E144" s="475"/>
      <c r="F144" s="475"/>
      <c r="G144" s="475"/>
      <c r="H144" s="475"/>
      <c r="I144" s="475"/>
      <c r="J144" s="475"/>
      <c r="K144" s="471"/>
      <c r="L144" s="476"/>
      <c r="M144" s="1190"/>
      <c r="N144" s="1191"/>
      <c r="O144" s="1191"/>
      <c r="P144" s="1191"/>
      <c r="Q144" s="1191"/>
      <c r="R144" s="1191"/>
      <c r="S144" s="1192"/>
      <c r="U144" s="61"/>
    </row>
    <row r="145" spans="1:21" ht="2.25" customHeight="1">
      <c r="A145" s="470"/>
      <c r="B145" s="471"/>
      <c r="C145" s="471"/>
      <c r="D145" s="475"/>
      <c r="E145" s="475"/>
      <c r="F145" s="475"/>
      <c r="G145" s="475"/>
      <c r="H145" s="475"/>
      <c r="I145" s="475"/>
      <c r="J145" s="475"/>
      <c r="K145" s="471"/>
      <c r="L145" s="476"/>
      <c r="M145" s="1190"/>
      <c r="N145" s="1191"/>
      <c r="O145" s="1191"/>
      <c r="P145" s="1191"/>
      <c r="Q145" s="1191"/>
      <c r="R145" s="1191"/>
      <c r="S145" s="1192"/>
      <c r="U145" s="61"/>
    </row>
    <row r="146" spans="1:21" ht="14.25">
      <c r="A146" s="470"/>
      <c r="B146" s="471"/>
      <c r="C146" s="471"/>
      <c r="D146" s="471"/>
      <c r="E146" s="1139"/>
      <c r="F146" s="1140"/>
      <c r="G146" s="1140"/>
      <c r="H146" s="1140"/>
      <c r="I146" s="1140"/>
      <c r="J146" s="1141"/>
      <c r="K146" s="471"/>
      <c r="L146" s="476"/>
      <c r="M146" s="1190"/>
      <c r="N146" s="1191"/>
      <c r="O146" s="1191"/>
      <c r="P146" s="1191"/>
      <c r="Q146" s="1191"/>
      <c r="R146" s="1191"/>
      <c r="S146" s="1192"/>
      <c r="U146" s="61"/>
    </row>
    <row r="147" spans="1:21" ht="18.75" customHeight="1">
      <c r="A147" s="470"/>
      <c r="B147" s="471"/>
      <c r="C147" s="481" t="s">
        <v>647</v>
      </c>
      <c r="D147" s="471"/>
      <c r="E147" s="176"/>
      <c r="F147" s="176"/>
      <c r="G147" s="176"/>
      <c r="H147" s="176"/>
      <c r="I147" s="176"/>
      <c r="J147" s="176"/>
      <c r="K147" s="471"/>
      <c r="L147" s="476"/>
      <c r="M147" s="1190"/>
      <c r="N147" s="1191"/>
      <c r="O147" s="1191"/>
      <c r="P147" s="1191"/>
      <c r="Q147" s="1191"/>
      <c r="R147" s="1191"/>
      <c r="S147" s="1192"/>
      <c r="U147" s="61"/>
    </row>
    <row r="148" spans="1:21" ht="16.5" customHeight="1">
      <c r="A148" s="470"/>
      <c r="B148" s="471"/>
      <c r="C148" s="471"/>
      <c r="D148" s="471"/>
      <c r="E148" s="1198"/>
      <c r="F148" s="1199"/>
      <c r="G148" s="1199"/>
      <c r="H148" s="1199"/>
      <c r="I148" s="1199"/>
      <c r="J148" s="1200"/>
      <c r="K148" s="471"/>
      <c r="L148" s="476"/>
      <c r="M148" s="1190"/>
      <c r="N148" s="1191"/>
      <c r="O148" s="1191"/>
      <c r="P148" s="1191"/>
      <c r="Q148" s="1191"/>
      <c r="R148" s="1191"/>
      <c r="S148" s="1192"/>
      <c r="U148" s="61"/>
    </row>
    <row r="149" spans="1:21" ht="12.75" customHeight="1">
      <c r="A149" s="470"/>
      <c r="B149" s="471"/>
      <c r="C149" s="471"/>
      <c r="D149" s="471"/>
      <c r="E149" s="471"/>
      <c r="F149" s="471"/>
      <c r="G149" s="472"/>
      <c r="H149" s="482"/>
      <c r="I149" s="471"/>
      <c r="J149" s="471"/>
      <c r="K149" s="471"/>
      <c r="L149" s="476"/>
      <c r="M149" s="1190"/>
      <c r="N149" s="1191"/>
      <c r="O149" s="1191"/>
      <c r="P149" s="1191"/>
      <c r="Q149" s="1191"/>
      <c r="R149" s="1191"/>
      <c r="S149" s="1192"/>
      <c r="U149" s="61"/>
    </row>
    <row r="150" spans="1:21" ht="6" customHeight="1" thickBot="1">
      <c r="A150" s="470"/>
      <c r="B150" s="471"/>
      <c r="C150" s="471"/>
      <c r="D150" s="471"/>
      <c r="E150" s="471"/>
      <c r="F150" s="471"/>
      <c r="G150" s="472"/>
      <c r="H150" s="482"/>
      <c r="I150" s="471"/>
      <c r="J150" s="471"/>
      <c r="K150" s="471"/>
      <c r="L150" s="476"/>
      <c r="M150" s="1190"/>
      <c r="N150" s="1191"/>
      <c r="O150" s="1191"/>
      <c r="P150" s="1191"/>
      <c r="Q150" s="1191"/>
      <c r="R150" s="1191"/>
      <c r="S150" s="1192"/>
      <c r="U150" s="61"/>
    </row>
    <row r="151" spans="1:21" ht="15.75" thickBot="1">
      <c r="A151" s="483" t="s">
        <v>105</v>
      </c>
      <c r="B151" s="484"/>
      <c r="C151" s="484"/>
      <c r="D151" s="484"/>
      <c r="E151" s="484"/>
      <c r="F151" s="484"/>
      <c r="G151" s="484"/>
      <c r="H151" s="484"/>
      <c r="I151" s="351"/>
      <c r="J151" s="485" t="s">
        <v>419</v>
      </c>
      <c r="K151" s="1076">
        <f>H134+H142</f>
        <v>0</v>
      </c>
      <c r="L151" s="1077"/>
      <c r="M151" s="1193"/>
      <c r="N151" s="1194"/>
      <c r="O151" s="1194"/>
      <c r="P151" s="1194"/>
      <c r="Q151" s="1194"/>
      <c r="R151" s="1194"/>
      <c r="S151" s="1195"/>
      <c r="U151" s="61"/>
    </row>
    <row r="153" spans="1:19" ht="12.75">
      <c r="A153" s="58" t="str">
        <f>Sheet1!A1</f>
        <v>Canon City, CO Field Office</v>
      </c>
      <c r="B153" s="58"/>
      <c r="C153" s="58"/>
      <c r="D153" s="58"/>
      <c r="E153" s="58"/>
      <c r="F153" s="58"/>
      <c r="G153" s="58"/>
      <c r="H153" s="58" t="str">
        <f>Sheet1!E1</f>
        <v>B. Gohlke</v>
      </c>
      <c r="I153" s="58"/>
      <c r="J153" s="58"/>
      <c r="K153" s="58"/>
      <c r="L153" s="58"/>
      <c r="M153" s="58"/>
      <c r="N153" s="58"/>
      <c r="O153" s="58"/>
      <c r="P153" s="58"/>
      <c r="Q153" s="58"/>
      <c r="R153" s="58"/>
      <c r="S153" s="58"/>
    </row>
    <row r="154" spans="1:19" ht="12.75">
      <c r="A154" s="58" t="str">
        <f>Sheet1!A2</f>
        <v>Cheyenne Wells, CO Field Office</v>
      </c>
      <c r="B154" s="58"/>
      <c r="C154" s="58"/>
      <c r="D154" s="58"/>
      <c r="E154" s="58"/>
      <c r="F154" s="58"/>
      <c r="G154" s="58"/>
      <c r="H154" s="58" t="str">
        <f>Sheet1!E2</f>
        <v>G. Langer</v>
      </c>
      <c r="I154" s="58"/>
      <c r="J154" s="58"/>
      <c r="K154" s="58"/>
      <c r="L154" s="58"/>
      <c r="M154" s="58"/>
      <c r="N154" s="58"/>
      <c r="O154" s="58"/>
      <c r="P154" s="58"/>
      <c r="Q154" s="58"/>
      <c r="R154" s="58"/>
      <c r="S154" s="58"/>
    </row>
    <row r="155" spans="1:19" ht="12.75">
      <c r="A155" s="58" t="str">
        <f>Sheet1!A3</f>
        <v>Colorado Springs, CO Field Office</v>
      </c>
      <c r="B155" s="58"/>
      <c r="C155" s="58"/>
      <c r="D155" s="58"/>
      <c r="E155" s="58"/>
      <c r="F155" s="58"/>
      <c r="G155" s="58"/>
      <c r="H155" s="58" t="str">
        <f>Sheet1!E3</f>
        <v>J. Valentine</v>
      </c>
      <c r="I155" s="58"/>
      <c r="J155" s="58"/>
      <c r="K155" s="58"/>
      <c r="L155" s="58"/>
      <c r="M155" s="58"/>
      <c r="N155" s="58"/>
      <c r="O155" s="58"/>
      <c r="P155" s="58"/>
      <c r="Q155" s="58"/>
      <c r="R155" s="58"/>
      <c r="S155" s="58"/>
    </row>
    <row r="156" spans="1:19" ht="12.75">
      <c r="A156" s="58" t="str">
        <f>Sheet1!A4</f>
        <v>Eads, CO Field Office</v>
      </c>
      <c r="B156" s="58"/>
      <c r="C156" s="58"/>
      <c r="D156" s="58"/>
      <c r="E156" s="58"/>
      <c r="F156" s="58"/>
      <c r="G156" s="58"/>
      <c r="H156" s="58" t="str">
        <f>Sheet1!E4</f>
        <v>R. Castle</v>
      </c>
      <c r="I156" s="58"/>
      <c r="J156" s="58"/>
      <c r="K156" s="58"/>
      <c r="L156" s="58"/>
      <c r="M156" s="58"/>
      <c r="N156" s="58"/>
      <c r="O156" s="58"/>
      <c r="P156" s="58"/>
      <c r="Q156" s="58"/>
      <c r="R156" s="58"/>
      <c r="S156" s="58"/>
    </row>
    <row r="157" spans="1:19" ht="12.75">
      <c r="A157" s="58" t="str">
        <f>Sheet1!A5</f>
        <v>Holly, CO Northeast Prowers SCD</v>
      </c>
      <c r="B157" s="58"/>
      <c r="C157" s="58"/>
      <c r="D157" s="58"/>
      <c r="E157" s="58"/>
      <c r="F157" s="58"/>
      <c r="G157" s="58"/>
      <c r="H157" s="58" t="str">
        <f>Sheet1!E5</f>
        <v>R. Rhoades</v>
      </c>
      <c r="I157" s="58"/>
      <c r="J157" s="58"/>
      <c r="K157" s="58"/>
      <c r="L157" s="58"/>
      <c r="M157" s="58"/>
      <c r="N157" s="58"/>
      <c r="O157" s="58"/>
      <c r="P157" s="58"/>
      <c r="Q157" s="58"/>
      <c r="R157" s="58"/>
      <c r="S157" s="58"/>
    </row>
    <row r="158" spans="1:19" ht="12.75">
      <c r="A158" s="58" t="str">
        <f>Sheet1!A6</f>
        <v>Hugo, CO Field Office</v>
      </c>
      <c r="B158" s="58"/>
      <c r="C158" s="58"/>
      <c r="D158" s="58"/>
      <c r="E158" s="58"/>
      <c r="F158" s="58"/>
      <c r="G158" s="58"/>
      <c r="H158" s="58" t="str">
        <f>Sheet1!E6</f>
        <v>B. Fortman</v>
      </c>
      <c r="I158" s="58"/>
      <c r="J158" s="58"/>
      <c r="K158" s="58"/>
      <c r="L158" s="58"/>
      <c r="M158" s="58"/>
      <c r="N158" s="58"/>
      <c r="O158" s="58"/>
      <c r="P158" s="58"/>
      <c r="Q158" s="58"/>
      <c r="R158" s="58"/>
      <c r="S158" s="58"/>
    </row>
    <row r="159" spans="1:19" ht="12.75">
      <c r="A159" s="58" t="str">
        <f>Sheet1!A7</f>
        <v>Lamar, CO  Field Office</v>
      </c>
      <c r="B159" s="58"/>
      <c r="C159" s="58"/>
      <c r="D159" s="58"/>
      <c r="E159" s="58"/>
      <c r="F159" s="58"/>
      <c r="G159" s="58"/>
      <c r="H159" s="58" t="str">
        <f>Sheet1!E7</f>
        <v>L. Borrego</v>
      </c>
      <c r="I159" s="58"/>
      <c r="J159" s="58"/>
      <c r="K159" s="58"/>
      <c r="L159" s="58"/>
      <c r="M159" s="58"/>
      <c r="N159" s="58"/>
      <c r="O159" s="58"/>
      <c r="P159" s="58"/>
      <c r="Q159" s="58"/>
      <c r="R159" s="58"/>
      <c r="S159" s="58"/>
    </row>
    <row r="160" spans="1:19" ht="12.75">
      <c r="A160" s="58" t="str">
        <f>Sheet1!A8</f>
        <v>Las Animas, CO Field Office</v>
      </c>
      <c r="B160" s="58"/>
      <c r="C160" s="58"/>
      <c r="D160" s="58"/>
      <c r="E160" s="58"/>
      <c r="F160" s="58"/>
      <c r="G160" s="58"/>
      <c r="H160" s="58" t="str">
        <f>Sheet1!E8</f>
        <v>M. Clark</v>
      </c>
      <c r="I160" s="58"/>
      <c r="J160" s="58"/>
      <c r="K160" s="58"/>
      <c r="L160" s="58"/>
      <c r="M160" s="58"/>
      <c r="N160" s="58"/>
      <c r="O160" s="58"/>
      <c r="P160" s="58"/>
      <c r="Q160" s="58"/>
      <c r="R160" s="58"/>
      <c r="S160" s="58"/>
    </row>
    <row r="161" spans="1:19" ht="12.75">
      <c r="A161" s="58" t="str">
        <f>Sheet1!A9</f>
        <v>Pueblo, CO Field Office</v>
      </c>
      <c r="B161" s="58"/>
      <c r="C161" s="58"/>
      <c r="D161" s="58"/>
      <c r="E161" s="58"/>
      <c r="F161" s="58"/>
      <c r="G161" s="58"/>
      <c r="H161" s="58" t="str">
        <f>Sheet1!E9</f>
        <v>B. Klinkerman</v>
      </c>
      <c r="I161" s="58"/>
      <c r="J161" s="58"/>
      <c r="K161" s="58"/>
      <c r="L161" s="58"/>
      <c r="M161" s="58"/>
      <c r="N161" s="58"/>
      <c r="O161" s="58"/>
      <c r="P161" s="58"/>
      <c r="Q161" s="58"/>
      <c r="R161" s="58"/>
      <c r="S161" s="58"/>
    </row>
    <row r="162" spans="1:19" ht="12.75">
      <c r="A162" s="58" t="str">
        <f>Sheet1!A10</f>
        <v>Rocky Ford, CO Field Office</v>
      </c>
      <c r="B162" s="58"/>
      <c r="C162" s="58"/>
      <c r="D162" s="58"/>
      <c r="E162" s="58"/>
      <c r="F162" s="58"/>
      <c r="G162" s="58"/>
      <c r="H162" s="58" t="str">
        <f>Sheet1!E10</f>
        <v>D. Miller</v>
      </c>
      <c r="I162" s="58"/>
      <c r="J162" s="58"/>
      <c r="K162" s="58"/>
      <c r="L162" s="58"/>
      <c r="M162" s="58"/>
      <c r="N162" s="58"/>
      <c r="O162" s="58"/>
      <c r="P162" s="58"/>
      <c r="Q162" s="58"/>
      <c r="R162" s="58"/>
      <c r="S162" s="58"/>
    </row>
    <row r="163" spans="1:19" ht="12.75">
      <c r="A163" s="58" t="str">
        <f>Sheet1!A11</f>
        <v>Salida, CO Field Office</v>
      </c>
      <c r="B163" s="58"/>
      <c r="C163" s="58"/>
      <c r="D163" s="58"/>
      <c r="E163" s="58"/>
      <c r="F163" s="58"/>
      <c r="G163" s="58"/>
      <c r="H163" s="58" t="str">
        <f>Sheet1!E11</f>
        <v>D. Russell</v>
      </c>
      <c r="I163" s="58"/>
      <c r="J163" s="58"/>
      <c r="K163" s="58"/>
      <c r="L163" s="58"/>
      <c r="M163" s="58"/>
      <c r="N163" s="58"/>
      <c r="O163" s="58"/>
      <c r="P163" s="58"/>
      <c r="Q163" s="58"/>
      <c r="R163" s="58"/>
      <c r="S163" s="58"/>
    </row>
    <row r="164" spans="1:19" ht="12.75">
      <c r="A164" s="58" t="str">
        <f>Sheet1!A12</f>
        <v>Silver Cliff, CO Field Office</v>
      </c>
      <c r="B164" s="58"/>
      <c r="C164" s="58"/>
      <c r="D164" s="58"/>
      <c r="E164" s="58"/>
      <c r="F164" s="58"/>
      <c r="G164" s="58"/>
      <c r="H164" s="58" t="str">
        <f>Sheet1!E12</f>
        <v>M. Williams</v>
      </c>
      <c r="I164" s="58"/>
      <c r="J164" s="58"/>
      <c r="K164" s="58"/>
      <c r="L164" s="58"/>
      <c r="M164" s="58"/>
      <c r="N164" s="58"/>
      <c r="O164" s="58"/>
      <c r="P164" s="58"/>
      <c r="Q164" s="58"/>
      <c r="R164" s="58"/>
      <c r="S164" s="58"/>
    </row>
    <row r="165" spans="1:19" ht="12.75">
      <c r="A165" s="58" t="str">
        <f>Sheet1!A13</f>
        <v>Simla, CO Field Office</v>
      </c>
      <c r="B165" s="58"/>
      <c r="C165" s="58"/>
      <c r="D165" s="58"/>
      <c r="E165" s="58"/>
      <c r="F165" s="58"/>
      <c r="G165" s="58"/>
      <c r="H165" s="58" t="str">
        <f>Sheet1!E13</f>
        <v>F. Edens</v>
      </c>
      <c r="I165" s="58"/>
      <c r="J165" s="58"/>
      <c r="K165" s="58"/>
      <c r="L165" s="58"/>
      <c r="M165" s="58"/>
      <c r="N165" s="58"/>
      <c r="O165" s="58"/>
      <c r="P165" s="58"/>
      <c r="Q165" s="58"/>
      <c r="R165" s="58"/>
      <c r="S165" s="58"/>
    </row>
    <row r="166" spans="1:19" ht="12.75">
      <c r="A166" s="58" t="str">
        <f>Sheet1!A14</f>
        <v>Springfield, CO Field Office</v>
      </c>
      <c r="B166" s="58"/>
      <c r="C166" s="58"/>
      <c r="D166" s="58"/>
      <c r="E166" s="58"/>
      <c r="F166" s="58"/>
      <c r="G166" s="58"/>
      <c r="H166" s="58" t="str">
        <f>Sheet1!E14</f>
        <v>J. "Wade" Sigler</v>
      </c>
      <c r="I166" s="58"/>
      <c r="J166" s="58"/>
      <c r="K166" s="58"/>
      <c r="L166" s="58"/>
      <c r="M166" s="58"/>
      <c r="N166" s="58"/>
      <c r="O166" s="58"/>
      <c r="P166" s="58"/>
      <c r="Q166" s="58"/>
      <c r="R166" s="58"/>
      <c r="S166" s="58"/>
    </row>
    <row r="167" spans="1:19" ht="12.75">
      <c r="A167" s="58" t="str">
        <f>Sheet1!A15</f>
        <v>Trinidad, CO Field Office</v>
      </c>
      <c r="B167" s="58"/>
      <c r="C167" s="58"/>
      <c r="D167" s="58"/>
      <c r="E167" s="58"/>
      <c r="F167" s="58"/>
      <c r="G167" s="58"/>
      <c r="H167" s="58" t="str">
        <f>Sheet1!E15</f>
        <v>C. Waugh</v>
      </c>
      <c r="I167" s="58"/>
      <c r="J167" s="58"/>
      <c r="K167" s="58"/>
      <c r="L167" s="58"/>
      <c r="M167" s="58"/>
      <c r="N167" s="58"/>
      <c r="O167" s="58"/>
      <c r="P167" s="58"/>
      <c r="Q167" s="58"/>
      <c r="R167" s="58"/>
      <c r="S167" s="58"/>
    </row>
    <row r="168" spans="1:19" ht="12.75">
      <c r="A168" s="58" t="str">
        <f>Sheet1!A16</f>
        <v>Walsenburg, CO Field Office</v>
      </c>
      <c r="B168" s="58"/>
      <c r="C168" s="58"/>
      <c r="D168" s="58"/>
      <c r="E168" s="58"/>
      <c r="F168" s="58"/>
      <c r="G168" s="58"/>
      <c r="H168" s="58" t="str">
        <f>Sheet1!E16</f>
        <v>S. Smith</v>
      </c>
      <c r="I168" s="58"/>
      <c r="J168" s="58"/>
      <c r="K168" s="58"/>
      <c r="L168" s="58"/>
      <c r="M168" s="58"/>
      <c r="N168" s="58"/>
      <c r="O168" s="58"/>
      <c r="P168" s="58"/>
      <c r="Q168" s="58"/>
      <c r="R168" s="58"/>
      <c r="S168" s="58"/>
    </row>
    <row r="169" spans="1:19" ht="12.75">
      <c r="A169" s="58" t="str">
        <f>Sheet1!A17</f>
        <v>Woodland Park, CO Teller/Park SCD</v>
      </c>
      <c r="B169" s="58"/>
      <c r="C169" s="58"/>
      <c r="D169" s="58"/>
      <c r="E169" s="58"/>
      <c r="F169" s="58"/>
      <c r="G169" s="58"/>
      <c r="H169" s="58" t="str">
        <f>Sheet1!E17</f>
        <v>J. Nelson</v>
      </c>
      <c r="I169" s="58"/>
      <c r="J169" s="58"/>
      <c r="K169" s="58"/>
      <c r="L169" s="58"/>
      <c r="M169" s="58"/>
      <c r="N169" s="58"/>
      <c r="O169" s="58"/>
      <c r="P169" s="58"/>
      <c r="Q169" s="58"/>
      <c r="R169" s="58"/>
      <c r="S169" s="58"/>
    </row>
    <row r="170" spans="1:19" ht="12.75">
      <c r="A170" s="58"/>
      <c r="B170" s="58"/>
      <c r="C170" s="58"/>
      <c r="D170" s="58"/>
      <c r="E170" s="58"/>
      <c r="F170" s="58"/>
      <c r="G170" s="58"/>
      <c r="H170" s="58" t="str">
        <f>Sheet1!E18</f>
        <v>J. Sperry</v>
      </c>
      <c r="I170" s="58"/>
      <c r="J170" s="58"/>
      <c r="K170" s="58"/>
      <c r="L170" s="58"/>
      <c r="M170" s="58"/>
      <c r="N170" s="58"/>
      <c r="O170" s="58"/>
      <c r="P170" s="58"/>
      <c r="Q170" s="58"/>
      <c r="R170" s="58"/>
      <c r="S170" s="58"/>
    </row>
    <row r="171" spans="1:19" ht="12.75">
      <c r="A171" s="58"/>
      <c r="B171" s="58"/>
      <c r="C171" s="58"/>
      <c r="D171" s="58"/>
      <c r="E171" s="58"/>
      <c r="F171" s="58"/>
      <c r="G171" s="58"/>
      <c r="H171" s="58" t="str">
        <f>Sheet1!E19</f>
        <v>R. Romano</v>
      </c>
      <c r="I171" s="58"/>
      <c r="J171" s="58"/>
      <c r="K171" s="58"/>
      <c r="L171" s="58"/>
      <c r="M171" s="58"/>
      <c r="N171" s="58"/>
      <c r="O171" s="58"/>
      <c r="P171" s="58"/>
      <c r="Q171" s="58"/>
      <c r="R171" s="58"/>
      <c r="S171" s="58"/>
    </row>
    <row r="172" spans="1:19" ht="12.75">
      <c r="A172" s="58"/>
      <c r="B172" s="58"/>
      <c r="C172" s="58"/>
      <c r="D172" s="58"/>
      <c r="E172" s="58"/>
      <c r="F172" s="58"/>
      <c r="G172" s="58"/>
      <c r="H172" s="58" t="str">
        <f>Sheet1!E20</f>
        <v>R. Fontaine</v>
      </c>
      <c r="I172" s="58"/>
      <c r="J172" s="58"/>
      <c r="K172" s="58"/>
      <c r="L172" s="58"/>
      <c r="M172" s="58"/>
      <c r="N172" s="58"/>
      <c r="O172" s="58"/>
      <c r="P172" s="58"/>
      <c r="Q172" s="58"/>
      <c r="R172" s="58"/>
      <c r="S172" s="58"/>
    </row>
    <row r="173" spans="1:19" ht="12.75">
      <c r="A173" s="58" t="str">
        <f>Sheet1!A21</f>
        <v>Individual</v>
      </c>
      <c r="B173" s="58"/>
      <c r="C173" s="58"/>
      <c r="D173" s="58"/>
      <c r="E173" s="58"/>
      <c r="F173" s="58"/>
      <c r="G173" s="58"/>
      <c r="H173" s="58" t="str">
        <f>Sheet1!E21</f>
        <v>M. Watson</v>
      </c>
      <c r="I173" s="58"/>
      <c r="J173" s="58"/>
      <c r="K173" s="58"/>
      <c r="L173" s="58"/>
      <c r="M173" s="58"/>
      <c r="N173" s="58"/>
      <c r="O173" s="58"/>
      <c r="P173" s="58"/>
      <c r="Q173" s="58"/>
      <c r="R173" s="58"/>
      <c r="S173" s="58"/>
    </row>
    <row r="174" spans="1:19" ht="12.75">
      <c r="A174" s="58" t="str">
        <f>Sheet1!A22</f>
        <v>General Partnership</v>
      </c>
      <c r="B174" s="58"/>
      <c r="C174" s="58"/>
      <c r="D174" s="58"/>
      <c r="E174" s="58"/>
      <c r="F174" s="58"/>
      <c r="G174" s="58"/>
      <c r="H174" s="58" t="str">
        <f>Sheet1!E22</f>
        <v>M. Miller</v>
      </c>
      <c r="I174" s="58"/>
      <c r="J174" s="58"/>
      <c r="K174" s="58"/>
      <c r="L174" s="58"/>
      <c r="M174" s="58"/>
      <c r="N174" s="58"/>
      <c r="O174" s="58"/>
      <c r="P174" s="58"/>
      <c r="Q174" s="58"/>
      <c r="R174" s="58"/>
      <c r="S174" s="58"/>
    </row>
    <row r="175" spans="1:19" ht="12.75">
      <c r="A175" s="58" t="str">
        <f>Sheet1!A23</f>
        <v>Joint Venture</v>
      </c>
      <c r="B175" s="58"/>
      <c r="C175" s="58"/>
      <c r="D175" s="58"/>
      <c r="E175" s="58"/>
      <c r="F175" s="58"/>
      <c r="G175" s="58"/>
      <c r="H175" s="58" t="str">
        <f>Sheet1!E23</f>
        <v>C. Sheley</v>
      </c>
      <c r="I175" s="58"/>
      <c r="J175" s="58"/>
      <c r="K175" s="58"/>
      <c r="L175" s="58"/>
      <c r="M175" s="58"/>
      <c r="N175" s="58"/>
      <c r="O175" s="58"/>
      <c r="P175" s="58"/>
      <c r="Q175" s="58"/>
      <c r="R175" s="58"/>
      <c r="S175" s="58"/>
    </row>
    <row r="176" spans="1:19" ht="12.75">
      <c r="A176" s="58" t="str">
        <f>Sheet1!A24</f>
        <v>Limited Liability Partnership</v>
      </c>
      <c r="B176" s="58"/>
      <c r="C176" s="58"/>
      <c r="D176" s="58"/>
      <c r="E176" s="58"/>
      <c r="F176" s="58"/>
      <c r="G176" s="58"/>
      <c r="H176" s="58" t="str">
        <f>Sheet1!E24</f>
        <v>D. Sanchez</v>
      </c>
      <c r="I176" s="58"/>
      <c r="J176" s="58"/>
      <c r="K176" s="58"/>
      <c r="L176" s="58"/>
      <c r="M176" s="58"/>
      <c r="N176" s="58"/>
      <c r="O176" s="58"/>
      <c r="P176" s="58"/>
      <c r="Q176" s="58"/>
      <c r="R176" s="58"/>
      <c r="S176" s="58"/>
    </row>
    <row r="177" spans="1:19" ht="12.75">
      <c r="A177" s="58" t="str">
        <f>Sheet1!A25</f>
        <v>Limited Liability Limited Partnership</v>
      </c>
      <c r="B177" s="58"/>
      <c r="C177" s="58"/>
      <c r="D177" s="58"/>
      <c r="E177" s="58"/>
      <c r="F177" s="58"/>
      <c r="G177" s="58"/>
      <c r="H177" s="58" t="str">
        <f>Sheet1!E25</f>
        <v>L.G. "Smitty" Smith</v>
      </c>
      <c r="I177" s="58"/>
      <c r="J177" s="58"/>
      <c r="K177" s="58"/>
      <c r="L177" s="58"/>
      <c r="M177" s="58"/>
      <c r="N177" s="58"/>
      <c r="O177" s="58"/>
      <c r="P177" s="58"/>
      <c r="Q177" s="58"/>
      <c r="R177" s="58"/>
      <c r="S177" s="58"/>
    </row>
    <row r="178" spans="1:19" ht="12.75">
      <c r="A178" s="58" t="str">
        <f>Sheet1!A26</f>
        <v>Limited Partnership Association</v>
      </c>
      <c r="B178" s="58"/>
      <c r="C178" s="58"/>
      <c r="D178" s="58"/>
      <c r="E178" s="58"/>
      <c r="F178" s="58"/>
      <c r="G178" s="58"/>
      <c r="H178" s="58" t="str">
        <f>Sheet1!E26</f>
        <v>C. Regnier</v>
      </c>
      <c r="I178" s="58"/>
      <c r="J178" s="58"/>
      <c r="K178" s="58"/>
      <c r="L178" s="58"/>
      <c r="M178" s="58"/>
      <c r="N178" s="58"/>
      <c r="O178" s="58"/>
      <c r="P178" s="58"/>
      <c r="Q178" s="58"/>
      <c r="R178" s="58"/>
      <c r="S178" s="58"/>
    </row>
    <row r="179" spans="1:19" ht="12.75">
      <c r="A179" s="58" t="str">
        <f>Sheet1!A27</f>
        <v>Limited Liability Company</v>
      </c>
      <c r="B179" s="58"/>
      <c r="C179" s="58"/>
      <c r="D179" s="58"/>
      <c r="E179" s="58"/>
      <c r="F179" s="58"/>
      <c r="G179" s="58"/>
      <c r="H179" s="58" t="str">
        <f>Sheet1!E27</f>
        <v>C. Melcher</v>
      </c>
      <c r="I179" s="58"/>
      <c r="J179" s="58"/>
      <c r="K179" s="58"/>
      <c r="L179" s="58"/>
      <c r="M179" s="58"/>
      <c r="N179" s="58"/>
      <c r="O179" s="58"/>
      <c r="P179" s="58"/>
      <c r="Q179" s="58"/>
      <c r="R179" s="58"/>
      <c r="S179" s="58"/>
    </row>
    <row r="180" spans="1:19" ht="12.75">
      <c r="A180" s="58" t="str">
        <f>Sheet1!A28</f>
        <v>Limited Partnership  </v>
      </c>
      <c r="B180" s="58"/>
      <c r="C180" s="58"/>
      <c r="D180" s="58"/>
      <c r="E180" s="58"/>
      <c r="F180" s="58"/>
      <c r="G180" s="58"/>
      <c r="H180" s="58" t="str">
        <f>Sheet1!E28</f>
        <v>W. "Ted" Lonnberg</v>
      </c>
      <c r="I180" s="58"/>
      <c r="J180" s="58"/>
      <c r="K180" s="58"/>
      <c r="L180" s="58"/>
      <c r="M180" s="58"/>
      <c r="N180" s="58"/>
      <c r="O180" s="58"/>
      <c r="P180" s="58"/>
      <c r="Q180" s="58"/>
      <c r="R180" s="58"/>
      <c r="S180" s="58"/>
    </row>
    <row r="181" spans="1:19" ht="12.75">
      <c r="A181" s="58" t="str">
        <f>Sheet1!A29</f>
        <v>Corporation</v>
      </c>
      <c r="B181" s="58"/>
      <c r="C181" s="58"/>
      <c r="D181" s="58"/>
      <c r="E181" s="58"/>
      <c r="F181" s="58"/>
      <c r="G181" s="58"/>
      <c r="H181" s="58" t="str">
        <f>Sheet1!E29</f>
        <v>B. Johnson</v>
      </c>
      <c r="I181" s="58"/>
      <c r="J181" s="58"/>
      <c r="K181" s="58"/>
      <c r="L181" s="58"/>
      <c r="M181" s="58"/>
      <c r="N181" s="58"/>
      <c r="O181" s="58"/>
      <c r="P181" s="58"/>
      <c r="Q181" s="58"/>
      <c r="R181" s="58"/>
      <c r="S181" s="58"/>
    </row>
    <row r="182" spans="1:19" ht="12.75">
      <c r="A182" s="58" t="str">
        <f>Sheet1!A30</f>
        <v>Trust</v>
      </c>
      <c r="B182" s="58"/>
      <c r="C182" s="58"/>
      <c r="D182" s="58"/>
      <c r="E182" s="58"/>
      <c r="F182" s="58"/>
      <c r="G182" s="58"/>
      <c r="H182" s="58" t="str">
        <f>Sheet1!E30</f>
        <v>A. White</v>
      </c>
      <c r="I182" s="58"/>
      <c r="J182" s="58"/>
      <c r="K182" s="58"/>
      <c r="L182" s="58"/>
      <c r="M182" s="58"/>
      <c r="N182" s="58"/>
      <c r="O182" s="58"/>
      <c r="P182" s="58"/>
      <c r="Q182" s="58"/>
      <c r="R182" s="58"/>
      <c r="S182" s="58"/>
    </row>
    <row r="183" spans="1:19" ht="12.75">
      <c r="A183" s="58" t="str">
        <f>Sheet1!A31</f>
        <v>Estate</v>
      </c>
      <c r="B183" s="58"/>
      <c r="C183" s="58"/>
      <c r="D183" s="58"/>
      <c r="E183" s="58"/>
      <c r="F183" s="58"/>
      <c r="G183" s="58"/>
      <c r="H183" s="58" t="str">
        <f>Sheet1!E31</f>
        <v>W. Bland</v>
      </c>
      <c r="I183" s="58"/>
      <c r="J183" s="58"/>
      <c r="K183" s="58"/>
      <c r="L183" s="58"/>
      <c r="M183" s="58"/>
      <c r="N183" s="58"/>
      <c r="O183" s="58"/>
      <c r="P183" s="58"/>
      <c r="Q183" s="58"/>
      <c r="R183" s="58"/>
      <c r="S183" s="58"/>
    </row>
    <row r="184" spans="1:19" ht="12.75">
      <c r="A184" s="58"/>
      <c r="B184" s="58"/>
      <c r="C184" s="58"/>
      <c r="D184" s="58"/>
      <c r="E184" s="58"/>
      <c r="F184" s="58"/>
      <c r="G184" s="58"/>
      <c r="H184" s="58" t="str">
        <f>Sheet1!E32</f>
        <v>S. Hansen</v>
      </c>
      <c r="I184" s="58"/>
      <c r="J184" s="58"/>
      <c r="K184" s="58"/>
      <c r="L184" s="58"/>
      <c r="M184" s="58"/>
      <c r="N184" s="58"/>
      <c r="O184" s="58"/>
      <c r="P184" s="58"/>
      <c r="Q184" s="58"/>
      <c r="R184" s="58"/>
      <c r="S184" s="58"/>
    </row>
    <row r="185" spans="1:19" ht="12.75">
      <c r="A185" s="58"/>
      <c r="B185" s="58"/>
      <c r="C185" s="58"/>
      <c r="D185" s="58"/>
      <c r="E185" s="58"/>
      <c r="F185" s="58"/>
      <c r="G185" s="58"/>
      <c r="H185" s="58" t="str">
        <f>Sheet1!E33</f>
        <v>K. Conrad</v>
      </c>
      <c r="I185" s="58"/>
      <c r="J185" s="58"/>
      <c r="K185" s="58"/>
      <c r="L185" s="58"/>
      <c r="M185" s="58"/>
      <c r="N185" s="58"/>
      <c r="O185" s="58"/>
      <c r="P185" s="58"/>
      <c r="Q185" s="58"/>
      <c r="R185" s="58"/>
      <c r="S185" s="58"/>
    </row>
    <row r="186" spans="1:19" ht="12.75">
      <c r="A186" s="58" t="str">
        <f>Sheet1!A34</f>
        <v>Colorado Division of Wildlife</v>
      </c>
      <c r="B186" s="58"/>
      <c r="C186" s="58"/>
      <c r="D186" s="58"/>
      <c r="E186" s="58"/>
      <c r="F186" s="58"/>
      <c r="G186" s="58"/>
      <c r="H186" s="58" t="str">
        <f>Sheet1!E34</f>
        <v>M. Martin</v>
      </c>
      <c r="I186" s="58"/>
      <c r="J186" s="58"/>
      <c r="K186" s="58"/>
      <c r="L186" s="58"/>
      <c r="M186" s="58"/>
      <c r="N186" s="58"/>
      <c r="O186" s="58"/>
      <c r="P186" s="58"/>
      <c r="Q186" s="58"/>
      <c r="R186" s="58"/>
      <c r="S186" s="58"/>
    </row>
    <row r="187" spans="1:19" ht="12.75">
      <c r="A187" s="58" t="str">
        <f>Sheet1!A35</f>
        <v>U.S. Fish and Wildlife Service</v>
      </c>
      <c r="B187" s="58"/>
      <c r="C187" s="58"/>
      <c r="D187" s="58"/>
      <c r="E187" s="58"/>
      <c r="F187" s="58"/>
      <c r="G187" s="58"/>
      <c r="H187" s="58" t="str">
        <f>Sheet1!E35</f>
        <v>E. Kilpatrick</v>
      </c>
      <c r="I187" s="58"/>
      <c r="J187" s="58"/>
      <c r="K187" s="58"/>
      <c r="L187" s="58"/>
      <c r="M187" s="58"/>
      <c r="N187" s="58"/>
      <c r="O187" s="58"/>
      <c r="P187" s="58"/>
      <c r="Q187" s="58"/>
      <c r="R187" s="58"/>
      <c r="S187" s="58"/>
    </row>
    <row r="188" spans="1:19" ht="12.75">
      <c r="A188" s="58" t="str">
        <f>Sheet1!A36</f>
        <v>Colorado Elk Foundation</v>
      </c>
      <c r="B188" s="58"/>
      <c r="C188" s="58"/>
      <c r="D188" s="58"/>
      <c r="E188" s="58"/>
      <c r="F188" s="58"/>
      <c r="G188" s="58"/>
      <c r="H188" s="58" t="str">
        <f>Sheet1!E36</f>
        <v>C. Schleining</v>
      </c>
      <c r="I188" s="58"/>
      <c r="J188" s="58"/>
      <c r="K188" s="58"/>
      <c r="L188" s="58"/>
      <c r="M188" s="58"/>
      <c r="N188" s="58"/>
      <c r="O188" s="58"/>
      <c r="P188" s="58"/>
      <c r="Q188" s="58"/>
      <c r="R188" s="58"/>
      <c r="S188" s="58"/>
    </row>
    <row r="189" spans="1:19" ht="12.75">
      <c r="A189" s="58" t="str">
        <f>Sheet1!A37</f>
        <v>Pheasants Forever</v>
      </c>
      <c r="B189" s="58"/>
      <c r="C189" s="58"/>
      <c r="D189" s="58"/>
      <c r="E189" s="58"/>
      <c r="F189" s="58"/>
      <c r="G189" s="58"/>
      <c r="H189" s="58" t="str">
        <f>Sheet1!E37</f>
        <v>B. "B.J." Jones</v>
      </c>
      <c r="I189" s="58"/>
      <c r="J189" s="58"/>
      <c r="K189" s="58"/>
      <c r="L189" s="58"/>
      <c r="M189" s="58"/>
      <c r="N189" s="58"/>
      <c r="O189" s="58"/>
      <c r="P189" s="58"/>
      <c r="Q189" s="58"/>
      <c r="R189" s="58"/>
      <c r="S189" s="58"/>
    </row>
    <row r="190" spans="1:19" ht="12.75">
      <c r="A190" s="58" t="str">
        <f>Sheet1!A38</f>
        <v>Ducks Unlimited</v>
      </c>
      <c r="B190" s="58"/>
      <c r="C190" s="58"/>
      <c r="D190" s="58"/>
      <c r="E190" s="58"/>
      <c r="F190" s="58"/>
      <c r="G190" s="58"/>
      <c r="H190" s="58" t="str">
        <f>Sheet1!E38</f>
        <v>J. Hamilton</v>
      </c>
      <c r="I190" s="58"/>
      <c r="J190" s="58"/>
      <c r="K190" s="58"/>
      <c r="L190" s="58"/>
      <c r="M190" s="58"/>
      <c r="N190" s="58"/>
      <c r="O190" s="58"/>
      <c r="P190" s="58"/>
      <c r="Q190" s="58"/>
      <c r="R190" s="58"/>
      <c r="S190" s="58"/>
    </row>
    <row r="191" spans="1:19" ht="12.75">
      <c r="A191" s="58" t="str">
        <f>Sheet1!A39</f>
        <v>Other</v>
      </c>
      <c r="B191" s="58"/>
      <c r="C191" s="58"/>
      <c r="D191" s="58"/>
      <c r="E191" s="58"/>
      <c r="F191" s="58"/>
      <c r="G191" s="58"/>
      <c r="H191" s="58" t="str">
        <f>Sheet1!E39</f>
        <v>J. Moffett</v>
      </c>
      <c r="I191" s="58"/>
      <c r="J191" s="58"/>
      <c r="K191" s="58"/>
      <c r="L191" s="58"/>
      <c r="M191" s="58"/>
      <c r="N191" s="58"/>
      <c r="O191" s="58"/>
      <c r="P191" s="58"/>
      <c r="Q191" s="58"/>
      <c r="R191" s="58"/>
      <c r="S191" s="58"/>
    </row>
    <row r="192" spans="1:19" ht="12.75">
      <c r="A192" s="58" t="str">
        <f>Sheet1!A40</f>
        <v>Not Applicable</v>
      </c>
      <c r="B192" s="58"/>
      <c r="C192" s="58"/>
      <c r="D192" s="58"/>
      <c r="E192" s="58"/>
      <c r="F192" s="58"/>
      <c r="G192" s="58"/>
      <c r="H192" s="58" t="str">
        <f>Sheet1!E40</f>
        <v>R. Grigat</v>
      </c>
      <c r="I192" s="58"/>
      <c r="J192" s="58"/>
      <c r="K192" s="58"/>
      <c r="L192" s="58"/>
      <c r="M192" s="58"/>
      <c r="N192" s="58"/>
      <c r="O192" s="58"/>
      <c r="P192" s="58"/>
      <c r="Q192" s="58"/>
      <c r="R192" s="58"/>
      <c r="S192" s="58"/>
    </row>
    <row r="193" spans="1:19" ht="12.75">
      <c r="A193" s="58"/>
      <c r="B193" s="58"/>
      <c r="C193" s="58"/>
      <c r="D193" s="58"/>
      <c r="E193" s="58"/>
      <c r="F193" s="58"/>
      <c r="G193" s="58"/>
      <c r="H193" s="58" t="str">
        <f>Sheet1!E41</f>
        <v>J. Dukes</v>
      </c>
      <c r="I193" s="58"/>
      <c r="J193" s="58"/>
      <c r="K193" s="58"/>
      <c r="L193" s="58"/>
      <c r="M193" s="58"/>
      <c r="N193" s="58"/>
      <c r="O193" s="58"/>
      <c r="P193" s="58"/>
      <c r="Q193" s="58"/>
      <c r="R193" s="58"/>
      <c r="S193" s="58"/>
    </row>
    <row r="194" spans="1:19" ht="12.75">
      <c r="A194" s="58"/>
      <c r="B194" s="58"/>
      <c r="C194" s="58"/>
      <c r="D194" s="58"/>
      <c r="E194" s="58"/>
      <c r="F194" s="58"/>
      <c r="G194" s="58"/>
      <c r="H194" s="58" t="str">
        <f>Sheet1!E42</f>
        <v>T. Werner</v>
      </c>
      <c r="I194" s="58"/>
      <c r="J194" s="58"/>
      <c r="K194" s="58"/>
      <c r="L194" s="58"/>
      <c r="M194" s="58"/>
      <c r="N194" s="58"/>
      <c r="O194" s="58"/>
      <c r="P194" s="58"/>
      <c r="Q194" s="58"/>
      <c r="R194" s="58"/>
      <c r="S194" s="58"/>
    </row>
    <row r="195" spans="1:19" ht="12.75">
      <c r="A195" s="58"/>
      <c r="B195" s="58"/>
      <c r="C195" s="58"/>
      <c r="D195" s="58"/>
      <c r="E195" s="58"/>
      <c r="F195" s="58"/>
      <c r="G195" s="58"/>
      <c r="H195" s="58" t="str">
        <f>Sheet1!E43</f>
        <v>K. Falen</v>
      </c>
      <c r="I195" s="58"/>
      <c r="J195" s="58"/>
      <c r="K195" s="58"/>
      <c r="L195" s="58"/>
      <c r="M195" s="58"/>
      <c r="N195" s="58"/>
      <c r="O195" s="58"/>
      <c r="P195" s="58"/>
      <c r="Q195" s="58"/>
      <c r="R195" s="58"/>
      <c r="S195" s="58"/>
    </row>
    <row r="196" spans="1:19" ht="12.75">
      <c r="A196" s="58"/>
      <c r="B196" s="58"/>
      <c r="C196" s="58"/>
      <c r="D196" s="58"/>
      <c r="E196" s="58"/>
      <c r="F196" s="58"/>
      <c r="G196" s="58"/>
      <c r="H196" s="58" t="str">
        <f>Sheet1!E44</f>
        <v>M. "Storm" Casper</v>
      </c>
      <c r="I196" s="58"/>
      <c r="J196" s="58"/>
      <c r="K196" s="58"/>
      <c r="L196" s="58"/>
      <c r="M196" s="58"/>
      <c r="N196" s="58"/>
      <c r="O196" s="58"/>
      <c r="P196" s="58"/>
      <c r="Q196" s="58"/>
      <c r="R196" s="58"/>
      <c r="S196" s="58"/>
    </row>
    <row r="197" spans="1:19" ht="12.75">
      <c r="A197" s="58"/>
      <c r="B197" s="58"/>
      <c r="C197" s="58"/>
      <c r="D197" s="58"/>
      <c r="E197" s="58"/>
      <c r="F197" s="58"/>
      <c r="G197" s="58"/>
      <c r="H197" s="58" t="str">
        <f>Sheet1!E45</f>
        <v>M. Gigante</v>
      </c>
      <c r="I197" s="58"/>
      <c r="J197" s="58"/>
      <c r="K197" s="58"/>
      <c r="L197" s="58"/>
      <c r="M197" s="58"/>
      <c r="N197" s="58"/>
      <c r="O197" s="58"/>
      <c r="P197" s="58"/>
      <c r="Q197" s="58"/>
      <c r="R197" s="58"/>
      <c r="S197" s="58"/>
    </row>
    <row r="198" spans="1:19" ht="12.75">
      <c r="A198" s="58"/>
      <c r="B198" s="58"/>
      <c r="C198" s="58"/>
      <c r="D198" s="58"/>
      <c r="E198" s="58"/>
      <c r="F198" s="58"/>
      <c r="G198" s="58"/>
      <c r="H198" s="58" t="str">
        <f>Sheet1!E46</f>
        <v>T. Arnhold</v>
      </c>
      <c r="I198" s="58"/>
      <c r="J198" s="58"/>
      <c r="K198" s="58"/>
      <c r="L198" s="58"/>
      <c r="M198" s="58"/>
      <c r="N198" s="58"/>
      <c r="O198" s="58"/>
      <c r="P198" s="58"/>
      <c r="Q198" s="58"/>
      <c r="R198" s="58"/>
      <c r="S198" s="58"/>
    </row>
    <row r="199" spans="1:19" ht="12.75">
      <c r="A199" s="58"/>
      <c r="B199" s="58"/>
      <c r="C199" s="58"/>
      <c r="D199" s="58"/>
      <c r="E199" s="58"/>
      <c r="F199" s="58"/>
      <c r="G199" s="58"/>
      <c r="H199" s="58" t="str">
        <f>Sheet1!E47</f>
        <v>K. Lutz</v>
      </c>
      <c r="I199" s="58"/>
      <c r="J199" s="58"/>
      <c r="K199" s="58"/>
      <c r="L199" s="58"/>
      <c r="M199" s="58"/>
      <c r="N199" s="58"/>
      <c r="O199" s="58"/>
      <c r="P199" s="58"/>
      <c r="Q199" s="58"/>
      <c r="R199" s="58"/>
      <c r="S199" s="58"/>
    </row>
    <row r="200" spans="1:19" ht="12.75">
      <c r="A200" s="58"/>
      <c r="B200" s="58"/>
      <c r="C200" s="58"/>
      <c r="D200" s="58"/>
      <c r="E200" s="58"/>
      <c r="F200" s="58"/>
      <c r="G200" s="58"/>
      <c r="H200" s="58" t="str">
        <f>Sheet1!E48</f>
        <v>D. Lane</v>
      </c>
      <c r="I200" s="58"/>
      <c r="J200" s="58"/>
      <c r="K200" s="58"/>
      <c r="L200" s="58"/>
      <c r="M200" s="58"/>
      <c r="N200" s="58"/>
      <c r="O200" s="58"/>
      <c r="P200" s="58"/>
      <c r="Q200" s="58"/>
      <c r="R200" s="58"/>
      <c r="S200" s="58"/>
    </row>
    <row r="201" spans="1:19" ht="12.75">
      <c r="A201" s="58"/>
      <c r="B201" s="58"/>
      <c r="C201" s="58"/>
      <c r="D201" s="58"/>
      <c r="E201" s="58"/>
      <c r="F201" s="58"/>
      <c r="G201" s="58"/>
      <c r="H201" s="58" t="str">
        <f>Sheet1!E49</f>
        <v>L."Pete" Ward, Jr.</v>
      </c>
      <c r="I201" s="58"/>
      <c r="J201" s="58"/>
      <c r="K201" s="58"/>
      <c r="L201" s="58"/>
      <c r="M201" s="58"/>
      <c r="N201" s="58"/>
      <c r="O201" s="58"/>
      <c r="P201" s="58"/>
      <c r="Q201" s="58"/>
      <c r="R201" s="58"/>
      <c r="S201" s="58"/>
    </row>
    <row r="202" spans="1:19" ht="12.75">
      <c r="A202" s="58"/>
      <c r="B202" s="58"/>
      <c r="C202" s="58"/>
      <c r="D202" s="58"/>
      <c r="E202" s="58"/>
      <c r="F202" s="58"/>
      <c r="G202" s="58"/>
      <c r="H202" s="58" t="str">
        <f>Sheet1!E50</f>
        <v>L. Kot</v>
      </c>
      <c r="I202" s="58"/>
      <c r="J202" s="58"/>
      <c r="K202" s="58"/>
      <c r="L202" s="58"/>
      <c r="M202" s="58"/>
      <c r="N202" s="58"/>
      <c r="O202" s="58"/>
      <c r="P202" s="58"/>
      <c r="Q202" s="58"/>
      <c r="R202" s="58"/>
      <c r="S202" s="58"/>
    </row>
    <row r="203" spans="1:19" ht="12.75">
      <c r="A203" s="58"/>
      <c r="B203" s="58"/>
      <c r="C203" s="58"/>
      <c r="D203" s="58"/>
      <c r="E203" s="58"/>
      <c r="F203" s="58"/>
      <c r="G203" s="58"/>
      <c r="H203" s="58" t="str">
        <f>Sheet1!E51</f>
        <v>L. Pearson</v>
      </c>
      <c r="I203" s="58"/>
      <c r="J203" s="58"/>
      <c r="K203" s="58"/>
      <c r="L203" s="58"/>
      <c r="M203" s="58"/>
      <c r="N203" s="58"/>
      <c r="O203" s="58"/>
      <c r="P203" s="58"/>
      <c r="Q203" s="58"/>
      <c r="R203" s="58"/>
      <c r="S203" s="58"/>
    </row>
    <row r="204" spans="1:19" ht="12.75">
      <c r="A204" s="58"/>
      <c r="B204" s="58"/>
      <c r="C204" s="58"/>
      <c r="D204" s="58"/>
      <c r="E204" s="58"/>
      <c r="F204" s="58"/>
      <c r="G204" s="58"/>
      <c r="H204" s="58" t="str">
        <f>Sheet1!E52</f>
        <v>B. Kitten</v>
      </c>
      <c r="I204" s="58"/>
      <c r="J204" s="58"/>
      <c r="K204" s="58"/>
      <c r="L204" s="58"/>
      <c r="M204" s="58"/>
      <c r="N204" s="58"/>
      <c r="O204" s="58"/>
      <c r="P204" s="58"/>
      <c r="Q204" s="58"/>
      <c r="R204" s="58"/>
      <c r="S204" s="58"/>
    </row>
    <row r="205" spans="1:19" ht="12.75">
      <c r="A205" s="58"/>
      <c r="B205" s="58"/>
      <c r="C205" s="58"/>
      <c r="D205" s="58"/>
      <c r="E205" s="58"/>
      <c r="F205" s="58"/>
      <c r="G205" s="58"/>
      <c r="H205" s="58" t="str">
        <f>Sheet1!E53</f>
        <v>L. Sutherland</v>
      </c>
      <c r="I205" s="58"/>
      <c r="J205" s="58"/>
      <c r="K205" s="58"/>
      <c r="L205" s="58"/>
      <c r="M205" s="58"/>
      <c r="N205" s="58"/>
      <c r="O205" s="58"/>
      <c r="P205" s="58"/>
      <c r="Q205" s="58"/>
      <c r="R205" s="58"/>
      <c r="S205" s="58"/>
    </row>
    <row r="206" spans="1:19" ht="12.75">
      <c r="A206" s="58"/>
      <c r="B206" s="58"/>
      <c r="C206" s="58"/>
      <c r="D206" s="58"/>
      <c r="E206" s="58"/>
      <c r="F206" s="58"/>
      <c r="G206" s="58"/>
      <c r="H206" s="58" t="str">
        <f>Sheet1!E54</f>
        <v>C. Pannebaker</v>
      </c>
      <c r="I206" s="58"/>
      <c r="J206" s="58"/>
      <c r="K206" s="58"/>
      <c r="L206" s="58"/>
      <c r="M206" s="58"/>
      <c r="N206" s="58"/>
      <c r="O206" s="58"/>
      <c r="P206" s="58"/>
      <c r="Q206" s="58"/>
      <c r="R206" s="58"/>
      <c r="S206" s="58"/>
    </row>
    <row r="207" spans="1:19" ht="12.75">
      <c r="A207" s="58"/>
      <c r="B207" s="58"/>
      <c r="C207" s="58"/>
      <c r="D207" s="58"/>
      <c r="E207" s="58"/>
      <c r="F207" s="58"/>
      <c r="G207" s="58"/>
      <c r="H207" s="58" t="str">
        <f>Sheet1!E55</f>
        <v>B. Berlinger</v>
      </c>
      <c r="I207" s="58"/>
      <c r="J207" s="58"/>
      <c r="K207" s="58"/>
      <c r="L207" s="58"/>
      <c r="M207" s="58"/>
      <c r="N207" s="58"/>
      <c r="O207" s="58"/>
      <c r="P207" s="58"/>
      <c r="Q207" s="58"/>
      <c r="R207" s="58"/>
      <c r="S207" s="58"/>
    </row>
    <row r="208" spans="1:19" ht="12.75">
      <c r="A208" s="42"/>
      <c r="B208" s="42"/>
      <c r="C208" s="42"/>
      <c r="D208" s="42"/>
      <c r="E208" s="42"/>
      <c r="F208" s="42"/>
      <c r="G208" s="42"/>
      <c r="H208" s="42"/>
      <c r="I208" s="42"/>
      <c r="J208" s="42"/>
      <c r="K208" s="42"/>
      <c r="L208" s="42"/>
      <c r="M208" s="42"/>
      <c r="N208" s="42"/>
      <c r="O208" s="42"/>
      <c r="P208" s="42"/>
      <c r="Q208" s="42"/>
      <c r="R208" s="42"/>
      <c r="S208" s="42"/>
    </row>
    <row r="209" spans="1:19" ht="12.75">
      <c r="A209" s="42"/>
      <c r="B209" s="42"/>
      <c r="C209" s="42"/>
      <c r="D209" s="42"/>
      <c r="E209" s="42"/>
      <c r="F209" s="42"/>
      <c r="G209" s="42"/>
      <c r="H209" s="42"/>
      <c r="I209" s="42"/>
      <c r="J209" s="42"/>
      <c r="K209" s="42"/>
      <c r="L209" s="42"/>
      <c r="M209" s="42"/>
      <c r="N209" s="42"/>
      <c r="O209" s="42"/>
      <c r="P209" s="42"/>
      <c r="Q209" s="42"/>
      <c r="R209" s="42"/>
      <c r="S209" s="42"/>
    </row>
    <row r="210" spans="1:19" ht="12.75">
      <c r="A210" s="42"/>
      <c r="B210" s="42"/>
      <c r="C210" s="42"/>
      <c r="D210" s="42"/>
      <c r="E210" s="42"/>
      <c r="F210" s="42"/>
      <c r="G210" s="42"/>
      <c r="H210" s="42"/>
      <c r="I210" s="42"/>
      <c r="J210" s="42"/>
      <c r="K210" s="42"/>
      <c r="L210" s="42"/>
      <c r="M210" s="42"/>
      <c r="N210" s="42"/>
      <c r="O210" s="42"/>
      <c r="P210" s="42"/>
      <c r="Q210" s="42"/>
      <c r="R210" s="42"/>
      <c r="S210" s="42"/>
    </row>
    <row r="211" spans="1:19" ht="12.75">
      <c r="A211" s="42"/>
      <c r="B211" s="42"/>
      <c r="C211" s="42"/>
      <c r="D211" s="42"/>
      <c r="E211" s="42"/>
      <c r="F211" s="42"/>
      <c r="G211" s="42"/>
      <c r="H211" s="42"/>
      <c r="I211" s="42"/>
      <c r="J211" s="42"/>
      <c r="K211" s="42"/>
      <c r="L211" s="42"/>
      <c r="M211" s="42"/>
      <c r="N211" s="42"/>
      <c r="O211" s="42"/>
      <c r="P211" s="42"/>
      <c r="Q211" s="42"/>
      <c r="R211" s="42"/>
      <c r="S211" s="42"/>
    </row>
    <row r="212" spans="1:19" ht="12.75">
      <c r="A212" s="42"/>
      <c r="B212" s="42"/>
      <c r="C212" s="42"/>
      <c r="D212" s="42"/>
      <c r="E212" s="42"/>
      <c r="F212" s="42"/>
      <c r="G212" s="42"/>
      <c r="H212" s="42"/>
      <c r="I212" s="42"/>
      <c r="J212" s="42"/>
      <c r="K212" s="42"/>
      <c r="L212" s="42"/>
      <c r="M212" s="42"/>
      <c r="N212" s="42"/>
      <c r="O212" s="42"/>
      <c r="P212" s="42"/>
      <c r="Q212" s="42"/>
      <c r="R212" s="42"/>
      <c r="S212" s="42"/>
    </row>
    <row r="213" spans="1:19" ht="12.75">
      <c r="A213" s="42"/>
      <c r="B213" s="42"/>
      <c r="C213" s="42"/>
      <c r="D213" s="42"/>
      <c r="E213" s="42"/>
      <c r="F213" s="42"/>
      <c r="G213" s="42"/>
      <c r="H213" s="42"/>
      <c r="I213" s="42"/>
      <c r="J213" s="42"/>
      <c r="K213" s="42"/>
      <c r="L213" s="42"/>
      <c r="M213" s="42"/>
      <c r="N213" s="42"/>
      <c r="O213" s="42"/>
      <c r="P213" s="42"/>
      <c r="Q213" s="42"/>
      <c r="R213" s="42"/>
      <c r="S213" s="42"/>
    </row>
    <row r="214" spans="1:19" ht="12.75">
      <c r="A214" s="42"/>
      <c r="B214" s="42"/>
      <c r="C214" s="42"/>
      <c r="D214" s="42"/>
      <c r="E214" s="42"/>
      <c r="F214" s="42"/>
      <c r="G214" s="42"/>
      <c r="H214" s="42"/>
      <c r="I214" s="42"/>
      <c r="J214" s="42"/>
      <c r="K214" s="42"/>
      <c r="L214" s="42"/>
      <c r="M214" s="42"/>
      <c r="N214" s="42"/>
      <c r="O214" s="42"/>
      <c r="P214" s="42"/>
      <c r="Q214" s="42"/>
      <c r="R214" s="42"/>
      <c r="S214" s="42"/>
    </row>
    <row r="215" spans="1:19" ht="12.75">
      <c r="A215" s="42"/>
      <c r="B215" s="42"/>
      <c r="C215" s="42"/>
      <c r="D215" s="42"/>
      <c r="E215" s="42"/>
      <c r="F215" s="42"/>
      <c r="G215" s="42"/>
      <c r="H215" s="42"/>
      <c r="I215" s="42"/>
      <c r="J215" s="42"/>
      <c r="K215" s="42"/>
      <c r="L215" s="42"/>
      <c r="M215" s="42"/>
      <c r="N215" s="42"/>
      <c r="O215" s="42"/>
      <c r="P215" s="42"/>
      <c r="Q215" s="42"/>
      <c r="R215" s="42"/>
      <c r="S215" s="42"/>
    </row>
    <row r="216" spans="1:19" ht="12.75">
      <c r="A216" s="42"/>
      <c r="B216" s="42"/>
      <c r="C216" s="42"/>
      <c r="D216" s="42"/>
      <c r="E216" s="42"/>
      <c r="F216" s="42"/>
      <c r="G216" s="42"/>
      <c r="H216" s="42"/>
      <c r="I216" s="42"/>
      <c r="J216" s="42"/>
      <c r="K216" s="42"/>
      <c r="L216" s="42"/>
      <c r="M216" s="42"/>
      <c r="N216" s="42"/>
      <c r="O216" s="42"/>
      <c r="P216" s="42"/>
      <c r="Q216" s="42"/>
      <c r="R216" s="42"/>
      <c r="S216" s="42"/>
    </row>
    <row r="217" spans="1:19" ht="12.75">
      <c r="A217" s="42"/>
      <c r="B217" s="42"/>
      <c r="C217" s="42"/>
      <c r="D217" s="42"/>
      <c r="E217" s="42"/>
      <c r="F217" s="42"/>
      <c r="G217" s="42"/>
      <c r="H217" s="42"/>
      <c r="I217" s="42"/>
      <c r="J217" s="42"/>
      <c r="K217" s="42"/>
      <c r="L217" s="42"/>
      <c r="M217" s="42"/>
      <c r="N217" s="42"/>
      <c r="O217" s="42"/>
      <c r="P217" s="42"/>
      <c r="Q217" s="42"/>
      <c r="R217" s="42"/>
      <c r="S217" s="42"/>
    </row>
    <row r="218" spans="1:19" ht="12.75">
      <c r="A218" s="42"/>
      <c r="B218" s="42"/>
      <c r="C218" s="42"/>
      <c r="D218" s="42"/>
      <c r="E218" s="42"/>
      <c r="F218" s="42"/>
      <c r="G218" s="42"/>
      <c r="H218" s="42"/>
      <c r="I218" s="42"/>
      <c r="J218" s="42"/>
      <c r="K218" s="42"/>
      <c r="L218" s="42"/>
      <c r="M218" s="42"/>
      <c r="N218" s="42"/>
      <c r="O218" s="42"/>
      <c r="P218" s="42"/>
      <c r="Q218" s="42"/>
      <c r="R218" s="42"/>
      <c r="S218" s="42"/>
    </row>
    <row r="219" spans="1:19" ht="12.75">
      <c r="A219" s="42"/>
      <c r="B219" s="42"/>
      <c r="C219" s="42"/>
      <c r="D219" s="42"/>
      <c r="E219" s="42"/>
      <c r="F219" s="42"/>
      <c r="G219" s="42"/>
      <c r="H219" s="42"/>
      <c r="I219" s="42"/>
      <c r="J219" s="42"/>
      <c r="K219" s="42"/>
      <c r="L219" s="42"/>
      <c r="M219" s="42"/>
      <c r="N219" s="42"/>
      <c r="O219" s="42"/>
      <c r="P219" s="42"/>
      <c r="Q219" s="42"/>
      <c r="R219" s="42"/>
      <c r="S219" s="42"/>
    </row>
    <row r="220" spans="1:19" ht="12.75">
      <c r="A220" s="42"/>
      <c r="B220" s="42"/>
      <c r="C220" s="42"/>
      <c r="D220" s="42"/>
      <c r="E220" s="42"/>
      <c r="F220" s="42"/>
      <c r="G220" s="42"/>
      <c r="H220" s="42"/>
      <c r="I220" s="42"/>
      <c r="J220" s="42"/>
      <c r="K220" s="42"/>
      <c r="L220" s="42"/>
      <c r="M220" s="42"/>
      <c r="N220" s="42"/>
      <c r="O220" s="42"/>
      <c r="P220" s="42"/>
      <c r="Q220" s="42"/>
      <c r="R220" s="42"/>
      <c r="S220" s="42"/>
    </row>
    <row r="221" spans="1:19" ht="12.75">
      <c r="A221" s="42"/>
      <c r="B221" s="42"/>
      <c r="C221" s="42"/>
      <c r="D221" s="42"/>
      <c r="E221" s="42"/>
      <c r="F221" s="42"/>
      <c r="G221" s="42"/>
      <c r="H221" s="42"/>
      <c r="I221" s="42"/>
      <c r="J221" s="42"/>
      <c r="K221" s="42"/>
      <c r="L221" s="42"/>
      <c r="M221" s="42"/>
      <c r="N221" s="42"/>
      <c r="O221" s="42"/>
      <c r="P221" s="42"/>
      <c r="Q221" s="42"/>
      <c r="R221" s="42"/>
      <c r="S221" s="42"/>
    </row>
    <row r="222" spans="1:19" ht="12.75">
      <c r="A222" s="42"/>
      <c r="B222" s="42"/>
      <c r="C222" s="42"/>
      <c r="D222" s="42"/>
      <c r="E222" s="42"/>
      <c r="F222" s="42"/>
      <c r="G222" s="42"/>
      <c r="H222" s="42"/>
      <c r="I222" s="42"/>
      <c r="J222" s="42"/>
      <c r="K222" s="42"/>
      <c r="L222" s="42"/>
      <c r="M222" s="42"/>
      <c r="N222" s="42"/>
      <c r="O222" s="42"/>
      <c r="P222" s="42"/>
      <c r="Q222" s="42"/>
      <c r="R222" s="42"/>
      <c r="S222" s="42"/>
    </row>
    <row r="223" spans="1:19" ht="12.75">
      <c r="A223" s="42"/>
      <c r="B223" s="42"/>
      <c r="C223" s="42"/>
      <c r="D223" s="42"/>
      <c r="E223" s="42"/>
      <c r="F223" s="42"/>
      <c r="G223" s="42"/>
      <c r="H223" s="42"/>
      <c r="I223" s="42"/>
      <c r="J223" s="42"/>
      <c r="K223" s="42"/>
      <c r="L223" s="42"/>
      <c r="M223" s="42"/>
      <c r="N223" s="42"/>
      <c r="O223" s="42"/>
      <c r="P223" s="42"/>
      <c r="Q223" s="42"/>
      <c r="R223" s="42"/>
      <c r="S223" s="42"/>
    </row>
    <row r="224" spans="1:19" ht="12.75">
      <c r="A224" s="42"/>
      <c r="B224" s="42"/>
      <c r="C224" s="42"/>
      <c r="D224" s="42"/>
      <c r="E224" s="42"/>
      <c r="F224" s="42"/>
      <c r="G224" s="42"/>
      <c r="H224" s="42"/>
      <c r="I224" s="42"/>
      <c r="J224" s="42"/>
      <c r="K224" s="42"/>
      <c r="L224" s="42"/>
      <c r="M224" s="42"/>
      <c r="N224" s="42"/>
      <c r="O224" s="42"/>
      <c r="P224" s="42"/>
      <c r="Q224" s="42"/>
      <c r="R224" s="42"/>
      <c r="S224" s="42"/>
    </row>
    <row r="225" spans="1:19" ht="12.75">
      <c r="A225" s="42"/>
      <c r="B225" s="42"/>
      <c r="C225" s="42"/>
      <c r="D225" s="42"/>
      <c r="E225" s="42"/>
      <c r="F225" s="42"/>
      <c r="G225" s="42"/>
      <c r="H225" s="42"/>
      <c r="I225" s="42"/>
      <c r="J225" s="42"/>
      <c r="K225" s="42"/>
      <c r="L225" s="42"/>
      <c r="M225" s="42"/>
      <c r="N225" s="42"/>
      <c r="O225" s="42"/>
      <c r="P225" s="42"/>
      <c r="Q225" s="42"/>
      <c r="R225" s="42"/>
      <c r="S225" s="42"/>
    </row>
    <row r="226" spans="1:19" ht="12.75">
      <c r="A226" s="42"/>
      <c r="B226" s="42"/>
      <c r="C226" s="42"/>
      <c r="D226" s="42"/>
      <c r="E226" s="42"/>
      <c r="F226" s="42"/>
      <c r="G226" s="42"/>
      <c r="H226" s="42"/>
      <c r="I226" s="42"/>
      <c r="J226" s="42"/>
      <c r="K226" s="42"/>
      <c r="L226" s="42"/>
      <c r="M226" s="42"/>
      <c r="N226" s="42"/>
      <c r="O226" s="42"/>
      <c r="P226" s="42"/>
      <c r="Q226" s="42"/>
      <c r="R226" s="42"/>
      <c r="S226" s="42"/>
    </row>
    <row r="227" spans="1:19" ht="12.75">
      <c r="A227" s="42"/>
      <c r="B227" s="42"/>
      <c r="C227" s="42"/>
      <c r="D227" s="42"/>
      <c r="E227" s="42"/>
      <c r="F227" s="42"/>
      <c r="G227" s="42"/>
      <c r="H227" s="42"/>
      <c r="I227" s="42"/>
      <c r="J227" s="42"/>
      <c r="K227" s="42"/>
      <c r="L227" s="42"/>
      <c r="M227" s="42"/>
      <c r="N227" s="42"/>
      <c r="O227" s="42"/>
      <c r="P227" s="42"/>
      <c r="Q227" s="42"/>
      <c r="R227" s="42"/>
      <c r="S227" s="42"/>
    </row>
    <row r="228" spans="1:19" ht="12.75">
      <c r="A228" s="42"/>
      <c r="B228" s="42"/>
      <c r="C228" s="42"/>
      <c r="D228" s="42"/>
      <c r="E228" s="42"/>
      <c r="F228" s="42"/>
      <c r="G228" s="42"/>
      <c r="H228" s="42"/>
      <c r="I228" s="42"/>
      <c r="J228" s="42"/>
      <c r="K228" s="42"/>
      <c r="L228" s="42"/>
      <c r="M228" s="42"/>
      <c r="N228" s="42"/>
      <c r="O228" s="42"/>
      <c r="P228" s="42"/>
      <c r="Q228" s="42"/>
      <c r="R228" s="42"/>
      <c r="S228" s="42"/>
    </row>
    <row r="229" spans="1:19" ht="12.75">
      <c r="A229" s="42"/>
      <c r="B229" s="42"/>
      <c r="C229" s="42"/>
      <c r="D229" s="42"/>
      <c r="E229" s="42"/>
      <c r="F229" s="42"/>
      <c r="G229" s="42"/>
      <c r="H229" s="42"/>
      <c r="I229" s="42"/>
      <c r="J229" s="42"/>
      <c r="K229" s="42"/>
      <c r="L229" s="42"/>
      <c r="M229" s="42"/>
      <c r="N229" s="42"/>
      <c r="O229" s="42"/>
      <c r="P229" s="42"/>
      <c r="Q229" s="42"/>
      <c r="R229" s="42"/>
      <c r="S229" s="42"/>
    </row>
    <row r="230" spans="1:19" ht="12.75">
      <c r="A230" s="42"/>
      <c r="B230" s="42"/>
      <c r="C230" s="42"/>
      <c r="D230" s="42"/>
      <c r="E230" s="42"/>
      <c r="F230" s="42"/>
      <c r="G230" s="42"/>
      <c r="H230" s="42"/>
      <c r="I230" s="42"/>
      <c r="J230" s="42"/>
      <c r="K230" s="42"/>
      <c r="L230" s="42"/>
      <c r="M230" s="42"/>
      <c r="N230" s="42"/>
      <c r="O230" s="42"/>
      <c r="P230" s="42"/>
      <c r="Q230" s="42"/>
      <c r="R230" s="42"/>
      <c r="S230" s="42"/>
    </row>
    <row r="231" spans="1:19" ht="12.75">
      <c r="A231" s="42"/>
      <c r="B231" s="42"/>
      <c r="C231" s="42"/>
      <c r="D231" s="42"/>
      <c r="E231" s="42"/>
      <c r="F231" s="42"/>
      <c r="G231" s="42"/>
      <c r="H231" s="42"/>
      <c r="I231" s="42"/>
      <c r="J231" s="42"/>
      <c r="K231" s="42"/>
      <c r="L231" s="42"/>
      <c r="M231" s="42"/>
      <c r="N231" s="42"/>
      <c r="O231" s="42"/>
      <c r="P231" s="42"/>
      <c r="Q231" s="42"/>
      <c r="R231" s="42"/>
      <c r="S231" s="42"/>
    </row>
    <row r="232" spans="1:19" ht="12.75">
      <c r="A232" s="42"/>
      <c r="B232" s="42"/>
      <c r="C232" s="42"/>
      <c r="D232" s="42"/>
      <c r="E232" s="42"/>
      <c r="F232" s="42"/>
      <c r="G232" s="42"/>
      <c r="H232" s="42"/>
      <c r="I232" s="42"/>
      <c r="J232" s="42"/>
      <c r="K232" s="42"/>
      <c r="L232" s="42"/>
      <c r="M232" s="42"/>
      <c r="N232" s="42"/>
      <c r="O232" s="42"/>
      <c r="P232" s="42"/>
      <c r="Q232" s="42"/>
      <c r="R232" s="42"/>
      <c r="S232" s="42"/>
    </row>
    <row r="233" spans="1:19" ht="12.75">
      <c r="A233" s="42"/>
      <c r="B233" s="42"/>
      <c r="C233" s="42"/>
      <c r="D233" s="42"/>
      <c r="E233" s="42"/>
      <c r="F233" s="42"/>
      <c r="G233" s="42"/>
      <c r="H233" s="42"/>
      <c r="I233" s="42"/>
      <c r="J233" s="42"/>
      <c r="K233" s="42"/>
      <c r="L233" s="42"/>
      <c r="M233" s="42"/>
      <c r="N233" s="42"/>
      <c r="O233" s="42"/>
      <c r="P233" s="42"/>
      <c r="Q233" s="42"/>
      <c r="R233" s="42"/>
      <c r="S233" s="42"/>
    </row>
    <row r="234" spans="1:19" ht="12.75">
      <c r="A234" s="42"/>
      <c r="B234" s="42"/>
      <c r="C234" s="42"/>
      <c r="D234" s="42"/>
      <c r="E234" s="42"/>
      <c r="F234" s="42"/>
      <c r="G234" s="42"/>
      <c r="H234" s="42"/>
      <c r="I234" s="42"/>
      <c r="J234" s="42"/>
      <c r="K234" s="42"/>
      <c r="L234" s="42"/>
      <c r="M234" s="42"/>
      <c r="N234" s="42"/>
      <c r="O234" s="42"/>
      <c r="P234" s="42"/>
      <c r="Q234" s="42"/>
      <c r="R234" s="42"/>
      <c r="S234" s="42"/>
    </row>
    <row r="235" spans="1:19" ht="12.75">
      <c r="A235" s="42"/>
      <c r="B235" s="42"/>
      <c r="C235" s="42"/>
      <c r="D235" s="42"/>
      <c r="E235" s="42"/>
      <c r="F235" s="42"/>
      <c r="G235" s="42"/>
      <c r="H235" s="42"/>
      <c r="I235" s="42"/>
      <c r="J235" s="42"/>
      <c r="K235" s="42"/>
      <c r="L235" s="42"/>
      <c r="M235" s="42"/>
      <c r="N235" s="42"/>
      <c r="O235" s="42"/>
      <c r="P235" s="42"/>
      <c r="Q235" s="42"/>
      <c r="R235" s="42"/>
      <c r="S235" s="42"/>
    </row>
    <row r="236" spans="1:19" ht="12.75">
      <c r="A236" s="42"/>
      <c r="B236" s="42"/>
      <c r="C236" s="42"/>
      <c r="D236" s="42"/>
      <c r="E236" s="42"/>
      <c r="F236" s="42"/>
      <c r="G236" s="42"/>
      <c r="H236" s="42"/>
      <c r="I236" s="42"/>
      <c r="J236" s="42"/>
      <c r="K236" s="42"/>
      <c r="L236" s="42"/>
      <c r="M236" s="42"/>
      <c r="N236" s="42"/>
      <c r="O236" s="42"/>
      <c r="P236" s="42"/>
      <c r="Q236" s="42"/>
      <c r="R236" s="42"/>
      <c r="S236" s="42"/>
    </row>
    <row r="237" spans="1:19" ht="12.75">
      <c r="A237" s="42"/>
      <c r="B237" s="42"/>
      <c r="C237" s="42"/>
      <c r="D237" s="42"/>
      <c r="E237" s="42"/>
      <c r="F237" s="42"/>
      <c r="G237" s="42"/>
      <c r="H237" s="42"/>
      <c r="I237" s="42"/>
      <c r="J237" s="42"/>
      <c r="K237" s="42"/>
      <c r="L237" s="42"/>
      <c r="M237" s="42"/>
      <c r="N237" s="42"/>
      <c r="O237" s="42"/>
      <c r="P237" s="42"/>
      <c r="Q237" s="42"/>
      <c r="R237" s="42"/>
      <c r="S237" s="42"/>
    </row>
    <row r="238" spans="1:19" ht="12.75">
      <c r="A238" s="42"/>
      <c r="B238" s="42"/>
      <c r="C238" s="42"/>
      <c r="D238" s="42"/>
      <c r="E238" s="42"/>
      <c r="F238" s="42"/>
      <c r="G238" s="42"/>
      <c r="H238" s="42"/>
      <c r="I238" s="42"/>
      <c r="J238" s="42"/>
      <c r="K238" s="42"/>
      <c r="L238" s="42"/>
      <c r="M238" s="42"/>
      <c r="N238" s="42"/>
      <c r="O238" s="42"/>
      <c r="P238" s="42"/>
      <c r="Q238" s="42"/>
      <c r="R238" s="42"/>
      <c r="S238" s="42"/>
    </row>
    <row r="239" spans="1:19" ht="12.75">
      <c r="A239" s="42"/>
      <c r="B239" s="42"/>
      <c r="C239" s="42"/>
      <c r="D239" s="42"/>
      <c r="E239" s="42"/>
      <c r="F239" s="42"/>
      <c r="G239" s="42"/>
      <c r="H239" s="42"/>
      <c r="I239" s="42"/>
      <c r="J239" s="42"/>
      <c r="K239" s="42"/>
      <c r="L239" s="42"/>
      <c r="M239" s="42"/>
      <c r="N239" s="42"/>
      <c r="O239" s="42"/>
      <c r="P239" s="42"/>
      <c r="Q239" s="42"/>
      <c r="R239" s="42"/>
      <c r="S239" s="42"/>
    </row>
    <row r="240" spans="1:19" ht="12.75">
      <c r="A240" s="42"/>
      <c r="B240" s="42"/>
      <c r="C240" s="42"/>
      <c r="D240" s="42"/>
      <c r="E240" s="42"/>
      <c r="F240" s="42"/>
      <c r="G240" s="42"/>
      <c r="H240" s="42"/>
      <c r="I240" s="42"/>
      <c r="J240" s="42"/>
      <c r="K240" s="42"/>
      <c r="L240" s="42"/>
      <c r="M240" s="42"/>
      <c r="N240" s="42"/>
      <c r="O240" s="42"/>
      <c r="P240" s="42"/>
      <c r="Q240" s="42"/>
      <c r="R240" s="42"/>
      <c r="S240" s="42"/>
    </row>
    <row r="241" spans="1:19" ht="12.75">
      <c r="A241" s="42"/>
      <c r="B241" s="42"/>
      <c r="C241" s="42"/>
      <c r="D241" s="42"/>
      <c r="E241" s="42"/>
      <c r="F241" s="42"/>
      <c r="G241" s="42"/>
      <c r="H241" s="42"/>
      <c r="I241" s="42"/>
      <c r="J241" s="42"/>
      <c r="K241" s="42"/>
      <c r="L241" s="42"/>
      <c r="M241" s="42"/>
      <c r="N241" s="42"/>
      <c r="O241" s="42"/>
      <c r="P241" s="42"/>
      <c r="Q241" s="42"/>
      <c r="R241" s="42"/>
      <c r="S241" s="42"/>
    </row>
    <row r="242" spans="1:19" ht="12.75">
      <c r="A242" s="42"/>
      <c r="B242" s="42"/>
      <c r="C242" s="42"/>
      <c r="D242" s="42"/>
      <c r="E242" s="42"/>
      <c r="F242" s="42"/>
      <c r="G242" s="42"/>
      <c r="H242" s="42"/>
      <c r="I242" s="42"/>
      <c r="J242" s="42"/>
      <c r="K242" s="42"/>
      <c r="L242" s="42"/>
      <c r="M242" s="42"/>
      <c r="N242" s="42"/>
      <c r="O242" s="42"/>
      <c r="P242" s="42"/>
      <c r="Q242" s="42"/>
      <c r="R242" s="42"/>
      <c r="S242" s="42"/>
    </row>
    <row r="243" spans="1:19" ht="12.75">
      <c r="A243" s="42"/>
      <c r="B243" s="42"/>
      <c r="C243" s="42"/>
      <c r="D243" s="42"/>
      <c r="E243" s="42"/>
      <c r="F243" s="42"/>
      <c r="G243" s="42"/>
      <c r="H243" s="42"/>
      <c r="I243" s="42"/>
      <c r="J243" s="42"/>
      <c r="K243" s="42"/>
      <c r="L243" s="42"/>
      <c r="M243" s="42"/>
      <c r="N243" s="42"/>
      <c r="O243" s="42"/>
      <c r="P243" s="42"/>
      <c r="Q243" s="42"/>
      <c r="R243" s="42"/>
      <c r="S243" s="42"/>
    </row>
    <row r="244" spans="1:19" ht="12.75">
      <c r="A244" s="42"/>
      <c r="B244" s="42"/>
      <c r="C244" s="42"/>
      <c r="D244" s="42"/>
      <c r="E244" s="42"/>
      <c r="F244" s="42"/>
      <c r="G244" s="42"/>
      <c r="H244" s="42"/>
      <c r="I244" s="42"/>
      <c r="J244" s="42"/>
      <c r="K244" s="42"/>
      <c r="L244" s="42"/>
      <c r="M244" s="42"/>
      <c r="N244" s="42"/>
      <c r="O244" s="42"/>
      <c r="P244" s="42"/>
      <c r="Q244" s="42"/>
      <c r="R244" s="42"/>
      <c r="S244" s="42"/>
    </row>
    <row r="245" spans="1:19" ht="12.75">
      <c r="A245" s="42"/>
      <c r="B245" s="42"/>
      <c r="C245" s="42"/>
      <c r="D245" s="42"/>
      <c r="E245" s="42"/>
      <c r="F245" s="42"/>
      <c r="G245" s="42"/>
      <c r="H245" s="42"/>
      <c r="I245" s="42"/>
      <c r="J245" s="42"/>
      <c r="K245" s="42"/>
      <c r="L245" s="42"/>
      <c r="M245" s="42"/>
      <c r="N245" s="42"/>
      <c r="O245" s="42"/>
      <c r="P245" s="42"/>
      <c r="Q245" s="42"/>
      <c r="R245" s="42"/>
      <c r="S245" s="42"/>
    </row>
    <row r="246" spans="1:19" ht="12.75">
      <c r="A246" s="42"/>
      <c r="B246" s="42"/>
      <c r="C246" s="42"/>
      <c r="D246" s="42"/>
      <c r="E246" s="42"/>
      <c r="F246" s="42"/>
      <c r="G246" s="42"/>
      <c r="H246" s="42"/>
      <c r="I246" s="42"/>
      <c r="J246" s="42"/>
      <c r="K246" s="42"/>
      <c r="L246" s="42"/>
      <c r="M246" s="42"/>
      <c r="N246" s="42"/>
      <c r="O246" s="42"/>
      <c r="P246" s="42"/>
      <c r="Q246" s="42"/>
      <c r="R246" s="42"/>
      <c r="S246" s="42"/>
    </row>
    <row r="247" spans="1:19" ht="12.75">
      <c r="A247" s="42"/>
      <c r="B247" s="42"/>
      <c r="C247" s="42"/>
      <c r="D247" s="42"/>
      <c r="E247" s="42"/>
      <c r="F247" s="42"/>
      <c r="G247" s="42"/>
      <c r="H247" s="42"/>
      <c r="I247" s="42"/>
      <c r="J247" s="42"/>
      <c r="K247" s="42"/>
      <c r="L247" s="42"/>
      <c r="M247" s="42"/>
      <c r="N247" s="42"/>
      <c r="O247" s="42"/>
      <c r="P247" s="42"/>
      <c r="Q247" s="42"/>
      <c r="R247" s="42"/>
      <c r="S247" s="42"/>
    </row>
    <row r="248" spans="1:19" ht="12.75">
      <c r="A248" s="42"/>
      <c r="B248" s="42"/>
      <c r="C248" s="42"/>
      <c r="D248" s="42"/>
      <c r="E248" s="42"/>
      <c r="F248" s="42"/>
      <c r="G248" s="42"/>
      <c r="H248" s="42"/>
      <c r="I248" s="42"/>
      <c r="J248" s="42"/>
      <c r="K248" s="42"/>
      <c r="L248" s="42"/>
      <c r="M248" s="42"/>
      <c r="N248" s="42"/>
      <c r="O248" s="42"/>
      <c r="P248" s="42"/>
      <c r="Q248" s="42"/>
      <c r="R248" s="42"/>
      <c r="S248" s="42"/>
    </row>
    <row r="249" spans="1:19" ht="12.75">
      <c r="A249" s="42"/>
      <c r="B249" s="42"/>
      <c r="C249" s="42"/>
      <c r="D249" s="42"/>
      <c r="E249" s="42"/>
      <c r="F249" s="42"/>
      <c r="G249" s="42"/>
      <c r="H249" s="42"/>
      <c r="I249" s="42"/>
      <c r="J249" s="42"/>
      <c r="K249" s="42"/>
      <c r="L249" s="42"/>
      <c r="M249" s="42"/>
      <c r="N249" s="42"/>
      <c r="O249" s="42"/>
      <c r="P249" s="42"/>
      <c r="Q249" s="42"/>
      <c r="R249" s="42"/>
      <c r="S249" s="42"/>
    </row>
    <row r="250" spans="1:19" ht="12.75">
      <c r="A250" s="42"/>
      <c r="B250" s="42"/>
      <c r="C250" s="42"/>
      <c r="D250" s="42"/>
      <c r="E250" s="42"/>
      <c r="F250" s="42"/>
      <c r="G250" s="42"/>
      <c r="H250" s="42"/>
      <c r="I250" s="42"/>
      <c r="J250" s="42"/>
      <c r="K250" s="42"/>
      <c r="L250" s="42"/>
      <c r="M250" s="42"/>
      <c r="N250" s="42"/>
      <c r="O250" s="42"/>
      <c r="P250" s="42"/>
      <c r="Q250" s="42"/>
      <c r="R250" s="42"/>
      <c r="S250" s="42"/>
    </row>
    <row r="251" spans="1:19" ht="12.75">
      <c r="A251" s="42"/>
      <c r="B251" s="42"/>
      <c r="C251" s="42"/>
      <c r="D251" s="42"/>
      <c r="E251" s="42"/>
      <c r="F251" s="42"/>
      <c r="G251" s="42"/>
      <c r="H251" s="42"/>
      <c r="I251" s="42"/>
      <c r="J251" s="42"/>
      <c r="K251" s="42"/>
      <c r="L251" s="42"/>
      <c r="M251" s="42"/>
      <c r="N251" s="42"/>
      <c r="O251" s="42"/>
      <c r="P251" s="42"/>
      <c r="Q251" s="42"/>
      <c r="R251" s="42"/>
      <c r="S251" s="42"/>
    </row>
    <row r="252" spans="1:19" ht="12.75">
      <c r="A252" s="42"/>
      <c r="B252" s="42"/>
      <c r="C252" s="42"/>
      <c r="D252" s="42"/>
      <c r="E252" s="42"/>
      <c r="F252" s="42"/>
      <c r="G252" s="42"/>
      <c r="H252" s="42"/>
      <c r="I252" s="42"/>
      <c r="J252" s="42"/>
      <c r="K252" s="42"/>
      <c r="L252" s="42"/>
      <c r="M252" s="42"/>
      <c r="N252" s="42"/>
      <c r="O252" s="42"/>
      <c r="P252" s="42"/>
      <c r="Q252" s="42"/>
      <c r="R252" s="42"/>
      <c r="S252" s="42"/>
    </row>
    <row r="253" spans="1:19" ht="12.75">
      <c r="A253" s="42"/>
      <c r="B253" s="42"/>
      <c r="C253" s="42"/>
      <c r="D253" s="42"/>
      <c r="E253" s="42"/>
      <c r="F253" s="42"/>
      <c r="G253" s="42"/>
      <c r="H253" s="42"/>
      <c r="I253" s="42"/>
      <c r="J253" s="42"/>
      <c r="K253" s="42"/>
      <c r="L253" s="42"/>
      <c r="M253" s="42"/>
      <c r="N253" s="42"/>
      <c r="O253" s="42"/>
      <c r="P253" s="42"/>
      <c r="Q253" s="42"/>
      <c r="R253" s="42"/>
      <c r="S253" s="42"/>
    </row>
    <row r="254" spans="1:19" ht="12.75">
      <c r="A254" s="42"/>
      <c r="B254" s="42"/>
      <c r="C254" s="42"/>
      <c r="D254" s="42"/>
      <c r="E254" s="42"/>
      <c r="F254" s="42"/>
      <c r="G254" s="42"/>
      <c r="H254" s="42"/>
      <c r="I254" s="42"/>
      <c r="J254" s="42"/>
      <c r="K254" s="42"/>
      <c r="L254" s="42"/>
      <c r="M254" s="42"/>
      <c r="N254" s="42"/>
      <c r="O254" s="42"/>
      <c r="P254" s="42"/>
      <c r="Q254" s="42"/>
      <c r="R254" s="42"/>
      <c r="S254" s="42"/>
    </row>
    <row r="255" spans="1:19" ht="12.75">
      <c r="A255" s="42"/>
      <c r="B255" s="42"/>
      <c r="C255" s="42"/>
      <c r="D255" s="42"/>
      <c r="E255" s="42"/>
      <c r="F255" s="42"/>
      <c r="G255" s="42"/>
      <c r="H255" s="42"/>
      <c r="I255" s="42"/>
      <c r="J255" s="42"/>
      <c r="K255" s="42"/>
      <c r="L255" s="42"/>
      <c r="M255" s="42"/>
      <c r="N255" s="42"/>
      <c r="O255" s="42"/>
      <c r="P255" s="42"/>
      <c r="Q255" s="42"/>
      <c r="R255" s="42"/>
      <c r="S255" s="42"/>
    </row>
    <row r="256" spans="1:19" ht="12.75">
      <c r="A256" s="42"/>
      <c r="B256" s="42"/>
      <c r="C256" s="42"/>
      <c r="D256" s="42"/>
      <c r="E256" s="42"/>
      <c r="F256" s="42"/>
      <c r="G256" s="42"/>
      <c r="H256" s="42"/>
      <c r="I256" s="42"/>
      <c r="J256" s="42"/>
      <c r="K256" s="42"/>
      <c r="L256" s="42"/>
      <c r="M256" s="42"/>
      <c r="N256" s="42"/>
      <c r="O256" s="42"/>
      <c r="P256" s="42"/>
      <c r="Q256" s="42"/>
      <c r="R256" s="42"/>
      <c r="S256" s="42"/>
    </row>
    <row r="257" spans="1:19" ht="12.75">
      <c r="A257" s="42"/>
      <c r="B257" s="42"/>
      <c r="C257" s="42"/>
      <c r="D257" s="42"/>
      <c r="E257" s="42"/>
      <c r="F257" s="42"/>
      <c r="G257" s="42"/>
      <c r="H257" s="42"/>
      <c r="I257" s="42"/>
      <c r="J257" s="42"/>
      <c r="K257" s="42"/>
      <c r="L257" s="42"/>
      <c r="M257" s="42"/>
      <c r="N257" s="42"/>
      <c r="O257" s="42"/>
      <c r="P257" s="42"/>
      <c r="Q257" s="42"/>
      <c r="R257" s="42"/>
      <c r="S257" s="42"/>
    </row>
    <row r="258" spans="1:19" ht="12.75">
      <c r="A258" s="42"/>
      <c r="B258" s="42"/>
      <c r="C258" s="42"/>
      <c r="D258" s="42"/>
      <c r="E258" s="42"/>
      <c r="F258" s="42"/>
      <c r="G258" s="42"/>
      <c r="H258" s="42"/>
      <c r="I258" s="42"/>
      <c r="J258" s="42"/>
      <c r="K258" s="42"/>
      <c r="L258" s="42"/>
      <c r="M258" s="42"/>
      <c r="N258" s="42"/>
      <c r="O258" s="42"/>
      <c r="P258" s="42"/>
      <c r="Q258" s="42"/>
      <c r="R258" s="42"/>
      <c r="S258" s="42"/>
    </row>
    <row r="259" spans="1:19" ht="12.75">
      <c r="A259" s="42"/>
      <c r="B259" s="42"/>
      <c r="C259" s="42"/>
      <c r="D259" s="42"/>
      <c r="E259" s="42"/>
      <c r="F259" s="42"/>
      <c r="G259" s="42"/>
      <c r="H259" s="42"/>
      <c r="I259" s="42"/>
      <c r="J259" s="42"/>
      <c r="K259" s="42"/>
      <c r="L259" s="42"/>
      <c r="M259" s="42"/>
      <c r="N259" s="42"/>
      <c r="O259" s="42"/>
      <c r="P259" s="42"/>
      <c r="Q259" s="42"/>
      <c r="R259" s="42"/>
      <c r="S259" s="42"/>
    </row>
    <row r="260" spans="1:19" ht="12.75">
      <c r="A260" s="42"/>
      <c r="B260" s="42"/>
      <c r="C260" s="42"/>
      <c r="D260" s="42"/>
      <c r="E260" s="42"/>
      <c r="F260" s="42"/>
      <c r="G260" s="42"/>
      <c r="H260" s="42"/>
      <c r="I260" s="42"/>
      <c r="J260" s="42"/>
      <c r="K260" s="42"/>
      <c r="L260" s="42"/>
      <c r="M260" s="42"/>
      <c r="N260" s="42"/>
      <c r="O260" s="42"/>
      <c r="P260" s="42"/>
      <c r="Q260" s="42"/>
      <c r="R260" s="42"/>
      <c r="S260" s="42"/>
    </row>
    <row r="261" spans="1:19" ht="12.75">
      <c r="A261" s="42"/>
      <c r="B261" s="42"/>
      <c r="C261" s="42"/>
      <c r="D261" s="42"/>
      <c r="E261" s="42"/>
      <c r="F261" s="42"/>
      <c r="G261" s="42"/>
      <c r="H261" s="42"/>
      <c r="I261" s="42"/>
      <c r="J261" s="42"/>
      <c r="K261" s="42"/>
      <c r="L261" s="42"/>
      <c r="M261" s="42"/>
      <c r="N261" s="42"/>
      <c r="O261" s="42"/>
      <c r="P261" s="42"/>
      <c r="Q261" s="42"/>
      <c r="R261" s="42"/>
      <c r="S261" s="42"/>
    </row>
    <row r="262" spans="1:19" ht="12.75">
      <c r="A262" s="42"/>
      <c r="B262" s="42"/>
      <c r="C262" s="42"/>
      <c r="D262" s="42"/>
      <c r="E262" s="42"/>
      <c r="F262" s="42"/>
      <c r="G262" s="42"/>
      <c r="H262" s="42"/>
      <c r="I262" s="42"/>
      <c r="J262" s="42"/>
      <c r="K262" s="42"/>
      <c r="L262" s="42"/>
      <c r="M262" s="42"/>
      <c r="N262" s="42"/>
      <c r="O262" s="42"/>
      <c r="P262" s="42"/>
      <c r="Q262" s="42"/>
      <c r="R262" s="42"/>
      <c r="S262" s="42"/>
    </row>
    <row r="263" spans="1:19" ht="12.75">
      <c r="A263" s="42"/>
      <c r="B263" s="42"/>
      <c r="C263" s="42"/>
      <c r="D263" s="42"/>
      <c r="E263" s="42"/>
      <c r="F263" s="42"/>
      <c r="G263" s="42"/>
      <c r="H263" s="42"/>
      <c r="I263" s="42"/>
      <c r="J263" s="42"/>
      <c r="K263" s="42"/>
      <c r="L263" s="42"/>
      <c r="M263" s="42"/>
      <c r="N263" s="42"/>
      <c r="O263" s="42"/>
      <c r="P263" s="42"/>
      <c r="Q263" s="42"/>
      <c r="R263" s="42"/>
      <c r="S263" s="42"/>
    </row>
    <row r="264" spans="1:19" ht="12.75">
      <c r="A264" s="42"/>
      <c r="B264" s="42"/>
      <c r="C264" s="42"/>
      <c r="D264" s="42"/>
      <c r="E264" s="42"/>
      <c r="F264" s="42"/>
      <c r="G264" s="42"/>
      <c r="H264" s="42"/>
      <c r="I264" s="42"/>
      <c r="J264" s="42"/>
      <c r="K264" s="42"/>
      <c r="L264" s="42"/>
      <c r="M264" s="42"/>
      <c r="N264" s="42"/>
      <c r="O264" s="42"/>
      <c r="P264" s="42"/>
      <c r="Q264" s="42"/>
      <c r="R264" s="42"/>
      <c r="S264" s="42"/>
    </row>
    <row r="265" spans="1:19" ht="12.75">
      <c r="A265" s="42"/>
      <c r="B265" s="42"/>
      <c r="C265" s="42"/>
      <c r="D265" s="42"/>
      <c r="E265" s="42"/>
      <c r="F265" s="42"/>
      <c r="G265" s="42"/>
      <c r="H265" s="42"/>
      <c r="I265" s="42"/>
      <c r="J265" s="42"/>
      <c r="K265" s="42"/>
      <c r="L265" s="42"/>
      <c r="M265" s="42"/>
      <c r="N265" s="42"/>
      <c r="O265" s="42"/>
      <c r="P265" s="42"/>
      <c r="Q265" s="42"/>
      <c r="R265" s="42"/>
      <c r="S265" s="42"/>
    </row>
    <row r="266" spans="1:19" ht="12.75">
      <c r="A266" s="42"/>
      <c r="B266" s="42"/>
      <c r="C266" s="42"/>
      <c r="D266" s="42"/>
      <c r="E266" s="42"/>
      <c r="F266" s="42"/>
      <c r="G266" s="42"/>
      <c r="H266" s="42"/>
      <c r="I266" s="42"/>
      <c r="J266" s="42"/>
      <c r="K266" s="42"/>
      <c r="L266" s="42"/>
      <c r="M266" s="42"/>
      <c r="N266" s="42"/>
      <c r="O266" s="42"/>
      <c r="P266" s="42"/>
      <c r="Q266" s="42"/>
      <c r="R266" s="42"/>
      <c r="S266" s="42"/>
    </row>
    <row r="267" spans="1:19" ht="12.75">
      <c r="A267" s="42"/>
      <c r="B267" s="42"/>
      <c r="C267" s="42"/>
      <c r="D267" s="42"/>
      <c r="E267" s="42"/>
      <c r="F267" s="42"/>
      <c r="G267" s="42"/>
      <c r="H267" s="42"/>
      <c r="I267" s="42"/>
      <c r="J267" s="42"/>
      <c r="K267" s="42"/>
      <c r="L267" s="42"/>
      <c r="M267" s="42"/>
      <c r="N267" s="42"/>
      <c r="O267" s="42"/>
      <c r="P267" s="42"/>
      <c r="Q267" s="42"/>
      <c r="R267" s="42"/>
      <c r="S267" s="42"/>
    </row>
  </sheetData>
  <sheetProtection sheet="1" objects="1" scenarios="1"/>
  <mergeCells count="125">
    <mergeCell ref="O35:P36"/>
    <mergeCell ref="N43:O43"/>
    <mergeCell ref="I58:J58"/>
    <mergeCell ref="C57:H58"/>
    <mergeCell ref="N52:O52"/>
    <mergeCell ref="K53:M54"/>
    <mergeCell ref="J50:M52"/>
    <mergeCell ref="G51:H55"/>
    <mergeCell ref="A41:S41"/>
    <mergeCell ref="R39:S39"/>
    <mergeCell ref="A125:L125"/>
    <mergeCell ref="M74:S75"/>
    <mergeCell ref="M76:S104"/>
    <mergeCell ref="O61:P61"/>
    <mergeCell ref="I70:J70"/>
    <mergeCell ref="E69:H70"/>
    <mergeCell ref="O65:P65"/>
    <mergeCell ref="G63:H67"/>
    <mergeCell ref="E63:E67"/>
    <mergeCell ref="R121:S121"/>
    <mergeCell ref="A122:S122"/>
    <mergeCell ref="B89:J89"/>
    <mergeCell ref="B90:J90"/>
    <mergeCell ref="B91:J91"/>
    <mergeCell ref="N111:O111"/>
    <mergeCell ref="A103:E104"/>
    <mergeCell ref="I99:J99"/>
    <mergeCell ref="K104:L104"/>
    <mergeCell ref="A1:S1"/>
    <mergeCell ref="I128:J128"/>
    <mergeCell ref="A133:G134"/>
    <mergeCell ref="H134:I134"/>
    <mergeCell ref="I131:J131"/>
    <mergeCell ref="A107:K107"/>
    <mergeCell ref="A106:S106"/>
    <mergeCell ref="N119:O119"/>
    <mergeCell ref="C35:L35"/>
    <mergeCell ref="J63:J67"/>
    <mergeCell ref="D123:L124"/>
    <mergeCell ref="L66:N67"/>
    <mergeCell ref="L63:N65"/>
    <mergeCell ref="Q5:R5"/>
    <mergeCell ref="H8:I8"/>
    <mergeCell ref="J7:M8"/>
    <mergeCell ref="J5:N5"/>
    <mergeCell ref="A49:D49"/>
    <mergeCell ref="D105:S105"/>
    <mergeCell ref="D73:L73"/>
    <mergeCell ref="J2:L3"/>
    <mergeCell ref="D31:S31"/>
    <mergeCell ref="C2:I4"/>
    <mergeCell ref="C7:I7"/>
    <mergeCell ref="C8:F8"/>
    <mergeCell ref="A17:S17"/>
    <mergeCell ref="R6:S6"/>
    <mergeCell ref="H6:I6"/>
    <mergeCell ref="A2:B4"/>
    <mergeCell ref="J4:L4"/>
    <mergeCell ref="A5:B5"/>
    <mergeCell ref="C5:I5"/>
    <mergeCell ref="A6:B6"/>
    <mergeCell ref="C6:E6"/>
    <mergeCell ref="F6:G6"/>
    <mergeCell ref="I129:J129"/>
    <mergeCell ref="C138:J138"/>
    <mergeCell ref="C136:J136"/>
    <mergeCell ref="C137:J137"/>
    <mergeCell ref="N21:Q23"/>
    <mergeCell ref="C25:L26"/>
    <mergeCell ref="C23:L24"/>
    <mergeCell ref="B23:B24"/>
    <mergeCell ref="B25:B26"/>
    <mergeCell ref="A19:S19"/>
    <mergeCell ref="A47:S47"/>
    <mergeCell ref="R45:S45"/>
    <mergeCell ref="L44:M44"/>
    <mergeCell ref="N28:P28"/>
    <mergeCell ref="L29:Q29"/>
    <mergeCell ref="A32:S32"/>
    <mergeCell ref="R30:S30"/>
    <mergeCell ref="C21:L22"/>
    <mergeCell ref="G28:K28"/>
    <mergeCell ref="B11:Q11"/>
    <mergeCell ref="B12:Q12"/>
    <mergeCell ref="B13:Q13"/>
    <mergeCell ref="B15:Q15"/>
    <mergeCell ref="A7:B7"/>
    <mergeCell ref="A8:B8"/>
    <mergeCell ref="E18:S18"/>
    <mergeCell ref="P7:Q8"/>
    <mergeCell ref="R7:S8"/>
    <mergeCell ref="N7:O8"/>
    <mergeCell ref="C9:I9"/>
    <mergeCell ref="A9:B9"/>
    <mergeCell ref="A10:S10"/>
    <mergeCell ref="A14:R14"/>
    <mergeCell ref="I49:M49"/>
    <mergeCell ref="A38:J39"/>
    <mergeCell ref="N49:O49"/>
    <mergeCell ref="I102:J102"/>
    <mergeCell ref="A72:S72"/>
    <mergeCell ref="A101:H102"/>
    <mergeCell ref="C51:C55"/>
    <mergeCell ref="I93:J93"/>
    <mergeCell ref="A75:D75"/>
    <mergeCell ref="M124:S125"/>
    <mergeCell ref="M126:S151"/>
    <mergeCell ref="K151:L151"/>
    <mergeCell ref="C139:J139"/>
    <mergeCell ref="H142:I142"/>
    <mergeCell ref="E148:J148"/>
    <mergeCell ref="C140:J140"/>
    <mergeCell ref="E146:J146"/>
    <mergeCell ref="B127:H128"/>
    <mergeCell ref="B129:H129"/>
    <mergeCell ref="A16:R16"/>
    <mergeCell ref="A33:L34"/>
    <mergeCell ref="I87:J87"/>
    <mergeCell ref="A61:C61"/>
    <mergeCell ref="D40:S40"/>
    <mergeCell ref="D46:S46"/>
    <mergeCell ref="R71:S71"/>
    <mergeCell ref="E51:E55"/>
    <mergeCell ref="A74:L74"/>
    <mergeCell ref="C63:C67"/>
  </mergeCells>
  <dataValidations count="6">
    <dataValidation type="list" allowBlank="1" showInputMessage="1" showErrorMessage="1" sqref="C7:I7">
      <formula1>$A$153:$A$169</formula1>
    </dataValidation>
    <dataValidation type="list" allowBlank="1" showInputMessage="1" showErrorMessage="1" sqref="R11:R13 R15">
      <formula1>$M$2:$M$3</formula1>
    </dataValidation>
    <dataValidation type="list" allowBlank="1" showInputMessage="1" showErrorMessage="1" sqref="E147:I147">
      <formula1>$A$225:$A$226</formula1>
    </dataValidation>
    <dataValidation type="list" allowBlank="1" showInputMessage="1" showErrorMessage="1" sqref="C5">
      <formula1>$A$173:$A$183</formula1>
    </dataValidation>
    <dataValidation type="list" allowBlank="1" showInputMessage="1" showErrorMessage="1" sqref="C8:F8">
      <formula1>$H$153:$H$207</formula1>
    </dataValidation>
    <dataValidation type="list" allowBlank="1" showInputMessage="1" showErrorMessage="1" sqref="E146:J146">
      <formula1>$A$186:$A$192</formula1>
    </dataValidation>
  </dataValidations>
  <printOptions/>
  <pageMargins left="0.66" right="0.41" top="0.83" bottom="0.44" header="0.35" footer="0.2"/>
  <pageSetup horizontalDpi="600" verticalDpi="600" orientation="portrait" scale="83" r:id="rId3"/>
  <headerFooter alignWithMargins="0">
    <oddHeader>&amp;C&amp;"Comic Sans MS,Regular"&amp;14Environmental Quality Incentive Program (EQIP)
Upper Arkansas River Watershed-Grazing Land Ranking Worksheet (C2)</oddHeader>
    <oddFooter>&amp;L&amp;12February 02, 2004&amp;C&amp;12Page &amp;P of &amp;N&amp;R&amp;12USDA-NRCS, Area 3, La Junta, CO</oddFooter>
  </headerFooter>
  <rowBreaks count="3" manualBreakCount="3">
    <brk id="45" max="18" man="1"/>
    <brk id="71" max="18" man="1"/>
    <brk id="121" max="18" man="1"/>
  </rowBreaks>
  <legacyDrawing r:id="rId2"/>
</worksheet>
</file>

<file path=xl/worksheets/sheet3.xml><?xml version="1.0" encoding="utf-8"?>
<worksheet xmlns="http://schemas.openxmlformats.org/spreadsheetml/2006/main" xmlns:r="http://schemas.openxmlformats.org/officeDocument/2006/relationships">
  <dimension ref="A1:Y247"/>
  <sheetViews>
    <sheetView showGridLines="0" workbookViewId="0" topLeftCell="A168">
      <selection activeCell="T19" sqref="T19"/>
    </sheetView>
  </sheetViews>
  <sheetFormatPr defaultColWidth="9.140625" defaultRowHeight="12.75"/>
  <cols>
    <col min="1" max="1" width="8.421875" style="0" customWidth="1"/>
    <col min="2" max="2" width="5.57421875" style="0" customWidth="1"/>
    <col min="3" max="3" width="8.57421875" style="0" customWidth="1"/>
    <col min="4" max="4" width="8.421875" style="0" customWidth="1"/>
    <col min="5" max="5" width="5.28125" style="0" customWidth="1"/>
    <col min="6" max="6" width="5.57421875" style="0" customWidth="1"/>
    <col min="7" max="7" width="5.00390625" style="0" customWidth="1"/>
    <col min="8" max="8" width="4.7109375" style="0" customWidth="1"/>
    <col min="9" max="9" width="4.421875" style="0" customWidth="1"/>
    <col min="10" max="10" width="2.421875" style="0" customWidth="1"/>
    <col min="11" max="11" width="4.8515625" style="0" customWidth="1"/>
    <col min="12" max="12" width="3.421875" style="0" customWidth="1"/>
    <col min="13" max="13" width="6.28125" style="0" customWidth="1"/>
    <col min="14" max="19" width="6.8515625" style="0" customWidth="1"/>
    <col min="20" max="20" width="6.00390625" style="0" customWidth="1"/>
    <col min="21" max="21" width="10.140625" style="42" customWidth="1"/>
    <col min="22" max="22" width="6.7109375" style="41" customWidth="1"/>
    <col min="23" max="25" width="9.140625" style="42" customWidth="1"/>
  </cols>
  <sheetData>
    <row r="1" spans="1:22" ht="16.5" customHeight="1" thickBot="1">
      <c r="A1" s="1009" t="s">
        <v>48</v>
      </c>
      <c r="B1" s="1010"/>
      <c r="C1" s="1010"/>
      <c r="D1" s="1010"/>
      <c r="E1" s="1010"/>
      <c r="F1" s="1010"/>
      <c r="G1" s="1010"/>
      <c r="H1" s="1010"/>
      <c r="I1" s="1010"/>
      <c r="J1" s="1010"/>
      <c r="K1" s="1010"/>
      <c r="L1" s="1010"/>
      <c r="M1" s="1010"/>
      <c r="N1" s="1010"/>
      <c r="O1" s="1010"/>
      <c r="P1" s="1010"/>
      <c r="Q1" s="1010"/>
      <c r="R1" s="1010"/>
      <c r="S1" s="1011"/>
      <c r="U1" s="61"/>
      <c r="V1" s="63"/>
    </row>
    <row r="2" spans="1:22" ht="15" customHeight="1">
      <c r="A2" s="1379" t="s">
        <v>288</v>
      </c>
      <c r="B2" s="1380"/>
      <c r="C2" s="1358"/>
      <c r="D2" s="1359"/>
      <c r="E2" s="1359"/>
      <c r="F2" s="1359"/>
      <c r="G2" s="1360"/>
      <c r="H2" s="755"/>
      <c r="I2" s="756"/>
      <c r="J2" s="756"/>
      <c r="K2" s="756"/>
      <c r="L2" s="757" t="s">
        <v>265</v>
      </c>
      <c r="M2" s="507" t="s">
        <v>362</v>
      </c>
      <c r="N2" s="299"/>
      <c r="O2" s="1"/>
      <c r="P2" s="2"/>
      <c r="Q2" s="35"/>
      <c r="R2" s="36"/>
      <c r="S2" s="3"/>
      <c r="V2" s="63"/>
    </row>
    <row r="3" spans="1:22" ht="15" customHeight="1" thickBot="1">
      <c r="A3" s="1366"/>
      <c r="B3" s="1367"/>
      <c r="C3" s="1361"/>
      <c r="D3" s="1362"/>
      <c r="E3" s="1362"/>
      <c r="F3" s="1362"/>
      <c r="G3" s="1363"/>
      <c r="H3" s="758"/>
      <c r="I3" s="351"/>
      <c r="J3" s="351"/>
      <c r="K3" s="351"/>
      <c r="L3" s="759" t="s">
        <v>282</v>
      </c>
      <c r="M3" s="676" t="s">
        <v>363</v>
      </c>
      <c r="N3" s="64"/>
      <c r="O3" s="29"/>
      <c r="P3" s="37"/>
      <c r="Q3" s="38"/>
      <c r="R3" s="39"/>
      <c r="S3" s="30"/>
      <c r="V3" s="63"/>
    </row>
    <row r="4" spans="1:22" ht="14.25" customHeight="1">
      <c r="A4" s="1364" t="s">
        <v>416</v>
      </c>
      <c r="B4" s="1365"/>
      <c r="C4" s="1368"/>
      <c r="D4" s="1369"/>
      <c r="E4" s="1369"/>
      <c r="F4" s="1369"/>
      <c r="G4" s="1370"/>
      <c r="H4" s="1411" t="s">
        <v>46</v>
      </c>
      <c r="I4" s="1412"/>
      <c r="J4" s="1412"/>
      <c r="K4" s="1412"/>
      <c r="L4" s="1412"/>
      <c r="M4" s="1412"/>
      <c r="N4" s="1412"/>
      <c r="O4" s="1412"/>
      <c r="P4" s="1413"/>
      <c r="Q4" s="1405">
        <v>0</v>
      </c>
      <c r="R4" s="1406"/>
      <c r="S4" s="27"/>
      <c r="V4" s="63"/>
    </row>
    <row r="5" spans="1:22" ht="12" customHeight="1">
      <c r="A5" s="1366"/>
      <c r="B5" s="1367"/>
      <c r="C5" s="1248"/>
      <c r="D5" s="1249"/>
      <c r="E5" s="1249"/>
      <c r="F5" s="1249"/>
      <c r="G5" s="1250"/>
      <c r="H5" s="994" t="s">
        <v>470</v>
      </c>
      <c r="I5" s="995"/>
      <c r="J5" s="995"/>
      <c r="K5" s="995"/>
      <c r="L5" s="995"/>
      <c r="M5" s="996"/>
      <c r="N5" s="1407">
        <v>0</v>
      </c>
      <c r="O5" s="1408"/>
      <c r="P5" s="25"/>
      <c r="Q5" s="26"/>
      <c r="R5" s="26"/>
      <c r="S5" s="27"/>
      <c r="V5" s="63"/>
    </row>
    <row r="6" spans="1:22" ht="16.5" customHeight="1" thickBot="1">
      <c r="A6" s="1004" t="s">
        <v>266</v>
      </c>
      <c r="B6" s="1006"/>
      <c r="C6" s="1269"/>
      <c r="D6" s="1270"/>
      <c r="E6" s="1270"/>
      <c r="F6" s="1270"/>
      <c r="G6" s="1271"/>
      <c r="H6" s="997"/>
      <c r="I6" s="998"/>
      <c r="J6" s="998"/>
      <c r="K6" s="998"/>
      <c r="L6" s="998"/>
      <c r="M6" s="999"/>
      <c r="N6" s="1409"/>
      <c r="O6" s="1410"/>
      <c r="P6" s="760">
        <v>-0.4275</v>
      </c>
      <c r="Q6" s="761"/>
      <c r="R6" s="26"/>
      <c r="S6" s="762"/>
      <c r="V6" s="63"/>
    </row>
    <row r="7" spans="1:22" ht="17.25" customHeight="1" thickBot="1">
      <c r="A7" s="1007" t="s">
        <v>267</v>
      </c>
      <c r="B7" s="1008"/>
      <c r="C7" s="992"/>
      <c r="D7" s="993"/>
      <c r="E7" s="309" t="s">
        <v>283</v>
      </c>
      <c r="F7" s="1375">
        <f ca="1">IF(C7="","",NOW())</f>
      </c>
      <c r="G7" s="1376"/>
      <c r="H7" s="1398"/>
      <c r="I7" s="1398"/>
      <c r="J7" s="1398"/>
      <c r="K7" s="1398"/>
      <c r="L7" s="1399"/>
      <c r="M7" s="26"/>
      <c r="N7" s="26"/>
      <c r="O7" s="1373" t="s">
        <v>268</v>
      </c>
      <c r="P7" s="1373"/>
      <c r="Q7" s="1374"/>
      <c r="R7" s="1414">
        <f>SUM(R28,R40,R49,J62,J73,J90,J125,R144,J172,J186)</f>
        <v>0</v>
      </c>
      <c r="S7" s="1415"/>
      <c r="V7" s="63"/>
    </row>
    <row r="8" spans="1:22" ht="15.75" customHeight="1" thickBot="1">
      <c r="A8" s="1226" t="s">
        <v>813</v>
      </c>
      <c r="B8" s="1227"/>
      <c r="C8" s="1493">
        <f>IF(F7="","",IF(OR(S11&lt;1,R12="YES"),"LOW PRIORITY",IF(R14="YES","HIGH PRIORITY","MEDIUM PRIORITY")))</f>
      </c>
      <c r="D8" s="1494"/>
      <c r="E8" s="1494"/>
      <c r="F8" s="1494"/>
      <c r="G8" s="1495"/>
      <c r="H8" s="763"/>
      <c r="I8" s="764"/>
      <c r="J8" s="764"/>
      <c r="K8" s="764"/>
      <c r="L8" s="764"/>
      <c r="M8" s="765"/>
      <c r="N8" s="765"/>
      <c r="O8" s="766"/>
      <c r="P8" s="766"/>
      <c r="Q8" s="766"/>
      <c r="R8" s="767"/>
      <c r="S8" s="768"/>
      <c r="V8" s="63"/>
    </row>
    <row r="9" spans="1:22" ht="17.25" customHeight="1" thickBot="1">
      <c r="A9" s="1496" t="s">
        <v>49</v>
      </c>
      <c r="B9" s="1497"/>
      <c r="C9" s="1497"/>
      <c r="D9" s="1497"/>
      <c r="E9" s="1497"/>
      <c r="F9" s="1497"/>
      <c r="G9" s="1497"/>
      <c r="H9" s="1497"/>
      <c r="I9" s="1497"/>
      <c r="J9" s="1497"/>
      <c r="K9" s="1497"/>
      <c r="L9" s="1497"/>
      <c r="M9" s="1497"/>
      <c r="N9" s="1497"/>
      <c r="O9" s="1497"/>
      <c r="P9" s="1497"/>
      <c r="Q9" s="1497"/>
      <c r="R9" s="1497"/>
      <c r="S9" s="1498"/>
      <c r="V9" s="63"/>
    </row>
    <row r="10" spans="1:22" ht="39.75" customHeight="1">
      <c r="A10" s="687" t="s">
        <v>815</v>
      </c>
      <c r="B10" s="1489" t="s">
        <v>811</v>
      </c>
      <c r="C10" s="1489"/>
      <c r="D10" s="1489"/>
      <c r="E10" s="1489"/>
      <c r="F10" s="1489"/>
      <c r="G10" s="1489"/>
      <c r="H10" s="1489"/>
      <c r="I10" s="1489"/>
      <c r="J10" s="1489"/>
      <c r="K10" s="1489"/>
      <c r="L10" s="1489"/>
      <c r="M10" s="1489"/>
      <c r="N10" s="1489"/>
      <c r="O10" s="1489"/>
      <c r="P10" s="1489"/>
      <c r="Q10" s="1490"/>
      <c r="R10" s="769"/>
      <c r="S10" s="770"/>
      <c r="V10" s="63"/>
    </row>
    <row r="11" spans="1:22" ht="24" customHeight="1" thickBot="1">
      <c r="A11" s="690" t="s">
        <v>816</v>
      </c>
      <c r="B11" s="1487" t="s">
        <v>656</v>
      </c>
      <c r="C11" s="1487"/>
      <c r="D11" s="1487"/>
      <c r="E11" s="1487"/>
      <c r="F11" s="1487"/>
      <c r="G11" s="1487"/>
      <c r="H11" s="1487"/>
      <c r="I11" s="1487"/>
      <c r="J11" s="1487"/>
      <c r="K11" s="1487"/>
      <c r="L11" s="1487"/>
      <c r="M11" s="1487"/>
      <c r="N11" s="1487"/>
      <c r="O11" s="1487"/>
      <c r="P11" s="1487"/>
      <c r="Q11" s="1488"/>
      <c r="R11" s="771"/>
      <c r="S11" s="772">
        <f>COUNTIF(R10:R11,"YES")</f>
        <v>0</v>
      </c>
      <c r="V11" s="63"/>
    </row>
    <row r="12" spans="1:22" ht="27.75" customHeight="1">
      <c r="A12" s="773" t="s">
        <v>814</v>
      </c>
      <c r="B12" s="1491" t="s">
        <v>232</v>
      </c>
      <c r="C12" s="1491"/>
      <c r="D12" s="1491"/>
      <c r="E12" s="1491"/>
      <c r="F12" s="1491"/>
      <c r="G12" s="1491"/>
      <c r="H12" s="1491"/>
      <c r="I12" s="1491"/>
      <c r="J12" s="1491"/>
      <c r="K12" s="1491"/>
      <c r="L12" s="1491"/>
      <c r="M12" s="1491"/>
      <c r="N12" s="1491"/>
      <c r="O12" s="1491"/>
      <c r="P12" s="1491"/>
      <c r="Q12" s="1492"/>
      <c r="R12" s="774"/>
      <c r="S12" s="775"/>
      <c r="V12" s="63"/>
    </row>
    <row r="13" spans="1:22" ht="31.5" customHeight="1" thickBot="1">
      <c r="A13" s="1416" t="s">
        <v>3</v>
      </c>
      <c r="B13" s="1417"/>
      <c r="C13" s="1417"/>
      <c r="D13" s="1417"/>
      <c r="E13" s="1417"/>
      <c r="F13" s="1417"/>
      <c r="G13" s="1417"/>
      <c r="H13" s="1417"/>
      <c r="I13" s="1417"/>
      <c r="J13" s="1417"/>
      <c r="K13" s="1417"/>
      <c r="L13" s="1417"/>
      <c r="M13" s="1417"/>
      <c r="N13" s="1417"/>
      <c r="O13" s="1417"/>
      <c r="P13" s="1417"/>
      <c r="Q13" s="1417"/>
      <c r="R13" s="1418"/>
      <c r="S13" s="376"/>
      <c r="V13" s="63"/>
    </row>
    <row r="14" spans="1:22" ht="25.5" customHeight="1" thickBot="1">
      <c r="A14" s="776" t="s">
        <v>817</v>
      </c>
      <c r="B14" s="1499" t="s">
        <v>233</v>
      </c>
      <c r="C14" s="1499"/>
      <c r="D14" s="1499"/>
      <c r="E14" s="1499"/>
      <c r="F14" s="1499"/>
      <c r="G14" s="1499"/>
      <c r="H14" s="1499"/>
      <c r="I14" s="1499"/>
      <c r="J14" s="1499"/>
      <c r="K14" s="1499"/>
      <c r="L14" s="1499"/>
      <c r="M14" s="1499"/>
      <c r="N14" s="1499"/>
      <c r="O14" s="1499"/>
      <c r="P14" s="1499"/>
      <c r="Q14" s="1500"/>
      <c r="R14" s="777"/>
      <c r="S14" s="376"/>
      <c r="V14" s="63"/>
    </row>
    <row r="15" spans="1:22" ht="16.5" customHeight="1" thickBot="1">
      <c r="A15" s="1501" t="s">
        <v>651</v>
      </c>
      <c r="B15" s="1502"/>
      <c r="C15" s="1502"/>
      <c r="D15" s="1502"/>
      <c r="E15" s="1502"/>
      <c r="F15" s="1502"/>
      <c r="G15" s="1502"/>
      <c r="H15" s="1502"/>
      <c r="I15" s="1502"/>
      <c r="J15" s="1502"/>
      <c r="K15" s="1502"/>
      <c r="L15" s="1502"/>
      <c r="M15" s="1502"/>
      <c r="N15" s="1502"/>
      <c r="O15" s="1502"/>
      <c r="P15" s="1502"/>
      <c r="Q15" s="1502"/>
      <c r="R15" s="1503"/>
      <c r="S15" s="778"/>
      <c r="V15" s="63"/>
    </row>
    <row r="16" spans="1:22" ht="18.75" customHeight="1" thickBot="1">
      <c r="A16" s="883" t="s">
        <v>50</v>
      </c>
      <c r="B16" s="884"/>
      <c r="C16" s="884"/>
      <c r="D16" s="884"/>
      <c r="E16" s="884"/>
      <c r="F16" s="884"/>
      <c r="G16" s="884"/>
      <c r="H16" s="884"/>
      <c r="I16" s="884"/>
      <c r="J16" s="884"/>
      <c r="K16" s="884"/>
      <c r="L16" s="884"/>
      <c r="M16" s="884"/>
      <c r="N16" s="884"/>
      <c r="O16" s="884"/>
      <c r="P16" s="884"/>
      <c r="Q16" s="884"/>
      <c r="R16" s="884"/>
      <c r="S16" s="885"/>
      <c r="V16" s="63"/>
    </row>
    <row r="17" spans="1:22" ht="15" customHeight="1">
      <c r="A17" s="409" t="s">
        <v>437</v>
      </c>
      <c r="B17" s="624"/>
      <c r="C17" s="902" t="s">
        <v>375</v>
      </c>
      <c r="D17" s="902"/>
      <c r="E17" s="902"/>
      <c r="F17" s="902"/>
      <c r="G17" s="902"/>
      <c r="H17" s="902"/>
      <c r="I17" s="902"/>
      <c r="J17" s="902"/>
      <c r="K17" s="902"/>
      <c r="L17" s="902"/>
      <c r="M17" s="902"/>
      <c r="N17" s="902"/>
      <c r="O17" s="902"/>
      <c r="P17" s="902"/>
      <c r="Q17" s="902"/>
      <c r="R17" s="902"/>
      <c r="S17" s="903"/>
      <c r="V17" s="63"/>
    </row>
    <row r="18" spans="1:22" ht="15" customHeight="1" thickBot="1">
      <c r="A18" s="1419" t="s">
        <v>344</v>
      </c>
      <c r="B18" s="1420"/>
      <c r="C18" s="1420"/>
      <c r="D18" s="1420"/>
      <c r="E18" s="1420"/>
      <c r="F18" s="1420"/>
      <c r="G18" s="1420"/>
      <c r="H18" s="1420"/>
      <c r="I18" s="1420"/>
      <c r="J18" s="1420"/>
      <c r="K18" s="1420"/>
      <c r="L18" s="1420"/>
      <c r="M18" s="1420"/>
      <c r="N18" s="1420"/>
      <c r="O18" s="1420"/>
      <c r="P18" s="1420"/>
      <c r="Q18" s="1420"/>
      <c r="R18" s="1420"/>
      <c r="S18" s="1421"/>
      <c r="V18" s="63"/>
    </row>
    <row r="19" spans="1:22" ht="15" customHeight="1" thickTop="1">
      <c r="A19" s="1504" t="s">
        <v>336</v>
      </c>
      <c r="B19" s="1505"/>
      <c r="C19" s="78" t="s">
        <v>337</v>
      </c>
      <c r="D19" s="323"/>
      <c r="E19" s="779"/>
      <c r="F19" s="326" t="s">
        <v>69</v>
      </c>
      <c r="G19" s="323"/>
      <c r="H19" s="1330" t="s">
        <v>340</v>
      </c>
      <c r="I19" s="1330"/>
      <c r="J19" s="1330"/>
      <c r="K19" s="306"/>
      <c r="L19" s="324"/>
      <c r="M19" s="306"/>
      <c r="N19" s="323"/>
      <c r="O19" s="323"/>
      <c r="P19" s="236" t="s">
        <v>341</v>
      </c>
      <c r="Q19" s="325"/>
      <c r="R19" s="326" t="s">
        <v>71</v>
      </c>
      <c r="S19" s="780"/>
      <c r="V19" s="63"/>
    </row>
    <row r="20" spans="1:22" ht="15" customHeight="1">
      <c r="A20" s="1506"/>
      <c r="B20" s="1507"/>
      <c r="C20" s="76" t="s">
        <v>338</v>
      </c>
      <c r="D20" s="306"/>
      <c r="E20" s="781"/>
      <c r="F20" s="326" t="s">
        <v>70</v>
      </c>
      <c r="G20" s="306"/>
      <c r="H20" s="1331"/>
      <c r="I20" s="1331"/>
      <c r="J20" s="1331"/>
      <c r="K20" s="306"/>
      <c r="L20" s="328"/>
      <c r="M20" s="306"/>
      <c r="N20" s="306"/>
      <c r="O20" s="306"/>
      <c r="P20" s="77" t="s">
        <v>342</v>
      </c>
      <c r="Q20" s="330"/>
      <c r="R20" s="326" t="s">
        <v>72</v>
      </c>
      <c r="S20" s="782"/>
      <c r="V20" s="63"/>
    </row>
    <row r="21" spans="1:22" ht="15" customHeight="1">
      <c r="A21" s="1506"/>
      <c r="B21" s="1507"/>
      <c r="C21" s="306"/>
      <c r="D21" s="306"/>
      <c r="E21" s="306"/>
      <c r="F21" s="306"/>
      <c r="G21" s="306"/>
      <c r="H21" s="1331"/>
      <c r="I21" s="1331"/>
      <c r="J21" s="1331"/>
      <c r="K21" s="306"/>
      <c r="L21" s="328"/>
      <c r="M21" s="306"/>
      <c r="N21" s="306"/>
      <c r="O21" s="306"/>
      <c r="P21" s="77" t="s">
        <v>343</v>
      </c>
      <c r="Q21" s="330"/>
      <c r="R21" s="326" t="s">
        <v>106</v>
      </c>
      <c r="S21" s="782"/>
      <c r="V21" s="63"/>
    </row>
    <row r="22" spans="1:22" ht="15" customHeight="1">
      <c r="A22" s="332"/>
      <c r="B22" s="306"/>
      <c r="C22" s="306"/>
      <c r="D22" s="77" t="s">
        <v>339</v>
      </c>
      <c r="E22" s="334"/>
      <c r="F22" s="335" t="s">
        <v>107</v>
      </c>
      <c r="G22" s="306"/>
      <c r="H22" s="306"/>
      <c r="I22" s="328"/>
      <c r="J22" s="328"/>
      <c r="K22" s="328"/>
      <c r="L22" s="328"/>
      <c r="M22" s="338"/>
      <c r="N22" s="306"/>
      <c r="O22" s="1400" t="s">
        <v>150</v>
      </c>
      <c r="P22" s="1400"/>
      <c r="Q22" s="1400"/>
      <c r="R22" s="1400"/>
      <c r="S22" s="782"/>
      <c r="V22" s="63"/>
    </row>
    <row r="23" spans="1:22" ht="15" customHeight="1">
      <c r="A23" s="332"/>
      <c r="B23" s="306"/>
      <c r="C23" s="338"/>
      <c r="D23" s="8" t="s">
        <v>425</v>
      </c>
      <c r="E23" s="54"/>
      <c r="F23" s="335" t="s">
        <v>108</v>
      </c>
      <c r="G23" s="306"/>
      <c r="H23" s="306"/>
      <c r="I23" s="328"/>
      <c r="J23" s="328"/>
      <c r="K23" s="328"/>
      <c r="L23" s="328"/>
      <c r="M23" s="338"/>
      <c r="N23" s="306"/>
      <c r="O23" s="1400"/>
      <c r="P23" s="1400"/>
      <c r="Q23" s="1400"/>
      <c r="R23" s="1400"/>
      <c r="S23" s="782"/>
      <c r="V23" s="63"/>
    </row>
    <row r="24" spans="1:22" ht="6.75" customHeight="1">
      <c r="A24" s="332"/>
      <c r="B24" s="306"/>
      <c r="C24" s="338"/>
      <c r="D24" s="306"/>
      <c r="E24" s="306"/>
      <c r="F24" s="756"/>
      <c r="G24" s="306"/>
      <c r="H24" s="306"/>
      <c r="I24" s="328"/>
      <c r="J24" s="328"/>
      <c r="K24" s="328"/>
      <c r="L24" s="328"/>
      <c r="M24" s="338"/>
      <c r="N24" s="306"/>
      <c r="O24" s="1400"/>
      <c r="P24" s="1400"/>
      <c r="Q24" s="1400"/>
      <c r="R24" s="1400"/>
      <c r="S24" s="782"/>
      <c r="V24" s="63"/>
    </row>
    <row r="25" spans="1:22" ht="15" customHeight="1">
      <c r="A25" s="332"/>
      <c r="B25" s="306"/>
      <c r="C25" s="306"/>
      <c r="D25" s="306"/>
      <c r="E25" s="77" t="s">
        <v>421</v>
      </c>
      <c r="F25" s="241">
        <f>IF(E22="",0,E19/100*E20/E22)</f>
        <v>0</v>
      </c>
      <c r="G25" s="343" t="s">
        <v>109</v>
      </c>
      <c r="H25" s="416"/>
      <c r="I25" s="1508" t="s">
        <v>345</v>
      </c>
      <c r="J25" s="1508"/>
      <c r="K25" s="1508"/>
      <c r="L25" s="1509"/>
      <c r="M25" s="857">
        <f>IF(F25=0,0,IF(F25&gt;8,6.8347*LN(F25)-12.837,0.01))</f>
        <v>0</v>
      </c>
      <c r="N25" s="344" t="s">
        <v>111</v>
      </c>
      <c r="O25" s="1400"/>
      <c r="P25" s="1400"/>
      <c r="Q25" s="1400"/>
      <c r="R25" s="1400"/>
      <c r="S25" s="784"/>
      <c r="V25" s="63"/>
    </row>
    <row r="26" spans="1:22" ht="15" customHeight="1">
      <c r="A26" s="332"/>
      <c r="B26" s="306"/>
      <c r="C26" s="338"/>
      <c r="D26" s="306"/>
      <c r="E26" s="8" t="s">
        <v>422</v>
      </c>
      <c r="F26" s="198">
        <f>IF(E22="",0,Q19*Q20*Q21/E22)</f>
        <v>0</v>
      </c>
      <c r="G26" s="346" t="s">
        <v>110</v>
      </c>
      <c r="H26" s="416"/>
      <c r="I26" s="1508" t="s">
        <v>345</v>
      </c>
      <c r="J26" s="1508"/>
      <c r="K26" s="1508"/>
      <c r="L26" s="1509"/>
      <c r="M26" s="858">
        <f>IF(F26=0,0,IF(F26&lt;8,0.01,6.8347*LN(F26)-12.837))</f>
        <v>0</v>
      </c>
      <c r="N26" s="326" t="s">
        <v>112</v>
      </c>
      <c r="O26" s="1400"/>
      <c r="P26" s="1400"/>
      <c r="Q26" s="1400"/>
      <c r="R26" s="1400"/>
      <c r="S26" s="782"/>
      <c r="V26" s="63"/>
    </row>
    <row r="27" spans="1:22" ht="3" customHeight="1" thickBot="1">
      <c r="A27" s="332"/>
      <c r="B27" s="306"/>
      <c r="C27" s="338"/>
      <c r="D27" s="336"/>
      <c r="E27" s="345"/>
      <c r="F27" s="345"/>
      <c r="G27" s="346"/>
      <c r="H27" s="329"/>
      <c r="I27" s="329"/>
      <c r="J27" s="329"/>
      <c r="K27" s="329"/>
      <c r="L27" s="329"/>
      <c r="M27" s="161"/>
      <c r="N27" s="326"/>
      <c r="O27" s="306"/>
      <c r="P27" s="306"/>
      <c r="Q27" s="347"/>
      <c r="R27" s="348"/>
      <c r="S27" s="782"/>
      <c r="V27" s="63"/>
    </row>
    <row r="28" spans="1:22" ht="15" customHeight="1" thickBot="1">
      <c r="A28" s="350" t="s">
        <v>113</v>
      </c>
      <c r="B28" s="351"/>
      <c r="C28" s="338"/>
      <c r="D28" s="306"/>
      <c r="E28" s="306"/>
      <c r="F28" s="306"/>
      <c r="G28" s="306"/>
      <c r="H28" s="306"/>
      <c r="I28" s="328"/>
      <c r="J28" s="328"/>
      <c r="K28" s="328"/>
      <c r="L28" s="328"/>
      <c r="M28" s="338"/>
      <c r="N28" s="306"/>
      <c r="O28" s="306"/>
      <c r="P28" s="306"/>
      <c r="Q28" s="354" t="s">
        <v>346</v>
      </c>
      <c r="R28" s="899">
        <f>0+M25+M26</f>
        <v>0</v>
      </c>
      <c r="S28" s="900"/>
      <c r="V28" s="63"/>
    </row>
    <row r="29" spans="1:22" ht="15" customHeight="1">
      <c r="A29" s="321" t="s">
        <v>438</v>
      </c>
      <c r="B29" s="322"/>
      <c r="C29" s="902" t="s">
        <v>497</v>
      </c>
      <c r="D29" s="902"/>
      <c r="E29" s="902"/>
      <c r="F29" s="902"/>
      <c r="G29" s="902"/>
      <c r="H29" s="902"/>
      <c r="I29" s="902"/>
      <c r="J29" s="902"/>
      <c r="K29" s="902"/>
      <c r="L29" s="902"/>
      <c r="M29" s="902"/>
      <c r="N29" s="902"/>
      <c r="O29" s="902"/>
      <c r="P29" s="902"/>
      <c r="Q29" s="902"/>
      <c r="R29" s="902"/>
      <c r="S29" s="903"/>
      <c r="V29" s="63"/>
    </row>
    <row r="30" spans="1:22" ht="12.75" customHeight="1" thickBot="1">
      <c r="A30" s="379" t="s">
        <v>374</v>
      </c>
      <c r="B30" s="572"/>
      <c r="C30" s="573"/>
      <c r="D30" s="572"/>
      <c r="E30" s="572"/>
      <c r="F30" s="572"/>
      <c r="G30" s="572"/>
      <c r="H30" s="572"/>
      <c r="I30" s="574"/>
      <c r="J30" s="574"/>
      <c r="K30" s="574"/>
      <c r="L30" s="574"/>
      <c r="M30" s="573"/>
      <c r="N30" s="572"/>
      <c r="O30" s="572"/>
      <c r="P30" s="572"/>
      <c r="Q30" s="575"/>
      <c r="R30" s="576"/>
      <c r="S30" s="577"/>
      <c r="V30" s="63"/>
    </row>
    <row r="31" spans="1:22" ht="18.75" customHeight="1" thickTop="1">
      <c r="A31" s="361"/>
      <c r="B31" s="346"/>
      <c r="C31" s="699"/>
      <c r="D31" s="346"/>
      <c r="E31" s="346"/>
      <c r="F31" s="346"/>
      <c r="G31" s="346"/>
      <c r="H31" s="346"/>
      <c r="I31" s="785"/>
      <c r="J31" s="785"/>
      <c r="K31" s="785"/>
      <c r="L31" s="785"/>
      <c r="M31" s="699"/>
      <c r="N31" s="346"/>
      <c r="O31" s="346"/>
      <c r="P31" s="346"/>
      <c r="Q31" s="582"/>
      <c r="R31" s="583"/>
      <c r="S31" s="584"/>
      <c r="V31" s="63"/>
    </row>
    <row r="32" spans="1:22" ht="15" customHeight="1">
      <c r="A32" s="332"/>
      <c r="B32" s="904"/>
      <c r="C32" s="1515" t="s">
        <v>829</v>
      </c>
      <c r="D32" s="1516"/>
      <c r="E32" s="1516"/>
      <c r="F32" s="1516"/>
      <c r="G32" s="1516"/>
      <c r="H32" s="1516"/>
      <c r="I32" s="1516"/>
      <c r="J32" s="1516"/>
      <c r="K32" s="1517"/>
      <c r="L32" s="306"/>
      <c r="M32" s="306"/>
      <c r="N32" s="965" t="s">
        <v>504</v>
      </c>
      <c r="O32" s="965"/>
      <c r="P32" s="965"/>
      <c r="Q32" s="965"/>
      <c r="R32" s="583"/>
      <c r="S32" s="585">
        <v>3</v>
      </c>
      <c r="V32" s="63"/>
    </row>
    <row r="33" spans="1:22" ht="15" customHeight="1">
      <c r="A33" s="332"/>
      <c r="B33" s="905"/>
      <c r="C33" s="1518"/>
      <c r="D33" s="1519"/>
      <c r="E33" s="1519"/>
      <c r="F33" s="1519"/>
      <c r="G33" s="1519"/>
      <c r="H33" s="1519"/>
      <c r="I33" s="1519"/>
      <c r="J33" s="1519"/>
      <c r="K33" s="1520"/>
      <c r="L33" s="306"/>
      <c r="M33" s="306"/>
      <c r="N33" s="965"/>
      <c r="O33" s="965"/>
      <c r="P33" s="965"/>
      <c r="Q33" s="965"/>
      <c r="R33" s="583"/>
      <c r="S33" s="588"/>
      <c r="V33" s="63"/>
    </row>
    <row r="34" spans="1:22" ht="15" customHeight="1">
      <c r="A34" s="586"/>
      <c r="B34" s="1521"/>
      <c r="C34" s="1515" t="s">
        <v>834</v>
      </c>
      <c r="D34" s="1516"/>
      <c r="E34" s="1516"/>
      <c r="F34" s="1516"/>
      <c r="G34" s="1516"/>
      <c r="H34" s="1516"/>
      <c r="I34" s="1516"/>
      <c r="J34" s="1516"/>
      <c r="K34" s="1517"/>
      <c r="L34" s="785"/>
      <c r="M34" s="587"/>
      <c r="N34" s="965"/>
      <c r="O34" s="965"/>
      <c r="P34" s="965"/>
      <c r="Q34" s="965"/>
      <c r="R34" s="583"/>
      <c r="S34" s="588"/>
      <c r="V34" s="63"/>
    </row>
    <row r="35" spans="1:22" ht="15" customHeight="1">
      <c r="A35" s="586"/>
      <c r="B35" s="1522"/>
      <c r="C35" s="1518"/>
      <c r="D35" s="1519"/>
      <c r="E35" s="1519"/>
      <c r="F35" s="1519"/>
      <c r="G35" s="1519"/>
      <c r="H35" s="1519"/>
      <c r="I35" s="1519"/>
      <c r="J35" s="1519"/>
      <c r="K35" s="1520"/>
      <c r="L35" s="306"/>
      <c r="M35" s="306"/>
      <c r="N35" s="720" t="s">
        <v>329</v>
      </c>
      <c r="O35" s="786"/>
      <c r="P35" s="783" t="s">
        <v>330</v>
      </c>
      <c r="Q35" s="787"/>
      <c r="R35" s="583"/>
      <c r="S35" s="588"/>
      <c r="V35" s="63"/>
    </row>
    <row r="36" spans="1:22" ht="15" customHeight="1">
      <c r="A36" s="586"/>
      <c r="B36" s="904"/>
      <c r="C36" s="1515" t="s">
        <v>351</v>
      </c>
      <c r="D36" s="1516"/>
      <c r="E36" s="1516"/>
      <c r="F36" s="1516"/>
      <c r="G36" s="1516"/>
      <c r="H36" s="1516"/>
      <c r="I36" s="1516"/>
      <c r="J36" s="1516"/>
      <c r="K36" s="1517"/>
      <c r="L36" s="306"/>
      <c r="M36" s="366"/>
      <c r="N36" s="306"/>
      <c r="O36" s="306"/>
      <c r="P36" s="306"/>
      <c r="Q36" s="788"/>
      <c r="R36" s="789"/>
      <c r="S36" s="585">
        <v>2</v>
      </c>
      <c r="V36" s="63"/>
    </row>
    <row r="37" spans="1:22" ht="15" customHeight="1">
      <c r="A37" s="586"/>
      <c r="B37" s="905"/>
      <c r="C37" s="1518"/>
      <c r="D37" s="1519"/>
      <c r="E37" s="1519"/>
      <c r="F37" s="1519"/>
      <c r="G37" s="1519"/>
      <c r="H37" s="1519"/>
      <c r="I37" s="1519"/>
      <c r="J37" s="1519"/>
      <c r="K37" s="1520"/>
      <c r="L37" s="587"/>
      <c r="M37" s="306"/>
      <c r="N37" s="1401" t="s">
        <v>498</v>
      </c>
      <c r="O37" s="1401"/>
      <c r="P37" s="1402"/>
      <c r="Q37" s="859">
        <f>IF(S36=1,7,0)</f>
        <v>0</v>
      </c>
      <c r="R37" s="592" t="s">
        <v>353</v>
      </c>
      <c r="S37" s="588"/>
      <c r="V37" s="63"/>
    </row>
    <row r="38" spans="1:22" ht="9.75" customHeight="1" thickBot="1">
      <c r="A38" s="586"/>
      <c r="B38" s="355"/>
      <c r="C38" s="355"/>
      <c r="D38" s="355"/>
      <c r="E38" s="355"/>
      <c r="F38" s="355"/>
      <c r="G38" s="355"/>
      <c r="H38" s="355"/>
      <c r="I38" s="306"/>
      <c r="J38" s="355"/>
      <c r="K38" s="355"/>
      <c r="L38" s="790"/>
      <c r="M38" s="587"/>
      <c r="N38" s="587"/>
      <c r="O38" s="786"/>
      <c r="P38" s="786"/>
      <c r="Q38" s="161"/>
      <c r="R38" s="583"/>
      <c r="S38" s="596"/>
      <c r="V38" s="63"/>
    </row>
    <row r="39" spans="1:22" ht="15" customHeight="1" thickBot="1" thickTop="1">
      <c r="A39" s="586"/>
      <c r="B39" s="355"/>
      <c r="C39" s="355"/>
      <c r="D39" s="355"/>
      <c r="E39" s="355"/>
      <c r="F39" s="355"/>
      <c r="G39" s="355"/>
      <c r="H39" s="129" t="s">
        <v>354</v>
      </c>
      <c r="I39" s="1332">
        <f>IF(S32=1,5,IF(S32=2,2,0))</f>
        <v>0</v>
      </c>
      <c r="J39" s="1333"/>
      <c r="K39" s="375" t="s">
        <v>352</v>
      </c>
      <c r="L39" s="790"/>
      <c r="M39" s="587"/>
      <c r="N39" s="587"/>
      <c r="O39" s="786"/>
      <c r="P39" s="786"/>
      <c r="Q39" s="161"/>
      <c r="R39" s="583"/>
      <c r="S39" s="791"/>
      <c r="V39" s="63"/>
    </row>
    <row r="40" spans="1:22" ht="15" customHeight="1" thickBot="1" thickTop="1">
      <c r="A40" s="350" t="s">
        <v>355</v>
      </c>
      <c r="B40" s="351"/>
      <c r="C40" s="351"/>
      <c r="D40" s="351"/>
      <c r="E40" s="1514"/>
      <c r="F40" s="1514"/>
      <c r="G40" s="1514"/>
      <c r="H40" s="1514"/>
      <c r="I40" s="1510"/>
      <c r="J40" s="1510"/>
      <c r="K40" s="351"/>
      <c r="L40" s="351"/>
      <c r="M40" s="351"/>
      <c r="N40" s="351"/>
      <c r="O40" s="351"/>
      <c r="P40" s="351"/>
      <c r="Q40" s="354" t="s">
        <v>361</v>
      </c>
      <c r="R40" s="899">
        <f>I39+Q37</f>
        <v>0</v>
      </c>
      <c r="S40" s="900"/>
      <c r="V40" s="63"/>
    </row>
    <row r="41" spans="1:22" ht="17.25" customHeight="1">
      <c r="A41" s="321" t="s">
        <v>439</v>
      </c>
      <c r="B41" s="322"/>
      <c r="C41" s="1403" t="s">
        <v>367</v>
      </c>
      <c r="D41" s="1403"/>
      <c r="E41" s="1403"/>
      <c r="F41" s="1403"/>
      <c r="G41" s="1403"/>
      <c r="H41" s="1403"/>
      <c r="I41" s="1403"/>
      <c r="J41" s="1403"/>
      <c r="K41" s="1403"/>
      <c r="L41" s="1403"/>
      <c r="M41" s="1403"/>
      <c r="N41" s="1403"/>
      <c r="O41" s="1403"/>
      <c r="P41" s="1403"/>
      <c r="Q41" s="1403"/>
      <c r="R41" s="1403"/>
      <c r="S41" s="1404"/>
      <c r="V41" s="63"/>
    </row>
    <row r="42" spans="1:22" ht="22.5" customHeight="1" thickBot="1">
      <c r="A42" s="1343" t="s">
        <v>36</v>
      </c>
      <c r="B42" s="1344"/>
      <c r="C42" s="1344"/>
      <c r="D42" s="1344"/>
      <c r="E42" s="1344"/>
      <c r="F42" s="1344"/>
      <c r="G42" s="1344"/>
      <c r="H42" s="1344"/>
      <c r="I42" s="1344"/>
      <c r="J42" s="1344"/>
      <c r="K42" s="1344"/>
      <c r="L42" s="1344"/>
      <c r="M42" s="1344"/>
      <c r="N42" s="1344"/>
      <c r="O42" s="1344"/>
      <c r="P42" s="1344"/>
      <c r="Q42" s="1344"/>
      <c r="R42" s="1344"/>
      <c r="S42" s="1345"/>
      <c r="V42" s="63"/>
    </row>
    <row r="43" spans="1:22" ht="8.25" customHeight="1" thickTop="1">
      <c r="A43" s="908" t="s">
        <v>149</v>
      </c>
      <c r="B43" s="909"/>
      <c r="C43" s="909"/>
      <c r="D43" s="909"/>
      <c r="E43" s="909"/>
      <c r="F43" s="909"/>
      <c r="G43" s="909"/>
      <c r="H43" s="909"/>
      <c r="I43" s="909"/>
      <c r="J43" s="909"/>
      <c r="K43" s="371"/>
      <c r="L43" s="785"/>
      <c r="M43" s="699"/>
      <c r="N43" s="346"/>
      <c r="O43" s="346"/>
      <c r="P43" s="346"/>
      <c r="Q43" s="582"/>
      <c r="R43" s="583"/>
      <c r="S43" s="584"/>
      <c r="V43" s="63"/>
    </row>
    <row r="44" spans="1:22" ht="15" customHeight="1">
      <c r="A44" s="908"/>
      <c r="B44" s="909"/>
      <c r="C44" s="909"/>
      <c r="D44" s="909"/>
      <c r="E44" s="909"/>
      <c r="F44" s="909"/>
      <c r="G44" s="909"/>
      <c r="H44" s="909"/>
      <c r="I44" s="909"/>
      <c r="J44" s="909"/>
      <c r="K44" s="906">
        <f>Q4</f>
        <v>0</v>
      </c>
      <c r="L44" s="907"/>
      <c r="M44" s="357" t="s">
        <v>152</v>
      </c>
      <c r="N44" s="336"/>
      <c r="O44" s="336"/>
      <c r="P44" s="306"/>
      <c r="Q44" s="347"/>
      <c r="R44" s="604"/>
      <c r="S44" s="605"/>
      <c r="V44" s="63"/>
    </row>
    <row r="45" spans="1:22" ht="16.5" customHeight="1" thickBot="1">
      <c r="A45" s="1041" t="s">
        <v>151</v>
      </c>
      <c r="B45" s="1042"/>
      <c r="C45" s="1042"/>
      <c r="D45" s="1042"/>
      <c r="E45" s="1042"/>
      <c r="F45" s="1042"/>
      <c r="G45" s="1042"/>
      <c r="H45" s="1042"/>
      <c r="I45" s="1042"/>
      <c r="J45" s="1303"/>
      <c r="K45" s="1043">
        <v>0</v>
      </c>
      <c r="L45" s="1044"/>
      <c r="M45" s="357" t="s">
        <v>153</v>
      </c>
      <c r="N45" s="336"/>
      <c r="O45" s="786"/>
      <c r="P45" s="786"/>
      <c r="Q45" s="347"/>
      <c r="R45" s="604"/>
      <c r="S45" s="605"/>
      <c r="V45" s="63"/>
    </row>
    <row r="46" spans="1:22" ht="15" customHeight="1" thickBot="1" thickTop="1">
      <c r="A46" s="7"/>
      <c r="B46" s="147"/>
      <c r="C46" s="147"/>
      <c r="D46" s="1042" t="s">
        <v>156</v>
      </c>
      <c r="E46" s="1042"/>
      <c r="F46" s="1042"/>
      <c r="G46" s="1042"/>
      <c r="H46" s="1042"/>
      <c r="I46" s="1042"/>
      <c r="J46" s="1303"/>
      <c r="K46" s="1045">
        <f>IF(K45=0,0,K45/K44)</f>
        <v>0</v>
      </c>
      <c r="L46" s="1046"/>
      <c r="M46" s="357" t="s">
        <v>154</v>
      </c>
      <c r="N46" s="1511" t="s">
        <v>595</v>
      </c>
      <c r="O46" s="1511"/>
      <c r="P46" s="1512"/>
      <c r="Q46" s="486">
        <f>IF(K45=0,0,-4.2252*LN(K46)+23.705)</f>
        <v>0</v>
      </c>
      <c r="R46" s="357" t="s">
        <v>596</v>
      </c>
      <c r="S46" s="420"/>
      <c r="V46" s="63"/>
    </row>
    <row r="47" spans="1:22" ht="6.75" customHeight="1" thickBot="1" thickTop="1">
      <c r="A47" s="332"/>
      <c r="B47" s="371"/>
      <c r="C47" s="371"/>
      <c r="D47" s="371"/>
      <c r="E47" s="371"/>
      <c r="F47" s="371"/>
      <c r="G47" s="371"/>
      <c r="H47" s="371"/>
      <c r="I47" s="371"/>
      <c r="J47" s="371"/>
      <c r="K47" s="792"/>
      <c r="L47" s="792"/>
      <c r="M47" s="357"/>
      <c r="N47" s="336"/>
      <c r="O47" s="786"/>
      <c r="P47" s="786"/>
      <c r="Q47" s="306"/>
      <c r="R47" s="306"/>
      <c r="S47" s="620"/>
      <c r="V47" s="63"/>
    </row>
    <row r="48" spans="1:22" ht="14.25" customHeight="1" thickBot="1">
      <c r="A48" s="1203" t="s">
        <v>42</v>
      </c>
      <c r="B48" s="1204"/>
      <c r="C48" s="1204"/>
      <c r="D48" s="1204"/>
      <c r="E48" s="1204"/>
      <c r="F48" s="1204"/>
      <c r="G48" s="1204"/>
      <c r="H48" s="1204"/>
      <c r="I48" s="1204"/>
      <c r="J48" s="371"/>
      <c r="K48" s="792"/>
      <c r="L48" s="792"/>
      <c r="M48" s="357"/>
      <c r="N48" s="336"/>
      <c r="O48" s="786"/>
      <c r="P48" s="786"/>
      <c r="Q48" s="306"/>
      <c r="R48" s="306"/>
      <c r="S48" s="620"/>
      <c r="V48" s="63"/>
    </row>
    <row r="49" spans="1:22" ht="15.75" customHeight="1" thickBot="1">
      <c r="A49" s="1205"/>
      <c r="B49" s="1206"/>
      <c r="C49" s="1206"/>
      <c r="D49" s="1206"/>
      <c r="E49" s="1206"/>
      <c r="F49" s="1206"/>
      <c r="G49" s="1206"/>
      <c r="H49" s="1206"/>
      <c r="I49" s="1206"/>
      <c r="J49" s="793"/>
      <c r="K49" s="794"/>
      <c r="L49" s="794"/>
      <c r="M49" s="393"/>
      <c r="N49" s="616"/>
      <c r="O49" s="795"/>
      <c r="P49" s="795"/>
      <c r="Q49" s="354" t="s">
        <v>368</v>
      </c>
      <c r="R49" s="899">
        <f>IF(Q46&lt;0,0,IF(Q46&gt;15,15,Q46))</f>
        <v>0</v>
      </c>
      <c r="S49" s="900"/>
      <c r="V49" s="63"/>
    </row>
    <row r="50" spans="1:22" ht="18.75" customHeight="1" thickBot="1">
      <c r="A50" s="883" t="s">
        <v>51</v>
      </c>
      <c r="B50" s="884"/>
      <c r="C50" s="884"/>
      <c r="D50" s="884"/>
      <c r="E50" s="884"/>
      <c r="F50" s="884"/>
      <c r="G50" s="884"/>
      <c r="H50" s="884"/>
      <c r="I50" s="884"/>
      <c r="J50" s="884"/>
      <c r="K50" s="884"/>
      <c r="L50" s="884"/>
      <c r="M50" s="884"/>
      <c r="N50" s="884"/>
      <c r="O50" s="884"/>
      <c r="P50" s="884"/>
      <c r="Q50" s="884"/>
      <c r="R50" s="884"/>
      <c r="S50" s="885"/>
      <c r="V50" s="63"/>
    </row>
    <row r="51" spans="1:22" ht="16.5" thickBot="1">
      <c r="A51" s="321" t="s">
        <v>437</v>
      </c>
      <c r="B51" s="406"/>
      <c r="C51" s="891" t="s">
        <v>279</v>
      </c>
      <c r="D51" s="891"/>
      <c r="E51" s="891"/>
      <c r="F51" s="891"/>
      <c r="G51" s="891"/>
      <c r="H51" s="891"/>
      <c r="I51" s="891"/>
      <c r="J51" s="891"/>
      <c r="K51" s="891"/>
      <c r="L51" s="892"/>
      <c r="M51" s="80" t="s">
        <v>364</v>
      </c>
      <c r="N51" s="81"/>
      <c r="O51" s="81"/>
      <c r="P51" s="81"/>
      <c r="Q51" s="51" t="s">
        <v>365</v>
      </c>
      <c r="R51" s="51"/>
      <c r="S51" s="52"/>
      <c r="V51" s="63"/>
    </row>
    <row r="52" spans="1:22" ht="12.75" customHeight="1" thickTop="1">
      <c r="A52" s="462"/>
      <c r="B52" s="624"/>
      <c r="C52" s="1396"/>
      <c r="D52" s="1396"/>
      <c r="E52" s="1396"/>
      <c r="F52" s="1396"/>
      <c r="G52" s="1396"/>
      <c r="H52" s="1396"/>
      <c r="I52" s="1396"/>
      <c r="J52" s="1396"/>
      <c r="K52" s="1396"/>
      <c r="L52" s="1397"/>
      <c r="M52" s="1306" t="s">
        <v>429</v>
      </c>
      <c r="N52" s="1307"/>
      <c r="O52" s="1307"/>
      <c r="P52" s="1307"/>
      <c r="Q52" s="1307"/>
      <c r="R52" s="1307"/>
      <c r="S52" s="1308"/>
      <c r="V52" s="63"/>
    </row>
    <row r="53" spans="1:22" ht="24.75" customHeight="1" thickBot="1">
      <c r="A53" s="897" t="s">
        <v>201</v>
      </c>
      <c r="B53" s="898"/>
      <c r="C53" s="898"/>
      <c r="D53" s="898"/>
      <c r="E53" s="898"/>
      <c r="F53" s="898"/>
      <c r="G53" s="898"/>
      <c r="H53" s="898"/>
      <c r="I53" s="898"/>
      <c r="J53" s="898"/>
      <c r="K53" s="898"/>
      <c r="L53" s="895"/>
      <c r="M53" s="1309"/>
      <c r="N53" s="1310"/>
      <c r="O53" s="1310"/>
      <c r="P53" s="1310"/>
      <c r="Q53" s="1310"/>
      <c r="R53" s="1310"/>
      <c r="S53" s="1311"/>
      <c r="T53" s="48"/>
      <c r="V53" s="63"/>
    </row>
    <row r="54" spans="1:22" ht="14.25" customHeight="1" thickTop="1">
      <c r="A54" s="332"/>
      <c r="B54" s="306"/>
      <c r="C54" s="306"/>
      <c r="D54" s="306"/>
      <c r="E54" s="8" t="s">
        <v>273</v>
      </c>
      <c r="F54" s="1341"/>
      <c r="G54" s="1342"/>
      <c r="H54" s="326" t="s">
        <v>73</v>
      </c>
      <c r="I54" s="323"/>
      <c r="J54" s="306"/>
      <c r="K54" s="412"/>
      <c r="L54" s="412"/>
      <c r="M54" s="1384"/>
      <c r="N54" s="1385"/>
      <c r="O54" s="1385"/>
      <c r="P54" s="1385"/>
      <c r="Q54" s="1385"/>
      <c r="R54" s="1385"/>
      <c r="S54" s="1386"/>
      <c r="V54" s="63"/>
    </row>
    <row r="55" spans="1:22" ht="13.5" customHeight="1">
      <c r="A55" s="332"/>
      <c r="B55" s="306"/>
      <c r="C55" s="306"/>
      <c r="D55" s="306"/>
      <c r="E55" s="8" t="s">
        <v>274</v>
      </c>
      <c r="F55" s="1334"/>
      <c r="G55" s="1335"/>
      <c r="H55" s="326" t="s">
        <v>74</v>
      </c>
      <c r="I55" s="306"/>
      <c r="J55" s="306"/>
      <c r="K55" s="414"/>
      <c r="L55" s="414"/>
      <c r="M55" s="1384"/>
      <c r="N55" s="1385"/>
      <c r="O55" s="1385"/>
      <c r="P55" s="1385"/>
      <c r="Q55" s="1385"/>
      <c r="R55" s="1385"/>
      <c r="S55" s="1386"/>
      <c r="V55" s="63"/>
    </row>
    <row r="56" spans="1:22" ht="4.5" customHeight="1">
      <c r="A56" s="332"/>
      <c r="B56" s="306"/>
      <c r="C56" s="306"/>
      <c r="D56" s="306"/>
      <c r="E56" s="336"/>
      <c r="F56" s="84"/>
      <c r="G56" s="84"/>
      <c r="H56" s="326"/>
      <c r="I56" s="306"/>
      <c r="J56" s="306"/>
      <c r="K56" s="414"/>
      <c r="L56" s="414"/>
      <c r="M56" s="1384"/>
      <c r="N56" s="1385"/>
      <c r="O56" s="1385"/>
      <c r="P56" s="1385"/>
      <c r="Q56" s="1385"/>
      <c r="R56" s="1385"/>
      <c r="S56" s="1386"/>
      <c r="V56" s="63"/>
    </row>
    <row r="57" spans="1:22" ht="15" customHeight="1">
      <c r="A57" s="961" t="s">
        <v>479</v>
      </c>
      <c r="B57" s="948"/>
      <c r="C57" s="941" t="s">
        <v>335</v>
      </c>
      <c r="D57" s="941"/>
      <c r="E57" s="941"/>
      <c r="F57" s="1513"/>
      <c r="G57" s="1513"/>
      <c r="H57" s="326"/>
      <c r="I57" s="306"/>
      <c r="J57" s="306"/>
      <c r="K57" s="414"/>
      <c r="L57" s="414"/>
      <c r="M57" s="1384"/>
      <c r="N57" s="1385"/>
      <c r="O57" s="1385"/>
      <c r="P57" s="1385"/>
      <c r="Q57" s="1385"/>
      <c r="R57" s="1385"/>
      <c r="S57" s="1386"/>
      <c r="V57" s="63"/>
    </row>
    <row r="58" spans="1:22" ht="14.25" customHeight="1">
      <c r="A58" s="961"/>
      <c r="B58" s="948"/>
      <c r="C58" s="941"/>
      <c r="D58" s="941"/>
      <c r="E58" s="941"/>
      <c r="F58" s="1394">
        <f>IF(F54=0,0,F54-F55)</f>
        <v>0</v>
      </c>
      <c r="G58" s="1395"/>
      <c r="H58" s="326" t="s">
        <v>199</v>
      </c>
      <c r="I58" s="306"/>
      <c r="J58" s="306"/>
      <c r="K58" s="414" t="b">
        <v>0</v>
      </c>
      <c r="L58" s="414"/>
      <c r="M58" s="1384"/>
      <c r="N58" s="1385"/>
      <c r="O58" s="1385"/>
      <c r="P58" s="1385"/>
      <c r="Q58" s="1385"/>
      <c r="R58" s="1385"/>
      <c r="S58" s="1386"/>
      <c r="V58" s="63"/>
    </row>
    <row r="59" spans="1:22" ht="3" customHeight="1">
      <c r="A59" s="332"/>
      <c r="B59" s="306"/>
      <c r="C59" s="306"/>
      <c r="D59" s="306"/>
      <c r="E59" s="336"/>
      <c r="F59" s="796"/>
      <c r="G59" s="796"/>
      <c r="H59" s="326"/>
      <c r="I59" s="306"/>
      <c r="J59" s="306"/>
      <c r="K59" s="414"/>
      <c r="L59" s="414"/>
      <c r="M59" s="1384"/>
      <c r="N59" s="1385"/>
      <c r="O59" s="1385"/>
      <c r="P59" s="1385"/>
      <c r="Q59" s="1385"/>
      <c r="R59" s="1385"/>
      <c r="S59" s="1386"/>
      <c r="V59" s="63"/>
    </row>
    <row r="60" spans="1:22" ht="15.75">
      <c r="A60" s="332"/>
      <c r="B60" s="306"/>
      <c r="C60" s="306"/>
      <c r="D60" s="306"/>
      <c r="E60" s="336" t="s">
        <v>200</v>
      </c>
      <c r="F60" s="1357">
        <v>5</v>
      </c>
      <c r="G60" s="1357"/>
      <c r="H60" s="326" t="s">
        <v>87</v>
      </c>
      <c r="I60" s="306"/>
      <c r="J60" s="306"/>
      <c r="K60" s="414"/>
      <c r="L60" s="414"/>
      <c r="M60" s="1384"/>
      <c r="N60" s="1385"/>
      <c r="O60" s="1385"/>
      <c r="P60" s="1385"/>
      <c r="Q60" s="1385"/>
      <c r="R60" s="1385"/>
      <c r="S60" s="1386"/>
      <c r="V60" s="63"/>
    </row>
    <row r="61" spans="1:22" ht="2.25" customHeight="1" thickBot="1">
      <c r="A61" s="332"/>
      <c r="B61" s="306"/>
      <c r="C61" s="306"/>
      <c r="D61" s="306"/>
      <c r="E61" s="336"/>
      <c r="F61" s="797"/>
      <c r="G61" s="797"/>
      <c r="H61" s="306"/>
      <c r="I61" s="306"/>
      <c r="J61" s="306"/>
      <c r="K61" s="414"/>
      <c r="L61" s="414"/>
      <c r="M61" s="1384"/>
      <c r="N61" s="1385"/>
      <c r="O61" s="1385"/>
      <c r="P61" s="1385"/>
      <c r="Q61" s="1385"/>
      <c r="R61" s="1385"/>
      <c r="S61" s="1386"/>
      <c r="V61" s="63"/>
    </row>
    <row r="62" spans="1:22" ht="15.75" thickBot="1">
      <c r="A62" s="350" t="s">
        <v>114</v>
      </c>
      <c r="B62" s="351"/>
      <c r="C62" s="351"/>
      <c r="D62" s="351"/>
      <c r="E62" s="351"/>
      <c r="F62" s="351"/>
      <c r="G62" s="351"/>
      <c r="H62" s="351"/>
      <c r="I62" s="354" t="s">
        <v>369</v>
      </c>
      <c r="J62" s="973">
        <f>IF(K58=TRUE,F60*F58,0)</f>
        <v>0</v>
      </c>
      <c r="K62" s="1393"/>
      <c r="L62" s="974"/>
      <c r="M62" s="1387"/>
      <c r="N62" s="1388"/>
      <c r="O62" s="1388"/>
      <c r="P62" s="1388"/>
      <c r="Q62" s="1388"/>
      <c r="R62" s="1388"/>
      <c r="S62" s="1389"/>
      <c r="U62" s="61"/>
      <c r="V62" s="63"/>
    </row>
    <row r="63" spans="1:22" ht="16.5" thickBot="1">
      <c r="A63" s="321" t="s">
        <v>438</v>
      </c>
      <c r="B63" s="406"/>
      <c r="C63" s="902" t="s">
        <v>276</v>
      </c>
      <c r="D63" s="902"/>
      <c r="E63" s="902"/>
      <c r="F63" s="902"/>
      <c r="G63" s="902"/>
      <c r="H63" s="902"/>
      <c r="I63" s="902"/>
      <c r="J63" s="902"/>
      <c r="K63" s="902"/>
      <c r="L63" s="903"/>
      <c r="M63" s="1346" t="s">
        <v>364</v>
      </c>
      <c r="N63" s="1347"/>
      <c r="O63" s="1347"/>
      <c r="P63" s="1347"/>
      <c r="Q63" s="82" t="s">
        <v>366</v>
      </c>
      <c r="R63" s="82"/>
      <c r="S63" s="83"/>
      <c r="U63" s="61"/>
      <c r="V63" s="63"/>
    </row>
    <row r="64" spans="1:22" ht="24.75" customHeight="1" thickBot="1" thickTop="1">
      <c r="A64" s="897" t="s">
        <v>202</v>
      </c>
      <c r="B64" s="898"/>
      <c r="C64" s="898"/>
      <c r="D64" s="898"/>
      <c r="E64" s="898"/>
      <c r="F64" s="898"/>
      <c r="G64" s="898"/>
      <c r="H64" s="898"/>
      <c r="I64" s="898"/>
      <c r="J64" s="898"/>
      <c r="K64" s="898"/>
      <c r="L64" s="895"/>
      <c r="M64" s="1306" t="s">
        <v>431</v>
      </c>
      <c r="N64" s="1067"/>
      <c r="O64" s="1067"/>
      <c r="P64" s="1067"/>
      <c r="Q64" s="1067"/>
      <c r="R64" s="1067"/>
      <c r="S64" s="1068"/>
      <c r="U64" s="61"/>
      <c r="V64" s="63"/>
    </row>
    <row r="65" spans="1:22" ht="13.5" thickTop="1">
      <c r="A65" s="332"/>
      <c r="B65" s="306"/>
      <c r="C65" s="306"/>
      <c r="D65" s="306"/>
      <c r="E65" s="8" t="s">
        <v>273</v>
      </c>
      <c r="F65" s="1341"/>
      <c r="G65" s="1342"/>
      <c r="H65" s="326" t="s">
        <v>88</v>
      </c>
      <c r="I65" s="306"/>
      <c r="J65" s="306"/>
      <c r="K65" s="798"/>
      <c r="L65" s="412"/>
      <c r="M65" s="1327"/>
      <c r="N65" s="1328"/>
      <c r="O65" s="1328"/>
      <c r="P65" s="1328"/>
      <c r="Q65" s="1328"/>
      <c r="R65" s="1328"/>
      <c r="S65" s="1329"/>
      <c r="U65" s="61"/>
      <c r="V65" s="63"/>
    </row>
    <row r="66" spans="1:22" ht="12.75">
      <c r="A66" s="332"/>
      <c r="B66" s="306"/>
      <c r="C66" s="306"/>
      <c r="D66" s="306"/>
      <c r="E66" s="8" t="s">
        <v>274</v>
      </c>
      <c r="F66" s="1334"/>
      <c r="G66" s="1335"/>
      <c r="H66" s="326" t="s">
        <v>115</v>
      </c>
      <c r="I66" s="306"/>
      <c r="J66" s="306"/>
      <c r="K66" s="647"/>
      <c r="L66" s="414"/>
      <c r="M66" s="1381"/>
      <c r="N66" s="1382"/>
      <c r="O66" s="1382"/>
      <c r="P66" s="1382"/>
      <c r="Q66" s="1382"/>
      <c r="R66" s="1382"/>
      <c r="S66" s="1383"/>
      <c r="U66" s="61"/>
      <c r="V66" s="63"/>
    </row>
    <row r="67" spans="1:22" ht="3" customHeight="1">
      <c r="A67" s="332"/>
      <c r="B67" s="306"/>
      <c r="C67" s="306"/>
      <c r="D67" s="306"/>
      <c r="E67" s="336"/>
      <c r="F67" s="84"/>
      <c r="G67" s="84"/>
      <c r="H67" s="326"/>
      <c r="I67" s="306"/>
      <c r="J67" s="306"/>
      <c r="K67" s="647"/>
      <c r="L67" s="414"/>
      <c r="M67" s="1384"/>
      <c r="N67" s="1385"/>
      <c r="O67" s="1385"/>
      <c r="P67" s="1385"/>
      <c r="Q67" s="1385"/>
      <c r="R67" s="1385"/>
      <c r="S67" s="1386"/>
      <c r="U67" s="61"/>
      <c r="V67" s="63"/>
    </row>
    <row r="68" spans="1:22" ht="13.5" customHeight="1">
      <c r="A68" s="961" t="s">
        <v>479</v>
      </c>
      <c r="B68" s="948"/>
      <c r="C68" s="941" t="s">
        <v>335</v>
      </c>
      <c r="D68" s="941"/>
      <c r="E68" s="941"/>
      <c r="F68" s="1377"/>
      <c r="G68" s="1378"/>
      <c r="H68" s="326"/>
      <c r="I68" s="306"/>
      <c r="J68" s="306"/>
      <c r="K68" s="647"/>
      <c r="L68" s="414"/>
      <c r="M68" s="1384"/>
      <c r="N68" s="1385"/>
      <c r="O68" s="1385"/>
      <c r="P68" s="1385"/>
      <c r="Q68" s="1385"/>
      <c r="R68" s="1385"/>
      <c r="S68" s="1386"/>
      <c r="U68" s="61"/>
      <c r="V68" s="63"/>
    </row>
    <row r="69" spans="1:22" ht="14.25" customHeight="1">
      <c r="A69" s="961"/>
      <c r="B69" s="948"/>
      <c r="C69" s="941"/>
      <c r="D69" s="941"/>
      <c r="E69" s="941"/>
      <c r="F69" s="1394">
        <f>IF(F65=0,0,(F65-F66))</f>
        <v>0</v>
      </c>
      <c r="G69" s="1395"/>
      <c r="H69" s="326" t="s">
        <v>203</v>
      </c>
      <c r="I69" s="306"/>
      <c r="J69" s="306"/>
      <c r="K69" s="647" t="b">
        <v>0</v>
      </c>
      <c r="L69" s="414"/>
      <c r="M69" s="1384"/>
      <c r="N69" s="1385"/>
      <c r="O69" s="1385"/>
      <c r="P69" s="1385"/>
      <c r="Q69" s="1385"/>
      <c r="R69" s="1385"/>
      <c r="S69" s="1386"/>
      <c r="U69" s="61"/>
      <c r="V69" s="63"/>
    </row>
    <row r="70" spans="1:22" ht="3" customHeight="1">
      <c r="A70" s="332"/>
      <c r="B70" s="306"/>
      <c r="C70" s="306"/>
      <c r="D70" s="306"/>
      <c r="E70" s="336"/>
      <c r="F70" s="796"/>
      <c r="G70" s="796"/>
      <c r="H70" s="326"/>
      <c r="I70" s="306"/>
      <c r="J70" s="306"/>
      <c r="K70" s="647"/>
      <c r="L70" s="440"/>
      <c r="M70" s="1384"/>
      <c r="N70" s="1385"/>
      <c r="O70" s="1385"/>
      <c r="P70" s="1385"/>
      <c r="Q70" s="1385"/>
      <c r="R70" s="1385"/>
      <c r="S70" s="1386"/>
      <c r="U70" s="61"/>
      <c r="V70" s="63"/>
    </row>
    <row r="71" spans="1:22" ht="15" customHeight="1">
      <c r="A71" s="332"/>
      <c r="B71" s="306"/>
      <c r="C71" s="306"/>
      <c r="D71" s="306"/>
      <c r="E71" s="336" t="s">
        <v>200</v>
      </c>
      <c r="F71" s="1357">
        <v>5</v>
      </c>
      <c r="G71" s="1357"/>
      <c r="H71" s="326" t="s">
        <v>116</v>
      </c>
      <c r="I71" s="306"/>
      <c r="J71" s="306"/>
      <c r="K71" s="414"/>
      <c r="L71" s="440"/>
      <c r="M71" s="1384"/>
      <c r="N71" s="1385"/>
      <c r="O71" s="1385"/>
      <c r="P71" s="1385"/>
      <c r="Q71" s="1385"/>
      <c r="R71" s="1385"/>
      <c r="S71" s="1386"/>
      <c r="U71" s="61"/>
      <c r="V71" s="63"/>
    </row>
    <row r="72" spans="1:22" ht="3" customHeight="1" thickBot="1">
      <c r="A72" s="799"/>
      <c r="B72" s="306"/>
      <c r="C72" s="306"/>
      <c r="D72" s="306"/>
      <c r="E72" s="416"/>
      <c r="F72" s="416"/>
      <c r="G72" s="416"/>
      <c r="H72" s="306"/>
      <c r="I72" s="306"/>
      <c r="J72" s="306"/>
      <c r="K72" s="647"/>
      <c r="L72" s="414"/>
      <c r="M72" s="1384"/>
      <c r="N72" s="1385"/>
      <c r="O72" s="1385"/>
      <c r="P72" s="1385"/>
      <c r="Q72" s="1385"/>
      <c r="R72" s="1385"/>
      <c r="S72" s="1386"/>
      <c r="U72" s="61"/>
      <c r="V72" s="63"/>
    </row>
    <row r="73" spans="1:22" ht="15" customHeight="1" thickBot="1">
      <c r="A73" s="350" t="s">
        <v>117</v>
      </c>
      <c r="B73" s="351"/>
      <c r="C73" s="351"/>
      <c r="D73" s="351"/>
      <c r="E73" s="351"/>
      <c r="F73" s="351"/>
      <c r="G73" s="351"/>
      <c r="H73" s="351"/>
      <c r="I73" s="354" t="s">
        <v>370</v>
      </c>
      <c r="J73" s="973">
        <f>IF(K69=TRUE,F71*F69,0)</f>
        <v>0</v>
      </c>
      <c r="K73" s="1393"/>
      <c r="L73" s="974"/>
      <c r="M73" s="1387"/>
      <c r="N73" s="1388"/>
      <c r="O73" s="1388"/>
      <c r="P73" s="1388"/>
      <c r="Q73" s="1388"/>
      <c r="R73" s="1388"/>
      <c r="S73" s="1389"/>
      <c r="U73" s="61"/>
      <c r="V73" s="63"/>
    </row>
    <row r="74" spans="1:22" ht="15.75" customHeight="1" thickBot="1">
      <c r="A74" s="321" t="s">
        <v>439</v>
      </c>
      <c r="B74" s="406"/>
      <c r="C74" s="1336" t="s">
        <v>280</v>
      </c>
      <c r="D74" s="1337"/>
      <c r="E74" s="1337"/>
      <c r="F74" s="1337"/>
      <c r="G74" s="1337"/>
      <c r="H74" s="1337"/>
      <c r="I74" s="1337"/>
      <c r="J74" s="1337"/>
      <c r="K74" s="1337"/>
      <c r="L74" s="1338"/>
      <c r="M74" s="1436" t="s">
        <v>250</v>
      </c>
      <c r="N74" s="1437"/>
      <c r="O74" s="1437"/>
      <c r="P74" s="1437"/>
      <c r="Q74" s="123"/>
      <c r="R74" s="123"/>
      <c r="S74" s="130"/>
      <c r="U74" s="61"/>
      <c r="V74" s="63"/>
    </row>
    <row r="75" spans="1:22" ht="18" customHeight="1" thickTop="1">
      <c r="A75" s="462"/>
      <c r="B75" s="624"/>
      <c r="C75" s="1339"/>
      <c r="D75" s="1339"/>
      <c r="E75" s="1339"/>
      <c r="F75" s="1339"/>
      <c r="G75" s="1339"/>
      <c r="H75" s="1339"/>
      <c r="I75" s="1339"/>
      <c r="J75" s="1339"/>
      <c r="K75" s="1339"/>
      <c r="L75" s="1340"/>
      <c r="M75" s="1149" t="s">
        <v>430</v>
      </c>
      <c r="N75" s="1150"/>
      <c r="O75" s="1150"/>
      <c r="P75" s="1150"/>
      <c r="Q75" s="1150"/>
      <c r="R75" s="1150"/>
      <c r="S75" s="1151"/>
      <c r="U75" s="61"/>
      <c r="V75" s="63"/>
    </row>
    <row r="76" spans="1:22" ht="6" customHeight="1">
      <c r="A76" s="1428" t="s">
        <v>24</v>
      </c>
      <c r="B76" s="1429"/>
      <c r="C76" s="1429"/>
      <c r="D76" s="1429"/>
      <c r="E76" s="1429"/>
      <c r="F76" s="1429"/>
      <c r="G76" s="1429"/>
      <c r="H76" s="1429"/>
      <c r="I76" s="1429"/>
      <c r="J76" s="1429"/>
      <c r="K76" s="1429"/>
      <c r="L76" s="1430"/>
      <c r="M76" s="1152"/>
      <c r="N76" s="1153"/>
      <c r="O76" s="1153"/>
      <c r="P76" s="1153"/>
      <c r="Q76" s="1153"/>
      <c r="R76" s="1153"/>
      <c r="S76" s="1154"/>
      <c r="U76" s="61"/>
      <c r="V76" s="63"/>
    </row>
    <row r="77" spans="1:22" ht="17.25" customHeight="1" thickBot="1">
      <c r="A77" s="897"/>
      <c r="B77" s="898"/>
      <c r="C77" s="898"/>
      <c r="D77" s="898"/>
      <c r="E77" s="898"/>
      <c r="F77" s="898"/>
      <c r="G77" s="898"/>
      <c r="H77" s="898"/>
      <c r="I77" s="898"/>
      <c r="J77" s="898"/>
      <c r="K77" s="898"/>
      <c r="L77" s="895"/>
      <c r="M77" s="1155"/>
      <c r="N77" s="1156"/>
      <c r="O77" s="1156"/>
      <c r="P77" s="1156"/>
      <c r="Q77" s="1156"/>
      <c r="R77" s="1156"/>
      <c r="S77" s="1157"/>
      <c r="U77" s="61"/>
      <c r="V77" s="63"/>
    </row>
    <row r="78" spans="1:22" ht="15" customHeight="1" thickTop="1">
      <c r="A78" s="332"/>
      <c r="B78" s="800"/>
      <c r="C78" s="411"/>
      <c r="D78" s="411"/>
      <c r="E78" s="801"/>
      <c r="F78" s="306"/>
      <c r="G78" s="235" t="s">
        <v>376</v>
      </c>
      <c r="H78" s="1446">
        <v>0</v>
      </c>
      <c r="I78" s="1447"/>
      <c r="J78" s="1448"/>
      <c r="K78" s="326" t="s">
        <v>119</v>
      </c>
      <c r="L78" s="412"/>
      <c r="M78" s="929"/>
      <c r="N78" s="930"/>
      <c r="O78" s="930"/>
      <c r="P78" s="930"/>
      <c r="Q78" s="930"/>
      <c r="R78" s="930"/>
      <c r="S78" s="931"/>
      <c r="U78" s="61"/>
      <c r="V78" s="63"/>
    </row>
    <row r="79" spans="1:22" ht="15" customHeight="1">
      <c r="A79" s="961" t="s">
        <v>479</v>
      </c>
      <c r="B79" s="948"/>
      <c r="C79" s="336"/>
      <c r="D79" s="336"/>
      <c r="E79" s="306"/>
      <c r="F79" s="306"/>
      <c r="G79" s="243" t="s">
        <v>426</v>
      </c>
      <c r="H79" s="939">
        <f>IF($Q$4=0,0,H78/$Q$4)</f>
        <v>0</v>
      </c>
      <c r="I79" s="1392"/>
      <c r="J79" s="940"/>
      <c r="K79" s="326" t="s">
        <v>120</v>
      </c>
      <c r="L79" s="802">
        <f>H79*100</f>
        <v>0</v>
      </c>
      <c r="M79" s="932"/>
      <c r="N79" s="933"/>
      <c r="O79" s="933"/>
      <c r="P79" s="933"/>
      <c r="Q79" s="933"/>
      <c r="R79" s="933"/>
      <c r="S79" s="934"/>
      <c r="U79" s="61"/>
      <c r="V79" s="63"/>
    </row>
    <row r="80" spans="1:22" ht="11.25" customHeight="1">
      <c r="A80" s="961"/>
      <c r="B80" s="948"/>
      <c r="C80" s="336"/>
      <c r="D80" s="336"/>
      <c r="E80" s="336"/>
      <c r="F80" s="94"/>
      <c r="G80" s="94"/>
      <c r="H80" s="326"/>
      <c r="I80" s="803"/>
      <c r="J80" s="803"/>
      <c r="K80" s="804"/>
      <c r="L80" s="802"/>
      <c r="M80" s="932"/>
      <c r="N80" s="933"/>
      <c r="O80" s="933"/>
      <c r="P80" s="933"/>
      <c r="Q80" s="933"/>
      <c r="R80" s="933"/>
      <c r="S80" s="934"/>
      <c r="U80" s="61"/>
      <c r="V80" s="63"/>
    </row>
    <row r="81" spans="1:22" ht="15" customHeight="1">
      <c r="A81" s="1056" t="s">
        <v>198</v>
      </c>
      <c r="B81" s="941"/>
      <c r="C81" s="941"/>
      <c r="D81" s="336"/>
      <c r="E81" s="336"/>
      <c r="F81" s="1445" t="s">
        <v>197</v>
      </c>
      <c r="G81" s="1445"/>
      <c r="H81" s="1445"/>
      <c r="I81" s="108"/>
      <c r="J81" s="108"/>
      <c r="K81" s="804"/>
      <c r="L81" s="802"/>
      <c r="M81" s="932"/>
      <c r="N81" s="933"/>
      <c r="O81" s="933"/>
      <c r="P81" s="933"/>
      <c r="Q81" s="933"/>
      <c r="R81" s="933"/>
      <c r="S81" s="934"/>
      <c r="U81" s="61"/>
      <c r="V81" s="63"/>
    </row>
    <row r="82" spans="1:22" ht="13.5" customHeight="1" thickBot="1">
      <c r="A82" s="1056"/>
      <c r="B82" s="941"/>
      <c r="C82" s="941"/>
      <c r="D82" s="125">
        <f>IF($L$79&lt;1,0,IF($L$79&lt;15,2.5,(IF($L$79&lt;30,5,(IF($L$79&lt;45,7.5,10))))))</f>
        <v>0</v>
      </c>
      <c r="E82" s="326" t="s">
        <v>121</v>
      </c>
      <c r="F82" s="1445"/>
      <c r="G82" s="1445"/>
      <c r="H82" s="1445"/>
      <c r="I82" s="1390">
        <f>IF(L88=TRUE,1.5,1)</f>
        <v>1</v>
      </c>
      <c r="J82" s="1391"/>
      <c r="K82" s="444" t="s">
        <v>122</v>
      </c>
      <c r="L82" s="420" t="b">
        <v>0</v>
      </c>
      <c r="M82" s="932"/>
      <c r="N82" s="933"/>
      <c r="O82" s="933"/>
      <c r="P82" s="933"/>
      <c r="Q82" s="933"/>
      <c r="R82" s="933"/>
      <c r="S82" s="934"/>
      <c r="U82" s="61"/>
      <c r="V82" s="63"/>
    </row>
    <row r="83" spans="1:22" ht="14.25" customHeight="1" thickBot="1">
      <c r="A83" s="332"/>
      <c r="B83" s="306"/>
      <c r="C83" s="306"/>
      <c r="D83" s="306"/>
      <c r="E83" s="336" t="s">
        <v>427</v>
      </c>
      <c r="F83" s="1356" t="str">
        <f>IF($L$79&lt;1,"None",IF($L$79&lt;15,"Low",(IF($L$79&lt;30,"Medium",(IF($L$79&lt;45,"Medium High","High"))))))</f>
        <v>None</v>
      </c>
      <c r="G83" s="1356"/>
      <c r="H83" s="1356"/>
      <c r="I83" s="306"/>
      <c r="J83" s="306"/>
      <c r="K83" s="427"/>
      <c r="L83" s="420"/>
      <c r="M83" s="932"/>
      <c r="N83" s="933"/>
      <c r="O83" s="933"/>
      <c r="P83" s="933"/>
      <c r="Q83" s="933"/>
      <c r="R83" s="933"/>
      <c r="S83" s="934"/>
      <c r="U83" s="61"/>
      <c r="V83" s="63"/>
    </row>
    <row r="84" spans="1:22" ht="14.25" customHeight="1" thickBot="1">
      <c r="A84" s="332"/>
      <c r="B84" s="306"/>
      <c r="C84" s="366"/>
      <c r="D84" s="366"/>
      <c r="E84" s="306"/>
      <c r="F84" s="415" t="s">
        <v>809</v>
      </c>
      <c r="G84" s="157">
        <f>IF($E$23="A",1,IF($E$23="B",2,(IF($E$23="C",3,4))))</f>
        <v>4</v>
      </c>
      <c r="H84" s="326" t="s">
        <v>123</v>
      </c>
      <c r="I84" s="306"/>
      <c r="J84" s="306"/>
      <c r="K84" s="427"/>
      <c r="L84" s="420"/>
      <c r="M84" s="932"/>
      <c r="N84" s="933"/>
      <c r="O84" s="933"/>
      <c r="P84" s="933"/>
      <c r="Q84" s="933"/>
      <c r="R84" s="933"/>
      <c r="S84" s="934"/>
      <c r="U84" s="61"/>
      <c r="V84" s="63"/>
    </row>
    <row r="85" spans="1:22" ht="14.25" customHeight="1" thickBot="1">
      <c r="A85" s="332"/>
      <c r="B85" s="306"/>
      <c r="C85" s="306"/>
      <c r="D85" s="306"/>
      <c r="E85" s="336"/>
      <c r="F85" s="428"/>
      <c r="G85" s="428"/>
      <c r="H85" s="306"/>
      <c r="I85" s="306"/>
      <c r="J85" s="306"/>
      <c r="K85" s="427"/>
      <c r="L85" s="420"/>
      <c r="M85" s="932"/>
      <c r="N85" s="933"/>
      <c r="O85" s="933"/>
      <c r="P85" s="933"/>
      <c r="Q85" s="933"/>
      <c r="R85" s="933"/>
      <c r="S85" s="934"/>
      <c r="U85" s="61"/>
      <c r="V85" s="63"/>
    </row>
    <row r="86" spans="1:22" ht="15.75" customHeight="1" thickBot="1">
      <c r="A86" s="805" t="s">
        <v>118</v>
      </c>
      <c r="B86" s="306"/>
      <c r="C86" s="306"/>
      <c r="D86" s="306"/>
      <c r="E86" s="336"/>
      <c r="F86" s="428"/>
      <c r="G86" s="428"/>
      <c r="H86" s="306"/>
      <c r="I86" s="306"/>
      <c r="J86" s="306"/>
      <c r="K86" s="427"/>
      <c r="L86" s="420"/>
      <c r="M86" s="932"/>
      <c r="N86" s="933"/>
      <c r="O86" s="933"/>
      <c r="P86" s="933"/>
      <c r="Q86" s="933"/>
      <c r="R86" s="933"/>
      <c r="S86" s="934"/>
      <c r="U86" s="61"/>
      <c r="V86" s="63"/>
    </row>
    <row r="87" spans="1:22" ht="12.75" customHeight="1">
      <c r="A87" s="332"/>
      <c r="B87" s="306"/>
      <c r="C87" s="306"/>
      <c r="D87" s="306"/>
      <c r="E87" s="336"/>
      <c r="F87" s="428"/>
      <c r="G87" s="428"/>
      <c r="H87" s="306"/>
      <c r="I87" s="306"/>
      <c r="J87" s="306"/>
      <c r="K87" s="427"/>
      <c r="L87" s="414"/>
      <c r="M87" s="932"/>
      <c r="N87" s="933"/>
      <c r="O87" s="933"/>
      <c r="P87" s="933"/>
      <c r="Q87" s="933"/>
      <c r="R87" s="933"/>
      <c r="S87" s="934"/>
      <c r="U87" s="61"/>
      <c r="V87" s="63"/>
    </row>
    <row r="88" spans="1:22" ht="21.75" customHeight="1" thickBot="1">
      <c r="A88" s="332"/>
      <c r="B88" s="1435" t="s">
        <v>196</v>
      </c>
      <c r="C88" s="1435"/>
      <c r="D88" s="1435"/>
      <c r="E88" s="1435"/>
      <c r="F88" s="1435"/>
      <c r="G88" s="1435"/>
      <c r="H88" s="1435"/>
      <c r="I88" s="431"/>
      <c r="J88" s="431"/>
      <c r="K88" s="427"/>
      <c r="L88" s="806" t="b">
        <v>0</v>
      </c>
      <c r="M88" s="932"/>
      <c r="N88" s="933"/>
      <c r="O88" s="933"/>
      <c r="P88" s="933"/>
      <c r="Q88" s="933"/>
      <c r="R88" s="933"/>
      <c r="S88" s="934"/>
      <c r="U88" s="61"/>
      <c r="V88" s="63"/>
    </row>
    <row r="89" spans="1:22" ht="7.5" customHeight="1" thickBot="1">
      <c r="A89" s="332"/>
      <c r="B89" s="366"/>
      <c r="C89" s="306"/>
      <c r="D89" s="306"/>
      <c r="E89" s="336"/>
      <c r="F89" s="428"/>
      <c r="G89" s="428"/>
      <c r="H89" s="306"/>
      <c r="I89" s="306"/>
      <c r="J89" s="351"/>
      <c r="K89" s="351"/>
      <c r="L89" s="807"/>
      <c r="M89" s="932"/>
      <c r="N89" s="933"/>
      <c r="O89" s="933"/>
      <c r="P89" s="933"/>
      <c r="Q89" s="933"/>
      <c r="R89" s="933"/>
      <c r="S89" s="934"/>
      <c r="U89" s="61"/>
      <c r="V89" s="63"/>
    </row>
    <row r="90" spans="1:22" ht="15" customHeight="1" thickBot="1">
      <c r="A90" s="350" t="s">
        <v>124</v>
      </c>
      <c r="B90" s="351"/>
      <c r="C90" s="351"/>
      <c r="D90" s="351"/>
      <c r="E90" s="351"/>
      <c r="F90" s="351"/>
      <c r="G90" s="351"/>
      <c r="H90" s="351"/>
      <c r="I90" s="421" t="s">
        <v>377</v>
      </c>
      <c r="J90" s="973">
        <f>IF(L82=TRUE,D82*G84*I82,0)</f>
        <v>0</v>
      </c>
      <c r="K90" s="1393"/>
      <c r="L90" s="974"/>
      <c r="M90" s="935"/>
      <c r="N90" s="936"/>
      <c r="O90" s="936"/>
      <c r="P90" s="936"/>
      <c r="Q90" s="936"/>
      <c r="R90" s="936"/>
      <c r="S90" s="937"/>
      <c r="U90" s="61"/>
      <c r="V90" s="63"/>
    </row>
    <row r="91" spans="1:22" ht="18.75" thickBot="1">
      <c r="A91" s="883" t="s">
        <v>52</v>
      </c>
      <c r="B91" s="884"/>
      <c r="C91" s="884"/>
      <c r="D91" s="884"/>
      <c r="E91" s="884"/>
      <c r="F91" s="884"/>
      <c r="G91" s="884"/>
      <c r="H91" s="884"/>
      <c r="I91" s="884"/>
      <c r="J91" s="884"/>
      <c r="K91" s="884"/>
      <c r="L91" s="884"/>
      <c r="M91" s="884"/>
      <c r="N91" s="884"/>
      <c r="O91" s="884"/>
      <c r="P91" s="884"/>
      <c r="Q91" s="884"/>
      <c r="R91" s="884"/>
      <c r="S91" s="885"/>
      <c r="U91" s="61"/>
      <c r="V91" s="63"/>
    </row>
    <row r="92" spans="1:22" ht="18" customHeight="1" thickBot="1">
      <c r="A92" s="321" t="s">
        <v>437</v>
      </c>
      <c r="B92" s="406"/>
      <c r="C92" s="808" t="s">
        <v>371</v>
      </c>
      <c r="D92" s="322"/>
      <c r="E92" s="322"/>
      <c r="F92" s="322"/>
      <c r="G92" s="322"/>
      <c r="H92" s="322"/>
      <c r="I92" s="322"/>
      <c r="J92" s="322"/>
      <c r="K92" s="322"/>
      <c r="L92" s="809"/>
      <c r="M92" s="1436" t="s">
        <v>364</v>
      </c>
      <c r="N92" s="1437"/>
      <c r="O92" s="1437"/>
      <c r="P92" s="1437"/>
      <c r="Q92" s="123"/>
      <c r="R92" s="123"/>
      <c r="S92" s="130"/>
      <c r="U92" s="61"/>
      <c r="V92" s="63"/>
    </row>
    <row r="93" spans="1:22" ht="20.25" customHeight="1" thickTop="1">
      <c r="A93" s="1428" t="s">
        <v>204</v>
      </c>
      <c r="B93" s="1429"/>
      <c r="C93" s="1429"/>
      <c r="D93" s="1429"/>
      <c r="E93" s="1429"/>
      <c r="F93" s="1429"/>
      <c r="G93" s="1429"/>
      <c r="H93" s="1429"/>
      <c r="I93" s="1429"/>
      <c r="J93" s="1429"/>
      <c r="K93" s="1429"/>
      <c r="L93" s="1430"/>
      <c r="M93" s="1149" t="s">
        <v>429</v>
      </c>
      <c r="N93" s="1150"/>
      <c r="O93" s="1150"/>
      <c r="P93" s="1150"/>
      <c r="Q93" s="1150"/>
      <c r="R93" s="1150"/>
      <c r="S93" s="1151"/>
      <c r="U93" s="61"/>
      <c r="V93" s="63"/>
    </row>
    <row r="94" spans="1:22" ht="18.75" customHeight="1" thickBot="1">
      <c r="A94" s="897"/>
      <c r="B94" s="898"/>
      <c r="C94" s="898"/>
      <c r="D94" s="898"/>
      <c r="E94" s="898"/>
      <c r="F94" s="898"/>
      <c r="G94" s="898"/>
      <c r="H94" s="898"/>
      <c r="I94" s="898"/>
      <c r="J94" s="898"/>
      <c r="K94" s="898"/>
      <c r="L94" s="895"/>
      <c r="M94" s="1155"/>
      <c r="N94" s="1156"/>
      <c r="O94" s="1156"/>
      <c r="P94" s="1156"/>
      <c r="Q94" s="1156"/>
      <c r="R94" s="1156"/>
      <c r="S94" s="1157"/>
      <c r="U94" s="61"/>
      <c r="V94" s="63"/>
    </row>
    <row r="95" spans="1:22" ht="15" customHeight="1" thickTop="1">
      <c r="A95" s="1424" t="s">
        <v>448</v>
      </c>
      <c r="B95" s="1426" t="s">
        <v>301</v>
      </c>
      <c r="C95" s="1371" t="s">
        <v>308</v>
      </c>
      <c r="D95" s="810"/>
      <c r="E95" s="119" t="s">
        <v>442</v>
      </c>
      <c r="F95" s="54"/>
      <c r="G95" s="860" t="s">
        <v>420</v>
      </c>
      <c r="H95" s="54"/>
      <c r="I95" s="811">
        <v>0</v>
      </c>
      <c r="J95" s="452"/>
      <c r="K95" s="812"/>
      <c r="L95" s="813">
        <f>IF(F95="NO",0,H95*0.84)</f>
        <v>0</v>
      </c>
      <c r="M95" s="929"/>
      <c r="N95" s="930"/>
      <c r="O95" s="930"/>
      <c r="P95" s="930"/>
      <c r="Q95" s="930"/>
      <c r="R95" s="930"/>
      <c r="S95" s="931"/>
      <c r="U95" s="61"/>
      <c r="V95" s="63"/>
    </row>
    <row r="96" spans="1:22" ht="14.25" customHeight="1">
      <c r="A96" s="1425"/>
      <c r="B96" s="1426"/>
      <c r="C96" s="1372"/>
      <c r="D96" s="814"/>
      <c r="E96" s="120" t="s">
        <v>443</v>
      </c>
      <c r="F96" s="53"/>
      <c r="G96" s="861" t="s">
        <v>420</v>
      </c>
      <c r="H96" s="55"/>
      <c r="I96" s="811">
        <v>1</v>
      </c>
      <c r="J96" s="452"/>
      <c r="K96" s="815"/>
      <c r="L96" s="813">
        <f>IF(F96="NO",0,H96*1)</f>
        <v>0</v>
      </c>
      <c r="M96" s="932"/>
      <c r="N96" s="933"/>
      <c r="O96" s="933"/>
      <c r="P96" s="933"/>
      <c r="Q96" s="933"/>
      <c r="R96" s="933"/>
      <c r="S96" s="934"/>
      <c r="U96" s="61"/>
      <c r="V96" s="63"/>
    </row>
    <row r="97" spans="1:22" ht="8.25" customHeight="1">
      <c r="A97" s="1425"/>
      <c r="B97" s="1426"/>
      <c r="C97" s="816"/>
      <c r="D97" s="817"/>
      <c r="E97" s="818"/>
      <c r="F97" s="819"/>
      <c r="G97" s="820"/>
      <c r="H97" s="821"/>
      <c r="I97" s="811">
        <v>2</v>
      </c>
      <c r="J97" s="306"/>
      <c r="K97" s="414"/>
      <c r="L97" s="813"/>
      <c r="M97" s="932"/>
      <c r="N97" s="933"/>
      <c r="O97" s="933"/>
      <c r="P97" s="933"/>
      <c r="Q97" s="933"/>
      <c r="R97" s="933"/>
      <c r="S97" s="934"/>
      <c r="U97" s="61"/>
      <c r="V97" s="63"/>
    </row>
    <row r="98" spans="1:22" ht="14.25" customHeight="1">
      <c r="A98" s="1425"/>
      <c r="B98" s="1426"/>
      <c r="C98" s="1427" t="s">
        <v>300</v>
      </c>
      <c r="D98" s="810"/>
      <c r="E98" s="119" t="s">
        <v>444</v>
      </c>
      <c r="F98" s="54"/>
      <c r="G98" s="860" t="s">
        <v>420</v>
      </c>
      <c r="H98" s="54"/>
      <c r="I98" s="26">
        <v>3</v>
      </c>
      <c r="J98" s="452"/>
      <c r="K98" s="815"/>
      <c r="L98" s="813">
        <f>IF(F98="NO",0,H98*0.5)</f>
        <v>0</v>
      </c>
      <c r="M98" s="932"/>
      <c r="N98" s="933"/>
      <c r="O98" s="933"/>
      <c r="P98" s="933"/>
      <c r="Q98" s="933"/>
      <c r="R98" s="933"/>
      <c r="S98" s="934"/>
      <c r="U98" s="61"/>
      <c r="V98" s="63"/>
    </row>
    <row r="99" spans="1:22" ht="15" customHeight="1">
      <c r="A99" s="1425"/>
      <c r="B99" s="1426"/>
      <c r="C99" s="1427"/>
      <c r="D99" s="810"/>
      <c r="E99" s="118" t="s">
        <v>445</v>
      </c>
      <c r="F99" s="53"/>
      <c r="G99" s="860" t="s">
        <v>420</v>
      </c>
      <c r="H99" s="53"/>
      <c r="I99" s="822"/>
      <c r="J99" s="452"/>
      <c r="K99" s="815"/>
      <c r="L99" s="823">
        <f>IF(F99="NO",0,H99*0.67)</f>
        <v>0</v>
      </c>
      <c r="M99" s="932"/>
      <c r="N99" s="933"/>
      <c r="O99" s="933"/>
      <c r="P99" s="933"/>
      <c r="Q99" s="933"/>
      <c r="R99" s="933"/>
      <c r="S99" s="934"/>
      <c r="U99" s="61"/>
      <c r="V99" s="63"/>
    </row>
    <row r="100" spans="1:22" ht="15" customHeight="1">
      <c r="A100" s="332"/>
      <c r="B100" s="1459" t="s">
        <v>446</v>
      </c>
      <c r="C100" s="1459"/>
      <c r="D100" s="1459"/>
      <c r="E100" s="1459"/>
      <c r="F100" s="1459"/>
      <c r="G100" s="1459"/>
      <c r="H100" s="1459"/>
      <c r="I100" s="1459"/>
      <c r="J100" s="1459"/>
      <c r="K100" s="824"/>
      <c r="L100" s="825"/>
      <c r="M100" s="932"/>
      <c r="N100" s="933"/>
      <c r="O100" s="933"/>
      <c r="P100" s="933"/>
      <c r="Q100" s="933"/>
      <c r="R100" s="933"/>
      <c r="S100" s="934"/>
      <c r="U100" s="61"/>
      <c r="V100" s="63"/>
    </row>
    <row r="101" spans="1:22" ht="23.25" customHeight="1">
      <c r="A101" s="961" t="s">
        <v>309</v>
      </c>
      <c r="B101" s="948"/>
      <c r="C101" s="1440" t="s">
        <v>650</v>
      </c>
      <c r="D101" s="1441"/>
      <c r="E101" s="1441"/>
      <c r="F101" s="1442"/>
      <c r="G101" s="306"/>
      <c r="H101" s="1173" t="s">
        <v>505</v>
      </c>
      <c r="I101" s="1173"/>
      <c r="J101" s="452"/>
      <c r="K101" s="815"/>
      <c r="L101" s="825"/>
      <c r="M101" s="932"/>
      <c r="N101" s="933"/>
      <c r="O101" s="933"/>
      <c r="P101" s="933"/>
      <c r="Q101" s="933"/>
      <c r="R101" s="933"/>
      <c r="S101" s="934"/>
      <c r="U101" s="61"/>
      <c r="V101" s="63"/>
    </row>
    <row r="102" spans="1:22" ht="23.25" customHeight="1">
      <c r="A102" s="1422" t="s">
        <v>307</v>
      </c>
      <c r="B102" s="1423"/>
      <c r="C102" s="1269" t="s">
        <v>650</v>
      </c>
      <c r="D102" s="1270"/>
      <c r="E102" s="1270"/>
      <c r="F102" s="1350"/>
      <c r="G102" s="306"/>
      <c r="H102" s="1173"/>
      <c r="I102" s="1173"/>
      <c r="J102" s="306"/>
      <c r="K102" s="414" t="b">
        <v>0</v>
      </c>
      <c r="L102" s="825"/>
      <c r="M102" s="932"/>
      <c r="N102" s="933"/>
      <c r="O102" s="933"/>
      <c r="P102" s="933"/>
      <c r="Q102" s="933"/>
      <c r="R102" s="933"/>
      <c r="S102" s="934"/>
      <c r="U102" s="61"/>
      <c r="V102" s="63"/>
    </row>
    <row r="103" spans="1:22" ht="14.25" customHeight="1">
      <c r="A103" s="7"/>
      <c r="B103" s="941" t="s">
        <v>506</v>
      </c>
      <c r="C103" s="941"/>
      <c r="D103" s="941"/>
      <c r="E103" s="941"/>
      <c r="F103" s="306"/>
      <c r="G103" s="306"/>
      <c r="H103" s="306"/>
      <c r="I103" s="306"/>
      <c r="J103" s="306"/>
      <c r="K103" s="414"/>
      <c r="L103" s="813"/>
      <c r="M103" s="932"/>
      <c r="N103" s="933"/>
      <c r="O103" s="933"/>
      <c r="P103" s="933"/>
      <c r="Q103" s="933"/>
      <c r="R103" s="933"/>
      <c r="S103" s="934"/>
      <c r="U103" s="61"/>
      <c r="V103" s="63"/>
    </row>
    <row r="104" spans="1:22" ht="14.25" customHeight="1">
      <c r="A104" s="113"/>
      <c r="B104" s="941"/>
      <c r="C104" s="941"/>
      <c r="D104" s="941"/>
      <c r="E104" s="941"/>
      <c r="F104" s="1353">
        <f>SUM(L95:L99)</f>
        <v>0</v>
      </c>
      <c r="G104" s="1354"/>
      <c r="H104" s="326" t="s">
        <v>125</v>
      </c>
      <c r="I104" s="306"/>
      <c r="J104" s="306"/>
      <c r="K104" s="414"/>
      <c r="L104" s="813"/>
      <c r="M104" s="932"/>
      <c r="N104" s="933"/>
      <c r="O104" s="933"/>
      <c r="P104" s="933"/>
      <c r="Q104" s="933"/>
      <c r="R104" s="933"/>
      <c r="S104" s="934"/>
      <c r="U104" s="61"/>
      <c r="V104" s="63"/>
    </row>
    <row r="105" spans="1:22" ht="10.5" customHeight="1">
      <c r="A105" s="1056" t="s">
        <v>447</v>
      </c>
      <c r="B105" s="941"/>
      <c r="C105" s="941"/>
      <c r="D105" s="941"/>
      <c r="E105" s="941"/>
      <c r="F105" s="160"/>
      <c r="G105" s="160"/>
      <c r="H105" s="326"/>
      <c r="I105" s="306"/>
      <c r="J105" s="306"/>
      <c r="K105" s="414"/>
      <c r="L105" s="414"/>
      <c r="M105" s="932"/>
      <c r="N105" s="933"/>
      <c r="O105" s="933"/>
      <c r="P105" s="933"/>
      <c r="Q105" s="933"/>
      <c r="R105" s="933"/>
      <c r="S105" s="934"/>
      <c r="U105" s="61"/>
      <c r="V105" s="63"/>
    </row>
    <row r="106" spans="1:22" ht="15.75" customHeight="1">
      <c r="A106" s="1056"/>
      <c r="B106" s="941"/>
      <c r="C106" s="941"/>
      <c r="D106" s="941"/>
      <c r="E106" s="941"/>
      <c r="F106" s="1351"/>
      <c r="G106" s="1352"/>
      <c r="H106" s="326" t="s">
        <v>126</v>
      </c>
      <c r="I106" s="306"/>
      <c r="J106" s="306"/>
      <c r="K106" s="414"/>
      <c r="L106" s="414"/>
      <c r="M106" s="932"/>
      <c r="N106" s="933"/>
      <c r="O106" s="933"/>
      <c r="P106" s="933"/>
      <c r="Q106" s="933"/>
      <c r="R106" s="933"/>
      <c r="S106" s="934"/>
      <c r="U106" s="61"/>
      <c r="V106" s="63"/>
    </row>
    <row r="107" spans="1:22" ht="12" customHeight="1">
      <c r="A107" s="1443" t="s">
        <v>450</v>
      </c>
      <c r="B107" s="1444"/>
      <c r="C107" s="1444"/>
      <c r="D107" s="1444"/>
      <c r="E107" s="1444"/>
      <c r="F107" s="160"/>
      <c r="G107" s="160"/>
      <c r="H107" s="326"/>
      <c r="I107" s="306"/>
      <c r="J107" s="306"/>
      <c r="K107" s="414"/>
      <c r="L107" s="414"/>
      <c r="M107" s="932"/>
      <c r="N107" s="933"/>
      <c r="O107" s="933"/>
      <c r="P107" s="933"/>
      <c r="Q107" s="933"/>
      <c r="R107" s="933"/>
      <c r="S107" s="934"/>
      <c r="U107" s="61"/>
      <c r="V107" s="63"/>
    </row>
    <row r="108" spans="1:22" ht="15" customHeight="1">
      <c r="A108" s="1443"/>
      <c r="B108" s="1444"/>
      <c r="C108" s="1444"/>
      <c r="D108" s="1444"/>
      <c r="E108" s="1444"/>
      <c r="F108" s="939">
        <f>IF($Q$4=0,0,F106/$Q$4)</f>
        <v>0</v>
      </c>
      <c r="G108" s="940"/>
      <c r="H108" s="326" t="s">
        <v>127</v>
      </c>
      <c r="I108" s="306"/>
      <c r="J108" s="306"/>
      <c r="K108" s="414"/>
      <c r="L108" s="414"/>
      <c r="M108" s="932"/>
      <c r="N108" s="933"/>
      <c r="O108" s="933"/>
      <c r="P108" s="933"/>
      <c r="Q108" s="933"/>
      <c r="R108" s="933"/>
      <c r="S108" s="934"/>
      <c r="U108" s="61"/>
      <c r="V108" s="63"/>
    </row>
    <row r="109" spans="1:22" ht="3.75" customHeight="1">
      <c r="A109" s="495"/>
      <c r="B109" s="496"/>
      <c r="C109" s="497"/>
      <c r="D109" s="497"/>
      <c r="E109" s="497"/>
      <c r="F109" s="827"/>
      <c r="G109" s="827"/>
      <c r="H109" s="326"/>
      <c r="I109" s="306"/>
      <c r="J109" s="306"/>
      <c r="K109" s="414"/>
      <c r="L109" s="414"/>
      <c r="M109" s="932"/>
      <c r="N109" s="933"/>
      <c r="O109" s="933"/>
      <c r="P109" s="933"/>
      <c r="Q109" s="933"/>
      <c r="R109" s="933"/>
      <c r="S109" s="934"/>
      <c r="U109" s="61"/>
      <c r="V109" s="63"/>
    </row>
    <row r="110" spans="1:22" ht="14.25" customHeight="1">
      <c r="A110" s="40"/>
      <c r="B110" s="43"/>
      <c r="C110" s="6"/>
      <c r="D110" s="6"/>
      <c r="E110" s="8" t="s">
        <v>423</v>
      </c>
      <c r="F110" s="1355">
        <f>IF($Q$4=0,0,0.5052*LN($Q$4/317)+1.3618)</f>
        <v>0</v>
      </c>
      <c r="G110" s="1355"/>
      <c r="H110" s="326" t="s">
        <v>128</v>
      </c>
      <c r="I110" s="306"/>
      <c r="J110" s="306"/>
      <c r="K110" s="414"/>
      <c r="L110" s="414" t="b">
        <v>0</v>
      </c>
      <c r="M110" s="932"/>
      <c r="N110" s="933"/>
      <c r="O110" s="933"/>
      <c r="P110" s="933"/>
      <c r="Q110" s="933"/>
      <c r="R110" s="933"/>
      <c r="S110" s="934"/>
      <c r="U110" s="61"/>
      <c r="V110" s="63"/>
    </row>
    <row r="111" spans="1:22" ht="14.25" customHeight="1">
      <c r="A111" s="40"/>
      <c r="B111" s="43"/>
      <c r="C111" s="6"/>
      <c r="D111" s="6"/>
      <c r="E111" s="59" t="s">
        <v>507</v>
      </c>
      <c r="F111" s="1348">
        <f>IF(K102=TRUE,2100,1120)</f>
        <v>1120</v>
      </c>
      <c r="G111" s="1349"/>
      <c r="H111" s="326" t="s">
        <v>129</v>
      </c>
      <c r="I111" s="306"/>
      <c r="J111" s="306"/>
      <c r="K111" s="414"/>
      <c r="L111" s="414"/>
      <c r="M111" s="932"/>
      <c r="N111" s="933"/>
      <c r="O111" s="933"/>
      <c r="P111" s="933"/>
      <c r="Q111" s="933"/>
      <c r="R111" s="933"/>
      <c r="S111" s="934"/>
      <c r="U111" s="61"/>
      <c r="V111" s="63"/>
    </row>
    <row r="112" spans="1:22" ht="15" customHeight="1" thickBot="1">
      <c r="A112" s="7"/>
      <c r="B112" s="6"/>
      <c r="C112" s="6"/>
      <c r="D112" s="6"/>
      <c r="E112" s="59" t="s">
        <v>407</v>
      </c>
      <c r="F112" s="1355">
        <f>F110*F108/100*F111</f>
        <v>0</v>
      </c>
      <c r="G112" s="1355"/>
      <c r="H112" s="402" t="s">
        <v>130</v>
      </c>
      <c r="I112" s="306"/>
      <c r="J112" s="306"/>
      <c r="K112" s="414"/>
      <c r="L112" s="420"/>
      <c r="M112" s="932"/>
      <c r="N112" s="933"/>
      <c r="O112" s="933"/>
      <c r="P112" s="933"/>
      <c r="Q112" s="933"/>
      <c r="R112" s="933"/>
      <c r="S112" s="934"/>
      <c r="U112" s="61"/>
      <c r="V112" s="63"/>
    </row>
    <row r="113" spans="1:22" ht="3" customHeight="1" thickBot="1">
      <c r="A113" s="332"/>
      <c r="B113" s="306"/>
      <c r="C113" s="306"/>
      <c r="D113" s="306"/>
      <c r="E113" s="415"/>
      <c r="F113" s="828"/>
      <c r="G113" s="828"/>
      <c r="H113" s="402"/>
      <c r="I113" s="306"/>
      <c r="J113" s="306"/>
      <c r="K113" s="414"/>
      <c r="L113" s="414"/>
      <c r="M113" s="932"/>
      <c r="N113" s="933"/>
      <c r="O113" s="933"/>
      <c r="P113" s="933"/>
      <c r="Q113" s="933"/>
      <c r="R113" s="933"/>
      <c r="S113" s="934"/>
      <c r="U113" s="61"/>
      <c r="V113" s="63"/>
    </row>
    <row r="114" spans="1:22" ht="14.25" customHeight="1" thickBot="1" thickTop="1">
      <c r="A114" s="332"/>
      <c r="B114" s="306"/>
      <c r="C114" s="306"/>
      <c r="D114" s="306"/>
      <c r="E114" s="336"/>
      <c r="F114" s="862" t="s">
        <v>508</v>
      </c>
      <c r="G114" s="1332">
        <f>F112*F104</f>
        <v>0</v>
      </c>
      <c r="H114" s="1333"/>
      <c r="I114" s="326" t="s">
        <v>131</v>
      </c>
      <c r="J114" s="797"/>
      <c r="K114" s="829"/>
      <c r="L114" s="414"/>
      <c r="M114" s="932"/>
      <c r="N114" s="933"/>
      <c r="O114" s="933"/>
      <c r="P114" s="933"/>
      <c r="Q114" s="933"/>
      <c r="R114" s="933"/>
      <c r="S114" s="934"/>
      <c r="U114" s="61"/>
      <c r="V114" s="63"/>
    </row>
    <row r="115" spans="1:22" ht="16.5" customHeight="1" thickTop="1">
      <c r="A115" s="1455" t="s">
        <v>424</v>
      </c>
      <c r="B115" s="1173"/>
      <c r="C115" s="1173"/>
      <c r="D115" s="1173"/>
      <c r="E115" s="1173"/>
      <c r="F115" s="1173"/>
      <c r="G115" s="1173"/>
      <c r="H115" s="306"/>
      <c r="I115" s="306"/>
      <c r="J115" s="306"/>
      <c r="K115" s="414"/>
      <c r="L115" s="414"/>
      <c r="M115" s="932"/>
      <c r="N115" s="933"/>
      <c r="O115" s="933"/>
      <c r="P115" s="933"/>
      <c r="Q115" s="933"/>
      <c r="R115" s="933"/>
      <c r="S115" s="934"/>
      <c r="U115" s="61"/>
      <c r="V115" s="63"/>
    </row>
    <row r="116" spans="1:22" ht="13.5" customHeight="1">
      <c r="A116" s="1056" t="s">
        <v>381</v>
      </c>
      <c r="B116" s="941"/>
      <c r="C116" s="941"/>
      <c r="D116" s="941"/>
      <c r="E116" s="941"/>
      <c r="F116" s="619"/>
      <c r="G116" s="619"/>
      <c r="H116" s="306"/>
      <c r="I116" s="306"/>
      <c r="J116" s="306"/>
      <c r="K116" s="414"/>
      <c r="L116" s="414"/>
      <c r="M116" s="932"/>
      <c r="N116" s="933"/>
      <c r="O116" s="933"/>
      <c r="P116" s="933"/>
      <c r="Q116" s="933"/>
      <c r="R116" s="933"/>
      <c r="S116" s="934"/>
      <c r="U116" s="61"/>
      <c r="V116" s="63"/>
    </row>
    <row r="117" spans="1:22" ht="14.25" customHeight="1">
      <c r="A117" s="1056"/>
      <c r="B117" s="941"/>
      <c r="C117" s="941"/>
      <c r="D117" s="941"/>
      <c r="E117" s="941"/>
      <c r="F117" s="1351"/>
      <c r="G117" s="1352"/>
      <c r="H117" s="326" t="s">
        <v>132</v>
      </c>
      <c r="I117" s="326"/>
      <c r="J117" s="306"/>
      <c r="K117" s="414"/>
      <c r="L117" s="414"/>
      <c r="M117" s="932"/>
      <c r="N117" s="933"/>
      <c r="O117" s="933"/>
      <c r="P117" s="933"/>
      <c r="Q117" s="933"/>
      <c r="R117" s="933"/>
      <c r="S117" s="934"/>
      <c r="U117" s="61"/>
      <c r="V117" s="63"/>
    </row>
    <row r="118" spans="1:22" ht="12.75" customHeight="1">
      <c r="A118" s="1432" t="s">
        <v>509</v>
      </c>
      <c r="B118" s="1433"/>
      <c r="C118" s="1433"/>
      <c r="D118" s="1433"/>
      <c r="E118" s="1433"/>
      <c r="F118" s="122"/>
      <c r="G118" s="122"/>
      <c r="H118" s="326"/>
      <c r="I118" s="326"/>
      <c r="J118" s="306"/>
      <c r="K118" s="414"/>
      <c r="L118" s="414"/>
      <c r="M118" s="932"/>
      <c r="N118" s="933"/>
      <c r="O118" s="933"/>
      <c r="P118" s="933"/>
      <c r="Q118" s="933"/>
      <c r="R118" s="933"/>
      <c r="S118" s="934"/>
      <c r="U118" s="61"/>
      <c r="V118" s="63"/>
    </row>
    <row r="119" spans="1:22" ht="14.25" customHeight="1">
      <c r="A119" s="1432"/>
      <c r="B119" s="1433"/>
      <c r="C119" s="1433"/>
      <c r="D119" s="1433"/>
      <c r="E119" s="1434"/>
      <c r="F119" s="1438">
        <f>IF($Q$4=0,0,F117/$Q$4)</f>
        <v>0</v>
      </c>
      <c r="G119" s="1439"/>
      <c r="H119" s="326" t="s">
        <v>133</v>
      </c>
      <c r="I119" s="326"/>
      <c r="J119" s="306"/>
      <c r="K119" s="414"/>
      <c r="L119" s="1449"/>
      <c r="M119" s="932"/>
      <c r="N119" s="933"/>
      <c r="O119" s="933"/>
      <c r="P119" s="933"/>
      <c r="Q119" s="933"/>
      <c r="R119" s="933"/>
      <c r="S119" s="934"/>
      <c r="U119" s="89"/>
      <c r="V119" s="63"/>
    </row>
    <row r="120" spans="1:22" ht="15" customHeight="1">
      <c r="A120" s="114"/>
      <c r="B120" s="6"/>
      <c r="C120" s="497"/>
      <c r="D120" s="497"/>
      <c r="E120" s="59" t="s">
        <v>449</v>
      </c>
      <c r="F120" s="1353">
        <f>F110*F119/100*2800</f>
        <v>0</v>
      </c>
      <c r="G120" s="1354"/>
      <c r="H120" s="326" t="s">
        <v>134</v>
      </c>
      <c r="I120" s="326"/>
      <c r="J120" s="306"/>
      <c r="K120" s="414"/>
      <c r="L120" s="1449"/>
      <c r="M120" s="932"/>
      <c r="N120" s="933"/>
      <c r="O120" s="933"/>
      <c r="P120" s="933"/>
      <c r="Q120" s="933"/>
      <c r="R120" s="933"/>
      <c r="S120" s="934"/>
      <c r="U120" s="89"/>
      <c r="V120" s="63"/>
    </row>
    <row r="121" spans="1:22" ht="3" customHeight="1" thickBot="1">
      <c r="A121" s="621"/>
      <c r="B121" s="306"/>
      <c r="C121" s="826"/>
      <c r="D121" s="826"/>
      <c r="E121" s="415"/>
      <c r="F121" s="796"/>
      <c r="G121" s="796"/>
      <c r="H121" s="306"/>
      <c r="I121" s="306"/>
      <c r="J121" s="306"/>
      <c r="K121" s="414"/>
      <c r="L121" s="1449"/>
      <c r="M121" s="932"/>
      <c r="N121" s="933"/>
      <c r="O121" s="933"/>
      <c r="P121" s="933"/>
      <c r="Q121" s="933"/>
      <c r="R121" s="933"/>
      <c r="S121" s="934"/>
      <c r="U121" s="89"/>
      <c r="V121" s="63"/>
    </row>
    <row r="122" spans="1:22" ht="15" customHeight="1" thickBot="1" thickTop="1">
      <c r="A122" s="621"/>
      <c r="B122" s="306"/>
      <c r="C122" s="826"/>
      <c r="D122" s="826"/>
      <c r="E122" s="336"/>
      <c r="F122" s="863" t="s">
        <v>480</v>
      </c>
      <c r="G122" s="1332">
        <f>F120</f>
        <v>0</v>
      </c>
      <c r="H122" s="1333"/>
      <c r="I122" s="326" t="s">
        <v>135</v>
      </c>
      <c r="J122" s="797"/>
      <c r="K122" s="829"/>
      <c r="L122" s="1449"/>
      <c r="M122" s="932"/>
      <c r="N122" s="933"/>
      <c r="O122" s="933"/>
      <c r="P122" s="933"/>
      <c r="Q122" s="933"/>
      <c r="R122" s="933"/>
      <c r="S122" s="934"/>
      <c r="U122" s="89"/>
      <c r="V122" s="63"/>
    </row>
    <row r="123" spans="1:22" ht="15.75" customHeight="1" thickBot="1" thickTop="1">
      <c r="A123" s="454" t="s">
        <v>779</v>
      </c>
      <c r="B123" s="426"/>
      <c r="C123" s="426"/>
      <c r="D123" s="426"/>
      <c r="E123" s="1431">
        <f>IF(F108+F119&gt;1,"WARNING: Total % &gt; 100%","")</f>
      </c>
      <c r="F123" s="1431"/>
      <c r="G123" s="1431"/>
      <c r="H123" s="1431"/>
      <c r="I123" s="1431"/>
      <c r="J123" s="1431"/>
      <c r="K123" s="831"/>
      <c r="L123" s="832"/>
      <c r="M123" s="932"/>
      <c r="N123" s="933"/>
      <c r="O123" s="933"/>
      <c r="P123" s="933"/>
      <c r="Q123" s="933"/>
      <c r="R123" s="933"/>
      <c r="S123" s="934"/>
      <c r="U123" s="89"/>
      <c r="V123" s="63"/>
    </row>
    <row r="124" spans="1:22" ht="15.75" customHeight="1" thickBot="1">
      <c r="A124" s="454" t="s">
        <v>778</v>
      </c>
      <c r="B124" s="426"/>
      <c r="C124" s="426"/>
      <c r="D124" s="426"/>
      <c r="E124" s="830"/>
      <c r="F124" s="830"/>
      <c r="G124" s="830"/>
      <c r="H124" s="830"/>
      <c r="I124" s="830"/>
      <c r="J124" s="830"/>
      <c r="K124" s="833"/>
      <c r="L124" s="834"/>
      <c r="M124" s="932"/>
      <c r="N124" s="933"/>
      <c r="O124" s="933"/>
      <c r="P124" s="933"/>
      <c r="Q124" s="933"/>
      <c r="R124" s="933"/>
      <c r="S124" s="934"/>
      <c r="U124" s="89"/>
      <c r="V124" s="63"/>
    </row>
    <row r="125" spans="1:22" ht="15.75" thickBot="1">
      <c r="A125" s="350" t="s">
        <v>136</v>
      </c>
      <c r="B125" s="351"/>
      <c r="C125" s="351"/>
      <c r="D125" s="351"/>
      <c r="E125" s="351"/>
      <c r="F125" s="351"/>
      <c r="G125" s="351"/>
      <c r="H125" s="351"/>
      <c r="I125" s="354" t="s">
        <v>433</v>
      </c>
      <c r="J125" s="1482">
        <f>SUM(G114,G122)</f>
        <v>0</v>
      </c>
      <c r="K125" s="1483"/>
      <c r="L125" s="1484"/>
      <c r="M125" s="935"/>
      <c r="N125" s="936"/>
      <c r="O125" s="936"/>
      <c r="P125" s="936"/>
      <c r="Q125" s="936"/>
      <c r="R125" s="936"/>
      <c r="S125" s="937"/>
      <c r="U125" s="61"/>
      <c r="V125" s="63"/>
    </row>
    <row r="126" spans="1:22" ht="18" customHeight="1">
      <c r="A126" s="835" t="s">
        <v>438</v>
      </c>
      <c r="B126" s="406"/>
      <c r="C126" s="1122" t="s">
        <v>468</v>
      </c>
      <c r="D126" s="1122"/>
      <c r="E126" s="1122"/>
      <c r="F126" s="1122"/>
      <c r="G126" s="1122"/>
      <c r="H126" s="1122"/>
      <c r="I126" s="1122"/>
      <c r="J126" s="1122"/>
      <c r="K126" s="1122"/>
      <c r="L126" s="1122"/>
      <c r="M126" s="1122"/>
      <c r="N126" s="1122"/>
      <c r="O126" s="1122"/>
      <c r="P126" s="1122"/>
      <c r="Q126" s="1122"/>
      <c r="R126" s="1122"/>
      <c r="S126" s="1123"/>
      <c r="U126" s="61"/>
      <c r="V126" s="63"/>
    </row>
    <row r="127" spans="1:22" ht="12.75" customHeight="1">
      <c r="A127" s="836"/>
      <c r="B127" s="410"/>
      <c r="C127" s="1452"/>
      <c r="D127" s="1452"/>
      <c r="E127" s="1452"/>
      <c r="F127" s="1452"/>
      <c r="G127" s="1452"/>
      <c r="H127" s="1452"/>
      <c r="I127" s="1452"/>
      <c r="J127" s="1452"/>
      <c r="K127" s="1452"/>
      <c r="L127" s="1452"/>
      <c r="M127" s="1452"/>
      <c r="N127" s="1452"/>
      <c r="O127" s="1452"/>
      <c r="P127" s="1452"/>
      <c r="Q127" s="1452"/>
      <c r="R127" s="1452"/>
      <c r="S127" s="1453"/>
      <c r="U127" s="61"/>
      <c r="V127" s="63"/>
    </row>
    <row r="128" spans="1:22" ht="15" customHeight="1">
      <c r="A128" s="1136" t="s">
        <v>452</v>
      </c>
      <c r="B128" s="1137"/>
      <c r="C128" s="1137"/>
      <c r="D128" s="1137"/>
      <c r="E128" s="1137"/>
      <c r="F128" s="1137"/>
      <c r="G128" s="1137"/>
      <c r="H128" s="1137"/>
      <c r="I128" s="1137"/>
      <c r="J128" s="1137"/>
      <c r="K128" s="1137"/>
      <c r="L128" s="1137"/>
      <c r="M128" s="1137"/>
      <c r="N128" s="1137"/>
      <c r="O128" s="1137"/>
      <c r="P128" s="1137"/>
      <c r="Q128" s="1137"/>
      <c r="R128" s="1137"/>
      <c r="S128" s="1138"/>
      <c r="U128" s="61"/>
      <c r="V128" s="63"/>
    </row>
    <row r="129" spans="1:22" ht="9.75" customHeight="1" thickBot="1">
      <c r="A129" s="896"/>
      <c r="B129" s="893"/>
      <c r="C129" s="893"/>
      <c r="D129" s="893"/>
      <c r="E129" s="893"/>
      <c r="F129" s="893"/>
      <c r="G129" s="893"/>
      <c r="H129" s="893"/>
      <c r="I129" s="893"/>
      <c r="J129" s="893"/>
      <c r="K129" s="893"/>
      <c r="L129" s="893"/>
      <c r="M129" s="893"/>
      <c r="N129" s="893"/>
      <c r="O129" s="893"/>
      <c r="P129" s="893"/>
      <c r="Q129" s="893"/>
      <c r="R129" s="893"/>
      <c r="S129" s="894"/>
      <c r="U129" s="61"/>
      <c r="V129" s="63"/>
    </row>
    <row r="130" spans="1:22" ht="30.75" customHeight="1" thickTop="1">
      <c r="A130" s="1455" t="s">
        <v>395</v>
      </c>
      <c r="B130" s="1173"/>
      <c r="C130" s="1173"/>
      <c r="D130" s="1173"/>
      <c r="E130" s="1173"/>
      <c r="F130" s="1173"/>
      <c r="G130" s="1173"/>
      <c r="H130" s="1173"/>
      <c r="I130" s="1173"/>
      <c r="J130" s="1173"/>
      <c r="K130" s="1485" t="s">
        <v>462</v>
      </c>
      <c r="L130" s="1485"/>
      <c r="M130" s="1485"/>
      <c r="N130" s="1485"/>
      <c r="O130" s="1485"/>
      <c r="P130" s="1485"/>
      <c r="Q130" s="1486"/>
      <c r="R130" s="647" t="b">
        <v>0</v>
      </c>
      <c r="S130" s="440"/>
      <c r="U130" s="61"/>
      <c r="V130" s="63"/>
    </row>
    <row r="131" spans="1:22" ht="9.75" customHeight="1">
      <c r="A131" s="837"/>
      <c r="B131" s="306"/>
      <c r="C131" s="306"/>
      <c r="D131" s="306"/>
      <c r="E131" s="306"/>
      <c r="F131" s="306"/>
      <c r="G131" s="306"/>
      <c r="H131" s="306"/>
      <c r="I131" s="306"/>
      <c r="J131" s="306"/>
      <c r="K131" s="306"/>
      <c r="L131" s="306"/>
      <c r="M131" s="306"/>
      <c r="N131" s="306"/>
      <c r="O131" s="306"/>
      <c r="P131" s="306"/>
      <c r="Q131" s="306"/>
      <c r="R131" s="647" t="b">
        <v>0</v>
      </c>
      <c r="S131" s="440"/>
      <c r="U131" s="61"/>
      <c r="V131" s="63"/>
    </row>
    <row r="132" spans="1:22" ht="18.75" customHeight="1">
      <c r="A132" s="1456" t="s">
        <v>464</v>
      </c>
      <c r="B132" s="1161" t="s">
        <v>461</v>
      </c>
      <c r="C132" s="1161"/>
      <c r="D132" s="1161"/>
      <c r="E132" s="1161"/>
      <c r="F132" s="306"/>
      <c r="G132" s="589" t="s">
        <v>362</v>
      </c>
      <c r="H132" s="838" t="s">
        <v>363</v>
      </c>
      <c r="I132" s="306"/>
      <c r="J132" s="306"/>
      <c r="K132" s="306"/>
      <c r="L132" s="839" t="s">
        <v>459</v>
      </c>
      <c r="M132" s="306"/>
      <c r="N132" s="839"/>
      <c r="O132" s="839"/>
      <c r="P132" s="839"/>
      <c r="Q132" s="840"/>
      <c r="R132" s="647" t="b">
        <v>0</v>
      </c>
      <c r="S132" s="841">
        <f>COUNTIF(R130:R132,R134)</f>
        <v>0</v>
      </c>
      <c r="U132" s="61"/>
      <c r="V132" s="63"/>
    </row>
    <row r="133" spans="1:22" ht="18.75" customHeight="1">
      <c r="A133" s="1456"/>
      <c r="B133" s="1161"/>
      <c r="C133" s="1161"/>
      <c r="D133" s="1161"/>
      <c r="E133" s="1161"/>
      <c r="F133" s="501"/>
      <c r="G133" s="306"/>
      <c r="H133" s="306"/>
      <c r="I133" s="306"/>
      <c r="J133" s="306"/>
      <c r="K133" s="306"/>
      <c r="L133" s="366" t="s">
        <v>396</v>
      </c>
      <c r="M133" s="1475"/>
      <c r="N133" s="1475"/>
      <c r="O133" s="1475"/>
      <c r="P133" s="1475"/>
      <c r="Q133" s="306"/>
      <c r="R133" s="647">
        <v>2</v>
      </c>
      <c r="S133" s="440"/>
      <c r="U133" s="61"/>
      <c r="V133" s="63"/>
    </row>
    <row r="134" spans="1:22" ht="15.75" customHeight="1">
      <c r="A134" s="413"/>
      <c r="B134" s="336"/>
      <c r="C134" s="336"/>
      <c r="D134" s="336"/>
      <c r="E134" s="336"/>
      <c r="F134" s="94"/>
      <c r="G134" s="94"/>
      <c r="H134" s="306"/>
      <c r="I134" s="306"/>
      <c r="J134" s="306"/>
      <c r="K134" s="306"/>
      <c r="L134" s="306" t="s">
        <v>396</v>
      </c>
      <c r="M134" s="1475"/>
      <c r="N134" s="1475"/>
      <c r="O134" s="1475"/>
      <c r="P134" s="1475"/>
      <c r="Q134" s="306"/>
      <c r="R134" s="1457" t="b">
        <v>1</v>
      </c>
      <c r="S134" s="1458"/>
      <c r="U134" s="61"/>
      <c r="V134" s="63"/>
    </row>
    <row r="135" spans="1:22" ht="16.5" customHeight="1">
      <c r="A135" s="413"/>
      <c r="B135" s="452"/>
      <c r="C135" s="426" t="s">
        <v>380</v>
      </c>
      <c r="D135" s="336"/>
      <c r="E135" s="336"/>
      <c r="F135" s="1451" t="s">
        <v>454</v>
      </c>
      <c r="G135" s="1451"/>
      <c r="H135" s="1451"/>
      <c r="I135" s="1451"/>
      <c r="J135" s="306"/>
      <c r="K135" s="306"/>
      <c r="L135" s="306"/>
      <c r="M135" s="306"/>
      <c r="N135" s="1454"/>
      <c r="O135" s="1454"/>
      <c r="P135" s="306"/>
      <c r="Q135" s="306"/>
      <c r="R135" s="647" t="b">
        <v>0</v>
      </c>
      <c r="S135" s="440" t="b">
        <v>0</v>
      </c>
      <c r="U135" s="61"/>
      <c r="V135" s="63"/>
    </row>
    <row r="136" spans="1:22" ht="16.5" customHeight="1">
      <c r="A136" s="413"/>
      <c r="B136" s="336"/>
      <c r="C136" s="1450" t="s">
        <v>382</v>
      </c>
      <c r="D136" s="1450"/>
      <c r="E136" s="336"/>
      <c r="F136" s="842" t="s">
        <v>378</v>
      </c>
      <c r="G136" s="94"/>
      <c r="H136" s="306"/>
      <c r="I136" s="306"/>
      <c r="J136" s="306"/>
      <c r="K136" s="306"/>
      <c r="L136" s="306"/>
      <c r="M136" s="306"/>
      <c r="N136" s="306"/>
      <c r="O136" s="415" t="s">
        <v>460</v>
      </c>
      <c r="P136" s="866">
        <f>IF(S132=0,0,IF(S132=1,3,(IF(S132=2,4,5))))</f>
        <v>0</v>
      </c>
      <c r="Q136" s="372" t="s">
        <v>139</v>
      </c>
      <c r="R136" s="647" t="b">
        <v>0</v>
      </c>
      <c r="S136" s="440" t="b">
        <v>0</v>
      </c>
      <c r="U136" s="61"/>
      <c r="V136" s="63"/>
    </row>
    <row r="137" spans="1:22" ht="16.5" customHeight="1">
      <c r="A137" s="413"/>
      <c r="B137" s="336"/>
      <c r="C137" s="1479" t="s">
        <v>379</v>
      </c>
      <c r="D137" s="1479"/>
      <c r="E137" s="94"/>
      <c r="F137" s="306" t="s">
        <v>453</v>
      </c>
      <c r="G137" s="94"/>
      <c r="H137" s="306"/>
      <c r="I137" s="306"/>
      <c r="J137" s="306"/>
      <c r="K137" s="306"/>
      <c r="L137" s="306"/>
      <c r="M137" s="306"/>
      <c r="N137" s="306"/>
      <c r="O137" s="306"/>
      <c r="P137" s="306"/>
      <c r="Q137" s="306"/>
      <c r="R137" s="647" t="b">
        <v>0</v>
      </c>
      <c r="S137" s="440" t="b">
        <v>0</v>
      </c>
      <c r="U137" s="61"/>
      <c r="V137" s="63"/>
    </row>
    <row r="138" spans="1:22" ht="16.5" customHeight="1">
      <c r="A138" s="413"/>
      <c r="B138" s="336"/>
      <c r="C138" s="431" t="s">
        <v>717</v>
      </c>
      <c r="D138" s="426"/>
      <c r="E138" s="94"/>
      <c r="F138" s="1198"/>
      <c r="G138" s="1199"/>
      <c r="H138" s="1200"/>
      <c r="I138" s="306"/>
      <c r="J138" s="306"/>
      <c r="K138" s="306"/>
      <c r="L138" s="306"/>
      <c r="M138" s="306"/>
      <c r="N138" s="306"/>
      <c r="O138" s="306"/>
      <c r="P138" s="306"/>
      <c r="Q138" s="306"/>
      <c r="R138" s="647" t="b">
        <v>0</v>
      </c>
      <c r="S138" s="440" t="b">
        <v>0</v>
      </c>
      <c r="U138" s="61"/>
      <c r="V138" s="63"/>
    </row>
    <row r="139" spans="1:22" ht="6" customHeight="1">
      <c r="A139" s="413"/>
      <c r="B139" s="336"/>
      <c r="C139" s="431"/>
      <c r="D139" s="426"/>
      <c r="E139" s="94"/>
      <c r="F139" s="306"/>
      <c r="G139" s="94"/>
      <c r="H139" s="306"/>
      <c r="I139" s="306"/>
      <c r="J139" s="306"/>
      <c r="K139" s="306"/>
      <c r="L139" s="306"/>
      <c r="M139" s="306"/>
      <c r="N139" s="306"/>
      <c r="O139" s="306"/>
      <c r="P139" s="306"/>
      <c r="Q139" s="306"/>
      <c r="R139" s="647"/>
      <c r="S139" s="440"/>
      <c r="U139" s="61"/>
      <c r="V139" s="63"/>
    </row>
    <row r="140" spans="1:22" ht="15.75" customHeight="1">
      <c r="A140" s="413"/>
      <c r="B140" s="336"/>
      <c r="C140" s="426"/>
      <c r="D140" s="426"/>
      <c r="E140" s="94"/>
      <c r="F140" s="306"/>
      <c r="G140" s="94" t="s">
        <v>455</v>
      </c>
      <c r="H140" s="864">
        <f>COUNTIF(R135:S138,R134)*3</f>
        <v>0</v>
      </c>
      <c r="I140" s="372" t="s">
        <v>137</v>
      </c>
      <c r="J140" s="306"/>
      <c r="K140" s="1476" t="s">
        <v>777</v>
      </c>
      <c r="L140" s="1476"/>
      <c r="M140" s="1476"/>
      <c r="N140" s="1476"/>
      <c r="O140" s="1476"/>
      <c r="P140" s="1476"/>
      <c r="Q140" s="306"/>
      <c r="R140" s="647"/>
      <c r="S140" s="440"/>
      <c r="U140" s="61"/>
      <c r="V140" s="63"/>
    </row>
    <row r="141" spans="1:22" ht="15" customHeight="1">
      <c r="A141" s="413"/>
      <c r="B141" s="336"/>
      <c r="C141" s="426"/>
      <c r="D141" s="426"/>
      <c r="E141" s="94"/>
      <c r="F141" s="306"/>
      <c r="G141" s="94"/>
      <c r="H141" s="843"/>
      <c r="I141" s="306"/>
      <c r="J141" s="306"/>
      <c r="K141" s="1476"/>
      <c r="L141" s="1476"/>
      <c r="M141" s="1476"/>
      <c r="N141" s="1476"/>
      <c r="O141" s="1476"/>
      <c r="P141" s="1476"/>
      <c r="Q141" s="306"/>
      <c r="R141" s="647"/>
      <c r="S141" s="440"/>
      <c r="U141" s="61"/>
      <c r="V141" s="63"/>
    </row>
    <row r="142" spans="1:22" ht="16.5" customHeight="1">
      <c r="A142" s="413"/>
      <c r="B142" s="336"/>
      <c r="C142" s="426" t="s">
        <v>456</v>
      </c>
      <c r="D142" s="426"/>
      <c r="E142" s="94"/>
      <c r="F142" s="1450" t="s">
        <v>457</v>
      </c>
      <c r="G142" s="1450"/>
      <c r="H142" s="1450"/>
      <c r="I142" s="306"/>
      <c r="J142" s="306"/>
      <c r="K142" s="1476"/>
      <c r="L142" s="1476"/>
      <c r="M142" s="1476"/>
      <c r="N142" s="1476"/>
      <c r="O142" s="1476"/>
      <c r="P142" s="1476"/>
      <c r="Q142" s="306"/>
      <c r="R142" s="647" t="b">
        <v>0</v>
      </c>
      <c r="S142" s="440" t="b">
        <v>0</v>
      </c>
      <c r="U142" s="61"/>
      <c r="V142" s="63"/>
    </row>
    <row r="143" spans="1:22" ht="9.75" customHeight="1" thickBot="1">
      <c r="A143" s="413"/>
      <c r="B143" s="336"/>
      <c r="C143" s="426"/>
      <c r="D143" s="426"/>
      <c r="E143" s="94"/>
      <c r="F143" s="306"/>
      <c r="G143" s="94"/>
      <c r="H143" s="843"/>
      <c r="I143" s="306"/>
      <c r="J143" s="306"/>
      <c r="K143" s="306"/>
      <c r="L143" s="306"/>
      <c r="M143" s="306"/>
      <c r="N143" s="306"/>
      <c r="O143" s="306"/>
      <c r="P143" s="306"/>
      <c r="Q143" s="306"/>
      <c r="R143" s="647"/>
      <c r="S143" s="440"/>
      <c r="U143" s="61"/>
      <c r="V143" s="63"/>
    </row>
    <row r="144" spans="1:22" ht="16.5" customHeight="1" thickBot="1">
      <c r="A144" s="1461" t="s">
        <v>140</v>
      </c>
      <c r="B144" s="1462"/>
      <c r="C144" s="1462"/>
      <c r="D144" s="1462"/>
      <c r="E144" s="844"/>
      <c r="F144" s="351"/>
      <c r="G144" s="845" t="s">
        <v>458</v>
      </c>
      <c r="H144" s="865">
        <f>COUNTIF(R142:S142,R134)*2</f>
        <v>0</v>
      </c>
      <c r="I144" s="846" t="s">
        <v>138</v>
      </c>
      <c r="J144" s="351"/>
      <c r="K144" s="351"/>
      <c r="L144" s="351"/>
      <c r="M144" s="351"/>
      <c r="N144" s="1477" t="s">
        <v>463</v>
      </c>
      <c r="O144" s="1477"/>
      <c r="P144" s="1477"/>
      <c r="Q144" s="1478"/>
      <c r="R144" s="973">
        <f>IF(R133=2,0,SUM(H140,H144,P136))</f>
        <v>0</v>
      </c>
      <c r="S144" s="974"/>
      <c r="U144" s="61"/>
      <c r="V144" s="63"/>
    </row>
    <row r="145" spans="1:22" ht="31.5" customHeight="1">
      <c r="A145" s="457" t="s">
        <v>439</v>
      </c>
      <c r="B145" s="458"/>
      <c r="C145" s="1144" t="s">
        <v>432</v>
      </c>
      <c r="D145" s="1144"/>
      <c r="E145" s="1144"/>
      <c r="F145" s="1144"/>
      <c r="G145" s="1144"/>
      <c r="H145" s="1144"/>
      <c r="I145" s="1144"/>
      <c r="J145" s="1144"/>
      <c r="K145" s="1144"/>
      <c r="L145" s="1286"/>
      <c r="M145" s="923" t="s">
        <v>469</v>
      </c>
      <c r="N145" s="924"/>
      <c r="O145" s="924"/>
      <c r="P145" s="924"/>
      <c r="Q145" s="924"/>
      <c r="R145" s="924"/>
      <c r="S145" s="925"/>
      <c r="U145" s="61"/>
      <c r="V145" s="63"/>
    </row>
    <row r="146" spans="1:22" ht="57" customHeight="1">
      <c r="A146" s="1086" t="s">
        <v>848</v>
      </c>
      <c r="B146" s="1087"/>
      <c r="C146" s="1087"/>
      <c r="D146" s="1087"/>
      <c r="E146" s="1087"/>
      <c r="F146" s="1087"/>
      <c r="G146" s="1087"/>
      <c r="H146" s="1087"/>
      <c r="I146" s="1087"/>
      <c r="J146" s="1087"/>
      <c r="K146" s="1087"/>
      <c r="L146" s="1460"/>
      <c r="M146" s="1327"/>
      <c r="N146" s="1328"/>
      <c r="O146" s="1328"/>
      <c r="P146" s="1328"/>
      <c r="Q146" s="1328"/>
      <c r="R146" s="1328"/>
      <c r="S146" s="1329"/>
      <c r="U146" s="61"/>
      <c r="V146" s="63"/>
    </row>
    <row r="147" spans="1:22" ht="11.25" customHeight="1" thickBot="1">
      <c r="A147" s="1088"/>
      <c r="B147" s="1089"/>
      <c r="C147" s="1089"/>
      <c r="D147" s="1089"/>
      <c r="E147" s="1089"/>
      <c r="F147" s="1089"/>
      <c r="G147" s="1089"/>
      <c r="H147" s="1089"/>
      <c r="I147" s="1089"/>
      <c r="J147" s="1089"/>
      <c r="K147" s="1089"/>
      <c r="L147" s="1305"/>
      <c r="M147" s="929"/>
      <c r="N147" s="930"/>
      <c r="O147" s="930"/>
      <c r="P147" s="930"/>
      <c r="Q147" s="930"/>
      <c r="R147" s="930"/>
      <c r="S147" s="931"/>
      <c r="U147" s="61"/>
      <c r="V147" s="63"/>
    </row>
    <row r="148" spans="1:22" ht="19.5" customHeight="1" thickTop="1">
      <c r="A148" s="464"/>
      <c r="B148" s="465"/>
      <c r="C148" s="465"/>
      <c r="D148" s="465"/>
      <c r="E148" s="465"/>
      <c r="F148" s="465"/>
      <c r="G148" s="465"/>
      <c r="H148" s="465"/>
      <c r="I148" s="465"/>
      <c r="J148" s="847"/>
      <c r="K148" s="471"/>
      <c r="L148" s="474"/>
      <c r="M148" s="932"/>
      <c r="N148" s="933"/>
      <c r="O148" s="933"/>
      <c r="P148" s="933"/>
      <c r="Q148" s="933"/>
      <c r="R148" s="933"/>
      <c r="S148" s="934"/>
      <c r="U148" s="61"/>
      <c r="V148" s="63"/>
    </row>
    <row r="149" spans="1:22" ht="21" customHeight="1">
      <c r="A149" s="464"/>
      <c r="B149" s="916" t="s">
        <v>712</v>
      </c>
      <c r="C149" s="917"/>
      <c r="D149" s="917"/>
      <c r="E149" s="917"/>
      <c r="F149" s="917"/>
      <c r="G149" s="472"/>
      <c r="H149" s="472"/>
      <c r="I149" s="465"/>
      <c r="J149" s="465"/>
      <c r="K149" s="465"/>
      <c r="L149" s="476"/>
      <c r="M149" s="932"/>
      <c r="N149" s="933"/>
      <c r="O149" s="933"/>
      <c r="P149" s="933"/>
      <c r="Q149" s="933"/>
      <c r="R149" s="933"/>
      <c r="S149" s="934"/>
      <c r="U149" s="61"/>
      <c r="V149" s="63"/>
    </row>
    <row r="150" spans="1:22" ht="15" customHeight="1">
      <c r="A150" s="464"/>
      <c r="B150" s="917"/>
      <c r="C150" s="917"/>
      <c r="D150" s="917"/>
      <c r="E150" s="917"/>
      <c r="F150" s="917"/>
      <c r="G150" s="1084"/>
      <c r="H150" s="1085"/>
      <c r="I150" s="467" t="s">
        <v>80</v>
      </c>
      <c r="J150" s="465"/>
      <c r="K150" s="465"/>
      <c r="L150" s="476"/>
      <c r="M150" s="932"/>
      <c r="N150" s="933"/>
      <c r="O150" s="933"/>
      <c r="P150" s="933"/>
      <c r="Q150" s="933"/>
      <c r="R150" s="933"/>
      <c r="S150" s="934"/>
      <c r="U150" s="61"/>
      <c r="V150" s="63"/>
    </row>
    <row r="151" spans="1:22" ht="15" customHeight="1">
      <c r="A151" s="464"/>
      <c r="B151" s="1099" t="s">
        <v>225</v>
      </c>
      <c r="C151" s="1099"/>
      <c r="D151" s="1099"/>
      <c r="E151" s="1099"/>
      <c r="F151" s="1099"/>
      <c r="G151" s="1084"/>
      <c r="H151" s="1085"/>
      <c r="I151" s="467" t="s">
        <v>81</v>
      </c>
      <c r="J151" s="465"/>
      <c r="K151" s="465"/>
      <c r="L151" s="476"/>
      <c r="M151" s="932"/>
      <c r="N151" s="933"/>
      <c r="O151" s="933"/>
      <c r="P151" s="933"/>
      <c r="Q151" s="933"/>
      <c r="R151" s="933"/>
      <c r="S151" s="934"/>
      <c r="U151" s="61"/>
      <c r="V151" s="63"/>
    </row>
    <row r="152" spans="1:22" ht="5.25" customHeight="1">
      <c r="A152" s="464"/>
      <c r="B152" s="468"/>
      <c r="C152" s="468"/>
      <c r="D152" s="468"/>
      <c r="E152" s="468"/>
      <c r="F152" s="468"/>
      <c r="G152" s="468"/>
      <c r="H152" s="468"/>
      <c r="I152" s="469"/>
      <c r="J152" s="465"/>
      <c r="K152" s="465"/>
      <c r="L152" s="476"/>
      <c r="M152" s="932"/>
      <c r="N152" s="933"/>
      <c r="O152" s="933"/>
      <c r="P152" s="933"/>
      <c r="Q152" s="933"/>
      <c r="R152" s="933"/>
      <c r="S152" s="934"/>
      <c r="U152" s="61"/>
      <c r="V152" s="63"/>
    </row>
    <row r="153" spans="1:22" ht="15" customHeight="1">
      <c r="A153" s="470"/>
      <c r="B153" s="471"/>
      <c r="C153" s="471"/>
      <c r="D153" s="471"/>
      <c r="E153" s="471"/>
      <c r="F153" s="103" t="s">
        <v>843</v>
      </c>
      <c r="G153" s="1142">
        <f>IF(G150=0,0,G151/G150)</f>
        <v>0</v>
      </c>
      <c r="H153" s="1143"/>
      <c r="I153" s="473" t="s">
        <v>82</v>
      </c>
      <c r="J153" s="471"/>
      <c r="K153" s="465"/>
      <c r="L153" s="476"/>
      <c r="M153" s="932"/>
      <c r="N153" s="933"/>
      <c r="O153" s="933"/>
      <c r="P153" s="933"/>
      <c r="Q153" s="933"/>
      <c r="R153" s="933"/>
      <c r="S153" s="934"/>
      <c r="U153" s="61"/>
      <c r="V153" s="63"/>
    </row>
    <row r="154" spans="1:22" ht="6" customHeight="1">
      <c r="A154" s="470"/>
      <c r="B154" s="471"/>
      <c r="C154" s="475"/>
      <c r="D154" s="475"/>
      <c r="E154" s="475"/>
      <c r="F154" s="475"/>
      <c r="G154" s="475"/>
      <c r="H154" s="475"/>
      <c r="I154" s="475"/>
      <c r="J154" s="471"/>
      <c r="K154" s="465"/>
      <c r="L154" s="476"/>
      <c r="M154" s="932"/>
      <c r="N154" s="933"/>
      <c r="O154" s="933"/>
      <c r="P154" s="933"/>
      <c r="Q154" s="933"/>
      <c r="R154" s="933"/>
      <c r="S154" s="934"/>
      <c r="U154" s="61"/>
      <c r="V154" s="63"/>
    </row>
    <row r="155" spans="1:22" ht="15" customHeight="1" thickBot="1">
      <c r="A155" s="1302" t="s">
        <v>844</v>
      </c>
      <c r="B155" s="1148"/>
      <c r="C155" s="1148"/>
      <c r="D155" s="1148"/>
      <c r="E155" s="1148"/>
      <c r="F155" s="1148"/>
      <c r="G155" s="480"/>
      <c r="H155" s="306"/>
      <c r="I155" s="306"/>
      <c r="J155" s="471"/>
      <c r="K155" s="465"/>
      <c r="L155" s="476"/>
      <c r="M155" s="932"/>
      <c r="N155" s="933"/>
      <c r="O155" s="933"/>
      <c r="P155" s="933"/>
      <c r="Q155" s="933"/>
      <c r="R155" s="933"/>
      <c r="S155" s="934"/>
      <c r="U155" s="61"/>
      <c r="V155" s="63"/>
    </row>
    <row r="156" spans="1:22" ht="15" customHeight="1" thickBot="1" thickTop="1">
      <c r="A156" s="1302"/>
      <c r="B156" s="1148"/>
      <c r="C156" s="1148"/>
      <c r="D156" s="1148"/>
      <c r="E156" s="1148"/>
      <c r="F156" s="1148"/>
      <c r="G156" s="1146">
        <f>G153*5</f>
        <v>0</v>
      </c>
      <c r="H156" s="1147"/>
      <c r="I156" s="473" t="s">
        <v>83</v>
      </c>
      <c r="J156" s="471"/>
      <c r="K156" s="465"/>
      <c r="L156" s="476"/>
      <c r="M156" s="932"/>
      <c r="N156" s="933"/>
      <c r="O156" s="933"/>
      <c r="P156" s="933"/>
      <c r="Q156" s="933"/>
      <c r="R156" s="933"/>
      <c r="S156" s="934"/>
      <c r="U156" s="61"/>
      <c r="V156" s="63"/>
    </row>
    <row r="157" spans="1:25" ht="6.75" customHeight="1" thickTop="1">
      <c r="A157" s="657"/>
      <c r="B157" s="505"/>
      <c r="C157" s="505"/>
      <c r="D157" s="505"/>
      <c r="E157" s="505"/>
      <c r="F157" s="505"/>
      <c r="G157" s="659"/>
      <c r="H157" s="659"/>
      <c r="I157" s="473"/>
      <c r="J157" s="306"/>
      <c r="K157" s="848"/>
      <c r="L157" s="476"/>
      <c r="M157" s="932"/>
      <c r="N157" s="933"/>
      <c r="O157" s="933"/>
      <c r="P157" s="933"/>
      <c r="Q157" s="933"/>
      <c r="R157" s="933"/>
      <c r="S157" s="934"/>
      <c r="T157" s="58"/>
      <c r="V157" s="42"/>
      <c r="X157"/>
      <c r="Y157"/>
    </row>
    <row r="158" spans="1:25" ht="12.75">
      <c r="A158" s="470"/>
      <c r="B158" s="471"/>
      <c r="C158" s="471"/>
      <c r="D158" s="471"/>
      <c r="E158" s="471"/>
      <c r="F158" s="471"/>
      <c r="G158" s="472"/>
      <c r="H158" s="477"/>
      <c r="I158" s="471"/>
      <c r="J158" s="306"/>
      <c r="K158" s="848"/>
      <c r="L158" s="476"/>
      <c r="M158" s="932"/>
      <c r="N158" s="933"/>
      <c r="O158" s="933"/>
      <c r="P158" s="933"/>
      <c r="Q158" s="933"/>
      <c r="R158" s="933"/>
      <c r="S158" s="934"/>
      <c r="T158" s="58"/>
      <c r="V158" s="42"/>
      <c r="X158"/>
      <c r="Y158"/>
    </row>
    <row r="159" spans="1:25" ht="48" customHeight="1">
      <c r="A159" s="470"/>
      <c r="B159" s="478"/>
      <c r="C159" s="922" t="s">
        <v>26</v>
      </c>
      <c r="D159" s="920"/>
      <c r="E159" s="920"/>
      <c r="F159" s="920"/>
      <c r="G159" s="920"/>
      <c r="H159" s="920"/>
      <c r="I159" s="921"/>
      <c r="J159" s="306"/>
      <c r="K159" s="848"/>
      <c r="L159" s="476">
        <f>IF(L165=1,5,"")</f>
      </c>
      <c r="M159" s="932"/>
      <c r="N159" s="933"/>
      <c r="O159" s="933"/>
      <c r="P159" s="933"/>
      <c r="Q159" s="933"/>
      <c r="R159" s="933"/>
      <c r="S159" s="934"/>
      <c r="T159" s="58"/>
      <c r="V159" s="42"/>
      <c r="X159"/>
      <c r="Y159"/>
    </row>
    <row r="160" spans="1:25" ht="36" customHeight="1">
      <c r="A160" s="470"/>
      <c r="B160" s="478"/>
      <c r="C160" s="922" t="s">
        <v>27</v>
      </c>
      <c r="D160" s="920"/>
      <c r="E160" s="920"/>
      <c r="F160" s="920"/>
      <c r="G160" s="920"/>
      <c r="H160" s="920"/>
      <c r="I160" s="921"/>
      <c r="J160" s="306"/>
      <c r="K160" s="848"/>
      <c r="L160" s="476">
        <f>IF($L$165=2,4,"")</f>
      </c>
      <c r="M160" s="932"/>
      <c r="N160" s="933"/>
      <c r="O160" s="933"/>
      <c r="P160" s="933"/>
      <c r="Q160" s="933"/>
      <c r="R160" s="933"/>
      <c r="S160" s="934"/>
      <c r="T160" s="58"/>
      <c r="V160" s="42"/>
      <c r="X160"/>
      <c r="Y160"/>
    </row>
    <row r="161" spans="1:25" ht="37.5" customHeight="1">
      <c r="A161" s="470"/>
      <c r="B161" s="478"/>
      <c r="C161" s="922" t="s">
        <v>28</v>
      </c>
      <c r="D161" s="920"/>
      <c r="E161" s="920"/>
      <c r="F161" s="920"/>
      <c r="G161" s="920"/>
      <c r="H161" s="920"/>
      <c r="I161" s="921"/>
      <c r="J161" s="306"/>
      <c r="K161" s="848"/>
      <c r="L161" s="476">
        <f>IF($L$165=3,3,"")</f>
      </c>
      <c r="M161" s="932"/>
      <c r="N161" s="933"/>
      <c r="O161" s="933"/>
      <c r="P161" s="933"/>
      <c r="Q161" s="933"/>
      <c r="R161" s="933"/>
      <c r="S161" s="934"/>
      <c r="T161" s="58"/>
      <c r="V161" s="42"/>
      <c r="X161"/>
      <c r="Y161"/>
    </row>
    <row r="162" spans="1:25" ht="48.75" customHeight="1">
      <c r="A162" s="470"/>
      <c r="B162" s="478"/>
      <c r="C162" s="922" t="s">
        <v>29</v>
      </c>
      <c r="D162" s="920"/>
      <c r="E162" s="920"/>
      <c r="F162" s="920"/>
      <c r="G162" s="920"/>
      <c r="H162" s="920"/>
      <c r="I162" s="921"/>
      <c r="J162" s="306"/>
      <c r="K162" s="848"/>
      <c r="L162" s="476">
        <f>IF($L$165=4,2,"")</f>
      </c>
      <c r="M162" s="932"/>
      <c r="N162" s="933"/>
      <c r="O162" s="933"/>
      <c r="P162" s="933"/>
      <c r="Q162" s="933"/>
      <c r="R162" s="933"/>
      <c r="S162" s="934"/>
      <c r="T162" s="58"/>
      <c r="V162" s="42"/>
      <c r="X162"/>
      <c r="Y162"/>
    </row>
    <row r="163" spans="1:25" ht="18" customHeight="1">
      <c r="A163" s="470"/>
      <c r="B163" s="849"/>
      <c r="C163" s="922" t="s">
        <v>30</v>
      </c>
      <c r="D163" s="920"/>
      <c r="E163" s="920"/>
      <c r="F163" s="920"/>
      <c r="G163" s="920"/>
      <c r="H163" s="920"/>
      <c r="I163" s="921"/>
      <c r="J163" s="306"/>
      <c r="K163" s="848"/>
      <c r="L163" s="476">
        <f>IF($L$165=5,0,"")</f>
        <v>0</v>
      </c>
      <c r="M163" s="932"/>
      <c r="N163" s="933"/>
      <c r="O163" s="933"/>
      <c r="P163" s="933"/>
      <c r="Q163" s="933"/>
      <c r="R163" s="933"/>
      <c r="S163" s="934"/>
      <c r="T163" s="58"/>
      <c r="V163" s="42"/>
      <c r="X163"/>
      <c r="Y163"/>
    </row>
    <row r="164" spans="1:25" ht="13.5" thickBot="1">
      <c r="A164" s="470"/>
      <c r="B164" s="471"/>
      <c r="C164" s="479"/>
      <c r="D164" s="479"/>
      <c r="E164" s="479"/>
      <c r="F164" s="479"/>
      <c r="G164" s="479"/>
      <c r="H164" s="479"/>
      <c r="I164" s="479"/>
      <c r="J164" s="306"/>
      <c r="K164" s="848"/>
      <c r="L164" s="476"/>
      <c r="M164" s="932"/>
      <c r="N164" s="933"/>
      <c r="O164" s="933"/>
      <c r="P164" s="933"/>
      <c r="Q164" s="933"/>
      <c r="R164" s="933"/>
      <c r="S164" s="934"/>
      <c r="T164" s="58"/>
      <c r="V164" s="42"/>
      <c r="X164"/>
      <c r="Y164"/>
    </row>
    <row r="165" spans="1:25" ht="15.75" thickBot="1" thickTop="1">
      <c r="A165" s="470"/>
      <c r="B165" s="471"/>
      <c r="C165" s="471"/>
      <c r="D165" s="471"/>
      <c r="E165" s="306"/>
      <c r="F165" s="480" t="s">
        <v>229</v>
      </c>
      <c r="G165" s="1146">
        <f>MAX(L159:L162)</f>
        <v>0</v>
      </c>
      <c r="H165" s="1147"/>
      <c r="I165" s="473" t="s">
        <v>84</v>
      </c>
      <c r="J165" s="306"/>
      <c r="K165" s="848"/>
      <c r="L165" s="476">
        <v>5</v>
      </c>
      <c r="M165" s="932"/>
      <c r="N165" s="933"/>
      <c r="O165" s="933"/>
      <c r="P165" s="933"/>
      <c r="Q165" s="933"/>
      <c r="R165" s="933"/>
      <c r="S165" s="934"/>
      <c r="T165" s="58"/>
      <c r="V165" s="42"/>
      <c r="X165"/>
      <c r="Y165"/>
    </row>
    <row r="166" spans="1:22" ht="15" customHeight="1" thickTop="1">
      <c r="A166" s="470"/>
      <c r="B166" s="471"/>
      <c r="C166" s="471"/>
      <c r="D166" s="471"/>
      <c r="E166" s="471"/>
      <c r="F166" s="472"/>
      <c r="G166" s="482"/>
      <c r="H166" s="471"/>
      <c r="I166" s="471"/>
      <c r="J166" s="471"/>
      <c r="K166" s="471"/>
      <c r="L166" s="476"/>
      <c r="M166" s="932"/>
      <c r="N166" s="933"/>
      <c r="O166" s="933"/>
      <c r="P166" s="933"/>
      <c r="Q166" s="933"/>
      <c r="R166" s="933"/>
      <c r="S166" s="934"/>
      <c r="U166" s="61"/>
      <c r="V166" s="63"/>
    </row>
    <row r="167" spans="1:22" ht="17.25" customHeight="1">
      <c r="A167" s="470"/>
      <c r="B167" s="471"/>
      <c r="C167" s="1480" t="s">
        <v>412</v>
      </c>
      <c r="D167" s="1480"/>
      <c r="E167" s="1480"/>
      <c r="F167" s="1480"/>
      <c r="G167" s="1480"/>
      <c r="H167" s="1480"/>
      <c r="I167" s="1480"/>
      <c r="J167" s="471"/>
      <c r="K167" s="471"/>
      <c r="L167" s="476"/>
      <c r="M167" s="932"/>
      <c r="N167" s="933"/>
      <c r="O167" s="933"/>
      <c r="P167" s="933"/>
      <c r="Q167" s="933"/>
      <c r="R167" s="933"/>
      <c r="S167" s="934"/>
      <c r="U167" s="61"/>
      <c r="V167" s="63"/>
    </row>
    <row r="168" spans="1:19" ht="15.75" customHeight="1">
      <c r="A168" s="470"/>
      <c r="B168" s="471"/>
      <c r="C168" s="471"/>
      <c r="D168" s="1139" t="s">
        <v>413</v>
      </c>
      <c r="E168" s="1140"/>
      <c r="F168" s="1140"/>
      <c r="G168" s="1140"/>
      <c r="H168" s="1140"/>
      <c r="I168" s="1141"/>
      <c r="J168" s="471"/>
      <c r="K168" s="471"/>
      <c r="L168" s="476"/>
      <c r="M168" s="932"/>
      <c r="N168" s="933"/>
      <c r="O168" s="933"/>
      <c r="P168" s="933"/>
      <c r="Q168" s="933"/>
      <c r="R168" s="933"/>
      <c r="S168" s="934"/>
    </row>
    <row r="169" spans="1:19" ht="17.25" customHeight="1">
      <c r="A169" s="470"/>
      <c r="B169" s="471"/>
      <c r="C169" s="481" t="s">
        <v>647</v>
      </c>
      <c r="D169" s="306"/>
      <c r="E169" s="306"/>
      <c r="F169" s="306"/>
      <c r="G169" s="306"/>
      <c r="H169" s="306"/>
      <c r="I169" s="306"/>
      <c r="J169" s="471"/>
      <c r="K169" s="471"/>
      <c r="L169" s="476"/>
      <c r="M169" s="932"/>
      <c r="N169" s="933"/>
      <c r="O169" s="933"/>
      <c r="P169" s="933"/>
      <c r="Q169" s="933"/>
      <c r="R169" s="933"/>
      <c r="S169" s="934"/>
    </row>
    <row r="170" spans="1:19" ht="16.5" customHeight="1">
      <c r="A170" s="470"/>
      <c r="B170" s="471"/>
      <c r="C170" s="471"/>
      <c r="D170" s="850"/>
      <c r="E170" s="851"/>
      <c r="F170" s="851"/>
      <c r="G170" s="851"/>
      <c r="H170" s="851"/>
      <c r="I170" s="852"/>
      <c r="J170" s="471"/>
      <c r="K170" s="471"/>
      <c r="L170" s="476"/>
      <c r="M170" s="932"/>
      <c r="N170" s="933"/>
      <c r="O170" s="933"/>
      <c r="P170" s="933"/>
      <c r="Q170" s="933"/>
      <c r="R170" s="933"/>
      <c r="S170" s="934"/>
    </row>
    <row r="171" spans="1:19" ht="8.25" customHeight="1" thickBot="1">
      <c r="A171" s="470"/>
      <c r="B171" s="471"/>
      <c r="C171" s="471"/>
      <c r="D171" s="471"/>
      <c r="E171" s="471"/>
      <c r="F171" s="472"/>
      <c r="G171" s="482"/>
      <c r="H171" s="471"/>
      <c r="I171" s="471"/>
      <c r="J171" s="471"/>
      <c r="K171" s="471"/>
      <c r="L171" s="476"/>
      <c r="M171" s="932"/>
      <c r="N171" s="933"/>
      <c r="O171" s="933"/>
      <c r="P171" s="933"/>
      <c r="Q171" s="933"/>
      <c r="R171" s="933"/>
      <c r="S171" s="934"/>
    </row>
    <row r="172" spans="1:19" ht="15.75" thickBot="1">
      <c r="A172" s="483" t="s">
        <v>141</v>
      </c>
      <c r="B172" s="484"/>
      <c r="C172" s="484"/>
      <c r="D172" s="484"/>
      <c r="E172" s="484"/>
      <c r="F172" s="484"/>
      <c r="G172" s="484"/>
      <c r="H172" s="351"/>
      <c r="I172" s="485" t="s">
        <v>415</v>
      </c>
      <c r="J172" s="1076">
        <f>G156+G165</f>
        <v>0</v>
      </c>
      <c r="K172" s="1481"/>
      <c r="L172" s="1077"/>
      <c r="M172" s="935"/>
      <c r="N172" s="936"/>
      <c r="O172" s="936"/>
      <c r="P172" s="936"/>
      <c r="Q172" s="936"/>
      <c r="R172" s="936"/>
      <c r="S172" s="937"/>
    </row>
    <row r="173" spans="1:19" ht="16.5" customHeight="1" thickBot="1">
      <c r="A173" s="321" t="s">
        <v>440</v>
      </c>
      <c r="B173" s="406"/>
      <c r="C173" s="891" t="s">
        <v>316</v>
      </c>
      <c r="D173" s="891"/>
      <c r="E173" s="891"/>
      <c r="F173" s="891"/>
      <c r="G173" s="891"/>
      <c r="H173" s="891"/>
      <c r="I173" s="891"/>
      <c r="J173" s="891"/>
      <c r="K173" s="891"/>
      <c r="L173" s="892"/>
      <c r="M173" s="180" t="s">
        <v>250</v>
      </c>
      <c r="N173" s="182"/>
      <c r="O173" s="182"/>
      <c r="P173" s="182"/>
      <c r="Q173" s="182" t="s">
        <v>45</v>
      </c>
      <c r="R173" s="182"/>
      <c r="S173" s="242"/>
    </row>
    <row r="174" spans="1:19" ht="23.25" customHeight="1" thickBot="1" thickTop="1">
      <c r="A174" s="897" t="s">
        <v>711</v>
      </c>
      <c r="B174" s="898"/>
      <c r="C174" s="898"/>
      <c r="D174" s="898"/>
      <c r="E174" s="898"/>
      <c r="F174" s="898"/>
      <c r="G174" s="898"/>
      <c r="H174" s="898"/>
      <c r="I174" s="898"/>
      <c r="J174" s="898"/>
      <c r="K174" s="898"/>
      <c r="L174" s="895"/>
      <c r="M174" s="1306" t="s">
        <v>720</v>
      </c>
      <c r="N174" s="1307"/>
      <c r="O174" s="1307"/>
      <c r="P174" s="1307"/>
      <c r="Q174" s="1307"/>
      <c r="R174" s="1307"/>
      <c r="S174" s="1308"/>
    </row>
    <row r="175" spans="1:19" ht="15.75" customHeight="1" thickTop="1">
      <c r="A175" s="1211"/>
      <c r="B175" s="1212"/>
      <c r="C175" s="1212"/>
      <c r="D175" s="1212"/>
      <c r="E175" s="306"/>
      <c r="F175" s="306"/>
      <c r="G175" s="306"/>
      <c r="H175" s="306"/>
      <c r="I175" s="306"/>
      <c r="J175" s="306"/>
      <c r="K175" s="306"/>
      <c r="L175" s="412"/>
      <c r="M175" s="1309"/>
      <c r="N175" s="1310"/>
      <c r="O175" s="1310"/>
      <c r="P175" s="1310"/>
      <c r="Q175" s="1310"/>
      <c r="R175" s="1310"/>
      <c r="S175" s="1311"/>
    </row>
    <row r="176" spans="1:19" ht="18.75" customHeight="1">
      <c r="A176" s="470"/>
      <c r="B176" s="471" t="s">
        <v>493</v>
      </c>
      <c r="C176" s="471"/>
      <c r="D176" s="471"/>
      <c r="E176" s="471"/>
      <c r="F176" s="471"/>
      <c r="G176" s="471"/>
      <c r="H176" s="471"/>
      <c r="I176" s="853"/>
      <c r="J176" s="853"/>
      <c r="K176" s="853"/>
      <c r="L176" s="854">
        <f>IF($L$185=1,0,"")</f>
        <v>0</v>
      </c>
      <c r="M176" s="1463"/>
      <c r="N176" s="1464"/>
      <c r="O176" s="1464"/>
      <c r="P176" s="1464"/>
      <c r="Q176" s="1464"/>
      <c r="R176" s="1464"/>
      <c r="S176" s="1465"/>
    </row>
    <row r="177" spans="1:19" ht="8.25" customHeight="1">
      <c r="A177" s="470"/>
      <c r="B177" s="471"/>
      <c r="C177" s="471"/>
      <c r="D177" s="471"/>
      <c r="E177" s="471"/>
      <c r="F177" s="471"/>
      <c r="G177" s="471"/>
      <c r="H177" s="471"/>
      <c r="I177" s="853"/>
      <c r="J177" s="853"/>
      <c r="K177" s="853"/>
      <c r="L177" s="854"/>
      <c r="M177" s="1466"/>
      <c r="N177" s="1467"/>
      <c r="O177" s="1467"/>
      <c r="P177" s="1467"/>
      <c r="Q177" s="1467"/>
      <c r="R177" s="1467"/>
      <c r="S177" s="1468"/>
    </row>
    <row r="178" spans="1:19" ht="20.25" customHeight="1">
      <c r="A178" s="470"/>
      <c r="B178" s="471" t="s">
        <v>714</v>
      </c>
      <c r="C178" s="471"/>
      <c r="D178" s="471"/>
      <c r="E178" s="471"/>
      <c r="F178" s="471"/>
      <c r="G178" s="471"/>
      <c r="H178" s="471"/>
      <c r="I178" s="853"/>
      <c r="J178" s="853"/>
      <c r="K178" s="853"/>
      <c r="L178" s="854">
        <f>IF($L$185=2,3,"")</f>
      </c>
      <c r="M178" s="1466"/>
      <c r="N178" s="1467"/>
      <c r="O178" s="1467"/>
      <c r="P178" s="1467"/>
      <c r="Q178" s="1467"/>
      <c r="R178" s="1467"/>
      <c r="S178" s="1468"/>
    </row>
    <row r="179" spans="1:19" ht="16.5" customHeight="1">
      <c r="A179" s="470"/>
      <c r="B179" s="471" t="s">
        <v>715</v>
      </c>
      <c r="C179" s="471"/>
      <c r="D179" s="471"/>
      <c r="E179" s="471"/>
      <c r="F179" s="471"/>
      <c r="G179" s="471"/>
      <c r="H179" s="471"/>
      <c r="I179" s="853"/>
      <c r="J179" s="853"/>
      <c r="K179" s="853"/>
      <c r="L179" s="854">
        <f>IF($L$185=3,5,"")</f>
      </c>
      <c r="M179" s="1466"/>
      <c r="N179" s="1467"/>
      <c r="O179" s="1467"/>
      <c r="P179" s="1467"/>
      <c r="Q179" s="1467"/>
      <c r="R179" s="1467"/>
      <c r="S179" s="1468"/>
    </row>
    <row r="180" spans="1:19" ht="17.25" customHeight="1">
      <c r="A180" s="470"/>
      <c r="B180" s="471" t="s">
        <v>716</v>
      </c>
      <c r="C180" s="471"/>
      <c r="D180" s="471"/>
      <c r="E180" s="471"/>
      <c r="F180" s="471"/>
      <c r="G180" s="471"/>
      <c r="H180" s="471"/>
      <c r="I180" s="853"/>
      <c r="J180" s="853"/>
      <c r="K180" s="853"/>
      <c r="L180" s="854">
        <f>IF($L$185=4,7,"")</f>
      </c>
      <c r="M180" s="1466"/>
      <c r="N180" s="1467"/>
      <c r="O180" s="1467"/>
      <c r="P180" s="1467"/>
      <c r="Q180" s="1467"/>
      <c r="R180" s="1467"/>
      <c r="S180" s="1468"/>
    </row>
    <row r="181" spans="1:19" ht="10.5" customHeight="1">
      <c r="A181" s="470"/>
      <c r="B181" s="471"/>
      <c r="C181" s="471"/>
      <c r="D181" s="471"/>
      <c r="E181" s="471"/>
      <c r="F181" s="471"/>
      <c r="G181" s="471"/>
      <c r="H181" s="471"/>
      <c r="I181" s="853"/>
      <c r="J181" s="853"/>
      <c r="K181" s="853"/>
      <c r="L181" s="854"/>
      <c r="M181" s="1466"/>
      <c r="N181" s="1467"/>
      <c r="O181" s="1467"/>
      <c r="P181" s="1467"/>
      <c r="Q181" s="1467"/>
      <c r="R181" s="1467"/>
      <c r="S181" s="1468"/>
    </row>
    <row r="182" spans="1:19" ht="15" customHeight="1">
      <c r="A182" s="470"/>
      <c r="B182" s="471" t="s">
        <v>718</v>
      </c>
      <c r="C182" s="471"/>
      <c r="D182" s="471"/>
      <c r="E182" s="471"/>
      <c r="F182" s="471"/>
      <c r="G182" s="471"/>
      <c r="H182" s="471"/>
      <c r="I182" s="853"/>
      <c r="J182" s="853"/>
      <c r="K182" s="853"/>
      <c r="L182" s="854">
        <f>IF($L$185=5,7,"")</f>
      </c>
      <c r="M182" s="1466"/>
      <c r="N182" s="1467"/>
      <c r="O182" s="1467"/>
      <c r="P182" s="1467"/>
      <c r="Q182" s="1467"/>
      <c r="R182" s="1467"/>
      <c r="S182" s="1468"/>
    </row>
    <row r="183" spans="1:19" ht="9.75" customHeight="1">
      <c r="A183" s="470"/>
      <c r="B183" s="471"/>
      <c r="C183" s="471"/>
      <c r="D183" s="471"/>
      <c r="E183" s="471"/>
      <c r="F183" s="471"/>
      <c r="G183" s="471"/>
      <c r="H183" s="471"/>
      <c r="I183" s="853"/>
      <c r="J183" s="853"/>
      <c r="K183" s="853"/>
      <c r="L183" s="854"/>
      <c r="M183" s="1466"/>
      <c r="N183" s="1467"/>
      <c r="O183" s="1467"/>
      <c r="P183" s="1467"/>
      <c r="Q183" s="1467"/>
      <c r="R183" s="1467"/>
      <c r="S183" s="1468"/>
    </row>
    <row r="184" spans="1:19" ht="14.25">
      <c r="A184" s="470"/>
      <c r="B184" s="471" t="s">
        <v>719</v>
      </c>
      <c r="C184" s="471"/>
      <c r="D184" s="471"/>
      <c r="E184" s="471"/>
      <c r="F184" s="471"/>
      <c r="G184" s="471"/>
      <c r="H184" s="471"/>
      <c r="I184" s="853"/>
      <c r="J184" s="853"/>
      <c r="K184" s="853"/>
      <c r="L184" s="854">
        <f>IF($L$185=6,10,"")</f>
      </c>
      <c r="M184" s="1466"/>
      <c r="N184" s="1467"/>
      <c r="O184" s="1467"/>
      <c r="P184" s="1467"/>
      <c r="Q184" s="1467"/>
      <c r="R184" s="1467"/>
      <c r="S184" s="1468"/>
    </row>
    <row r="185" spans="1:19" ht="15" thickBot="1">
      <c r="A185" s="470"/>
      <c r="B185" s="471"/>
      <c r="C185" s="471"/>
      <c r="D185" s="471"/>
      <c r="E185" s="471"/>
      <c r="F185" s="471"/>
      <c r="G185" s="471"/>
      <c r="H185" s="471"/>
      <c r="I185" s="853"/>
      <c r="J185" s="853"/>
      <c r="K185" s="853"/>
      <c r="L185" s="855">
        <v>1</v>
      </c>
      <c r="M185" s="1466"/>
      <c r="N185" s="1467"/>
      <c r="O185" s="1467"/>
      <c r="P185" s="1467"/>
      <c r="Q185" s="1467"/>
      <c r="R185" s="1467"/>
      <c r="S185" s="1468"/>
    </row>
    <row r="186" spans="1:19" ht="15.75" thickBot="1">
      <c r="A186" s="856"/>
      <c r="B186" s="484"/>
      <c r="C186" s="484"/>
      <c r="D186" s="484"/>
      <c r="E186" s="484"/>
      <c r="F186" s="484"/>
      <c r="G186" s="484"/>
      <c r="H186" s="484"/>
      <c r="I186" s="485" t="s">
        <v>415</v>
      </c>
      <c r="J186" s="1472">
        <f>MAX(L176:L184)</f>
        <v>0</v>
      </c>
      <c r="K186" s="1473"/>
      <c r="L186" s="1474"/>
      <c r="M186" s="1469"/>
      <c r="N186" s="1470"/>
      <c r="O186" s="1470"/>
      <c r="P186" s="1470"/>
      <c r="Q186" s="1470"/>
      <c r="R186" s="1470"/>
      <c r="S186" s="1471"/>
    </row>
    <row r="187" spans="1:13" ht="15">
      <c r="A187" s="110"/>
      <c r="B187" s="110"/>
      <c r="C187" s="110"/>
      <c r="D187" s="110"/>
      <c r="E187" s="110"/>
      <c r="F187" s="110"/>
      <c r="G187" s="110"/>
      <c r="H187" s="110"/>
      <c r="I187" s="111"/>
      <c r="J187" s="111"/>
      <c r="K187" s="111"/>
      <c r="L187" s="109"/>
      <c r="M187" s="109"/>
    </row>
    <row r="188" spans="1:19" ht="12.75">
      <c r="A188" s="42"/>
      <c r="B188" s="42"/>
      <c r="C188" s="42"/>
      <c r="D188" s="42"/>
      <c r="E188" s="42"/>
      <c r="F188" s="42"/>
      <c r="G188" s="42"/>
      <c r="H188" s="42"/>
      <c r="I188" s="42"/>
      <c r="J188" s="42"/>
      <c r="K188" s="42"/>
      <c r="L188" s="42"/>
      <c r="M188" s="42"/>
      <c r="N188" s="42"/>
      <c r="O188" s="42"/>
      <c r="P188" s="42"/>
      <c r="Q188" s="42"/>
      <c r="R188" s="42"/>
      <c r="S188" s="42"/>
    </row>
    <row r="189" spans="1:19" ht="12.75">
      <c r="A189" s="273" t="str">
        <f>Sheet1!A1</f>
        <v>Canon City, CO Field Office</v>
      </c>
      <c r="B189" s="273"/>
      <c r="C189" s="273"/>
      <c r="D189" s="273"/>
      <c r="E189" s="273"/>
      <c r="F189" s="273" t="str">
        <f>Sheet1!E1</f>
        <v>B. Gohlke</v>
      </c>
      <c r="G189" s="273"/>
      <c r="H189" s="273"/>
      <c r="I189" s="273"/>
      <c r="J189" s="273"/>
      <c r="K189" s="273" t="str">
        <f>Sheet1!H1</f>
        <v>wwheat-fallow</v>
      </c>
      <c r="L189" s="273"/>
      <c r="M189" s="273"/>
      <c r="N189" s="273"/>
      <c r="O189" s="273"/>
      <c r="P189" s="273"/>
      <c r="Q189" s="273"/>
      <c r="R189" s="273"/>
      <c r="S189" s="273"/>
    </row>
    <row r="190" spans="1:19" ht="12.75">
      <c r="A190" s="273" t="str">
        <f>Sheet1!A2</f>
        <v>Cheyenne Wells, CO Field Office</v>
      </c>
      <c r="B190" s="273"/>
      <c r="C190" s="273"/>
      <c r="D190" s="273"/>
      <c r="E190" s="273"/>
      <c r="F190" s="273" t="str">
        <f>Sheet1!E2</f>
        <v>G. Langer</v>
      </c>
      <c r="G190" s="273"/>
      <c r="H190" s="273"/>
      <c r="I190" s="273"/>
      <c r="J190" s="273"/>
      <c r="K190" s="273" t="str">
        <f>Sheet1!H2</f>
        <v>wwheat-sorghum-fallow</v>
      </c>
      <c r="L190" s="273"/>
      <c r="M190" s="273"/>
      <c r="N190" s="273"/>
      <c r="O190" s="273"/>
      <c r="P190" s="273"/>
      <c r="Q190" s="273"/>
      <c r="R190" s="273"/>
      <c r="S190" s="273"/>
    </row>
    <row r="191" spans="1:19" ht="12.75">
      <c r="A191" s="273" t="str">
        <f>Sheet1!A3</f>
        <v>Colorado Springs, CO Field Office</v>
      </c>
      <c r="B191" s="273"/>
      <c r="C191" s="273"/>
      <c r="D191" s="273"/>
      <c r="E191" s="273"/>
      <c r="F191" s="273" t="str">
        <f>Sheet1!E3</f>
        <v>J. Valentine</v>
      </c>
      <c r="G191" s="273"/>
      <c r="H191" s="273"/>
      <c r="I191" s="273"/>
      <c r="J191" s="273"/>
      <c r="K191" s="273" t="str">
        <f>Sheet1!H3</f>
        <v>wwheat-sorghum-sorghum-fallow</v>
      </c>
      <c r="L191" s="273"/>
      <c r="M191" s="273"/>
      <c r="N191" s="273"/>
      <c r="O191" s="273"/>
      <c r="P191" s="273"/>
      <c r="Q191" s="273"/>
      <c r="R191" s="273"/>
      <c r="S191" s="273"/>
    </row>
    <row r="192" spans="1:19" ht="12.75">
      <c r="A192" s="273" t="str">
        <f>Sheet1!A4</f>
        <v>Eads, CO Field Office</v>
      </c>
      <c r="B192" s="273"/>
      <c r="C192" s="273"/>
      <c r="D192" s="273"/>
      <c r="E192" s="273"/>
      <c r="F192" s="273" t="str">
        <f>Sheet1!E4</f>
        <v>R. Castle</v>
      </c>
      <c r="G192" s="273"/>
      <c r="H192" s="273"/>
      <c r="I192" s="273"/>
      <c r="J192" s="273"/>
      <c r="K192" s="273" t="str">
        <f>Sheet1!H4</f>
        <v>wwheat-corn-fallow</v>
      </c>
      <c r="L192" s="273"/>
      <c r="M192" s="273"/>
      <c r="N192" s="273"/>
      <c r="O192" s="273"/>
      <c r="P192" s="273"/>
      <c r="Q192" s="273"/>
      <c r="R192" s="273"/>
      <c r="S192" s="273"/>
    </row>
    <row r="193" spans="1:21" ht="12.75">
      <c r="A193" s="273" t="str">
        <f>Sheet1!A5</f>
        <v>Holly, CO Northeast Prowers SCD</v>
      </c>
      <c r="B193" s="273"/>
      <c r="C193" s="273"/>
      <c r="D193" s="273"/>
      <c r="E193" s="273"/>
      <c r="F193" s="273" t="str">
        <f>Sheet1!E5</f>
        <v>R. Rhoades</v>
      </c>
      <c r="G193" s="273"/>
      <c r="H193" s="273"/>
      <c r="I193" s="273"/>
      <c r="J193" s="273"/>
      <c r="K193" s="273" t="str">
        <f>Sheet1!H5</f>
        <v>wwheat-corn-corn-fallow</v>
      </c>
      <c r="L193" s="273"/>
      <c r="M193" s="273"/>
      <c r="N193" s="273"/>
      <c r="O193" s="273"/>
      <c r="P193" s="273"/>
      <c r="Q193" s="273"/>
      <c r="R193" s="273"/>
      <c r="S193" s="273"/>
      <c r="U193" s="61"/>
    </row>
    <row r="194" spans="1:21" ht="12.75">
      <c r="A194" s="273" t="str">
        <f>Sheet1!A6</f>
        <v>Hugo, CO Field Office</v>
      </c>
      <c r="B194" s="273"/>
      <c r="C194" s="273"/>
      <c r="D194" s="273"/>
      <c r="E194" s="273"/>
      <c r="F194" s="273" t="str">
        <f>Sheet1!E6</f>
        <v>B. Fortman</v>
      </c>
      <c r="G194" s="273"/>
      <c r="H194" s="273"/>
      <c r="I194" s="273"/>
      <c r="J194" s="273"/>
      <c r="K194" s="273" t="str">
        <f>Sheet1!H6</f>
        <v>wwheat-corn-sorghum-fallow</v>
      </c>
      <c r="L194" s="273"/>
      <c r="M194" s="273"/>
      <c r="N194" s="273"/>
      <c r="O194" s="273"/>
      <c r="P194" s="273"/>
      <c r="Q194" s="273"/>
      <c r="R194" s="273"/>
      <c r="S194" s="273"/>
      <c r="U194" s="61"/>
    </row>
    <row r="195" spans="1:21" ht="12.75">
      <c r="A195" s="273" t="str">
        <f>Sheet1!A7</f>
        <v>Lamar, CO  Field Office</v>
      </c>
      <c r="B195" s="273"/>
      <c r="C195" s="273"/>
      <c r="D195" s="273"/>
      <c r="E195" s="273"/>
      <c r="F195" s="273" t="str">
        <f>Sheet1!E7</f>
        <v>L. Borrego</v>
      </c>
      <c r="G195" s="273"/>
      <c r="H195" s="273"/>
      <c r="I195" s="273"/>
      <c r="J195" s="273"/>
      <c r="K195" s="273" t="str">
        <f>Sheet1!H7</f>
        <v>wwheat-sorghum-corn-fallow</v>
      </c>
      <c r="L195" s="273"/>
      <c r="M195" s="273"/>
      <c r="N195" s="273"/>
      <c r="O195" s="273"/>
      <c r="P195" s="273"/>
      <c r="Q195" s="273"/>
      <c r="R195" s="273"/>
      <c r="S195" s="273"/>
      <c r="U195" s="61"/>
    </row>
    <row r="196" spans="1:21" ht="12.75">
      <c r="A196" s="273" t="str">
        <f>Sheet1!A8</f>
        <v>Las Animas, CO Field Office</v>
      </c>
      <c r="B196" s="273"/>
      <c r="C196" s="273"/>
      <c r="D196" s="273"/>
      <c r="E196" s="273"/>
      <c r="F196" s="273" t="str">
        <f>Sheet1!E8</f>
        <v>M. Clark</v>
      </c>
      <c r="G196" s="273"/>
      <c r="H196" s="273"/>
      <c r="I196" s="273"/>
      <c r="J196" s="273"/>
      <c r="K196" s="273" t="str">
        <f>Sheet1!H8</f>
        <v>continuous wwheat</v>
      </c>
      <c r="L196" s="273"/>
      <c r="M196" s="273"/>
      <c r="N196" s="273"/>
      <c r="O196" s="273"/>
      <c r="P196" s="273"/>
      <c r="Q196" s="273"/>
      <c r="R196" s="273"/>
      <c r="S196" s="273"/>
      <c r="U196" s="61"/>
    </row>
    <row r="197" spans="1:21" ht="12.75">
      <c r="A197" s="273" t="str">
        <f>Sheet1!A9</f>
        <v>Pueblo, CO Field Office</v>
      </c>
      <c r="B197" s="273"/>
      <c r="C197" s="273"/>
      <c r="D197" s="273"/>
      <c r="E197" s="273"/>
      <c r="F197" s="273" t="str">
        <f>Sheet1!E9</f>
        <v>B. Klinkerman</v>
      </c>
      <c r="G197" s="273"/>
      <c r="H197" s="273"/>
      <c r="I197" s="273"/>
      <c r="J197" s="273"/>
      <c r="K197" s="273" t="str">
        <f>Sheet1!H9</f>
        <v>continuous corn</v>
      </c>
      <c r="L197" s="273"/>
      <c r="M197" s="273"/>
      <c r="N197" s="273"/>
      <c r="O197" s="273"/>
      <c r="P197" s="273"/>
      <c r="Q197" s="273"/>
      <c r="R197" s="273"/>
      <c r="S197" s="273"/>
      <c r="U197" s="61"/>
    </row>
    <row r="198" spans="1:21" ht="12.75">
      <c r="A198" s="273" t="str">
        <f>Sheet1!A10</f>
        <v>Rocky Ford, CO Field Office</v>
      </c>
      <c r="B198" s="273"/>
      <c r="C198" s="273"/>
      <c r="D198" s="273"/>
      <c r="E198" s="273"/>
      <c r="F198" s="273" t="str">
        <f>Sheet1!E10</f>
        <v>D. Miller</v>
      </c>
      <c r="G198" s="273"/>
      <c r="H198" s="273"/>
      <c r="I198" s="273"/>
      <c r="J198" s="273"/>
      <c r="K198" s="273" t="str">
        <f>Sheet1!H10</f>
        <v>continuous sorghum</v>
      </c>
      <c r="L198" s="273"/>
      <c r="M198" s="273"/>
      <c r="N198" s="273"/>
      <c r="O198" s="273"/>
      <c r="P198" s="273"/>
      <c r="Q198" s="273"/>
      <c r="R198" s="273"/>
      <c r="S198" s="273"/>
      <c r="U198" s="61"/>
    </row>
    <row r="199" spans="1:21" ht="12.75">
      <c r="A199" s="273" t="str">
        <f>Sheet1!A11</f>
        <v>Salida, CO Field Office</v>
      </c>
      <c r="B199" s="273"/>
      <c r="C199" s="273"/>
      <c r="D199" s="273"/>
      <c r="E199" s="273"/>
      <c r="F199" s="273" t="str">
        <f>Sheet1!E11</f>
        <v>D. Russell</v>
      </c>
      <c r="G199" s="273"/>
      <c r="H199" s="273"/>
      <c r="I199" s="273"/>
      <c r="J199" s="273"/>
      <c r="K199" s="273" t="str">
        <f>Sheet1!H11</f>
        <v>wwheat-corn-sunflower-fallow</v>
      </c>
      <c r="L199" s="273"/>
      <c r="M199" s="273"/>
      <c r="N199" s="273"/>
      <c r="O199" s="273"/>
      <c r="P199" s="273"/>
      <c r="Q199" s="273"/>
      <c r="R199" s="273"/>
      <c r="S199" s="273"/>
      <c r="U199" s="61"/>
    </row>
    <row r="200" spans="1:21" ht="12.75">
      <c r="A200" s="273" t="str">
        <f>Sheet1!A12</f>
        <v>Silver Cliff, CO Field Office</v>
      </c>
      <c r="B200" s="273"/>
      <c r="C200" s="273"/>
      <c r="D200" s="273"/>
      <c r="E200" s="273"/>
      <c r="F200" s="273" t="str">
        <f>Sheet1!E12</f>
        <v>M. Williams</v>
      </c>
      <c r="G200" s="273"/>
      <c r="H200" s="273"/>
      <c r="I200" s="273"/>
      <c r="J200" s="273"/>
      <c r="K200" s="273" t="str">
        <f>Sheet1!H12</f>
        <v>wwheat-sorghum-sunflower-fallow</v>
      </c>
      <c r="L200" s="273"/>
      <c r="M200" s="273"/>
      <c r="N200" s="273"/>
      <c r="O200" s="273"/>
      <c r="P200" s="273"/>
      <c r="Q200" s="273"/>
      <c r="R200" s="273"/>
      <c r="S200" s="273"/>
      <c r="U200" s="61"/>
    </row>
    <row r="201" spans="1:21" ht="12.75">
      <c r="A201" s="273" t="str">
        <f>Sheet1!A13</f>
        <v>Simla, CO Field Office</v>
      </c>
      <c r="B201" s="273"/>
      <c r="C201" s="273"/>
      <c r="D201" s="273"/>
      <c r="E201" s="273"/>
      <c r="F201" s="273" t="str">
        <f>Sheet1!E13</f>
        <v>F. Edens</v>
      </c>
      <c r="G201" s="273"/>
      <c r="H201" s="273"/>
      <c r="I201" s="273"/>
      <c r="J201" s="273"/>
      <c r="K201" s="273" t="str">
        <f>Sheet1!H13</f>
        <v>canola-sorghum-fallow</v>
      </c>
      <c r="L201" s="273"/>
      <c r="M201" s="273"/>
      <c r="N201" s="273"/>
      <c r="O201" s="273"/>
      <c r="P201" s="273"/>
      <c r="Q201" s="273"/>
      <c r="R201" s="273"/>
      <c r="S201" s="273"/>
      <c r="U201" s="61"/>
    </row>
    <row r="202" spans="1:21" ht="12.75">
      <c r="A202" s="273" t="str">
        <f>Sheet1!A14</f>
        <v>Springfield, CO Field Office</v>
      </c>
      <c r="B202" s="273"/>
      <c r="C202" s="273"/>
      <c r="D202" s="273"/>
      <c r="E202" s="273"/>
      <c r="F202" s="273" t="str">
        <f>Sheet1!E14</f>
        <v>J. "Wade" Sigler</v>
      </c>
      <c r="G202" s="273"/>
      <c r="H202" s="273"/>
      <c r="I202" s="273"/>
      <c r="J202" s="273"/>
      <c r="K202" s="273" t="str">
        <f>Sheet1!H14</f>
        <v>canola-corn-fallow</v>
      </c>
      <c r="L202" s="273"/>
      <c r="M202" s="273"/>
      <c r="N202" s="273"/>
      <c r="O202" s="273"/>
      <c r="P202" s="273"/>
      <c r="Q202" s="273"/>
      <c r="R202" s="273"/>
      <c r="S202" s="273"/>
      <c r="U202" s="61"/>
    </row>
    <row r="203" spans="1:21" ht="12.75">
      <c r="A203" s="273" t="str">
        <f>Sheet1!A15</f>
        <v>Trinidad, CO Field Office</v>
      </c>
      <c r="B203" s="273"/>
      <c r="C203" s="273"/>
      <c r="D203" s="273"/>
      <c r="E203" s="273"/>
      <c r="F203" s="273" t="str">
        <f>Sheet1!E15</f>
        <v>C. Waugh</v>
      </c>
      <c r="G203" s="273"/>
      <c r="H203" s="273"/>
      <c r="I203" s="273"/>
      <c r="J203" s="273"/>
      <c r="K203" s="273" t="str">
        <f>Sheet1!H15</f>
        <v>wwheat-millet-fallow</v>
      </c>
      <c r="L203" s="273"/>
      <c r="M203" s="273"/>
      <c r="N203" s="273"/>
      <c r="O203" s="273"/>
      <c r="P203" s="273"/>
      <c r="Q203" s="273"/>
      <c r="R203" s="273"/>
      <c r="S203" s="273"/>
      <c r="U203" s="61"/>
    </row>
    <row r="204" spans="1:21" ht="12.75">
      <c r="A204" s="273" t="str">
        <f>Sheet1!A16</f>
        <v>Walsenburg, CO Field Office</v>
      </c>
      <c r="B204" s="273"/>
      <c r="C204" s="273"/>
      <c r="D204" s="273"/>
      <c r="E204" s="273"/>
      <c r="F204" s="273" t="str">
        <f>Sheet1!E16</f>
        <v>S. Smith</v>
      </c>
      <c r="G204" s="273"/>
      <c r="H204" s="273"/>
      <c r="I204" s="273"/>
      <c r="J204" s="273"/>
      <c r="K204" s="273" t="str">
        <f>Sheet1!H16</f>
        <v>wwheat-corn-millet</v>
      </c>
      <c r="L204" s="273"/>
      <c r="M204" s="273"/>
      <c r="N204" s="273"/>
      <c r="O204" s="273"/>
      <c r="P204" s="273"/>
      <c r="Q204" s="273"/>
      <c r="R204" s="273"/>
      <c r="S204" s="273"/>
      <c r="U204" s="61"/>
    </row>
    <row r="205" spans="1:21" ht="12.75">
      <c r="A205" s="273" t="str">
        <f>Sheet1!A17</f>
        <v>Woodland Park, CO Teller/Park SCD</v>
      </c>
      <c r="B205" s="273"/>
      <c r="C205" s="273"/>
      <c r="D205" s="273"/>
      <c r="E205" s="273"/>
      <c r="F205" s="273" t="str">
        <f>Sheet1!E17</f>
        <v>J. Nelson</v>
      </c>
      <c r="G205" s="273"/>
      <c r="H205" s="273"/>
      <c r="I205" s="273"/>
      <c r="J205" s="273"/>
      <c r="K205" s="273" t="str">
        <f>Sheet1!H17</f>
        <v>wwheat-millet-corn</v>
      </c>
      <c r="L205" s="273"/>
      <c r="M205" s="273"/>
      <c r="N205" s="273"/>
      <c r="O205" s="273"/>
      <c r="P205" s="273"/>
      <c r="Q205" s="273"/>
      <c r="R205" s="273"/>
      <c r="S205" s="273"/>
      <c r="U205" s="61"/>
    </row>
    <row r="206" spans="1:21" ht="12.75">
      <c r="A206" s="273"/>
      <c r="B206" s="273"/>
      <c r="C206" s="273"/>
      <c r="D206" s="273"/>
      <c r="E206" s="273"/>
      <c r="F206" s="273" t="str">
        <f>Sheet1!E18</f>
        <v>J. Sperry</v>
      </c>
      <c r="G206" s="273"/>
      <c r="H206" s="273"/>
      <c r="I206" s="273"/>
      <c r="J206" s="273"/>
      <c r="K206" s="273" t="str">
        <f>Sheet1!H18</f>
        <v>wwheat-corn-millet-fallow</v>
      </c>
      <c r="L206" s="273"/>
      <c r="M206" s="273"/>
      <c r="N206" s="273"/>
      <c r="O206" s="273"/>
      <c r="P206" s="273"/>
      <c r="Q206" s="273"/>
      <c r="R206" s="273"/>
      <c r="S206" s="273"/>
      <c r="U206" s="61"/>
    </row>
    <row r="207" spans="1:21" ht="12.75">
      <c r="A207" s="273"/>
      <c r="B207" s="273"/>
      <c r="C207" s="273"/>
      <c r="D207" s="273"/>
      <c r="E207" s="273"/>
      <c r="F207" s="273" t="str">
        <f>Sheet1!E19</f>
        <v>R. Romano</v>
      </c>
      <c r="G207" s="273"/>
      <c r="H207" s="273"/>
      <c r="I207" s="273"/>
      <c r="J207" s="273"/>
      <c r="K207" s="273" t="str">
        <f>Sheet1!H19</f>
        <v>wwheat-sunflower-fallow</v>
      </c>
      <c r="L207" s="273"/>
      <c r="M207" s="273"/>
      <c r="N207" s="273"/>
      <c r="O207" s="273"/>
      <c r="P207" s="273"/>
      <c r="Q207" s="273"/>
      <c r="R207" s="273"/>
      <c r="S207" s="273"/>
      <c r="U207" s="61"/>
    </row>
    <row r="208" spans="1:21" ht="12.75">
      <c r="A208" s="273"/>
      <c r="B208" s="273"/>
      <c r="C208" s="273"/>
      <c r="D208" s="273"/>
      <c r="E208" s="273"/>
      <c r="F208" s="273" t="str">
        <f>Sheet1!E20</f>
        <v>R. Fontaine</v>
      </c>
      <c r="G208" s="273"/>
      <c r="H208" s="273"/>
      <c r="I208" s="273"/>
      <c r="J208" s="273"/>
      <c r="K208" s="273" t="str">
        <f>Sheet1!H20</f>
        <v>wwheat-sunflower-sunflower-fallow</v>
      </c>
      <c r="L208" s="273"/>
      <c r="M208" s="273"/>
      <c r="N208" s="273"/>
      <c r="O208" s="273"/>
      <c r="P208" s="273"/>
      <c r="Q208" s="273"/>
      <c r="R208" s="273"/>
      <c r="S208" s="273"/>
      <c r="U208" s="61"/>
    </row>
    <row r="209" spans="1:21" ht="12.75">
      <c r="A209" s="273" t="str">
        <f>Sheet1!A21</f>
        <v>Individual</v>
      </c>
      <c r="B209" s="273"/>
      <c r="C209" s="273"/>
      <c r="D209" s="273"/>
      <c r="E209" s="273"/>
      <c r="F209" s="273" t="str">
        <f>Sheet1!E21</f>
        <v>M. Watson</v>
      </c>
      <c r="G209" s="273"/>
      <c r="H209" s="273"/>
      <c r="I209" s="273"/>
      <c r="J209" s="273"/>
      <c r="K209" s="273" t="str">
        <f>Sheet1!H21</f>
        <v>wwheat-sunflower-corn-fallow</v>
      </c>
      <c r="L209" s="273"/>
      <c r="M209" s="273"/>
      <c r="N209" s="273"/>
      <c r="O209" s="273"/>
      <c r="P209" s="273"/>
      <c r="Q209" s="273"/>
      <c r="R209" s="273"/>
      <c r="S209" s="273"/>
      <c r="U209" s="61"/>
    </row>
    <row r="210" spans="1:19" ht="12.75">
      <c r="A210" s="273" t="str">
        <f>Sheet1!A22</f>
        <v>General Partnership</v>
      </c>
      <c r="B210" s="273"/>
      <c r="C210" s="273"/>
      <c r="D210" s="273"/>
      <c r="E210" s="273"/>
      <c r="F210" s="273" t="str">
        <f>Sheet1!E22</f>
        <v>M. Miller</v>
      </c>
      <c r="G210" s="273"/>
      <c r="H210" s="273"/>
      <c r="I210" s="273"/>
      <c r="J210" s="273"/>
      <c r="K210" s="273" t="str">
        <f>Sheet1!H22</f>
        <v>wwheat-sunflower-sorghum-fallow</v>
      </c>
      <c r="L210" s="273"/>
      <c r="M210" s="273"/>
      <c r="N210" s="273"/>
      <c r="O210" s="273"/>
      <c r="P210" s="273"/>
      <c r="Q210" s="273"/>
      <c r="R210" s="273"/>
      <c r="S210" s="273"/>
    </row>
    <row r="211" spans="1:19" ht="12.75">
      <c r="A211" s="273" t="str">
        <f>Sheet1!A23</f>
        <v>Joint Venture</v>
      </c>
      <c r="B211" s="273"/>
      <c r="C211" s="273"/>
      <c r="D211" s="273"/>
      <c r="E211" s="273"/>
      <c r="F211" s="273" t="str">
        <f>Sheet1!E23</f>
        <v>C. Sheley</v>
      </c>
      <c r="G211" s="273"/>
      <c r="H211" s="273"/>
      <c r="I211" s="273"/>
      <c r="J211" s="273"/>
      <c r="K211" s="273" t="str">
        <f>Sheet1!H23</f>
        <v>not applicable</v>
      </c>
      <c r="L211" s="273"/>
      <c r="M211" s="273"/>
      <c r="N211" s="273"/>
      <c r="O211" s="273"/>
      <c r="P211" s="273"/>
      <c r="Q211" s="273"/>
      <c r="R211" s="273"/>
      <c r="S211" s="273"/>
    </row>
    <row r="212" spans="1:19" ht="12.75">
      <c r="A212" s="273" t="str">
        <f>Sheet1!A24</f>
        <v>Limited Liability Partnership</v>
      </c>
      <c r="B212" s="273"/>
      <c r="C212" s="273"/>
      <c r="D212" s="273"/>
      <c r="E212" s="273"/>
      <c r="F212" s="273" t="str">
        <f>Sheet1!E24</f>
        <v>D. Sanchez</v>
      </c>
      <c r="G212" s="273"/>
      <c r="H212" s="273"/>
      <c r="I212" s="273"/>
      <c r="J212" s="273"/>
      <c r="K212" s="273" t="str">
        <f>Sheet1!H24</f>
        <v>Russian knapweed</v>
      </c>
      <c r="L212" s="273"/>
      <c r="M212" s="273"/>
      <c r="N212" s="273"/>
      <c r="O212" s="273"/>
      <c r="P212" s="273"/>
      <c r="Q212" s="273"/>
      <c r="R212" s="273"/>
      <c r="S212" s="273"/>
    </row>
    <row r="213" spans="1:19" ht="12.75">
      <c r="A213" s="273" t="str">
        <f>Sheet1!A25</f>
        <v>Limited Liability Limited Partnership</v>
      </c>
      <c r="B213" s="273"/>
      <c r="C213" s="273"/>
      <c r="D213" s="273"/>
      <c r="E213" s="273"/>
      <c r="F213" s="273" t="str">
        <f>Sheet1!E25</f>
        <v>L.G. "Smitty" Smith</v>
      </c>
      <c r="G213" s="273"/>
      <c r="H213" s="273"/>
      <c r="I213" s="273"/>
      <c r="J213" s="273"/>
      <c r="K213" s="273" t="str">
        <f>Sheet1!H25</f>
        <v>Field bindweed</v>
      </c>
      <c r="L213" s="273"/>
      <c r="M213" s="273"/>
      <c r="N213" s="273"/>
      <c r="O213" s="273"/>
      <c r="P213" s="273"/>
      <c r="Q213" s="273"/>
      <c r="R213" s="273"/>
      <c r="S213" s="273"/>
    </row>
    <row r="214" spans="1:19" ht="12.75">
      <c r="A214" s="273" t="str">
        <f>Sheet1!A26</f>
        <v>Limited Partnership Association</v>
      </c>
      <c r="B214" s="273"/>
      <c r="C214" s="273"/>
      <c r="D214" s="273"/>
      <c r="E214" s="273"/>
      <c r="F214" s="273" t="str">
        <f>Sheet1!E26</f>
        <v>C. Regnier</v>
      </c>
      <c r="G214" s="273"/>
      <c r="H214" s="273"/>
      <c r="I214" s="273"/>
      <c r="J214" s="273"/>
      <c r="K214" s="273" t="str">
        <f>Sheet1!H26</f>
        <v>Jointed Goatgrass</v>
      </c>
      <c r="L214" s="273"/>
      <c r="M214" s="273"/>
      <c r="N214" s="273"/>
      <c r="O214" s="273"/>
      <c r="P214" s="273"/>
      <c r="Q214" s="273"/>
      <c r="R214" s="273"/>
      <c r="S214" s="273"/>
    </row>
    <row r="215" spans="1:19" ht="12.75">
      <c r="A215" s="273" t="str">
        <f>Sheet1!A27</f>
        <v>Limited Liability Company</v>
      </c>
      <c r="B215" s="273"/>
      <c r="C215" s="273"/>
      <c r="D215" s="273"/>
      <c r="E215" s="273"/>
      <c r="F215" s="273" t="str">
        <f>Sheet1!E27</f>
        <v>C. Melcher</v>
      </c>
      <c r="G215" s="273"/>
      <c r="H215" s="273"/>
      <c r="I215" s="273"/>
      <c r="J215" s="273"/>
      <c r="K215" s="273" t="str">
        <f>Sheet1!H27</f>
        <v>Leafy spurge</v>
      </c>
      <c r="L215" s="273"/>
      <c r="M215" s="273"/>
      <c r="N215" s="273"/>
      <c r="O215" s="273"/>
      <c r="P215" s="273"/>
      <c r="Q215" s="273"/>
      <c r="R215" s="273"/>
      <c r="S215" s="273"/>
    </row>
    <row r="216" spans="1:19" ht="12.75">
      <c r="A216" s="273" t="str">
        <f>Sheet1!A28</f>
        <v>Limited Partnership  </v>
      </c>
      <c r="B216" s="273"/>
      <c r="C216" s="273"/>
      <c r="D216" s="273"/>
      <c r="E216" s="273"/>
      <c r="F216" s="273" t="str">
        <f>Sheet1!E28</f>
        <v>W. "Ted" Lonnberg</v>
      </c>
      <c r="G216" s="273"/>
      <c r="H216" s="273"/>
      <c r="I216" s="273"/>
      <c r="J216" s="273"/>
      <c r="K216" s="273" t="str">
        <f>Sheet1!H28</f>
        <v>Canada thistle</v>
      </c>
      <c r="L216" s="273"/>
      <c r="M216" s="273"/>
      <c r="N216" s="273"/>
      <c r="O216" s="273"/>
      <c r="P216" s="273"/>
      <c r="Q216" s="273"/>
      <c r="R216" s="273"/>
      <c r="S216" s="273"/>
    </row>
    <row r="217" spans="1:19" ht="12.75">
      <c r="A217" s="273" t="str">
        <f>Sheet1!A29</f>
        <v>Corporation</v>
      </c>
      <c r="B217" s="273"/>
      <c r="C217" s="273"/>
      <c r="D217" s="273"/>
      <c r="E217" s="273"/>
      <c r="F217" s="273" t="str">
        <f>Sheet1!E29</f>
        <v>B. Johnson</v>
      </c>
      <c r="G217" s="273"/>
      <c r="H217" s="273"/>
      <c r="I217" s="273"/>
      <c r="J217" s="273"/>
      <c r="K217" s="273"/>
      <c r="L217" s="273"/>
      <c r="M217" s="273"/>
      <c r="N217" s="273"/>
      <c r="O217" s="273"/>
      <c r="P217" s="273"/>
      <c r="Q217" s="273"/>
      <c r="R217" s="273"/>
      <c r="S217" s="273"/>
    </row>
    <row r="218" spans="1:19" ht="12.75">
      <c r="A218" s="273" t="str">
        <f>Sheet1!A30</f>
        <v>Trust</v>
      </c>
      <c r="B218" s="273"/>
      <c r="C218" s="273"/>
      <c r="D218" s="273"/>
      <c r="E218" s="273"/>
      <c r="F218" s="273" t="str">
        <f>Sheet1!E30</f>
        <v>A. White</v>
      </c>
      <c r="G218" s="273"/>
      <c r="H218" s="273"/>
      <c r="I218" s="273"/>
      <c r="J218" s="273"/>
      <c r="K218" s="273"/>
      <c r="L218" s="273"/>
      <c r="M218" s="273"/>
      <c r="N218" s="273"/>
      <c r="O218" s="273"/>
      <c r="P218" s="273"/>
      <c r="Q218" s="273"/>
      <c r="R218" s="273"/>
      <c r="S218" s="273"/>
    </row>
    <row r="219" spans="1:19" ht="12.75">
      <c r="A219" s="273" t="str">
        <f>Sheet1!A31</f>
        <v>Estate</v>
      </c>
      <c r="B219" s="273"/>
      <c r="C219" s="273"/>
      <c r="D219" s="273"/>
      <c r="E219" s="273"/>
      <c r="F219" s="273" t="str">
        <f>Sheet1!E31</f>
        <v>W. Bland</v>
      </c>
      <c r="G219" s="273"/>
      <c r="H219" s="273"/>
      <c r="I219" s="273"/>
      <c r="J219" s="273"/>
      <c r="K219" s="273"/>
      <c r="L219" s="273"/>
      <c r="M219" s="273"/>
      <c r="N219" s="273"/>
      <c r="O219" s="273"/>
      <c r="P219" s="273"/>
      <c r="Q219" s="273"/>
      <c r="R219" s="273"/>
      <c r="S219" s="273"/>
    </row>
    <row r="220" spans="1:19" ht="12.75">
      <c r="A220" s="273"/>
      <c r="B220" s="273"/>
      <c r="C220" s="273"/>
      <c r="D220" s="273"/>
      <c r="E220" s="273"/>
      <c r="F220" s="273" t="str">
        <f>Sheet1!E32</f>
        <v>S. Hansen</v>
      </c>
      <c r="G220" s="273"/>
      <c r="H220" s="273"/>
      <c r="I220" s="273"/>
      <c r="J220" s="273"/>
      <c r="K220" s="273" t="str">
        <f>Sheet1!H32</f>
        <v>Tamarisk</v>
      </c>
      <c r="L220" s="273"/>
      <c r="M220" s="273"/>
      <c r="N220" s="273"/>
      <c r="O220" s="273"/>
      <c r="P220" s="273"/>
      <c r="Q220" s="273"/>
      <c r="R220" s="273"/>
      <c r="S220" s="273"/>
    </row>
    <row r="221" spans="1:19" ht="12.75">
      <c r="A221" s="273"/>
      <c r="B221" s="273"/>
      <c r="C221" s="273"/>
      <c r="D221" s="273"/>
      <c r="E221" s="273"/>
      <c r="F221" s="273" t="str">
        <f>Sheet1!E33</f>
        <v>K. Conrad</v>
      </c>
      <c r="G221" s="273"/>
      <c r="H221" s="273"/>
      <c r="I221" s="273"/>
      <c r="J221" s="273"/>
      <c r="K221" s="273" t="str">
        <f>Sheet1!H33</f>
        <v>Russian Olive</v>
      </c>
      <c r="L221" s="273"/>
      <c r="M221" s="273"/>
      <c r="N221" s="273"/>
      <c r="O221" s="273"/>
      <c r="P221" s="273"/>
      <c r="Q221" s="273"/>
      <c r="R221" s="273"/>
      <c r="S221" s="273"/>
    </row>
    <row r="222" spans="1:19" ht="12.75">
      <c r="A222" s="273" t="str">
        <f>Sheet1!A34</f>
        <v>Colorado Division of Wildlife</v>
      </c>
      <c r="B222" s="273"/>
      <c r="C222" s="273"/>
      <c r="D222" s="273"/>
      <c r="E222" s="273"/>
      <c r="F222" s="273" t="str">
        <f>Sheet1!E34</f>
        <v>M. Martin</v>
      </c>
      <c r="G222" s="273"/>
      <c r="H222" s="273"/>
      <c r="I222" s="273"/>
      <c r="J222" s="273"/>
      <c r="K222" s="273"/>
      <c r="L222" s="273"/>
      <c r="M222" s="273"/>
      <c r="N222" s="273"/>
      <c r="O222" s="273"/>
      <c r="P222" s="273"/>
      <c r="Q222" s="273"/>
      <c r="R222" s="273"/>
      <c r="S222" s="273"/>
    </row>
    <row r="223" spans="1:19" ht="12.75">
      <c r="A223" s="273" t="str">
        <f>Sheet1!A35</f>
        <v>U.S. Fish and Wildlife Service</v>
      </c>
      <c r="B223" s="273"/>
      <c r="C223" s="273"/>
      <c r="D223" s="273"/>
      <c r="E223" s="273"/>
      <c r="F223" s="273" t="str">
        <f>Sheet1!E35</f>
        <v>E. Kilpatrick</v>
      </c>
      <c r="G223" s="273"/>
      <c r="H223" s="273"/>
      <c r="I223" s="273"/>
      <c r="J223" s="273"/>
      <c r="K223" s="273"/>
      <c r="L223" s="273"/>
      <c r="M223" s="273"/>
      <c r="N223" s="273"/>
      <c r="O223" s="273"/>
      <c r="P223" s="273"/>
      <c r="Q223" s="273"/>
      <c r="R223" s="273"/>
      <c r="S223" s="273"/>
    </row>
    <row r="224" spans="1:19" ht="12.75">
      <c r="A224" s="273" t="str">
        <f>Sheet1!A36</f>
        <v>Colorado Elk Foundation</v>
      </c>
      <c r="B224" s="273"/>
      <c r="C224" s="273"/>
      <c r="D224" s="273"/>
      <c r="E224" s="273"/>
      <c r="F224" s="273" t="str">
        <f>Sheet1!E36</f>
        <v>C. Schleining</v>
      </c>
      <c r="G224" s="273"/>
      <c r="H224" s="273"/>
      <c r="I224" s="273"/>
      <c r="J224" s="273"/>
      <c r="K224" s="273" t="str">
        <f>Sheet1!H36</f>
        <v>Veal Calves</v>
      </c>
      <c r="L224" s="273"/>
      <c r="M224" s="273"/>
      <c r="N224" s="273"/>
      <c r="O224" s="273"/>
      <c r="P224" s="273"/>
      <c r="Q224" s="273"/>
      <c r="R224" s="273"/>
      <c r="S224" s="273"/>
    </row>
    <row r="225" spans="1:19" ht="12.75">
      <c r="A225" s="273" t="str">
        <f>Sheet1!A37</f>
        <v>Pheasants Forever</v>
      </c>
      <c r="B225" s="273"/>
      <c r="C225" s="273"/>
      <c r="D225" s="273"/>
      <c r="E225" s="273"/>
      <c r="F225" s="273" t="str">
        <f>Sheet1!E37</f>
        <v>B. "B.J." Jones</v>
      </c>
      <c r="G225" s="273"/>
      <c r="H225" s="273"/>
      <c r="I225" s="273"/>
      <c r="J225" s="273"/>
      <c r="K225" s="273" t="str">
        <f>Sheet1!H37</f>
        <v>Dairy</v>
      </c>
      <c r="L225" s="273"/>
      <c r="M225" s="273"/>
      <c r="N225" s="273"/>
      <c r="O225" s="273"/>
      <c r="P225" s="273"/>
      <c r="Q225" s="273"/>
      <c r="R225" s="273"/>
      <c r="S225" s="273"/>
    </row>
    <row r="226" spans="1:19" ht="12.75">
      <c r="A226" s="273" t="str">
        <f>Sheet1!A38</f>
        <v>Ducks Unlimited</v>
      </c>
      <c r="B226" s="273"/>
      <c r="C226" s="273"/>
      <c r="D226" s="273"/>
      <c r="E226" s="273"/>
      <c r="F226" s="273" t="str">
        <f>Sheet1!E38</f>
        <v>J. Hamilton</v>
      </c>
      <c r="G226" s="273"/>
      <c r="H226" s="273"/>
      <c r="I226" s="273"/>
      <c r="J226" s="273"/>
      <c r="K226" s="273" t="str">
        <f>Sheet1!H38</f>
        <v>Swine</v>
      </c>
      <c r="L226" s="273"/>
      <c r="M226" s="273"/>
      <c r="N226" s="273"/>
      <c r="O226" s="273"/>
      <c r="P226" s="273"/>
      <c r="Q226" s="273"/>
      <c r="R226" s="273"/>
      <c r="S226" s="273"/>
    </row>
    <row r="227" spans="1:19" ht="12.75">
      <c r="A227" s="273" t="str">
        <f>Sheet1!A39</f>
        <v>Other</v>
      </c>
      <c r="B227" s="273"/>
      <c r="C227" s="273"/>
      <c r="D227" s="273"/>
      <c r="E227" s="273"/>
      <c r="F227" s="273" t="str">
        <f>Sheet1!E39</f>
        <v>J. Moffett</v>
      </c>
      <c r="G227" s="273"/>
      <c r="H227" s="273"/>
      <c r="I227" s="273"/>
      <c r="J227" s="273"/>
      <c r="K227" s="273" t="str">
        <f>Sheet1!H39</f>
        <v>Sheep</v>
      </c>
      <c r="L227" s="273"/>
      <c r="M227" s="273"/>
      <c r="N227" s="273"/>
      <c r="O227" s="273"/>
      <c r="P227" s="273"/>
      <c r="Q227" s="273"/>
      <c r="R227" s="273"/>
      <c r="S227" s="273"/>
    </row>
    <row r="228" spans="1:19" ht="12.75">
      <c r="A228" s="273" t="str">
        <f>Sheet1!A40</f>
        <v>Not Applicable</v>
      </c>
      <c r="B228" s="273"/>
      <c r="C228" s="273"/>
      <c r="D228" s="273"/>
      <c r="E228" s="273"/>
      <c r="F228" s="273" t="str">
        <f>Sheet1!E40</f>
        <v>R. Grigat</v>
      </c>
      <c r="G228" s="273"/>
      <c r="H228" s="273"/>
      <c r="I228" s="273"/>
      <c r="J228" s="273"/>
      <c r="K228" s="273" t="str">
        <f>Sheet1!H40</f>
        <v>Turkey</v>
      </c>
      <c r="L228" s="273"/>
      <c r="M228" s="273"/>
      <c r="N228" s="273"/>
      <c r="O228" s="273"/>
      <c r="P228" s="273"/>
      <c r="Q228" s="273"/>
      <c r="R228" s="273"/>
      <c r="S228" s="273"/>
    </row>
    <row r="229" spans="1:19" ht="12.75">
      <c r="A229" s="273"/>
      <c r="B229" s="273"/>
      <c r="C229" s="273"/>
      <c r="D229" s="273"/>
      <c r="E229" s="273"/>
      <c r="F229" s="273" t="str">
        <f>Sheet1!E41</f>
        <v>J. Dukes</v>
      </c>
      <c r="G229" s="273"/>
      <c r="H229" s="273"/>
      <c r="I229" s="273"/>
      <c r="J229" s="273"/>
      <c r="K229" s="273" t="str">
        <f>Sheet1!H41</f>
        <v>Chicken</v>
      </c>
      <c r="L229" s="273"/>
      <c r="M229" s="273"/>
      <c r="N229" s="273"/>
      <c r="O229" s="273"/>
      <c r="P229" s="273"/>
      <c r="Q229" s="273"/>
      <c r="R229" s="273"/>
      <c r="S229" s="273"/>
    </row>
    <row r="230" spans="1:19" ht="12.75">
      <c r="A230" s="273"/>
      <c r="B230" s="273"/>
      <c r="C230" s="273"/>
      <c r="D230" s="273"/>
      <c r="E230" s="273"/>
      <c r="F230" s="273" t="str">
        <f>Sheet1!E42</f>
        <v>T. Werner</v>
      </c>
      <c r="G230" s="273"/>
      <c r="H230" s="273"/>
      <c r="I230" s="273"/>
      <c r="J230" s="273"/>
      <c r="K230" s="273" t="str">
        <f>Sheet1!H42</f>
        <v>Beef Cattle</v>
      </c>
      <c r="L230" s="273"/>
      <c r="M230" s="273"/>
      <c r="N230" s="273"/>
      <c r="O230" s="273"/>
      <c r="P230" s="273"/>
      <c r="Q230" s="273"/>
      <c r="R230" s="273"/>
      <c r="S230" s="273"/>
    </row>
    <row r="231" spans="1:19" ht="12.75">
      <c r="A231" s="273"/>
      <c r="B231" s="273"/>
      <c r="C231" s="273"/>
      <c r="D231" s="273"/>
      <c r="E231" s="273"/>
      <c r="F231" s="273" t="str">
        <f>Sheet1!E43</f>
        <v>K. Falen</v>
      </c>
      <c r="G231" s="273"/>
      <c r="H231" s="273"/>
      <c r="I231" s="273"/>
      <c r="J231" s="273"/>
      <c r="K231" s="273"/>
      <c r="L231" s="273"/>
      <c r="M231" s="273"/>
      <c r="N231" s="273"/>
      <c r="O231" s="273"/>
      <c r="P231" s="273"/>
      <c r="Q231" s="273"/>
      <c r="R231" s="273"/>
      <c r="S231" s="273"/>
    </row>
    <row r="232" spans="1:19" ht="12.75">
      <c r="A232" s="273"/>
      <c r="B232" s="273"/>
      <c r="C232" s="273"/>
      <c r="D232" s="273"/>
      <c r="E232" s="273"/>
      <c r="F232" s="273" t="str">
        <f>Sheet1!E44</f>
        <v>M. "Storm" Casper</v>
      </c>
      <c r="G232" s="273"/>
      <c r="H232" s="273"/>
      <c r="I232" s="273"/>
      <c r="J232" s="273"/>
      <c r="K232" s="273"/>
      <c r="L232" s="273"/>
      <c r="M232" s="273"/>
      <c r="N232" s="273"/>
      <c r="O232" s="273"/>
      <c r="P232" s="273"/>
      <c r="Q232" s="273"/>
      <c r="R232" s="273"/>
      <c r="S232" s="273"/>
    </row>
    <row r="233" spans="1:20" ht="12.75">
      <c r="A233" s="273"/>
      <c r="B233" s="273"/>
      <c r="C233" s="273"/>
      <c r="D233" s="273"/>
      <c r="E233" s="273"/>
      <c r="F233" s="273" t="str">
        <f>Sheet1!E45</f>
        <v>M. Gigante</v>
      </c>
      <c r="G233" s="273"/>
      <c r="H233" s="273"/>
      <c r="I233" s="273"/>
      <c r="J233" s="273"/>
      <c r="K233" s="273"/>
      <c r="L233" s="273"/>
      <c r="M233" s="273"/>
      <c r="N233" s="273"/>
      <c r="O233" s="273"/>
      <c r="P233" s="273"/>
      <c r="Q233" s="273"/>
      <c r="R233" s="273"/>
      <c r="S233" s="273"/>
      <c r="T233" s="42"/>
    </row>
    <row r="234" spans="1:20" ht="12.75">
      <c r="A234" s="273"/>
      <c r="B234" s="273"/>
      <c r="C234" s="273"/>
      <c r="D234" s="273"/>
      <c r="E234" s="273"/>
      <c r="F234" s="273" t="str">
        <f>Sheet1!E46</f>
        <v>T. Arnhold</v>
      </c>
      <c r="G234" s="273"/>
      <c r="H234" s="273"/>
      <c r="I234" s="273"/>
      <c r="J234" s="273"/>
      <c r="K234" s="273"/>
      <c r="L234" s="273"/>
      <c r="M234" s="273"/>
      <c r="N234" s="273"/>
      <c r="O234" s="273"/>
      <c r="P234" s="273"/>
      <c r="Q234" s="273"/>
      <c r="R234" s="273"/>
      <c r="S234" s="273"/>
      <c r="T234" s="42"/>
    </row>
    <row r="235" spans="1:19" ht="12.75">
      <c r="A235" s="273"/>
      <c r="B235" s="273"/>
      <c r="C235" s="273"/>
      <c r="D235" s="273"/>
      <c r="E235" s="273"/>
      <c r="F235" s="273" t="str">
        <f>Sheet1!E47</f>
        <v>K. Lutz</v>
      </c>
      <c r="G235" s="273"/>
      <c r="H235" s="273"/>
      <c r="I235" s="273"/>
      <c r="J235" s="273"/>
      <c r="K235" s="273"/>
      <c r="L235" s="273"/>
      <c r="M235" s="273"/>
      <c r="N235" s="273"/>
      <c r="O235" s="273"/>
      <c r="P235" s="273"/>
      <c r="Q235" s="273"/>
      <c r="R235" s="273"/>
      <c r="S235" s="273"/>
    </row>
    <row r="236" spans="1:19" ht="12.75">
      <c r="A236" s="273"/>
      <c r="B236" s="273"/>
      <c r="C236" s="273"/>
      <c r="D236" s="273"/>
      <c r="E236" s="273"/>
      <c r="F236" s="273" t="str">
        <f>Sheet1!E48</f>
        <v>D. Lane</v>
      </c>
      <c r="G236" s="273"/>
      <c r="H236" s="273"/>
      <c r="I236" s="273"/>
      <c r="J236" s="273"/>
      <c r="K236" s="273"/>
      <c r="L236" s="273"/>
      <c r="M236" s="273"/>
      <c r="N236" s="273"/>
      <c r="O236" s="273"/>
      <c r="P236" s="273"/>
      <c r="Q236" s="273"/>
      <c r="R236" s="273"/>
      <c r="S236" s="273"/>
    </row>
    <row r="237" spans="1:19" ht="12.75">
      <c r="A237" s="273"/>
      <c r="B237" s="273"/>
      <c r="C237" s="273"/>
      <c r="D237" s="273"/>
      <c r="E237" s="273"/>
      <c r="F237" s="273" t="str">
        <f>Sheet1!E49</f>
        <v>L."Pete" Ward, Jr.</v>
      </c>
      <c r="G237" s="273"/>
      <c r="H237" s="273"/>
      <c r="I237" s="273"/>
      <c r="J237" s="273"/>
      <c r="K237" s="273"/>
      <c r="L237" s="273"/>
      <c r="M237" s="273"/>
      <c r="N237" s="273"/>
      <c r="O237" s="273"/>
      <c r="P237" s="273"/>
      <c r="Q237" s="273"/>
      <c r="R237" s="273"/>
      <c r="S237" s="273"/>
    </row>
    <row r="238" spans="1:19" ht="12.75">
      <c r="A238" s="273"/>
      <c r="B238" s="273"/>
      <c r="C238" s="273"/>
      <c r="D238" s="273"/>
      <c r="E238" s="273"/>
      <c r="F238" s="273" t="str">
        <f>Sheet1!E50</f>
        <v>L. Kot</v>
      </c>
      <c r="G238" s="273"/>
      <c r="H238" s="273"/>
      <c r="I238" s="273"/>
      <c r="J238" s="273"/>
      <c r="K238" s="273"/>
      <c r="L238" s="273"/>
      <c r="M238" s="273"/>
      <c r="N238" s="273"/>
      <c r="O238" s="273"/>
      <c r="P238" s="273"/>
      <c r="Q238" s="273"/>
      <c r="R238" s="273"/>
      <c r="S238" s="273"/>
    </row>
    <row r="239" spans="1:19" ht="12.75">
      <c r="A239" s="273"/>
      <c r="B239" s="273"/>
      <c r="C239" s="273"/>
      <c r="D239" s="273"/>
      <c r="E239" s="273"/>
      <c r="F239" s="273" t="str">
        <f>Sheet1!E51</f>
        <v>L. Pearson</v>
      </c>
      <c r="G239" s="273"/>
      <c r="H239" s="273"/>
      <c r="I239" s="273"/>
      <c r="J239" s="273"/>
      <c r="K239" s="273"/>
      <c r="L239" s="273"/>
      <c r="M239" s="273"/>
      <c r="N239" s="273"/>
      <c r="O239" s="273"/>
      <c r="P239" s="273"/>
      <c r="Q239" s="273"/>
      <c r="R239" s="273"/>
      <c r="S239" s="273"/>
    </row>
    <row r="240" spans="1:19" ht="12.75">
      <c r="A240" s="273"/>
      <c r="B240" s="273"/>
      <c r="C240" s="273"/>
      <c r="D240" s="273"/>
      <c r="E240" s="273"/>
      <c r="F240" s="273" t="str">
        <f>Sheet1!E52</f>
        <v>B. Kitten</v>
      </c>
      <c r="G240" s="273"/>
      <c r="H240" s="273"/>
      <c r="I240" s="273"/>
      <c r="J240" s="273"/>
      <c r="K240" s="273"/>
      <c r="L240" s="273"/>
      <c r="M240" s="273"/>
      <c r="N240" s="273"/>
      <c r="O240" s="273"/>
      <c r="P240" s="273"/>
      <c r="Q240" s="273"/>
      <c r="R240" s="273"/>
      <c r="S240" s="273"/>
    </row>
    <row r="241" spans="1:19" ht="12.75">
      <c r="A241" s="273"/>
      <c r="B241" s="273"/>
      <c r="C241" s="273"/>
      <c r="D241" s="273"/>
      <c r="E241" s="273"/>
      <c r="F241" s="273" t="str">
        <f>Sheet1!E53</f>
        <v>L. Sutherland</v>
      </c>
      <c r="G241" s="273"/>
      <c r="H241" s="273"/>
      <c r="I241" s="273"/>
      <c r="J241" s="273"/>
      <c r="K241" s="273"/>
      <c r="L241" s="273"/>
      <c r="M241" s="273"/>
      <c r="N241" s="273"/>
      <c r="O241" s="273"/>
      <c r="P241" s="273"/>
      <c r="Q241" s="273"/>
      <c r="R241" s="273"/>
      <c r="S241" s="273"/>
    </row>
    <row r="242" spans="1:19" ht="12.75">
      <c r="A242" s="273"/>
      <c r="B242" s="273"/>
      <c r="C242" s="273"/>
      <c r="D242" s="273"/>
      <c r="E242" s="273"/>
      <c r="F242" s="273" t="str">
        <f>Sheet1!E54</f>
        <v>C. Pannebaker</v>
      </c>
      <c r="G242" s="273"/>
      <c r="H242" s="273"/>
      <c r="I242" s="273"/>
      <c r="J242" s="273"/>
      <c r="K242" s="273"/>
      <c r="L242" s="273"/>
      <c r="M242" s="273"/>
      <c r="N242" s="273"/>
      <c r="O242" s="273"/>
      <c r="P242" s="273"/>
      <c r="Q242" s="273"/>
      <c r="R242" s="273"/>
      <c r="S242" s="273"/>
    </row>
    <row r="243" spans="1:19" ht="12.75">
      <c r="A243" s="273"/>
      <c r="B243" s="273"/>
      <c r="C243" s="273"/>
      <c r="D243" s="273"/>
      <c r="E243" s="273"/>
      <c r="F243" s="273" t="str">
        <f>Sheet1!E55</f>
        <v>B. Berlinger</v>
      </c>
      <c r="G243" s="273"/>
      <c r="H243" s="273"/>
      <c r="I243" s="273"/>
      <c r="J243" s="273"/>
      <c r="K243" s="273"/>
      <c r="L243" s="273"/>
      <c r="M243" s="273"/>
      <c r="N243" s="273"/>
      <c r="O243" s="273"/>
      <c r="P243" s="273"/>
      <c r="Q243" s="273"/>
      <c r="R243" s="273"/>
      <c r="S243" s="273"/>
    </row>
    <row r="244" spans="1:19" ht="12.75">
      <c r="A244" s="58"/>
      <c r="B244" s="58"/>
      <c r="C244" s="58"/>
      <c r="D244" s="58"/>
      <c r="E244" s="58"/>
      <c r="F244" s="42"/>
      <c r="G244" s="58"/>
      <c r="H244" s="58"/>
      <c r="I244" s="58"/>
      <c r="J244" s="58"/>
      <c r="K244" s="58"/>
      <c r="L244" s="58"/>
      <c r="M244" s="58"/>
      <c r="N244" s="58"/>
      <c r="O244" s="58"/>
      <c r="P244" s="58"/>
      <c r="Q244" s="58"/>
      <c r="R244" s="58"/>
      <c r="S244" s="58"/>
    </row>
    <row r="245" ht="12.75">
      <c r="F245" s="42"/>
    </row>
    <row r="246" ht="12.75">
      <c r="F246" s="42"/>
    </row>
    <row r="247" ht="12.75">
      <c r="F247" s="42"/>
    </row>
  </sheetData>
  <sheetProtection sheet="1" objects="1" scenarios="1"/>
  <mergeCells count="179">
    <mergeCell ref="E40:H40"/>
    <mergeCell ref="B32:B33"/>
    <mergeCell ref="C32:K33"/>
    <mergeCell ref="A48:I49"/>
    <mergeCell ref="D46:J46"/>
    <mergeCell ref="B34:B35"/>
    <mergeCell ref="C34:K35"/>
    <mergeCell ref="B36:B37"/>
    <mergeCell ref="C36:K37"/>
    <mergeCell ref="I26:L26"/>
    <mergeCell ref="I25:L25"/>
    <mergeCell ref="M54:S62"/>
    <mergeCell ref="I40:J40"/>
    <mergeCell ref="N32:Q34"/>
    <mergeCell ref="N46:P46"/>
    <mergeCell ref="A53:L53"/>
    <mergeCell ref="F57:G57"/>
    <mergeCell ref="M52:S53"/>
    <mergeCell ref="R40:S40"/>
    <mergeCell ref="C17:S17"/>
    <mergeCell ref="B14:Q14"/>
    <mergeCell ref="A15:R15"/>
    <mergeCell ref="A19:B21"/>
    <mergeCell ref="A8:B8"/>
    <mergeCell ref="B11:Q11"/>
    <mergeCell ref="B10:Q10"/>
    <mergeCell ref="B12:Q12"/>
    <mergeCell ref="C8:G8"/>
    <mergeCell ref="A9:S9"/>
    <mergeCell ref="F138:H138"/>
    <mergeCell ref="C137:D137"/>
    <mergeCell ref="A174:L174"/>
    <mergeCell ref="F112:G112"/>
    <mergeCell ref="D168:I168"/>
    <mergeCell ref="C167:I167"/>
    <mergeCell ref="J172:L172"/>
    <mergeCell ref="J125:L125"/>
    <mergeCell ref="K130:Q130"/>
    <mergeCell ref="A155:F156"/>
    <mergeCell ref="R144:S144"/>
    <mergeCell ref="M133:P133"/>
    <mergeCell ref="M134:P134"/>
    <mergeCell ref="K140:P142"/>
    <mergeCell ref="N144:Q144"/>
    <mergeCell ref="M174:S175"/>
    <mergeCell ref="A175:D175"/>
    <mergeCell ref="M176:S186"/>
    <mergeCell ref="J186:L186"/>
    <mergeCell ref="C173:L173"/>
    <mergeCell ref="A144:D144"/>
    <mergeCell ref="C145:L145"/>
    <mergeCell ref="G165:H165"/>
    <mergeCell ref="C159:I159"/>
    <mergeCell ref="C160:I160"/>
    <mergeCell ref="C163:I163"/>
    <mergeCell ref="G153:H153"/>
    <mergeCell ref="G156:H156"/>
    <mergeCell ref="C161:I161"/>
    <mergeCell ref="C162:I162"/>
    <mergeCell ref="F120:G120"/>
    <mergeCell ref="A115:G115"/>
    <mergeCell ref="B100:J100"/>
    <mergeCell ref="B151:F151"/>
    <mergeCell ref="G151:H151"/>
    <mergeCell ref="B149:F150"/>
    <mergeCell ref="G150:H150"/>
    <mergeCell ref="F142:H142"/>
    <mergeCell ref="A146:L147"/>
    <mergeCell ref="C136:D136"/>
    <mergeCell ref="F135:I135"/>
    <mergeCell ref="B132:E133"/>
    <mergeCell ref="C126:S127"/>
    <mergeCell ref="N135:O135"/>
    <mergeCell ref="A130:J130"/>
    <mergeCell ref="A132:A133"/>
    <mergeCell ref="A128:S129"/>
    <mergeCell ref="R134:S134"/>
    <mergeCell ref="M74:P74"/>
    <mergeCell ref="F119:G119"/>
    <mergeCell ref="C101:F101"/>
    <mergeCell ref="A105:E106"/>
    <mergeCell ref="A107:E108"/>
    <mergeCell ref="A81:C82"/>
    <mergeCell ref="F81:H82"/>
    <mergeCell ref="A76:L77"/>
    <mergeCell ref="H78:J78"/>
    <mergeCell ref="L119:L122"/>
    <mergeCell ref="M75:S77"/>
    <mergeCell ref="M95:S125"/>
    <mergeCell ref="A116:E117"/>
    <mergeCell ref="F117:G117"/>
    <mergeCell ref="E123:J123"/>
    <mergeCell ref="A118:E119"/>
    <mergeCell ref="G122:H122"/>
    <mergeCell ref="H101:I102"/>
    <mergeCell ref="B88:H88"/>
    <mergeCell ref="M92:P92"/>
    <mergeCell ref="M93:S94"/>
    <mergeCell ref="A91:S91"/>
    <mergeCell ref="B103:E104"/>
    <mergeCell ref="A102:B102"/>
    <mergeCell ref="A101:B101"/>
    <mergeCell ref="A95:A99"/>
    <mergeCell ref="B95:B99"/>
    <mergeCell ref="C98:C99"/>
    <mergeCell ref="A93:L94"/>
    <mergeCell ref="A79:B80"/>
    <mergeCell ref="K45:L45"/>
    <mergeCell ref="K44:L44"/>
    <mergeCell ref="R7:S7"/>
    <mergeCell ref="A13:R13"/>
    <mergeCell ref="A16:S16"/>
    <mergeCell ref="A18:S18"/>
    <mergeCell ref="A57:B58"/>
    <mergeCell ref="A68:B69"/>
    <mergeCell ref="C57:E58"/>
    <mergeCell ref="Q4:R4"/>
    <mergeCell ref="H5:M6"/>
    <mergeCell ref="N5:O6"/>
    <mergeCell ref="H4:P4"/>
    <mergeCell ref="H7:L7"/>
    <mergeCell ref="C29:S29"/>
    <mergeCell ref="O22:R26"/>
    <mergeCell ref="F58:G58"/>
    <mergeCell ref="N37:P37"/>
    <mergeCell ref="C41:S41"/>
    <mergeCell ref="I39:J39"/>
    <mergeCell ref="A43:J44"/>
    <mergeCell ref="A45:J45"/>
    <mergeCell ref="R28:S28"/>
    <mergeCell ref="J73:L73"/>
    <mergeCell ref="F60:G60"/>
    <mergeCell ref="F69:G69"/>
    <mergeCell ref="C51:L52"/>
    <mergeCell ref="C63:L63"/>
    <mergeCell ref="C68:E69"/>
    <mergeCell ref="A64:L64"/>
    <mergeCell ref="J62:L62"/>
    <mergeCell ref="M78:S90"/>
    <mergeCell ref="I82:J82"/>
    <mergeCell ref="H79:J79"/>
    <mergeCell ref="J90:L90"/>
    <mergeCell ref="A1:S1"/>
    <mergeCell ref="C95:C96"/>
    <mergeCell ref="O7:Q7"/>
    <mergeCell ref="F7:G7"/>
    <mergeCell ref="A50:S50"/>
    <mergeCell ref="F66:G66"/>
    <mergeCell ref="F65:G65"/>
    <mergeCell ref="F68:G68"/>
    <mergeCell ref="A2:B3"/>
    <mergeCell ref="M66:S73"/>
    <mergeCell ref="C2:G3"/>
    <mergeCell ref="A4:B5"/>
    <mergeCell ref="C7:D7"/>
    <mergeCell ref="C6:G6"/>
    <mergeCell ref="C4:G5"/>
    <mergeCell ref="A6:B6"/>
    <mergeCell ref="A7:B7"/>
    <mergeCell ref="M63:P63"/>
    <mergeCell ref="F111:G111"/>
    <mergeCell ref="C102:F102"/>
    <mergeCell ref="F106:G106"/>
    <mergeCell ref="F104:G104"/>
    <mergeCell ref="F110:G110"/>
    <mergeCell ref="F108:G108"/>
    <mergeCell ref="M64:S65"/>
    <mergeCell ref="F83:H83"/>
    <mergeCell ref="F71:G71"/>
    <mergeCell ref="M145:S146"/>
    <mergeCell ref="M147:S172"/>
    <mergeCell ref="H19:J21"/>
    <mergeCell ref="G114:H114"/>
    <mergeCell ref="F55:G55"/>
    <mergeCell ref="R49:S49"/>
    <mergeCell ref="C74:L75"/>
    <mergeCell ref="F54:G54"/>
    <mergeCell ref="K46:L46"/>
    <mergeCell ref="A42:S42"/>
  </mergeCells>
  <dataValidations count="7">
    <dataValidation type="list" allowBlank="1" showInputMessage="1" showErrorMessage="1" sqref="F98:F99 F95:F96 R10:R12 R14">
      <formula1>$M$2:$M$3</formula1>
    </dataValidation>
    <dataValidation type="list" allowBlank="1" showInputMessage="1" showErrorMessage="1" sqref="H98:H99 H95:H96">
      <formula1>$I$95:$I$98</formula1>
    </dataValidation>
    <dataValidation type="list" showInputMessage="1" showErrorMessage="1" sqref="C6:G6">
      <formula1>$A$189:$A$205</formula1>
    </dataValidation>
    <dataValidation type="list" allowBlank="1" showInputMessage="1" showErrorMessage="1" sqref="C4:G5">
      <formula1>$A$209:$A$219</formula1>
    </dataValidation>
    <dataValidation type="list" allowBlank="1" showInputMessage="1" showErrorMessage="1" sqref="C101:F102">
      <formula1>$K$189:$K$211</formula1>
    </dataValidation>
    <dataValidation type="list" allowBlank="1" showInputMessage="1" showErrorMessage="1" sqref="D168:I168">
      <formula1>$A$222:$A$228</formula1>
    </dataValidation>
    <dataValidation type="list" showInputMessage="1" showErrorMessage="1" sqref="C7:D7">
      <formula1>$F$189:$F$243</formula1>
    </dataValidation>
  </dataValidations>
  <printOptions/>
  <pageMargins left="0.66" right="0.41" top="1.07" bottom="0.64" header="0.55" footer="0.37"/>
  <pageSetup horizontalDpi="600" verticalDpi="600" orientation="portrait" scale="83" r:id="rId3"/>
  <headerFooter alignWithMargins="0">
    <oddHeader>&amp;C&amp;"Comic Sans MS,Regular"&amp;14Environmental Quality Incentives Program (EQIP)
Upper Arkansas River Watershed-Soil Erosion Ranking Worksheet (C3)</oddHeader>
    <oddFooter>&amp;L&amp;12February 02, 2004&amp;C&amp;12Page &amp;P of  &amp;N&amp;R&amp;12USDA-NRCS, La Junta, CO</oddFooter>
  </headerFooter>
  <rowBreaks count="3" manualBreakCount="3">
    <brk id="49" max="18" man="1"/>
    <brk id="90" max="18" man="1"/>
    <brk id="144" max="18" man="1"/>
  </rowBreaks>
  <legacyDrawing r:id="rId2"/>
</worksheet>
</file>

<file path=xl/worksheets/sheet4.xml><?xml version="1.0" encoding="utf-8"?>
<worksheet xmlns="http://schemas.openxmlformats.org/spreadsheetml/2006/main" xmlns:r="http://schemas.openxmlformats.org/officeDocument/2006/relationships">
  <dimension ref="A1:U228"/>
  <sheetViews>
    <sheetView showGridLines="0" workbookViewId="0" topLeftCell="A111">
      <selection activeCell="A1" sqref="A1:R1"/>
    </sheetView>
  </sheetViews>
  <sheetFormatPr defaultColWidth="9.140625" defaultRowHeight="12.75"/>
  <cols>
    <col min="1" max="1" width="5.140625" style="0" customWidth="1"/>
    <col min="2" max="2" width="8.421875" style="0" customWidth="1"/>
    <col min="3" max="3" width="5.00390625" style="0" customWidth="1"/>
    <col min="4" max="4" width="7.8515625" style="0" customWidth="1"/>
    <col min="5" max="5" width="7.00390625" style="0" customWidth="1"/>
    <col min="6" max="6" width="5.8515625" style="0" customWidth="1"/>
    <col min="7" max="8" width="5.00390625" style="0" customWidth="1"/>
    <col min="9" max="9" width="7.00390625" style="0" customWidth="1"/>
    <col min="10" max="10" width="2.8515625" style="0" customWidth="1"/>
    <col min="11" max="11" width="8.8515625" style="0" customWidth="1"/>
    <col min="12" max="12" width="5.421875" style="0" customWidth="1"/>
    <col min="13" max="19" width="6.00390625" style="0" customWidth="1"/>
    <col min="20" max="20" width="8.57421875" style="42" customWidth="1"/>
    <col min="21" max="21" width="9.00390625" style="42" customWidth="1"/>
    <col min="22" max="23" width="9.140625" style="42" customWidth="1"/>
  </cols>
  <sheetData>
    <row r="1" spans="1:21" ht="18.75" thickBot="1">
      <c r="A1" s="1009" t="s">
        <v>48</v>
      </c>
      <c r="B1" s="1010"/>
      <c r="C1" s="1010"/>
      <c r="D1" s="1010"/>
      <c r="E1" s="1010"/>
      <c r="F1" s="1010"/>
      <c r="G1" s="1010"/>
      <c r="H1" s="1010"/>
      <c r="I1" s="1010"/>
      <c r="J1" s="1010"/>
      <c r="K1" s="1010"/>
      <c r="L1" s="1010"/>
      <c r="M1" s="1010"/>
      <c r="N1" s="1010"/>
      <c r="O1" s="1010"/>
      <c r="P1" s="1010"/>
      <c r="Q1" s="1010"/>
      <c r="R1" s="1011"/>
      <c r="T1" s="61"/>
      <c r="U1" s="61"/>
    </row>
    <row r="2" spans="1:21" ht="15" customHeight="1">
      <c r="A2" s="1257" t="s">
        <v>281</v>
      </c>
      <c r="B2" s="1259"/>
      <c r="C2" s="1358"/>
      <c r="D2" s="1359"/>
      <c r="E2" s="1359"/>
      <c r="F2" s="1359"/>
      <c r="G2" s="1359"/>
      <c r="H2" s="1360"/>
      <c r="I2" s="1572" t="s">
        <v>265</v>
      </c>
      <c r="J2" s="1573"/>
      <c r="K2" s="1574"/>
      <c r="L2" s="507" t="s">
        <v>362</v>
      </c>
      <c r="M2" s="299"/>
      <c r="N2" s="1"/>
      <c r="O2" s="2"/>
      <c r="P2" s="35"/>
      <c r="Q2" s="36"/>
      <c r="R2" s="3"/>
      <c r="T2" s="61"/>
      <c r="U2" s="61"/>
    </row>
    <row r="3" spans="1:21" ht="15" customHeight="1" thickBot="1">
      <c r="A3" s="1628"/>
      <c r="B3" s="1622"/>
      <c r="C3" s="1361"/>
      <c r="D3" s="1362"/>
      <c r="E3" s="1362"/>
      <c r="F3" s="1362"/>
      <c r="G3" s="1362"/>
      <c r="H3" s="1363"/>
      <c r="I3" s="332"/>
      <c r="J3" s="306"/>
      <c r="K3" s="867" t="s">
        <v>282</v>
      </c>
      <c r="L3" s="817" t="s">
        <v>363</v>
      </c>
      <c r="M3" s="868"/>
      <c r="N3" s="142"/>
      <c r="O3" s="143"/>
      <c r="P3" s="140"/>
      <c r="Q3" s="141"/>
      <c r="R3" s="30"/>
      <c r="T3" s="61"/>
      <c r="U3" s="61"/>
    </row>
    <row r="4" spans="1:21" ht="14.25" customHeight="1">
      <c r="A4" s="960" t="s">
        <v>416</v>
      </c>
      <c r="B4" s="1629"/>
      <c r="C4" s="1368"/>
      <c r="D4" s="1369"/>
      <c r="E4" s="1369"/>
      <c r="F4" s="1369"/>
      <c r="G4" s="1369"/>
      <c r="H4" s="1370"/>
      <c r="I4" s="1640" t="s">
        <v>451</v>
      </c>
      <c r="J4" s="1641"/>
      <c r="K4" s="1641"/>
      <c r="L4" s="1641"/>
      <c r="M4" s="1641"/>
      <c r="N4" s="1641"/>
      <c r="O4" s="1642"/>
      <c r="P4" s="1638">
        <v>0</v>
      </c>
      <c r="Q4" s="1639"/>
      <c r="R4" s="27"/>
      <c r="T4" s="61"/>
      <c r="U4" s="61"/>
    </row>
    <row r="5" spans="1:21" ht="14.25" customHeight="1">
      <c r="A5" s="961"/>
      <c r="B5" s="1630"/>
      <c r="C5" s="1603"/>
      <c r="D5" s="1604"/>
      <c r="E5" s="1604"/>
      <c r="F5" s="1604"/>
      <c r="G5" s="1604"/>
      <c r="H5" s="1605"/>
      <c r="I5" s="869" t="s">
        <v>512</v>
      </c>
      <c r="J5" s="500"/>
      <c r="K5" s="500"/>
      <c r="L5" s="500"/>
      <c r="M5" s="500"/>
      <c r="N5" s="500"/>
      <c r="O5" s="306"/>
      <c r="P5" s="783" t="s">
        <v>329</v>
      </c>
      <c r="Q5" s="870" t="s">
        <v>330</v>
      </c>
      <c r="R5" s="265">
        <v>2</v>
      </c>
      <c r="T5" s="61"/>
      <c r="U5" s="61"/>
    </row>
    <row r="6" spans="1:21" ht="11.25" customHeight="1">
      <c r="A6" s="1631"/>
      <c r="B6" s="1632"/>
      <c r="C6" s="1248"/>
      <c r="D6" s="1249"/>
      <c r="E6" s="1249"/>
      <c r="F6" s="1249"/>
      <c r="G6" s="1249"/>
      <c r="H6" s="1250"/>
      <c r="I6" s="1643" t="s">
        <v>470</v>
      </c>
      <c r="J6" s="1644"/>
      <c r="K6" s="1644"/>
      <c r="L6" s="1620"/>
      <c r="M6" s="1407">
        <v>0</v>
      </c>
      <c r="N6" s="1408"/>
      <c r="O6" s="1619" t="s">
        <v>513</v>
      </c>
      <c r="P6" s="1620"/>
      <c r="Q6" s="1580">
        <v>0</v>
      </c>
      <c r="R6" s="27"/>
      <c r="T6" s="61"/>
      <c r="U6" s="61"/>
    </row>
    <row r="7" spans="1:21" ht="15.75" customHeight="1">
      <c r="A7" s="1615" t="s">
        <v>266</v>
      </c>
      <c r="B7" s="1616"/>
      <c r="C7" s="1269"/>
      <c r="D7" s="1270"/>
      <c r="E7" s="1270"/>
      <c r="F7" s="1270"/>
      <c r="G7" s="1270"/>
      <c r="H7" s="1271"/>
      <c r="I7" s="1628"/>
      <c r="J7" s="1645"/>
      <c r="K7" s="1645"/>
      <c r="L7" s="1622"/>
      <c r="M7" s="1646"/>
      <c r="N7" s="1647"/>
      <c r="O7" s="1621"/>
      <c r="P7" s="1622"/>
      <c r="Q7" s="1581"/>
      <c r="R7" s="762"/>
      <c r="T7" s="61"/>
      <c r="U7" s="61"/>
    </row>
    <row r="8" spans="1:21" ht="15.75" customHeight="1" thickBot="1">
      <c r="A8" s="1617" t="s">
        <v>267</v>
      </c>
      <c r="B8" s="1618"/>
      <c r="C8" s="992"/>
      <c r="D8" s="1272"/>
      <c r="E8" s="993"/>
      <c r="F8" s="309" t="s">
        <v>283</v>
      </c>
      <c r="G8" s="1567">
        <f ca="1">IF(C8="","",NOW())</f>
      </c>
      <c r="H8" s="1568"/>
      <c r="I8" s="1577"/>
      <c r="J8" s="1578"/>
      <c r="K8" s="1579"/>
      <c r="L8" s="26"/>
      <c r="M8" s="26"/>
      <c r="N8" s="1565" t="s">
        <v>268</v>
      </c>
      <c r="O8" s="1565"/>
      <c r="P8" s="1566"/>
      <c r="Q8" s="1575">
        <f>SUM(Q42,Q51,Q61,Q72,J83,Q102,Q113)</f>
        <v>0</v>
      </c>
      <c r="R8" s="1576"/>
      <c r="T8" s="61"/>
      <c r="U8" s="61"/>
    </row>
    <row r="9" spans="1:21" ht="17.25" customHeight="1" thickBot="1">
      <c r="A9" s="1623" t="s">
        <v>813</v>
      </c>
      <c r="B9" s="1624"/>
      <c r="C9" s="1625">
        <f>IF(G8="","",IF(OR(R12&lt;1,Q13="YES"),"LOW PRIORITY",IF(Q15="YES","HIGH PRIORITY","MEDIUM PRIORITY")))</f>
      </c>
      <c r="D9" s="1626"/>
      <c r="E9" s="1626"/>
      <c r="F9" s="1626"/>
      <c r="G9" s="1626"/>
      <c r="H9" s="1627"/>
      <c r="I9" s="258"/>
      <c r="J9" s="4"/>
      <c r="K9" s="4"/>
      <c r="L9" s="49"/>
      <c r="M9" s="4"/>
      <c r="N9" s="4"/>
      <c r="O9" s="4"/>
      <c r="P9" s="46" t="s">
        <v>269</v>
      </c>
      <c r="Q9" s="50">
        <f>IF(Q8=0,0,M6/Q8)</f>
        <v>0</v>
      </c>
      <c r="R9" s="47"/>
      <c r="T9" s="61"/>
      <c r="U9" s="61"/>
    </row>
    <row r="10" spans="1:21" ht="18" customHeight="1" thickBot="1">
      <c r="A10" s="1594" t="s">
        <v>49</v>
      </c>
      <c r="B10" s="1595"/>
      <c r="C10" s="1595"/>
      <c r="D10" s="1595"/>
      <c r="E10" s="1595"/>
      <c r="F10" s="1595"/>
      <c r="G10" s="1595"/>
      <c r="H10" s="1595"/>
      <c r="I10" s="1595"/>
      <c r="J10" s="1595"/>
      <c r="K10" s="1595"/>
      <c r="L10" s="1595"/>
      <c r="M10" s="1595"/>
      <c r="N10" s="1595"/>
      <c r="O10" s="1595"/>
      <c r="P10" s="1595"/>
      <c r="Q10" s="1595"/>
      <c r="R10" s="1596"/>
      <c r="T10" s="61"/>
      <c r="U10" s="61"/>
    </row>
    <row r="11" spans="1:21" ht="17.25" customHeight="1">
      <c r="A11" s="270" t="s">
        <v>815</v>
      </c>
      <c r="B11" s="1675" t="s">
        <v>665</v>
      </c>
      <c r="C11" s="1675"/>
      <c r="D11" s="1675"/>
      <c r="E11" s="1675"/>
      <c r="F11" s="1675"/>
      <c r="G11" s="1675"/>
      <c r="H11" s="1675"/>
      <c r="I11" s="1675"/>
      <c r="J11" s="1675"/>
      <c r="K11" s="1675"/>
      <c r="L11" s="1675"/>
      <c r="M11" s="1675"/>
      <c r="N11" s="1675"/>
      <c r="O11" s="1675"/>
      <c r="P11" s="1676"/>
      <c r="Q11" s="688"/>
      <c r="R11" s="689"/>
      <c r="T11" s="61"/>
      <c r="U11" s="61"/>
    </row>
    <row r="12" spans="1:21" ht="25.5" customHeight="1" thickBot="1">
      <c r="A12" s="271" t="s">
        <v>816</v>
      </c>
      <c r="B12" s="1487" t="s">
        <v>664</v>
      </c>
      <c r="C12" s="1487"/>
      <c r="D12" s="1487"/>
      <c r="E12" s="1487"/>
      <c r="F12" s="1487"/>
      <c r="G12" s="1487"/>
      <c r="H12" s="1487"/>
      <c r="I12" s="1487"/>
      <c r="J12" s="1487"/>
      <c r="K12" s="1487"/>
      <c r="L12" s="1487"/>
      <c r="M12" s="1487"/>
      <c r="N12" s="1487"/>
      <c r="O12" s="1487"/>
      <c r="P12" s="1677"/>
      <c r="Q12" s="255"/>
      <c r="R12" s="257">
        <f>COUNTIF(Q11:Q12,"YES")</f>
        <v>0</v>
      </c>
      <c r="T12" s="61"/>
      <c r="U12" s="61"/>
    </row>
    <row r="13" spans="1:21" ht="28.5" customHeight="1" thickBot="1">
      <c r="A13" s="274" t="s">
        <v>814</v>
      </c>
      <c r="B13" s="1648" t="s">
        <v>232</v>
      </c>
      <c r="C13" s="1648"/>
      <c r="D13" s="1648"/>
      <c r="E13" s="1648"/>
      <c r="F13" s="1648"/>
      <c r="G13" s="1648"/>
      <c r="H13" s="1648"/>
      <c r="I13" s="1648"/>
      <c r="J13" s="1648"/>
      <c r="K13" s="1648"/>
      <c r="L13" s="1648"/>
      <c r="M13" s="1648"/>
      <c r="N13" s="1648"/>
      <c r="O13" s="1648"/>
      <c r="P13" s="1649"/>
      <c r="Q13" s="256"/>
      <c r="R13" s="257"/>
      <c r="T13" s="61"/>
      <c r="U13" s="61"/>
    </row>
    <row r="14" spans="1:21" ht="31.5" customHeight="1" thickBot="1">
      <c r="A14" s="1228" t="s">
        <v>4</v>
      </c>
      <c r="B14" s="1229"/>
      <c r="C14" s="1229"/>
      <c r="D14" s="1229"/>
      <c r="E14" s="1229"/>
      <c r="F14" s="1229"/>
      <c r="G14" s="1229"/>
      <c r="H14" s="1229"/>
      <c r="I14" s="1229"/>
      <c r="J14" s="1229"/>
      <c r="K14" s="1229"/>
      <c r="L14" s="1229"/>
      <c r="M14" s="1229"/>
      <c r="N14" s="1229"/>
      <c r="O14" s="1229"/>
      <c r="P14" s="1229"/>
      <c r="Q14" s="1608"/>
      <c r="R14" s="132"/>
      <c r="T14" s="61"/>
      <c r="U14" s="61"/>
    </row>
    <row r="15" spans="1:21" ht="26.25" customHeight="1" thickBot="1">
      <c r="A15" s="272" t="s">
        <v>817</v>
      </c>
      <c r="B15" s="1236" t="s">
        <v>818</v>
      </c>
      <c r="C15" s="1236"/>
      <c r="D15" s="1236"/>
      <c r="E15" s="1236"/>
      <c r="F15" s="1236"/>
      <c r="G15" s="1236"/>
      <c r="H15" s="1236"/>
      <c r="I15" s="1236"/>
      <c r="J15" s="1236"/>
      <c r="K15" s="1236"/>
      <c r="L15" s="1236"/>
      <c r="M15" s="1236"/>
      <c r="N15" s="1236"/>
      <c r="O15" s="1236"/>
      <c r="P15" s="1607"/>
      <c r="Q15" s="256"/>
      <c r="R15" s="132"/>
      <c r="T15" s="61"/>
      <c r="U15" s="61"/>
    </row>
    <row r="16" spans="1:21" ht="14.25" customHeight="1" thickBot="1">
      <c r="A16" s="1591" t="s">
        <v>819</v>
      </c>
      <c r="B16" s="1592"/>
      <c r="C16" s="1592"/>
      <c r="D16" s="1592"/>
      <c r="E16" s="1592"/>
      <c r="F16" s="1592"/>
      <c r="G16" s="1592"/>
      <c r="H16" s="1592"/>
      <c r="I16" s="1592"/>
      <c r="J16" s="1592"/>
      <c r="K16" s="1592"/>
      <c r="L16" s="1592"/>
      <c r="M16" s="1592"/>
      <c r="N16" s="1592"/>
      <c r="O16" s="1592"/>
      <c r="P16" s="1592"/>
      <c r="Q16" s="1593"/>
      <c r="R16" s="132"/>
      <c r="T16" s="61"/>
      <c r="U16" s="61"/>
    </row>
    <row r="17" spans="1:21" ht="18.75" customHeight="1" thickBot="1">
      <c r="A17" s="1594" t="s">
        <v>50</v>
      </c>
      <c r="B17" s="1595"/>
      <c r="C17" s="1595"/>
      <c r="D17" s="1595"/>
      <c r="E17" s="1595"/>
      <c r="F17" s="1595"/>
      <c r="G17" s="1595"/>
      <c r="H17" s="1595"/>
      <c r="I17" s="1595"/>
      <c r="J17" s="1595"/>
      <c r="K17" s="1595"/>
      <c r="L17" s="1595"/>
      <c r="M17" s="1595"/>
      <c r="N17" s="1595"/>
      <c r="O17" s="1595"/>
      <c r="P17" s="1595"/>
      <c r="Q17" s="1595"/>
      <c r="R17" s="1596"/>
      <c r="T17" s="61"/>
      <c r="U17" s="61"/>
    </row>
    <row r="18" spans="1:21" ht="16.5" customHeight="1">
      <c r="A18" s="206" t="s">
        <v>437</v>
      </c>
      <c r="B18" s="207"/>
      <c r="C18" s="1633" t="s">
        <v>510</v>
      </c>
      <c r="D18" s="1633"/>
      <c r="E18" s="1633"/>
      <c r="F18" s="1633"/>
      <c r="G18" s="1633"/>
      <c r="H18" s="1633"/>
      <c r="I18" s="1633"/>
      <c r="J18" s="1633"/>
      <c r="K18" s="1633"/>
      <c r="L18" s="1633"/>
      <c r="M18" s="1633"/>
      <c r="N18" s="1633"/>
      <c r="O18" s="1633"/>
      <c r="P18" s="1633"/>
      <c r="Q18" s="1633"/>
      <c r="R18" s="1634"/>
      <c r="T18" s="61"/>
      <c r="U18" s="61"/>
    </row>
    <row r="19" spans="1:21" ht="14.25" customHeight="1" thickBot="1">
      <c r="A19" s="1635" t="s">
        <v>260</v>
      </c>
      <c r="B19" s="1636"/>
      <c r="C19" s="1636"/>
      <c r="D19" s="1636"/>
      <c r="E19" s="1636"/>
      <c r="F19" s="1636"/>
      <c r="G19" s="1636"/>
      <c r="H19" s="1636"/>
      <c r="I19" s="1636"/>
      <c r="J19" s="1636"/>
      <c r="K19" s="1636"/>
      <c r="L19" s="1636"/>
      <c r="M19" s="1636"/>
      <c r="N19" s="1636"/>
      <c r="O19" s="1636"/>
      <c r="P19" s="1636"/>
      <c r="Q19" s="1636"/>
      <c r="R19" s="1637"/>
      <c r="T19" s="61"/>
      <c r="U19" s="61"/>
    </row>
    <row r="20" spans="1:21" ht="16.5" customHeight="1" thickTop="1">
      <c r="A20" s="192"/>
      <c r="B20" s="193"/>
      <c r="C20" s="193"/>
      <c r="D20" s="193"/>
      <c r="E20" s="193"/>
      <c r="F20" s="193"/>
      <c r="G20" s="193"/>
      <c r="H20" s="193"/>
      <c r="I20" s="193"/>
      <c r="J20" s="193"/>
      <c r="K20" s="193"/>
      <c r="L20" s="193"/>
      <c r="M20" s="193"/>
      <c r="N20" s="193"/>
      <c r="O20" s="193"/>
      <c r="P20" s="193"/>
      <c r="Q20" s="193"/>
      <c r="R20" s="222"/>
      <c r="T20" s="61"/>
      <c r="U20" s="61"/>
    </row>
    <row r="21" spans="1:21" ht="24.75" customHeight="1">
      <c r="A21" s="192"/>
      <c r="B21" s="1690"/>
      <c r="C21" s="1609" t="s">
        <v>178</v>
      </c>
      <c r="D21" s="1610"/>
      <c r="E21" s="1610"/>
      <c r="F21" s="1610"/>
      <c r="G21" s="1610"/>
      <c r="H21" s="1610"/>
      <c r="I21" s="1610"/>
      <c r="J21" s="1610"/>
      <c r="K21" s="1610"/>
      <c r="L21" s="1610"/>
      <c r="M21" s="1611"/>
      <c r="N21" s="193"/>
      <c r="O21" s="193"/>
      <c r="P21" s="193"/>
      <c r="Q21" s="193"/>
      <c r="R21" s="223">
        <f>IF($R$28=1,10,"")</f>
      </c>
      <c r="T21" s="61"/>
      <c r="U21" s="61"/>
    </row>
    <row r="22" spans="1:21" ht="14.25" customHeight="1">
      <c r="A22" s="192"/>
      <c r="B22" s="1691"/>
      <c r="C22" s="202"/>
      <c r="D22" s="96"/>
      <c r="E22" s="1612" t="s">
        <v>522</v>
      </c>
      <c r="F22" s="1613"/>
      <c r="G22" s="1613"/>
      <c r="H22" s="1613"/>
      <c r="I22" s="1613"/>
      <c r="J22" s="1613"/>
      <c r="K22" s="1613"/>
      <c r="L22" s="1614"/>
      <c r="M22" s="203"/>
      <c r="N22" s="193"/>
      <c r="O22" s="193"/>
      <c r="P22" s="193"/>
      <c r="Q22" s="193"/>
      <c r="R22" s="223"/>
      <c r="T22" s="61"/>
      <c r="U22" s="61"/>
    </row>
    <row r="23" spans="1:21" ht="4.5" customHeight="1">
      <c r="A23" s="192"/>
      <c r="B23" s="1692"/>
      <c r="C23" s="199"/>
      <c r="D23" s="200"/>
      <c r="E23" s="200"/>
      <c r="F23" s="200"/>
      <c r="G23" s="200"/>
      <c r="H23" s="200"/>
      <c r="I23" s="200"/>
      <c r="J23" s="200"/>
      <c r="K23" s="200"/>
      <c r="L23" s="200"/>
      <c r="M23" s="201"/>
      <c r="N23" s="193"/>
      <c r="O23" s="193"/>
      <c r="P23" s="193"/>
      <c r="Q23" s="193"/>
      <c r="R23" s="223"/>
      <c r="T23" s="61"/>
      <c r="U23" s="61"/>
    </row>
    <row r="24" spans="1:21" ht="27" customHeight="1">
      <c r="A24" s="192"/>
      <c r="B24" s="1582"/>
      <c r="C24" s="1609" t="s">
        <v>235</v>
      </c>
      <c r="D24" s="1610"/>
      <c r="E24" s="1610"/>
      <c r="F24" s="1610"/>
      <c r="G24" s="1610"/>
      <c r="H24" s="1610"/>
      <c r="I24" s="1610"/>
      <c r="J24" s="1610"/>
      <c r="K24" s="1610"/>
      <c r="L24" s="1610"/>
      <c r="M24" s="1611"/>
      <c r="N24" s="23"/>
      <c r="O24" s="23"/>
      <c r="P24" s="23"/>
      <c r="Q24" s="23"/>
      <c r="R24" s="223">
        <f>IF($R$28=2,7.5,"")</f>
      </c>
      <c r="T24" s="61"/>
      <c r="U24" s="61"/>
    </row>
    <row r="25" spans="1:21" ht="15" customHeight="1">
      <c r="A25" s="192"/>
      <c r="B25" s="1583"/>
      <c r="C25" s="202"/>
      <c r="D25" s="96"/>
      <c r="E25" s="1558"/>
      <c r="F25" s="1559"/>
      <c r="G25" s="1559"/>
      <c r="H25" s="1559"/>
      <c r="I25" s="1559"/>
      <c r="J25" s="1559"/>
      <c r="K25" s="1559"/>
      <c r="L25" s="1560"/>
      <c r="M25" s="203"/>
      <c r="N25" s="23"/>
      <c r="O25" s="23"/>
      <c r="P25" s="23"/>
      <c r="Q25" s="23"/>
      <c r="R25" s="223"/>
      <c r="T25" s="61"/>
      <c r="U25" s="61"/>
    </row>
    <row r="26" spans="1:21" ht="6" customHeight="1">
      <c r="A26" s="192"/>
      <c r="B26" s="1584"/>
      <c r="C26" s="199"/>
      <c r="D26" s="200"/>
      <c r="E26" s="200"/>
      <c r="F26" s="200"/>
      <c r="G26" s="200"/>
      <c r="H26" s="200"/>
      <c r="I26" s="200"/>
      <c r="J26" s="200"/>
      <c r="K26" s="200"/>
      <c r="L26" s="200"/>
      <c r="M26" s="201"/>
      <c r="N26" s="23"/>
      <c r="O26" s="23"/>
      <c r="P26" s="23"/>
      <c r="Q26" s="23"/>
      <c r="R26" s="223"/>
      <c r="T26" s="61"/>
      <c r="U26" s="61"/>
    </row>
    <row r="27" spans="1:21" ht="27.75" customHeight="1">
      <c r="A27" s="192"/>
      <c r="B27" s="266"/>
      <c r="C27" s="1599" t="s">
        <v>231</v>
      </c>
      <c r="D27" s="1117"/>
      <c r="E27" s="1117"/>
      <c r="F27" s="1117"/>
      <c r="G27" s="1117"/>
      <c r="H27" s="1117"/>
      <c r="I27" s="1117"/>
      <c r="J27" s="1117"/>
      <c r="K27" s="1117"/>
      <c r="L27" s="1117"/>
      <c r="M27" s="1600"/>
      <c r="N27" s="23"/>
      <c r="O27" s="23"/>
      <c r="P27" s="23"/>
      <c r="Q27" s="23"/>
      <c r="R27" s="223">
        <f>IF($R$28=3,0,"")</f>
        <v>0</v>
      </c>
      <c r="T27" s="61"/>
      <c r="U27" s="61"/>
    </row>
    <row r="28" spans="1:21" ht="14.25" customHeight="1">
      <c r="A28" s="192"/>
      <c r="B28" s="96"/>
      <c r="C28" s="96"/>
      <c r="D28" s="96"/>
      <c r="E28" s="96"/>
      <c r="F28" s="96"/>
      <c r="G28" s="96"/>
      <c r="H28" s="96"/>
      <c r="I28" s="96"/>
      <c r="J28" s="96"/>
      <c r="K28" s="191"/>
      <c r="L28" s="191"/>
      <c r="M28" s="191"/>
      <c r="N28" s="23"/>
      <c r="O28" s="197" t="s">
        <v>514</v>
      </c>
      <c r="P28" s="198">
        <f>MAX(R21:R24)</f>
        <v>0</v>
      </c>
      <c r="Q28" s="137" t="s">
        <v>142</v>
      </c>
      <c r="R28" s="223">
        <v>3</v>
      </c>
      <c r="T28" s="61"/>
      <c r="U28" s="61"/>
    </row>
    <row r="29" spans="1:21" ht="13.5" customHeight="1">
      <c r="A29" s="192"/>
      <c r="B29" s="193"/>
      <c r="C29" s="193"/>
      <c r="D29" s="193"/>
      <c r="E29" s="193"/>
      <c r="F29" s="193"/>
      <c r="G29" s="193"/>
      <c r="H29" s="193"/>
      <c r="I29" s="193"/>
      <c r="J29" s="193"/>
      <c r="K29" s="193"/>
      <c r="L29" s="193"/>
      <c r="M29" s="193"/>
      <c r="N29" s="193"/>
      <c r="O29" s="193"/>
      <c r="P29" s="193"/>
      <c r="Q29" s="193"/>
      <c r="R29" s="224"/>
      <c r="T29" s="61"/>
      <c r="U29" s="61"/>
    </row>
    <row r="30" spans="1:21" ht="24.75" customHeight="1">
      <c r="A30" s="192"/>
      <c r="B30" s="45"/>
      <c r="C30" s="1555" t="s">
        <v>541</v>
      </c>
      <c r="D30" s="1556"/>
      <c r="E30" s="1556"/>
      <c r="F30" s="1556"/>
      <c r="G30" s="1556"/>
      <c r="H30" s="1556"/>
      <c r="I30" s="1556"/>
      <c r="J30" s="1556"/>
      <c r="K30" s="1556"/>
      <c r="L30" s="1556"/>
      <c r="M30" s="1557"/>
      <c r="N30" s="196"/>
      <c r="O30" s="193"/>
      <c r="P30" s="193"/>
      <c r="Q30" s="193"/>
      <c r="R30" s="223">
        <f>IF($R$33=1,6,"")</f>
      </c>
      <c r="T30" s="61"/>
      <c r="U30" s="61"/>
    </row>
    <row r="31" spans="1:21" ht="26.25" customHeight="1">
      <c r="A31" s="192"/>
      <c r="B31" s="195"/>
      <c r="C31" s="1555" t="s">
        <v>542</v>
      </c>
      <c r="D31" s="1556"/>
      <c r="E31" s="1556"/>
      <c r="F31" s="1556"/>
      <c r="G31" s="1556"/>
      <c r="H31" s="1556"/>
      <c r="I31" s="1556"/>
      <c r="J31" s="1556"/>
      <c r="K31" s="1556"/>
      <c r="L31" s="1556"/>
      <c r="M31" s="1557"/>
      <c r="N31" s="196"/>
      <c r="O31" s="193"/>
      <c r="P31" s="193"/>
      <c r="Q31" s="193"/>
      <c r="R31" s="223">
        <f>IF($R$33=2,2,"")</f>
      </c>
      <c r="T31" s="61"/>
      <c r="U31" s="61"/>
    </row>
    <row r="32" spans="1:21" ht="27.75" customHeight="1">
      <c r="A32" s="192"/>
      <c r="B32" s="195"/>
      <c r="C32" s="1555" t="s">
        <v>511</v>
      </c>
      <c r="D32" s="1601"/>
      <c r="E32" s="1601"/>
      <c r="F32" s="1601"/>
      <c r="G32" s="1601"/>
      <c r="H32" s="1601"/>
      <c r="I32" s="1601"/>
      <c r="J32" s="1601"/>
      <c r="K32" s="1601"/>
      <c r="L32" s="1601"/>
      <c r="M32" s="1602"/>
      <c r="N32" s="196"/>
      <c r="O32" s="193"/>
      <c r="P32" s="193"/>
      <c r="Q32" s="193"/>
      <c r="R32" s="223">
        <f>IF($R$33=3,0,"")</f>
        <v>0</v>
      </c>
      <c r="T32" s="61"/>
      <c r="U32" s="61"/>
    </row>
    <row r="33" spans="1:21" ht="14.25" customHeight="1">
      <c r="A33" s="192"/>
      <c r="B33" s="193"/>
      <c r="C33" s="193"/>
      <c r="D33" s="193"/>
      <c r="E33" s="193"/>
      <c r="F33" s="193"/>
      <c r="G33" s="193"/>
      <c r="H33" s="193"/>
      <c r="I33" s="193"/>
      <c r="J33" s="193"/>
      <c r="K33" s="193"/>
      <c r="L33" s="193"/>
      <c r="M33" s="193"/>
      <c r="N33" s="193"/>
      <c r="O33" s="197" t="s">
        <v>515</v>
      </c>
      <c r="P33" s="198">
        <f>MAX(R30:R32)</f>
        <v>0</v>
      </c>
      <c r="Q33" s="137" t="s">
        <v>143</v>
      </c>
      <c r="R33" s="223">
        <v>3</v>
      </c>
      <c r="T33" s="61"/>
      <c r="U33" s="61"/>
    </row>
    <row r="34" spans="1:21" ht="6.75" customHeight="1">
      <c r="A34" s="192"/>
      <c r="B34" s="193"/>
      <c r="C34" s="193"/>
      <c r="D34" s="193"/>
      <c r="E34" s="193"/>
      <c r="F34" s="193"/>
      <c r="G34" s="193"/>
      <c r="H34" s="193"/>
      <c r="I34" s="193"/>
      <c r="J34" s="193"/>
      <c r="K34" s="193"/>
      <c r="L34" s="193"/>
      <c r="M34" s="193"/>
      <c r="N34" s="193"/>
      <c r="O34" s="193"/>
      <c r="P34" s="193"/>
      <c r="Q34" s="193"/>
      <c r="R34" s="224"/>
      <c r="T34" s="61"/>
      <c r="U34" s="61"/>
    </row>
    <row r="35" spans="1:21" ht="30.75" customHeight="1">
      <c r="A35" s="192"/>
      <c r="B35" s="1606" t="s">
        <v>546</v>
      </c>
      <c r="C35" s="1606"/>
      <c r="D35" s="1606"/>
      <c r="E35" s="1606"/>
      <c r="F35" s="1606"/>
      <c r="G35" s="1606"/>
      <c r="H35" s="1606"/>
      <c r="I35" s="1606"/>
      <c r="J35" s="1606"/>
      <c r="K35" s="1597" t="s">
        <v>329</v>
      </c>
      <c r="L35" s="193"/>
      <c r="M35" s="1598" t="s">
        <v>330</v>
      </c>
      <c r="N35" s="23"/>
      <c r="O35" s="193"/>
      <c r="P35" s="193"/>
      <c r="Q35" s="193"/>
      <c r="R35" s="224"/>
      <c r="T35" s="61"/>
      <c r="U35" s="61"/>
    </row>
    <row r="36" spans="1:21" ht="6" customHeight="1">
      <c r="A36" s="192"/>
      <c r="B36" s="1606"/>
      <c r="C36" s="1606"/>
      <c r="D36" s="1606"/>
      <c r="E36" s="1606"/>
      <c r="F36" s="1606"/>
      <c r="G36" s="1606"/>
      <c r="H36" s="1606"/>
      <c r="I36" s="1606"/>
      <c r="J36" s="1606"/>
      <c r="K36" s="1597"/>
      <c r="L36" s="193"/>
      <c r="M36" s="1598"/>
      <c r="N36" s="193"/>
      <c r="O36" s="193"/>
      <c r="P36" s="193"/>
      <c r="Q36" s="193"/>
      <c r="R36" s="224"/>
      <c r="T36" s="61"/>
      <c r="U36" s="61"/>
    </row>
    <row r="37" spans="1:21" ht="16.5" customHeight="1">
      <c r="A37" s="192"/>
      <c r="B37" s="90"/>
      <c r="C37" s="90"/>
      <c r="D37" s="90"/>
      <c r="E37" s="1569"/>
      <c r="F37" s="1570"/>
      <c r="G37" s="1570"/>
      <c r="H37" s="1570"/>
      <c r="I37" s="1570"/>
      <c r="J37" s="1570"/>
      <c r="K37" s="1570"/>
      <c r="L37" s="1571"/>
      <c r="M37" s="191"/>
      <c r="N37" s="193"/>
      <c r="O37" s="193"/>
      <c r="P37" s="193"/>
      <c r="Q37" s="193"/>
      <c r="R37" s="224"/>
      <c r="T37" s="61"/>
      <c r="U37" s="61"/>
    </row>
    <row r="38" spans="1:21" ht="14.25" customHeight="1">
      <c r="A38" s="192"/>
      <c r="B38" s="194"/>
      <c r="C38" s="193"/>
      <c r="D38" s="193"/>
      <c r="E38" s="193"/>
      <c r="F38" s="193"/>
      <c r="G38" s="193"/>
      <c r="H38" s="193"/>
      <c r="I38" s="193"/>
      <c r="J38" s="193"/>
      <c r="K38" s="193"/>
      <c r="L38" s="193"/>
      <c r="M38" s="193"/>
      <c r="N38" s="193"/>
      <c r="O38" s="197" t="s">
        <v>516</v>
      </c>
      <c r="P38" s="198">
        <f>IF(R38=1,7,0)</f>
        <v>0</v>
      </c>
      <c r="Q38" s="137" t="s">
        <v>144</v>
      </c>
      <c r="R38" s="223">
        <v>2</v>
      </c>
      <c r="T38" s="61"/>
      <c r="U38" s="61"/>
    </row>
    <row r="39" spans="1:21" ht="8.25" customHeight="1">
      <c r="A39" s="192"/>
      <c r="B39" s="194"/>
      <c r="C39" s="193"/>
      <c r="D39" s="193"/>
      <c r="E39" s="193"/>
      <c r="F39" s="193"/>
      <c r="G39" s="193"/>
      <c r="H39" s="193"/>
      <c r="I39" s="193"/>
      <c r="J39" s="193"/>
      <c r="K39" s="193"/>
      <c r="L39" s="193"/>
      <c r="M39" s="193"/>
      <c r="N39" s="193"/>
      <c r="O39" s="193"/>
      <c r="P39" s="193"/>
      <c r="Q39" s="193"/>
      <c r="R39" s="224"/>
      <c r="T39" s="61"/>
      <c r="U39" s="61"/>
    </row>
    <row r="40" spans="1:21" ht="15.75" customHeight="1">
      <c r="A40" s="192"/>
      <c r="B40" s="1587" t="s">
        <v>549</v>
      </c>
      <c r="C40" s="1587"/>
      <c r="D40" s="1587"/>
      <c r="E40" s="1587"/>
      <c r="F40" s="1587"/>
      <c r="G40" s="1587"/>
      <c r="H40" s="1587"/>
      <c r="I40" s="1587"/>
      <c r="J40" s="1587"/>
      <c r="K40" s="190" t="s">
        <v>329</v>
      </c>
      <c r="L40" s="146"/>
      <c r="M40" s="191" t="s">
        <v>330</v>
      </c>
      <c r="N40" s="193"/>
      <c r="O40" s="197" t="s">
        <v>517</v>
      </c>
      <c r="P40" s="198">
        <f>IF(R40=1,5,0)</f>
        <v>0</v>
      </c>
      <c r="Q40" s="137" t="s">
        <v>145</v>
      </c>
      <c r="R40" s="223">
        <v>2</v>
      </c>
      <c r="T40" s="61"/>
      <c r="U40" s="61"/>
    </row>
    <row r="41" spans="1:21" ht="4.5" customHeight="1" thickBot="1">
      <c r="A41" s="192"/>
      <c r="B41" s="194"/>
      <c r="C41" s="193"/>
      <c r="D41" s="193"/>
      <c r="E41" s="193"/>
      <c r="F41" s="193"/>
      <c r="G41" s="193"/>
      <c r="H41" s="193"/>
      <c r="I41" s="193"/>
      <c r="J41" s="193"/>
      <c r="K41" s="190"/>
      <c r="L41" s="193"/>
      <c r="M41" s="191"/>
      <c r="N41" s="193"/>
      <c r="O41" s="193"/>
      <c r="P41" s="193"/>
      <c r="Q41" s="193"/>
      <c r="R41" s="225"/>
      <c r="T41" s="61"/>
      <c r="U41" s="61"/>
    </row>
    <row r="42" spans="1:21" ht="16.5" customHeight="1" thickBot="1">
      <c r="A42" s="208" t="s">
        <v>146</v>
      </c>
      <c r="B42" s="209"/>
      <c r="C42" s="209"/>
      <c r="D42" s="209"/>
      <c r="E42" s="209"/>
      <c r="F42" s="209"/>
      <c r="G42" s="209"/>
      <c r="H42" s="209"/>
      <c r="I42" s="209"/>
      <c r="J42" s="209"/>
      <c r="K42" s="209"/>
      <c r="L42" s="209"/>
      <c r="M42" s="209"/>
      <c r="N42" s="209"/>
      <c r="O42" s="209"/>
      <c r="P42" s="189" t="s">
        <v>346</v>
      </c>
      <c r="Q42" s="899">
        <f>SUM(P28,P33,P38,P40)</f>
        <v>0</v>
      </c>
      <c r="R42" s="900"/>
      <c r="T42" s="61"/>
      <c r="U42" s="61"/>
    </row>
    <row r="43" spans="1:21" ht="13.5" customHeight="1">
      <c r="A43" s="10" t="s">
        <v>438</v>
      </c>
      <c r="B43" s="12"/>
      <c r="C43" s="1550" t="s">
        <v>367</v>
      </c>
      <c r="D43" s="1550"/>
      <c r="E43" s="1550"/>
      <c r="F43" s="1550"/>
      <c r="G43" s="1550"/>
      <c r="H43" s="1550"/>
      <c r="I43" s="1550"/>
      <c r="J43" s="1550"/>
      <c r="K43" s="1550"/>
      <c r="L43" s="1550"/>
      <c r="M43" s="1550"/>
      <c r="N43" s="1550"/>
      <c r="O43" s="1550"/>
      <c r="P43" s="1550"/>
      <c r="Q43" s="1550"/>
      <c r="R43" s="1551"/>
      <c r="S43" s="184"/>
      <c r="T43" s="61"/>
      <c r="U43" s="61"/>
    </row>
    <row r="44" spans="1:21" ht="26.25" customHeight="1" thickBot="1">
      <c r="A44" s="1683" t="s">
        <v>38</v>
      </c>
      <c r="B44" s="1684"/>
      <c r="C44" s="1684"/>
      <c r="D44" s="1684"/>
      <c r="E44" s="1684"/>
      <c r="F44" s="1684"/>
      <c r="G44" s="1684"/>
      <c r="H44" s="1684"/>
      <c r="I44" s="1684"/>
      <c r="J44" s="1684"/>
      <c r="K44" s="1684"/>
      <c r="L44" s="1684"/>
      <c r="M44" s="1684"/>
      <c r="N44" s="1684"/>
      <c r="O44" s="1684"/>
      <c r="P44" s="1684"/>
      <c r="Q44" s="1684"/>
      <c r="R44" s="1685"/>
      <c r="T44" s="61"/>
      <c r="U44" s="61"/>
    </row>
    <row r="45" spans="1:21" ht="3.75" customHeight="1" thickTop="1">
      <c r="A45" s="262"/>
      <c r="B45" s="147"/>
      <c r="C45" s="147"/>
      <c r="D45" s="147"/>
      <c r="E45" s="147"/>
      <c r="F45" s="147"/>
      <c r="G45" s="147"/>
      <c r="H45" s="248"/>
      <c r="I45" s="204"/>
      <c r="J45" s="247"/>
      <c r="K45" s="152"/>
      <c r="L45" s="152"/>
      <c r="M45" s="152"/>
      <c r="N45" s="152"/>
      <c r="O45" s="152"/>
      <c r="P45" s="152"/>
      <c r="Q45" s="152"/>
      <c r="R45" s="211"/>
      <c r="T45" s="61"/>
      <c r="U45" s="61"/>
    </row>
    <row r="46" spans="1:21" ht="14.25" customHeight="1">
      <c r="A46" s="1588" t="s">
        <v>149</v>
      </c>
      <c r="B46" s="1589"/>
      <c r="C46" s="1589"/>
      <c r="D46" s="1589"/>
      <c r="E46" s="1589"/>
      <c r="F46" s="1589"/>
      <c r="G46" s="1589"/>
      <c r="H46" s="1589"/>
      <c r="I46" s="1590"/>
      <c r="J46" s="1585">
        <f>P4</f>
        <v>0</v>
      </c>
      <c r="K46" s="1586"/>
      <c r="L46" s="121" t="s">
        <v>152</v>
      </c>
      <c r="M46" s="152"/>
      <c r="N46" s="152"/>
      <c r="O46" s="152"/>
      <c r="P46" s="152"/>
      <c r="Q46" s="152"/>
      <c r="R46" s="211"/>
      <c r="T46" s="61"/>
      <c r="U46" s="61"/>
    </row>
    <row r="47" spans="1:21" ht="15" customHeight="1" thickBot="1">
      <c r="A47" s="22"/>
      <c r="B47" s="93"/>
      <c r="C47" s="93"/>
      <c r="D47" s="93"/>
      <c r="E47" s="93"/>
      <c r="F47" s="93"/>
      <c r="G47" s="93"/>
      <c r="H47" s="152"/>
      <c r="I47" s="187" t="s">
        <v>151</v>
      </c>
      <c r="J47" s="1678">
        <v>0</v>
      </c>
      <c r="K47" s="1679"/>
      <c r="L47" s="136" t="s">
        <v>153</v>
      </c>
      <c r="M47" s="152"/>
      <c r="N47" s="889" t="s">
        <v>597</v>
      </c>
      <c r="O47" s="889"/>
      <c r="P47" s="152"/>
      <c r="Q47" s="152"/>
      <c r="R47" s="211"/>
      <c r="T47" s="61"/>
      <c r="U47" s="61"/>
    </row>
    <row r="48" spans="1:21" ht="15" customHeight="1" thickBot="1" thickTop="1">
      <c r="A48" s="22"/>
      <c r="B48" s="88"/>
      <c r="C48" s="23"/>
      <c r="D48" s="88"/>
      <c r="E48" s="88"/>
      <c r="F48" s="23"/>
      <c r="G48" s="23"/>
      <c r="H48" s="152"/>
      <c r="I48" s="93" t="s">
        <v>155</v>
      </c>
      <c r="J48" s="1669">
        <f>IF(J47=0,0,J47/J46)</f>
        <v>0</v>
      </c>
      <c r="K48" s="1670"/>
      <c r="L48" s="121" t="s">
        <v>154</v>
      </c>
      <c r="M48" s="152"/>
      <c r="N48" s="889"/>
      <c r="O48" s="889"/>
      <c r="P48" s="287">
        <f>IF(J47=0,0,-3.2836*LN(J48)+20.509)</f>
        <v>0</v>
      </c>
      <c r="Q48" s="152" t="s">
        <v>596</v>
      </c>
      <c r="R48" s="211"/>
      <c r="T48" s="61"/>
      <c r="U48" s="61"/>
    </row>
    <row r="49" spans="1:21" ht="6.75" customHeight="1" thickTop="1">
      <c r="A49" s="22"/>
      <c r="B49" s="88"/>
      <c r="C49" s="23"/>
      <c r="D49" s="88"/>
      <c r="E49" s="88"/>
      <c r="F49" s="23"/>
      <c r="G49" s="23"/>
      <c r="H49" s="152"/>
      <c r="I49" s="93"/>
      <c r="J49" s="293"/>
      <c r="K49" s="293"/>
      <c r="L49" s="121"/>
      <c r="M49" s="152"/>
      <c r="N49" s="152"/>
      <c r="O49" s="152"/>
      <c r="P49" s="152"/>
      <c r="Q49" s="152"/>
      <c r="R49" s="211"/>
      <c r="T49" s="61"/>
      <c r="U49" s="61"/>
    </row>
    <row r="50" spans="1:21" ht="14.25" customHeight="1" thickBot="1">
      <c r="A50" s="1686" t="s">
        <v>39</v>
      </c>
      <c r="B50" s="1687"/>
      <c r="C50" s="1687"/>
      <c r="D50" s="1687"/>
      <c r="E50" s="1687"/>
      <c r="F50" s="1687"/>
      <c r="G50" s="1687"/>
      <c r="H50" s="1687"/>
      <c r="I50" s="1687"/>
      <c r="J50" s="293"/>
      <c r="K50" s="293"/>
      <c r="L50" s="121"/>
      <c r="M50" s="152"/>
      <c r="N50" s="152"/>
      <c r="O50" s="152"/>
      <c r="P50" s="152"/>
      <c r="Q50" s="152"/>
      <c r="R50" s="212"/>
      <c r="T50" s="61"/>
      <c r="U50" s="61"/>
    </row>
    <row r="51" spans="1:21" ht="14.25" customHeight="1" thickBot="1">
      <c r="A51" s="1688"/>
      <c r="B51" s="1689"/>
      <c r="C51" s="1689"/>
      <c r="D51" s="1689"/>
      <c r="E51" s="1689"/>
      <c r="F51" s="1689"/>
      <c r="G51" s="1689"/>
      <c r="H51" s="1689"/>
      <c r="I51" s="1689"/>
      <c r="J51" s="210"/>
      <c r="K51" s="210"/>
      <c r="L51" s="210"/>
      <c r="M51" s="158"/>
      <c r="N51" s="21"/>
      <c r="O51" s="21"/>
      <c r="P51" s="189" t="s">
        <v>361</v>
      </c>
      <c r="Q51" s="899">
        <f>IF(P48&lt;0,0,IF(P48&gt;15,15,P48))</f>
        <v>0</v>
      </c>
      <c r="R51" s="900"/>
      <c r="T51" s="61"/>
      <c r="U51" s="61"/>
    </row>
    <row r="52" spans="1:21" ht="14.25" customHeight="1">
      <c r="A52" s="10" t="s">
        <v>439</v>
      </c>
      <c r="B52" s="12"/>
      <c r="C52" s="1550" t="s">
        <v>648</v>
      </c>
      <c r="D52" s="1550"/>
      <c r="E52" s="1550"/>
      <c r="F52" s="1550"/>
      <c r="G52" s="1550"/>
      <c r="H52" s="1550"/>
      <c r="I52" s="1550"/>
      <c r="J52" s="1550"/>
      <c r="K52" s="1550"/>
      <c r="L52" s="1550"/>
      <c r="M52" s="1550"/>
      <c r="N52" s="1550"/>
      <c r="O52" s="1550"/>
      <c r="P52" s="1550"/>
      <c r="Q52" s="1550"/>
      <c r="R52" s="1551"/>
      <c r="T52" s="61"/>
      <c r="U52" s="61"/>
    </row>
    <row r="53" spans="1:21" ht="28.5" customHeight="1" thickBot="1">
      <c r="A53" s="1536" t="s">
        <v>157</v>
      </c>
      <c r="B53" s="1537"/>
      <c r="C53" s="1537"/>
      <c r="D53" s="1537"/>
      <c r="E53" s="1537"/>
      <c r="F53" s="1537"/>
      <c r="G53" s="1537"/>
      <c r="H53" s="1537"/>
      <c r="I53" s="1537"/>
      <c r="J53" s="1537"/>
      <c r="K53" s="1537"/>
      <c r="L53" s="1537"/>
      <c r="M53" s="1537"/>
      <c r="N53" s="1537"/>
      <c r="O53" s="1537"/>
      <c r="P53" s="1537"/>
      <c r="Q53" s="1537"/>
      <c r="R53" s="1538"/>
      <c r="T53" s="61"/>
      <c r="U53" s="61"/>
    </row>
    <row r="54" spans="1:21" ht="14.25" customHeight="1" thickTop="1">
      <c r="A54" s="1564" t="s">
        <v>523</v>
      </c>
      <c r="B54" s="1535"/>
      <c r="C54" s="1535"/>
      <c r="D54" s="1535"/>
      <c r="E54" s="1535"/>
      <c r="F54" s="1535"/>
      <c r="G54" s="1535"/>
      <c r="H54" s="263"/>
      <c r="I54" s="263"/>
      <c r="J54" s="1535" t="s">
        <v>408</v>
      </c>
      <c r="K54" s="1535"/>
      <c r="L54" s="1535"/>
      <c r="M54" s="1535"/>
      <c r="N54" s="264"/>
      <c r="O54" s="264"/>
      <c r="P54" s="263"/>
      <c r="Q54" s="263"/>
      <c r="R54" s="213"/>
      <c r="T54" s="61"/>
      <c r="U54" s="61"/>
    </row>
    <row r="55" spans="1:21" ht="15.75" customHeight="1">
      <c r="A55" s="888"/>
      <c r="B55" s="889"/>
      <c r="C55" s="889"/>
      <c r="D55" s="889"/>
      <c r="E55" s="889"/>
      <c r="F55" s="889"/>
      <c r="G55" s="889"/>
      <c r="H55" s="267">
        <v>0</v>
      </c>
      <c r="I55" s="152" t="s">
        <v>66</v>
      </c>
      <c r="J55" s="889"/>
      <c r="K55" s="889"/>
      <c r="L55" s="889"/>
      <c r="M55" s="889"/>
      <c r="N55" s="1673">
        <v>0</v>
      </c>
      <c r="O55" s="1674"/>
      <c r="P55" s="152" t="s">
        <v>67</v>
      </c>
      <c r="Q55" s="152"/>
      <c r="R55" s="211"/>
      <c r="T55" s="61"/>
      <c r="U55" s="61"/>
    </row>
    <row r="56" spans="1:21" ht="7.5" customHeight="1" thickBot="1">
      <c r="A56" s="22"/>
      <c r="B56" s="88"/>
      <c r="C56" s="23"/>
      <c r="D56" s="88"/>
      <c r="E56" s="88"/>
      <c r="F56" s="23"/>
      <c r="G56" s="93"/>
      <c r="H56" s="152"/>
      <c r="I56" s="152"/>
      <c r="J56" s="152"/>
      <c r="K56" s="152"/>
      <c r="L56" s="152"/>
      <c r="M56" s="165"/>
      <c r="N56" s="188"/>
      <c r="O56" s="188"/>
      <c r="P56" s="152"/>
      <c r="Q56" s="152"/>
      <c r="R56" s="211"/>
      <c r="T56" s="61"/>
      <c r="U56" s="61"/>
    </row>
    <row r="57" spans="1:21" ht="14.25" customHeight="1" thickBot="1" thickTop="1">
      <c r="A57" s="22"/>
      <c r="B57" s="88"/>
      <c r="C57" s="77"/>
      <c r="D57" s="77"/>
      <c r="E57" s="77"/>
      <c r="F57" s="77"/>
      <c r="G57" s="77"/>
      <c r="H57" s="77"/>
      <c r="I57" s="23"/>
      <c r="J57" s="152"/>
      <c r="K57" s="152"/>
      <c r="L57" s="152"/>
      <c r="M57" s="165" t="s">
        <v>234</v>
      </c>
      <c r="N57" s="1671">
        <f>H55*3</f>
        <v>0</v>
      </c>
      <c r="O57" s="1672"/>
      <c r="P57" s="152" t="s">
        <v>68</v>
      </c>
      <c r="Q57" s="152"/>
      <c r="R57" s="211"/>
      <c r="T57" s="61"/>
      <c r="U57" s="61"/>
    </row>
    <row r="58" spans="1:21" ht="5.25" customHeight="1" thickBot="1" thickTop="1">
      <c r="A58" s="22"/>
      <c r="B58" s="88"/>
      <c r="C58" s="77"/>
      <c r="D58" s="77"/>
      <c r="E58" s="77"/>
      <c r="F58" s="77"/>
      <c r="G58" s="77"/>
      <c r="H58" s="77"/>
      <c r="I58" s="23"/>
      <c r="J58" s="152"/>
      <c r="K58" s="152"/>
      <c r="L58" s="152"/>
      <c r="M58" s="165"/>
      <c r="N58" s="205"/>
      <c r="O58" s="205"/>
      <c r="P58" s="152"/>
      <c r="Q58" s="152"/>
      <c r="R58" s="211"/>
      <c r="T58" s="61"/>
      <c r="U58" s="61"/>
    </row>
    <row r="59" spans="1:21" ht="15" customHeight="1" thickBot="1" thickTop="1">
      <c r="A59" s="22"/>
      <c r="B59" s="88"/>
      <c r="C59" s="147"/>
      <c r="D59" s="147"/>
      <c r="E59" s="147"/>
      <c r="F59" s="147"/>
      <c r="G59" s="147"/>
      <c r="H59" s="147"/>
      <c r="I59" s="152"/>
      <c r="J59" s="152"/>
      <c r="K59" s="152"/>
      <c r="L59" s="152"/>
      <c r="M59" s="165" t="s">
        <v>217</v>
      </c>
      <c r="N59" s="1671">
        <f>IF(R5=1,Q6*2,0)</f>
        <v>0</v>
      </c>
      <c r="O59" s="1672"/>
      <c r="P59" s="152" t="s">
        <v>158</v>
      </c>
      <c r="Q59" s="152"/>
      <c r="R59" s="211"/>
      <c r="T59" s="61"/>
      <c r="U59" s="61"/>
    </row>
    <row r="60" spans="1:21" ht="5.25" customHeight="1" thickBot="1" thickTop="1">
      <c r="A60" s="22"/>
      <c r="B60" s="88"/>
      <c r="C60" s="147"/>
      <c r="D60" s="147"/>
      <c r="E60" s="147"/>
      <c r="F60" s="147"/>
      <c r="G60" s="147"/>
      <c r="H60" s="147"/>
      <c r="I60" s="152"/>
      <c r="J60" s="152"/>
      <c r="K60" s="152"/>
      <c r="L60" s="152"/>
      <c r="M60" s="152"/>
      <c r="N60" s="152"/>
      <c r="O60" s="152"/>
      <c r="P60" s="152"/>
      <c r="Q60" s="152"/>
      <c r="R60" s="212"/>
      <c r="T60" s="61"/>
      <c r="U60" s="61"/>
    </row>
    <row r="61" spans="1:21" ht="15" customHeight="1" thickBot="1">
      <c r="A61" s="208" t="s">
        <v>841</v>
      </c>
      <c r="B61" s="126"/>
      <c r="C61" s="126"/>
      <c r="D61" s="126"/>
      <c r="E61" s="126"/>
      <c r="F61" s="126"/>
      <c r="G61" s="126"/>
      <c r="H61" s="126"/>
      <c r="I61" s="126"/>
      <c r="J61" s="126"/>
      <c r="K61" s="126"/>
      <c r="L61" s="126"/>
      <c r="M61" s="126"/>
      <c r="N61" s="126"/>
      <c r="O61" s="126"/>
      <c r="P61" s="189" t="s">
        <v>368</v>
      </c>
      <c r="Q61" s="1319">
        <f>IF(N57+N59&gt;20,20,N57+N59)</f>
        <v>0</v>
      </c>
      <c r="R61" s="1320"/>
      <c r="T61" s="61"/>
      <c r="U61" s="61"/>
    </row>
    <row r="62" spans="1:21" ht="15" customHeight="1">
      <c r="A62" s="10" t="s">
        <v>440</v>
      </c>
      <c r="B62" s="12"/>
      <c r="C62" s="1550" t="s">
        <v>360</v>
      </c>
      <c r="D62" s="1550"/>
      <c r="E62" s="1550"/>
      <c r="F62" s="1550"/>
      <c r="G62" s="1550"/>
      <c r="H62" s="1550"/>
      <c r="I62" s="1550"/>
      <c r="J62" s="1550"/>
      <c r="K62" s="1550"/>
      <c r="L62" s="1550"/>
      <c r="M62" s="1550"/>
      <c r="N62" s="1550"/>
      <c r="O62" s="1550"/>
      <c r="P62" s="1550"/>
      <c r="Q62" s="1550"/>
      <c r="R62" s="1551"/>
      <c r="T62" s="61"/>
      <c r="U62" s="61"/>
    </row>
    <row r="63" spans="1:21" ht="15" customHeight="1" thickBot="1">
      <c r="A63" s="1666" t="s">
        <v>374</v>
      </c>
      <c r="B63" s="1667"/>
      <c r="C63" s="1667"/>
      <c r="D63" s="1667"/>
      <c r="E63" s="1667"/>
      <c r="F63" s="1667"/>
      <c r="G63" s="1667"/>
      <c r="H63" s="1667"/>
      <c r="I63" s="1667"/>
      <c r="J63" s="1667"/>
      <c r="K63" s="1667"/>
      <c r="L63" s="1667"/>
      <c r="M63" s="1667"/>
      <c r="N63" s="1667"/>
      <c r="O63" s="1667"/>
      <c r="P63" s="1667"/>
      <c r="Q63" s="1667"/>
      <c r="R63" s="1668"/>
      <c r="T63" s="61"/>
      <c r="U63" s="61"/>
    </row>
    <row r="64" spans="1:21" ht="5.25" customHeight="1" thickTop="1">
      <c r="A64" s="144"/>
      <c r="B64" s="85"/>
      <c r="C64" s="85"/>
      <c r="D64" s="86"/>
      <c r="E64" s="145"/>
      <c r="F64" s="85"/>
      <c r="G64" s="85"/>
      <c r="H64" s="85"/>
      <c r="I64" s="145"/>
      <c r="J64" s="87"/>
      <c r="K64" s="87"/>
      <c r="L64" s="152"/>
      <c r="M64" s="152"/>
      <c r="N64" s="152"/>
      <c r="O64" s="152"/>
      <c r="P64" s="152"/>
      <c r="Q64" s="152"/>
      <c r="R64" s="213"/>
      <c r="T64" s="61"/>
      <c r="U64" s="61"/>
    </row>
    <row r="65" spans="1:21" ht="15" customHeight="1">
      <c r="A65" s="22"/>
      <c r="B65" s="79"/>
      <c r="C65" s="79"/>
      <c r="D65" s="79"/>
      <c r="E65" s="79"/>
      <c r="F65" s="79"/>
      <c r="G65" s="79"/>
      <c r="H65" s="79"/>
      <c r="I65" s="79"/>
      <c r="J65" s="79"/>
      <c r="K65" s="284"/>
      <c r="L65" s="137"/>
      <c r="M65" s="152"/>
      <c r="N65" s="152"/>
      <c r="O65" s="152"/>
      <c r="P65" s="152"/>
      <c r="Q65" s="152"/>
      <c r="R65" s="211"/>
      <c r="T65" s="61"/>
      <c r="U65" s="61"/>
    </row>
    <row r="66" spans="1:21" ht="20.25" customHeight="1">
      <c r="A66" s="112"/>
      <c r="B66" s="280"/>
      <c r="C66" s="1561" t="s">
        <v>851</v>
      </c>
      <c r="D66" s="1562"/>
      <c r="E66" s="1562"/>
      <c r="F66" s="1562"/>
      <c r="G66" s="1562"/>
      <c r="H66" s="1562"/>
      <c r="I66" s="1562"/>
      <c r="J66" s="1562"/>
      <c r="K66" s="1562"/>
      <c r="L66" s="1562"/>
      <c r="M66" s="1562"/>
      <c r="N66" s="1562"/>
      <c r="O66" s="1562"/>
      <c r="P66" s="1563"/>
      <c r="Q66" s="152"/>
      <c r="R66" s="282">
        <v>3</v>
      </c>
      <c r="T66" s="61"/>
      <c r="U66" s="61"/>
    </row>
    <row r="67" spans="1:21" ht="27.75" customHeight="1">
      <c r="A67" s="112"/>
      <c r="B67" s="285"/>
      <c r="C67" s="1561" t="s">
        <v>837</v>
      </c>
      <c r="D67" s="1562"/>
      <c r="E67" s="1562"/>
      <c r="F67" s="1562"/>
      <c r="G67" s="1562"/>
      <c r="H67" s="1562"/>
      <c r="I67" s="1562"/>
      <c r="J67" s="1562"/>
      <c r="K67" s="1562"/>
      <c r="L67" s="1562"/>
      <c r="M67" s="1562"/>
      <c r="N67" s="1562"/>
      <c r="O67" s="1562"/>
      <c r="P67" s="1563"/>
      <c r="Q67" s="152"/>
      <c r="R67" s="211"/>
      <c r="T67" s="61"/>
      <c r="U67" s="61"/>
    </row>
    <row r="68" spans="1:21" ht="20.25" customHeight="1">
      <c r="A68" s="127"/>
      <c r="B68" s="239"/>
      <c r="C68" s="1599" t="s">
        <v>356</v>
      </c>
      <c r="D68" s="1117"/>
      <c r="E68" s="1117"/>
      <c r="F68" s="1117"/>
      <c r="G68" s="1117"/>
      <c r="H68" s="1117"/>
      <c r="I68" s="1117"/>
      <c r="J68" s="1117"/>
      <c r="K68" s="1117"/>
      <c r="L68" s="1117"/>
      <c r="M68" s="1117"/>
      <c r="N68" s="1117"/>
      <c r="O68" s="1117"/>
      <c r="P68" s="1600"/>
      <c r="Q68" s="152"/>
      <c r="R68" s="211"/>
      <c r="T68" s="61"/>
      <c r="U68" s="61"/>
    </row>
    <row r="69" spans="1:21" ht="9.75" customHeight="1" thickBot="1">
      <c r="A69" s="127"/>
      <c r="B69" s="286"/>
      <c r="C69" s="128"/>
      <c r="D69" s="128"/>
      <c r="E69" s="128"/>
      <c r="F69" s="128"/>
      <c r="G69" s="128"/>
      <c r="H69" s="128"/>
      <c r="I69" s="128"/>
      <c r="J69" s="79"/>
      <c r="K69" s="115"/>
      <c r="L69" s="137"/>
      <c r="M69" s="152"/>
      <c r="N69" s="152"/>
      <c r="O69" s="152"/>
      <c r="P69" s="152"/>
      <c r="Q69" s="152"/>
      <c r="R69" s="211"/>
      <c r="T69" s="61"/>
      <c r="U69" s="61"/>
    </row>
    <row r="70" spans="1:21" ht="15" customHeight="1" thickBot="1" thickTop="1">
      <c r="A70" s="127"/>
      <c r="B70" s="128"/>
      <c r="C70" s="128"/>
      <c r="D70" s="128"/>
      <c r="E70" s="128"/>
      <c r="F70" s="128"/>
      <c r="G70" s="128"/>
      <c r="H70" s="128"/>
      <c r="I70" s="128"/>
      <c r="J70" s="79"/>
      <c r="K70" s="131"/>
      <c r="L70" s="137"/>
      <c r="M70" s="77" t="s">
        <v>354</v>
      </c>
      <c r="N70" s="287">
        <f>IF(R66=1,5,IF(R66=2,2,0))</f>
        <v>0</v>
      </c>
      <c r="O70" s="152" t="s">
        <v>352</v>
      </c>
      <c r="P70" s="152"/>
      <c r="Q70" s="152"/>
      <c r="R70" s="211"/>
      <c r="T70" s="61"/>
      <c r="U70" s="61"/>
    </row>
    <row r="71" spans="1:21" ht="4.5" customHeight="1" thickBot="1" thickTop="1">
      <c r="A71" s="127"/>
      <c r="B71" s="128"/>
      <c r="C71" s="128"/>
      <c r="D71" s="128"/>
      <c r="E71" s="128"/>
      <c r="F71" s="128"/>
      <c r="G71" s="128"/>
      <c r="H71" s="128"/>
      <c r="I71" s="128"/>
      <c r="J71" s="128"/>
      <c r="K71" s="128"/>
      <c r="L71" s="152"/>
      <c r="M71" s="152"/>
      <c r="N71" s="152"/>
      <c r="O71" s="152"/>
      <c r="P71" s="152"/>
      <c r="Q71" s="152"/>
      <c r="R71" s="212"/>
      <c r="T71" s="61"/>
      <c r="U71" s="61"/>
    </row>
    <row r="72" spans="1:21" ht="15" customHeight="1" thickBot="1">
      <c r="A72" s="116" t="s">
        <v>359</v>
      </c>
      <c r="B72" s="126"/>
      <c r="C72" s="126"/>
      <c r="D72" s="126"/>
      <c r="E72" s="126"/>
      <c r="F72" s="126"/>
      <c r="G72" s="126"/>
      <c r="H72" s="126"/>
      <c r="I72" s="126"/>
      <c r="J72" s="126"/>
      <c r="K72" s="126"/>
      <c r="L72" s="210"/>
      <c r="M72" s="210"/>
      <c r="N72" s="210"/>
      <c r="O72" s="210"/>
      <c r="P72" s="189" t="s">
        <v>249</v>
      </c>
      <c r="Q72" s="899">
        <f>N70</f>
        <v>0</v>
      </c>
      <c r="R72" s="900"/>
      <c r="T72" s="61"/>
      <c r="U72" s="61"/>
    </row>
    <row r="73" spans="1:21" ht="18.75" customHeight="1" thickBot="1">
      <c r="A73" s="1680" t="s">
        <v>54</v>
      </c>
      <c r="B73" s="1681"/>
      <c r="C73" s="1681"/>
      <c r="D73" s="1681"/>
      <c r="E73" s="1681"/>
      <c r="F73" s="1681"/>
      <c r="G73" s="1681"/>
      <c r="H73" s="1681"/>
      <c r="I73" s="1681"/>
      <c r="J73" s="1681"/>
      <c r="K73" s="1681"/>
      <c r="L73" s="1681"/>
      <c r="M73" s="1681"/>
      <c r="N73" s="1681"/>
      <c r="O73" s="1681"/>
      <c r="P73" s="1681"/>
      <c r="Q73" s="1681"/>
      <c r="R73" s="1682"/>
      <c r="T73" s="61"/>
      <c r="U73" s="61"/>
    </row>
    <row r="74" spans="1:21" ht="17.25" customHeight="1">
      <c r="A74" s="232" t="s">
        <v>437</v>
      </c>
      <c r="B74" s="233"/>
      <c r="C74" s="1693" t="s">
        <v>321</v>
      </c>
      <c r="D74" s="1693"/>
      <c r="E74" s="1693"/>
      <c r="F74" s="1693"/>
      <c r="G74" s="1693"/>
      <c r="H74" s="1693"/>
      <c r="I74" s="1693"/>
      <c r="J74" s="1693"/>
      <c r="K74" s="1694"/>
      <c r="L74" s="1695" t="s">
        <v>435</v>
      </c>
      <c r="M74" s="1696"/>
      <c r="N74" s="1696"/>
      <c r="O74" s="1696"/>
      <c r="P74" s="1696"/>
      <c r="Q74" s="1696"/>
      <c r="R74" s="1697"/>
      <c r="T74" s="61"/>
      <c r="U74" s="61"/>
    </row>
    <row r="75" spans="1:21" ht="20.25" customHeight="1" thickBot="1">
      <c r="A75" s="31" t="s">
        <v>524</v>
      </c>
      <c r="B75" s="32"/>
      <c r="C75" s="32"/>
      <c r="D75" s="32"/>
      <c r="E75" s="33"/>
      <c r="F75" s="33"/>
      <c r="G75" s="33"/>
      <c r="H75" s="33"/>
      <c r="I75" s="33"/>
      <c r="J75" s="33"/>
      <c r="K75" s="34"/>
      <c r="L75" s="1657"/>
      <c r="M75" s="1658"/>
      <c r="N75" s="1658"/>
      <c r="O75" s="1658"/>
      <c r="P75" s="1658"/>
      <c r="Q75" s="1658"/>
      <c r="R75" s="1659"/>
      <c r="S75" s="48"/>
      <c r="T75" s="61"/>
      <c r="U75" s="61"/>
    </row>
    <row r="76" spans="1:21" ht="19.5" customHeight="1" thickTop="1">
      <c r="A76" s="7"/>
      <c r="B76" s="6"/>
      <c r="C76" s="6"/>
      <c r="D76" s="97"/>
      <c r="E76" s="23"/>
      <c r="F76" s="23"/>
      <c r="G76" s="23"/>
      <c r="H76" s="23"/>
      <c r="I76" s="6"/>
      <c r="J76" s="6"/>
      <c r="K76" s="75"/>
      <c r="L76" s="1698"/>
      <c r="M76" s="1699"/>
      <c r="N76" s="1699"/>
      <c r="O76" s="1699"/>
      <c r="P76" s="1699"/>
      <c r="Q76" s="1699"/>
      <c r="R76" s="1700"/>
      <c r="T76" s="61"/>
      <c r="U76" s="61"/>
    </row>
    <row r="77" spans="1:21" ht="19.5" customHeight="1">
      <c r="A77" s="7"/>
      <c r="B77" s="6"/>
      <c r="C77" s="214"/>
      <c r="D77" s="1552" t="s">
        <v>527</v>
      </c>
      <c r="E77" s="1553"/>
      <c r="F77" s="1553"/>
      <c r="G77" s="1553"/>
      <c r="H77" s="1554"/>
      <c r="I77" s="6"/>
      <c r="J77" s="6"/>
      <c r="K77" s="13">
        <f>IF($K$82=1,12,"")</f>
      </c>
      <c r="L77" s="1701"/>
      <c r="M77" s="1702"/>
      <c r="N77" s="1702"/>
      <c r="O77" s="1702"/>
      <c r="P77" s="1702"/>
      <c r="Q77" s="1702"/>
      <c r="R77" s="1703"/>
      <c r="T77" s="61"/>
      <c r="U77" s="61"/>
    </row>
    <row r="78" spans="1:21" ht="18" customHeight="1">
      <c r="A78" s="7"/>
      <c r="B78" s="6"/>
      <c r="C78" s="214"/>
      <c r="D78" s="1552" t="s">
        <v>528</v>
      </c>
      <c r="E78" s="1553"/>
      <c r="F78" s="1553"/>
      <c r="G78" s="1553"/>
      <c r="H78" s="1554"/>
      <c r="I78" s="6"/>
      <c r="J78" s="6"/>
      <c r="K78" s="13">
        <f>IF($K$82=2,9,"")</f>
      </c>
      <c r="L78" s="1701"/>
      <c r="M78" s="1702"/>
      <c r="N78" s="1702"/>
      <c r="O78" s="1702"/>
      <c r="P78" s="1702"/>
      <c r="Q78" s="1702"/>
      <c r="R78" s="1703"/>
      <c r="T78" s="61"/>
      <c r="U78" s="61"/>
    </row>
    <row r="79" spans="1:21" ht="18" customHeight="1">
      <c r="A79" s="7"/>
      <c r="B79" s="6"/>
      <c r="C79" s="214"/>
      <c r="D79" s="1552" t="s">
        <v>543</v>
      </c>
      <c r="E79" s="1553"/>
      <c r="F79" s="1553"/>
      <c r="G79" s="1553"/>
      <c r="H79" s="1554"/>
      <c r="I79" s="6"/>
      <c r="J79" s="6"/>
      <c r="K79" s="13">
        <f>IF($K$82=3,6,"")</f>
      </c>
      <c r="L79" s="1701"/>
      <c r="M79" s="1702"/>
      <c r="N79" s="1702"/>
      <c r="O79" s="1702"/>
      <c r="P79" s="1702"/>
      <c r="Q79" s="1702"/>
      <c r="R79" s="1703"/>
      <c r="T79" s="61"/>
      <c r="U79" s="61"/>
    </row>
    <row r="80" spans="1:21" ht="18" customHeight="1">
      <c r="A80" s="7"/>
      <c r="B80" s="6"/>
      <c r="C80" s="214"/>
      <c r="D80" s="1552" t="s">
        <v>545</v>
      </c>
      <c r="E80" s="1553"/>
      <c r="F80" s="1553"/>
      <c r="G80" s="1553"/>
      <c r="H80" s="1554"/>
      <c r="I80" s="6"/>
      <c r="J80" s="6"/>
      <c r="K80" s="13">
        <f>IF($K$82=4,3,"")</f>
      </c>
      <c r="L80" s="1701"/>
      <c r="M80" s="1702"/>
      <c r="N80" s="1702"/>
      <c r="O80" s="1702"/>
      <c r="P80" s="1702"/>
      <c r="Q80" s="1702"/>
      <c r="R80" s="1703"/>
      <c r="T80" s="61"/>
      <c r="U80" s="61"/>
    </row>
    <row r="81" spans="1:21" ht="18" customHeight="1">
      <c r="A81" s="7"/>
      <c r="B81" s="6"/>
      <c r="C81" s="215"/>
      <c r="D81" s="1552" t="s">
        <v>544</v>
      </c>
      <c r="E81" s="1553"/>
      <c r="F81" s="1553"/>
      <c r="G81" s="1553"/>
      <c r="H81" s="1554"/>
      <c r="I81" s="6"/>
      <c r="J81" s="6"/>
      <c r="K81" s="13">
        <f>IF($K$82=5,1,"")</f>
        <v>1</v>
      </c>
      <c r="L81" s="1701"/>
      <c r="M81" s="1702"/>
      <c r="N81" s="1702"/>
      <c r="O81" s="1702"/>
      <c r="P81" s="1702"/>
      <c r="Q81" s="1702"/>
      <c r="R81" s="1703"/>
      <c r="T81" s="61"/>
      <c r="U81" s="61"/>
    </row>
    <row r="82" spans="1:21" ht="13.5" customHeight="1" thickBot="1">
      <c r="A82" s="7"/>
      <c r="B82" s="6"/>
      <c r="C82" s="6"/>
      <c r="D82" s="60"/>
      <c r="E82" s="60"/>
      <c r="F82" s="60"/>
      <c r="G82" s="60"/>
      <c r="H82" s="60"/>
      <c r="I82" s="6"/>
      <c r="J82" s="6"/>
      <c r="K82" s="13">
        <v>5</v>
      </c>
      <c r="L82" s="1701"/>
      <c r="M82" s="1702"/>
      <c r="N82" s="1702"/>
      <c r="O82" s="1702"/>
      <c r="P82" s="1702"/>
      <c r="Q82" s="1702"/>
      <c r="R82" s="1703"/>
      <c r="T82" s="61"/>
      <c r="U82" s="61"/>
    </row>
    <row r="83" spans="1:21" ht="15.75" thickBot="1">
      <c r="A83" s="9"/>
      <c r="B83" s="5"/>
      <c r="C83" s="5"/>
      <c r="D83" s="5"/>
      <c r="E83" s="5"/>
      <c r="F83" s="5"/>
      <c r="G83" s="5"/>
      <c r="H83" s="5"/>
      <c r="I83" s="189" t="s">
        <v>369</v>
      </c>
      <c r="J83" s="973">
        <f>IF(G8="",0,MAX(K77:K81))</f>
        <v>0</v>
      </c>
      <c r="K83" s="974"/>
      <c r="L83" s="1704"/>
      <c r="M83" s="1705"/>
      <c r="N83" s="1705"/>
      <c r="O83" s="1705"/>
      <c r="P83" s="1705"/>
      <c r="Q83" s="1705"/>
      <c r="R83" s="1706"/>
      <c r="T83" s="61"/>
      <c r="U83" s="61"/>
    </row>
    <row r="84" spans="1:21" ht="15.75">
      <c r="A84" s="10" t="s">
        <v>438</v>
      </c>
      <c r="B84" s="11"/>
      <c r="C84" s="1550" t="s">
        <v>728</v>
      </c>
      <c r="D84" s="1550"/>
      <c r="E84" s="1550"/>
      <c r="F84" s="1550"/>
      <c r="G84" s="1550"/>
      <c r="H84" s="1550"/>
      <c r="I84" s="1550"/>
      <c r="J84" s="1550"/>
      <c r="K84" s="1550"/>
      <c r="L84" s="1550"/>
      <c r="M84" s="1550"/>
      <c r="N84" s="1550"/>
      <c r="O84" s="1550"/>
      <c r="P84" s="1550"/>
      <c r="Q84" s="1550"/>
      <c r="R84" s="1551"/>
      <c r="T84" s="61"/>
      <c r="U84" s="61"/>
    </row>
    <row r="85" spans="1:21" ht="13.5" thickBot="1">
      <c r="A85" s="1666" t="s">
        <v>277</v>
      </c>
      <c r="B85" s="1667"/>
      <c r="C85" s="1667"/>
      <c r="D85" s="1667"/>
      <c r="E85" s="1667"/>
      <c r="F85" s="1667"/>
      <c r="G85" s="1667"/>
      <c r="H85" s="1667"/>
      <c r="I85" s="1667"/>
      <c r="J85" s="1667"/>
      <c r="K85" s="1667"/>
      <c r="L85" s="1667"/>
      <c r="M85" s="1667"/>
      <c r="N85" s="1667"/>
      <c r="O85" s="1667"/>
      <c r="P85" s="1667"/>
      <c r="Q85" s="1667"/>
      <c r="R85" s="1668"/>
      <c r="T85" s="61"/>
      <c r="U85" s="61"/>
    </row>
    <row r="86" spans="1:21" ht="17.25" customHeight="1" thickTop="1">
      <c r="A86" s="22"/>
      <c r="B86" s="23"/>
      <c r="C86" s="23"/>
      <c r="D86" s="23"/>
      <c r="E86" s="23"/>
      <c r="F86" s="23"/>
      <c r="G86" s="23"/>
      <c r="H86" s="23"/>
      <c r="I86" s="6"/>
      <c r="J86" s="6"/>
      <c r="K86" s="23"/>
      <c r="L86" s="150"/>
      <c r="M86" s="150"/>
      <c r="N86" s="6"/>
      <c r="O86" s="6"/>
      <c r="P86" s="6"/>
      <c r="Q86" s="6"/>
      <c r="R86" s="13"/>
      <c r="T86" s="61"/>
      <c r="U86" s="61"/>
    </row>
    <row r="87" spans="1:20" ht="12.75">
      <c r="A87" s="100"/>
      <c r="B87" s="101"/>
      <c r="C87" s="101"/>
      <c r="D87" s="101"/>
      <c r="E87" s="101"/>
      <c r="F87" s="101"/>
      <c r="G87" s="103"/>
      <c r="H87" s="106"/>
      <c r="I87" s="101"/>
      <c r="J87" s="23"/>
      <c r="K87" s="23"/>
      <c r="L87" s="23"/>
      <c r="M87" s="23"/>
      <c r="N87" s="23"/>
      <c r="O87" s="23"/>
      <c r="P87" s="23"/>
      <c r="Q87" s="23"/>
      <c r="R87" s="104"/>
      <c r="T87" s="58"/>
    </row>
    <row r="88" spans="1:20" ht="15.75" customHeight="1">
      <c r="A88" s="100"/>
      <c r="B88" s="1547"/>
      <c r="C88" s="1523" t="s">
        <v>525</v>
      </c>
      <c r="D88" s="1524"/>
      <c r="E88" s="1524"/>
      <c r="F88" s="1524"/>
      <c r="G88" s="1524"/>
      <c r="H88" s="1524"/>
      <c r="I88" s="1525"/>
      <c r="J88" s="23"/>
      <c r="K88" s="227" t="s">
        <v>323</v>
      </c>
      <c r="L88" s="1532" t="s">
        <v>278</v>
      </c>
      <c r="M88" s="1533"/>
      <c r="N88" s="1533"/>
      <c r="O88" s="1533"/>
      <c r="P88" s="1534"/>
      <c r="Q88" s="23"/>
      <c r="R88" s="104">
        <f>IF($R$101=1,10,"")</f>
      </c>
      <c r="T88" s="58"/>
    </row>
    <row r="89" spans="1:20" ht="15.75" customHeight="1">
      <c r="A89" s="100"/>
      <c r="B89" s="1548"/>
      <c r="C89" s="1526"/>
      <c r="D89" s="1527"/>
      <c r="E89" s="1527"/>
      <c r="F89" s="1527"/>
      <c r="G89" s="1527"/>
      <c r="H89" s="1527"/>
      <c r="I89" s="1528"/>
      <c r="J89" s="23"/>
      <c r="K89" s="228" t="s">
        <v>324</v>
      </c>
      <c r="L89" s="1532" t="s">
        <v>278</v>
      </c>
      <c r="M89" s="1533"/>
      <c r="N89" s="1533"/>
      <c r="O89" s="1533"/>
      <c r="P89" s="1534"/>
      <c r="Q89" s="23"/>
      <c r="R89" s="104"/>
      <c r="T89" s="58"/>
    </row>
    <row r="90" spans="1:20" ht="15.75" customHeight="1">
      <c r="A90" s="100"/>
      <c r="B90" s="1549"/>
      <c r="C90" s="1529"/>
      <c r="D90" s="1530"/>
      <c r="E90" s="1530"/>
      <c r="F90" s="1530"/>
      <c r="G90" s="1530"/>
      <c r="H90" s="1530"/>
      <c r="I90" s="1531"/>
      <c r="J90" s="23"/>
      <c r="K90" s="229" t="s">
        <v>325</v>
      </c>
      <c r="L90" s="1532" t="s">
        <v>278</v>
      </c>
      <c r="M90" s="1533"/>
      <c r="N90" s="1533"/>
      <c r="O90" s="1533"/>
      <c r="P90" s="1534"/>
      <c r="Q90" s="23"/>
      <c r="R90" s="104"/>
      <c r="T90" s="58"/>
    </row>
    <row r="91" spans="1:20" ht="15.75" customHeight="1">
      <c r="A91" s="100"/>
      <c r="B91" s="1547"/>
      <c r="C91" s="1523" t="s">
        <v>526</v>
      </c>
      <c r="D91" s="1524"/>
      <c r="E91" s="1524"/>
      <c r="F91" s="1524"/>
      <c r="G91" s="1524"/>
      <c r="H91" s="1524"/>
      <c r="I91" s="1525"/>
      <c r="J91" s="23"/>
      <c r="K91" s="227" t="s">
        <v>323</v>
      </c>
      <c r="L91" s="1532" t="s">
        <v>278</v>
      </c>
      <c r="M91" s="1533"/>
      <c r="N91" s="1533"/>
      <c r="O91" s="1533"/>
      <c r="P91" s="1534"/>
      <c r="Q91" s="23"/>
      <c r="R91" s="104">
        <f>IF($R$101=2,7,"")</f>
      </c>
      <c r="T91" s="58"/>
    </row>
    <row r="92" spans="1:20" ht="15.75" customHeight="1">
      <c r="A92" s="100"/>
      <c r="B92" s="1548"/>
      <c r="C92" s="1526"/>
      <c r="D92" s="1527"/>
      <c r="E92" s="1527"/>
      <c r="F92" s="1527"/>
      <c r="G92" s="1527"/>
      <c r="H92" s="1527"/>
      <c r="I92" s="1528"/>
      <c r="J92" s="23"/>
      <c r="K92" s="228" t="s">
        <v>324</v>
      </c>
      <c r="L92" s="1532" t="s">
        <v>278</v>
      </c>
      <c r="M92" s="1533"/>
      <c r="N92" s="1533"/>
      <c r="O92" s="1533"/>
      <c r="P92" s="1534"/>
      <c r="Q92" s="23"/>
      <c r="R92" s="104"/>
      <c r="T92" s="58"/>
    </row>
    <row r="93" spans="1:20" ht="15.75" customHeight="1">
      <c r="A93" s="100"/>
      <c r="B93" s="1549"/>
      <c r="C93" s="1529"/>
      <c r="D93" s="1530"/>
      <c r="E93" s="1530"/>
      <c r="F93" s="1530"/>
      <c r="G93" s="1530"/>
      <c r="H93" s="1530"/>
      <c r="I93" s="1531"/>
      <c r="J93" s="23"/>
      <c r="K93" s="229" t="s">
        <v>325</v>
      </c>
      <c r="L93" s="1532" t="s">
        <v>278</v>
      </c>
      <c r="M93" s="1533"/>
      <c r="N93" s="1533"/>
      <c r="O93" s="1533"/>
      <c r="P93" s="1534"/>
      <c r="Q93" s="23"/>
      <c r="R93" s="104"/>
      <c r="T93" s="58"/>
    </row>
    <row r="94" spans="1:20" ht="15.75" customHeight="1">
      <c r="A94" s="100"/>
      <c r="B94" s="1547"/>
      <c r="C94" s="1523" t="s">
        <v>810</v>
      </c>
      <c r="D94" s="1524"/>
      <c r="E94" s="1524"/>
      <c r="F94" s="1524"/>
      <c r="G94" s="1524"/>
      <c r="H94" s="1524"/>
      <c r="I94" s="1525"/>
      <c r="J94" s="23"/>
      <c r="K94" s="227" t="s">
        <v>323</v>
      </c>
      <c r="L94" s="1532" t="s">
        <v>278</v>
      </c>
      <c r="M94" s="1533"/>
      <c r="N94" s="1533"/>
      <c r="O94" s="1533"/>
      <c r="P94" s="1534"/>
      <c r="Q94" s="23"/>
      <c r="R94" s="104">
        <f>IF($R$101=3,5,"")</f>
      </c>
      <c r="T94" s="58"/>
    </row>
    <row r="95" spans="1:20" ht="15.75" customHeight="1">
      <c r="A95" s="100"/>
      <c r="B95" s="1548"/>
      <c r="C95" s="1526"/>
      <c r="D95" s="1527"/>
      <c r="E95" s="1527"/>
      <c r="F95" s="1527"/>
      <c r="G95" s="1527"/>
      <c r="H95" s="1527"/>
      <c r="I95" s="1528"/>
      <c r="J95" s="23"/>
      <c r="K95" s="228" t="s">
        <v>324</v>
      </c>
      <c r="L95" s="1532" t="s">
        <v>278</v>
      </c>
      <c r="M95" s="1533"/>
      <c r="N95" s="1533"/>
      <c r="O95" s="1533"/>
      <c r="P95" s="1534"/>
      <c r="Q95" s="23"/>
      <c r="R95" s="104"/>
      <c r="T95" s="58"/>
    </row>
    <row r="96" spans="1:20" ht="15.75" customHeight="1">
      <c r="A96" s="100"/>
      <c r="B96" s="1549"/>
      <c r="C96" s="1529"/>
      <c r="D96" s="1530"/>
      <c r="E96" s="1530"/>
      <c r="F96" s="1530"/>
      <c r="G96" s="1530"/>
      <c r="H96" s="1530"/>
      <c r="I96" s="1531"/>
      <c r="J96" s="23"/>
      <c r="K96" s="229" t="s">
        <v>325</v>
      </c>
      <c r="L96" s="1532" t="s">
        <v>278</v>
      </c>
      <c r="M96" s="1533"/>
      <c r="N96" s="1533"/>
      <c r="O96" s="1533"/>
      <c r="P96" s="1534"/>
      <c r="Q96" s="23"/>
      <c r="R96" s="104"/>
      <c r="T96" s="58"/>
    </row>
    <row r="97" spans="1:20" ht="15.75" customHeight="1">
      <c r="A97" s="100"/>
      <c r="B97" s="1547"/>
      <c r="C97" s="1523" t="s">
        <v>29</v>
      </c>
      <c r="D97" s="1524"/>
      <c r="E97" s="1524"/>
      <c r="F97" s="1524"/>
      <c r="G97" s="1524"/>
      <c r="H97" s="1524"/>
      <c r="I97" s="1525"/>
      <c r="J97" s="23"/>
      <c r="K97" s="227" t="s">
        <v>323</v>
      </c>
      <c r="L97" s="1532" t="s">
        <v>278</v>
      </c>
      <c r="M97" s="1533"/>
      <c r="N97" s="1533"/>
      <c r="O97" s="1533"/>
      <c r="P97" s="1534"/>
      <c r="Q97" s="23"/>
      <c r="R97" s="104">
        <f>IF($R$101=4,2,"")</f>
        <v>2</v>
      </c>
      <c r="T97" s="58"/>
    </row>
    <row r="98" spans="1:20" ht="15.75" customHeight="1">
      <c r="A98" s="100"/>
      <c r="B98" s="1548"/>
      <c r="C98" s="1526"/>
      <c r="D98" s="1527"/>
      <c r="E98" s="1527"/>
      <c r="F98" s="1527"/>
      <c r="G98" s="1527"/>
      <c r="H98" s="1527"/>
      <c r="I98" s="1528"/>
      <c r="J98" s="23"/>
      <c r="K98" s="228" t="s">
        <v>324</v>
      </c>
      <c r="L98" s="1532" t="s">
        <v>278</v>
      </c>
      <c r="M98" s="1533"/>
      <c r="N98" s="1533"/>
      <c r="O98" s="1533"/>
      <c r="P98" s="1534"/>
      <c r="Q98" s="23"/>
      <c r="R98" s="104"/>
      <c r="T98" s="58"/>
    </row>
    <row r="99" spans="1:20" ht="15.75" customHeight="1">
      <c r="A99" s="100"/>
      <c r="B99" s="1549"/>
      <c r="C99" s="1529"/>
      <c r="D99" s="1530"/>
      <c r="E99" s="1530"/>
      <c r="F99" s="1530"/>
      <c r="G99" s="1530"/>
      <c r="H99" s="1530"/>
      <c r="I99" s="1531"/>
      <c r="J99" s="23"/>
      <c r="K99" s="229" t="s">
        <v>325</v>
      </c>
      <c r="L99" s="1532" t="s">
        <v>278</v>
      </c>
      <c r="M99" s="1533"/>
      <c r="N99" s="1533"/>
      <c r="O99" s="1533"/>
      <c r="P99" s="1534"/>
      <c r="Q99" s="23"/>
      <c r="R99" s="104"/>
      <c r="T99" s="58"/>
    </row>
    <row r="100" spans="1:20" ht="5.25" customHeight="1">
      <c r="A100" s="100"/>
      <c r="B100" s="101"/>
      <c r="C100" s="164"/>
      <c r="D100" s="164"/>
      <c r="E100" s="164"/>
      <c r="F100" s="164"/>
      <c r="G100" s="164"/>
      <c r="H100" s="164"/>
      <c r="I100" s="164"/>
      <c r="J100" s="23"/>
      <c r="K100" s="23"/>
      <c r="L100" s="23"/>
      <c r="M100" s="23"/>
      <c r="N100" s="23"/>
      <c r="O100" s="23"/>
      <c r="P100" s="23"/>
      <c r="Q100" s="23"/>
      <c r="R100" s="104"/>
      <c r="T100" s="58"/>
    </row>
    <row r="101" spans="1:21" ht="15" customHeight="1" thickBot="1">
      <c r="A101" s="7"/>
      <c r="B101" s="6"/>
      <c r="C101" s="6"/>
      <c r="D101" s="6"/>
      <c r="E101" s="23"/>
      <c r="F101" s="8"/>
      <c r="G101" s="185"/>
      <c r="H101" s="185"/>
      <c r="I101" s="6"/>
      <c r="J101" s="6"/>
      <c r="K101" s="23"/>
      <c r="L101" s="6"/>
      <c r="M101" s="6"/>
      <c r="N101" s="6"/>
      <c r="O101" s="6"/>
      <c r="P101" s="6"/>
      <c r="Q101" s="6"/>
      <c r="R101" s="104">
        <v>4</v>
      </c>
      <c r="T101" s="61"/>
      <c r="U101" s="61"/>
    </row>
    <row r="102" spans="1:21" ht="15" customHeight="1" thickBot="1">
      <c r="A102" s="9"/>
      <c r="B102" s="5"/>
      <c r="C102" s="5"/>
      <c r="D102" s="5"/>
      <c r="E102" s="5"/>
      <c r="F102" s="5"/>
      <c r="G102" s="5"/>
      <c r="H102" s="5"/>
      <c r="I102" s="234"/>
      <c r="J102" s="21"/>
      <c r="K102" s="21"/>
      <c r="L102" s="148"/>
      <c r="M102" s="148"/>
      <c r="N102" s="5"/>
      <c r="O102" s="5"/>
      <c r="P102" s="189" t="s">
        <v>370</v>
      </c>
      <c r="Q102" s="973">
        <f>IF(G8="",0,MAX(R88:R97))</f>
        <v>0</v>
      </c>
      <c r="R102" s="974"/>
      <c r="T102" s="61"/>
      <c r="U102" s="61"/>
    </row>
    <row r="103" spans="1:21" ht="16.5" customHeight="1">
      <c r="A103" s="10" t="s">
        <v>439</v>
      </c>
      <c r="B103" s="11"/>
      <c r="C103" s="1545" t="s">
        <v>529</v>
      </c>
      <c r="D103" s="1545"/>
      <c r="E103" s="1545"/>
      <c r="F103" s="1545"/>
      <c r="G103" s="1545"/>
      <c r="H103" s="1545"/>
      <c r="I103" s="1545"/>
      <c r="J103" s="1545"/>
      <c r="K103" s="1545"/>
      <c r="L103" s="1545"/>
      <c r="M103" s="1545"/>
      <c r="N103" s="1545"/>
      <c r="O103" s="1545"/>
      <c r="P103" s="1545"/>
      <c r="Q103" s="1545"/>
      <c r="R103" s="1546"/>
      <c r="T103" s="61"/>
      <c r="U103" s="61"/>
    </row>
    <row r="104" spans="1:21" ht="13.5" thickBot="1">
      <c r="A104" s="1542" t="s">
        <v>25</v>
      </c>
      <c r="B104" s="1543"/>
      <c r="C104" s="1543"/>
      <c r="D104" s="1543"/>
      <c r="E104" s="1543"/>
      <c r="F104" s="1543"/>
      <c r="G104" s="1543"/>
      <c r="H104" s="1543"/>
      <c r="I104" s="1543"/>
      <c r="J104" s="1543"/>
      <c r="K104" s="1543"/>
      <c r="L104" s="1543"/>
      <c r="M104" s="1543"/>
      <c r="N104" s="1543"/>
      <c r="O104" s="1543"/>
      <c r="P104" s="1543"/>
      <c r="Q104" s="1543"/>
      <c r="R104" s="1544"/>
      <c r="T104" s="61"/>
      <c r="U104" s="61"/>
    </row>
    <row r="105" spans="1:21" ht="17.25" thickTop="1">
      <c r="A105" s="22"/>
      <c r="B105" s="23"/>
      <c r="C105" s="23"/>
      <c r="D105" s="23"/>
      <c r="E105" s="23"/>
      <c r="F105" s="23"/>
      <c r="G105" s="23"/>
      <c r="H105" s="23"/>
      <c r="I105" s="23"/>
      <c r="J105" s="216"/>
      <c r="K105" s="6"/>
      <c r="L105" s="23"/>
      <c r="M105" s="149"/>
      <c r="N105" s="217"/>
      <c r="O105" s="151"/>
      <c r="P105" s="151"/>
      <c r="Q105" s="186"/>
      <c r="R105" s="47"/>
      <c r="T105" s="61"/>
      <c r="U105" s="61"/>
    </row>
    <row r="106" spans="1:21" ht="17.25" customHeight="1">
      <c r="A106" s="22"/>
      <c r="B106" s="44"/>
      <c r="C106" s="1539" t="s">
        <v>530</v>
      </c>
      <c r="D106" s="1539"/>
      <c r="E106" s="1539"/>
      <c r="F106" s="1539"/>
      <c r="G106" s="1539"/>
      <c r="H106" s="1539"/>
      <c r="I106" s="1539"/>
      <c r="J106" s="99"/>
      <c r="K106" s="99"/>
      <c r="L106" s="98" t="s">
        <v>533</v>
      </c>
      <c r="M106" s="220"/>
      <c r="N106" s="221"/>
      <c r="O106" s="221"/>
      <c r="P106" s="221"/>
      <c r="Q106" s="186" t="b">
        <v>0</v>
      </c>
      <c r="R106" s="226" t="b">
        <v>0</v>
      </c>
      <c r="T106" s="61"/>
      <c r="U106" s="61"/>
    </row>
    <row r="107" spans="1:21" ht="17.25" customHeight="1">
      <c r="A107" s="22"/>
      <c r="B107" s="23"/>
      <c r="C107" s="98" t="s">
        <v>531</v>
      </c>
      <c r="D107" s="98"/>
      <c r="E107" s="98"/>
      <c r="F107" s="98"/>
      <c r="G107" s="98"/>
      <c r="H107" s="98"/>
      <c r="I107" s="98"/>
      <c r="J107" s="99"/>
      <c r="K107" s="99"/>
      <c r="L107" s="98" t="s">
        <v>534</v>
      </c>
      <c r="M107" s="220"/>
      <c r="N107" s="221"/>
      <c r="O107" s="221"/>
      <c r="P107" s="221"/>
      <c r="Q107" s="186" t="b">
        <v>0</v>
      </c>
      <c r="R107" s="226" t="b">
        <v>0</v>
      </c>
      <c r="T107" s="61"/>
      <c r="U107" s="61"/>
    </row>
    <row r="108" spans="1:21" ht="17.25" customHeight="1">
      <c r="A108" s="22"/>
      <c r="B108" s="23"/>
      <c r="C108" s="98" t="s">
        <v>547</v>
      </c>
      <c r="D108" s="98"/>
      <c r="E108" s="98"/>
      <c r="F108" s="98"/>
      <c r="G108" s="98"/>
      <c r="H108" s="98"/>
      <c r="I108" s="98"/>
      <c r="J108" s="99"/>
      <c r="K108" s="99"/>
      <c r="L108" s="98" t="s">
        <v>535</v>
      </c>
      <c r="M108" s="220"/>
      <c r="N108" s="221"/>
      <c r="O108" s="221"/>
      <c r="P108" s="221"/>
      <c r="Q108" s="186" t="b">
        <v>0</v>
      </c>
      <c r="R108" s="226" t="b">
        <v>0</v>
      </c>
      <c r="T108" s="61"/>
      <c r="U108" s="61"/>
    </row>
    <row r="109" spans="1:21" ht="17.25" customHeight="1">
      <c r="A109" s="22"/>
      <c r="B109" s="23"/>
      <c r="C109" s="98" t="s">
        <v>532</v>
      </c>
      <c r="D109" s="98"/>
      <c r="E109" s="98"/>
      <c r="F109" s="98"/>
      <c r="G109" s="98"/>
      <c r="H109" s="98"/>
      <c r="I109" s="98"/>
      <c r="J109" s="99"/>
      <c r="K109" s="99"/>
      <c r="L109" s="98" t="s">
        <v>536</v>
      </c>
      <c r="M109" s="220"/>
      <c r="N109" s="221"/>
      <c r="O109" s="221"/>
      <c r="P109" s="221"/>
      <c r="Q109" s="186" t="b">
        <v>0</v>
      </c>
      <c r="R109" s="226" t="b">
        <v>0</v>
      </c>
      <c r="T109" s="61"/>
      <c r="U109" s="61"/>
    </row>
    <row r="110" spans="1:21" ht="17.25" customHeight="1">
      <c r="A110" s="22"/>
      <c r="B110" s="23"/>
      <c r="C110" s="98" t="s">
        <v>537</v>
      </c>
      <c r="D110" s="98"/>
      <c r="E110" s="98"/>
      <c r="F110" s="98"/>
      <c r="G110" s="98"/>
      <c r="H110" s="98"/>
      <c r="I110" s="98"/>
      <c r="J110" s="99"/>
      <c r="K110" s="99"/>
      <c r="L110" s="98" t="s">
        <v>538</v>
      </c>
      <c r="M110" s="220"/>
      <c r="N110" s="221"/>
      <c r="O110" s="221"/>
      <c r="P110" s="221"/>
      <c r="Q110" s="186" t="b">
        <v>0</v>
      </c>
      <c r="R110" s="226" t="b">
        <v>0</v>
      </c>
      <c r="T110" s="61"/>
      <c r="U110" s="61"/>
    </row>
    <row r="111" spans="1:21" ht="17.25" customHeight="1">
      <c r="A111" s="22"/>
      <c r="B111" s="23"/>
      <c r="C111" s="98" t="s">
        <v>539</v>
      </c>
      <c r="D111" s="98"/>
      <c r="E111" s="98"/>
      <c r="F111" s="98"/>
      <c r="G111" s="98"/>
      <c r="H111" s="98"/>
      <c r="I111" s="98"/>
      <c r="J111" s="99"/>
      <c r="K111" s="99"/>
      <c r="L111" s="98" t="s">
        <v>540</v>
      </c>
      <c r="M111" s="220"/>
      <c r="N111" s="221"/>
      <c r="O111" s="221"/>
      <c r="P111" s="221"/>
      <c r="Q111" s="186" t="b">
        <v>0</v>
      </c>
      <c r="R111" s="226" t="b">
        <v>0</v>
      </c>
      <c r="T111" s="61"/>
      <c r="U111" s="61"/>
    </row>
    <row r="112" spans="1:21" ht="15" thickBot="1">
      <c r="A112" s="22"/>
      <c r="B112" s="23"/>
      <c r="C112" s="23"/>
      <c r="D112" s="23"/>
      <c r="E112" s="23"/>
      <c r="F112" s="23"/>
      <c r="G112" s="23"/>
      <c r="H112" s="23"/>
      <c r="I112" s="23"/>
      <c r="J112" s="6"/>
      <c r="K112" s="6"/>
      <c r="L112" s="23"/>
      <c r="M112" s="149"/>
      <c r="N112" s="151"/>
      <c r="O112" s="151"/>
      <c r="P112" s="151"/>
      <c r="Q112" s="1540">
        <f>COUNTIF(Q106:R111,TRUE)</f>
        <v>0</v>
      </c>
      <c r="R112" s="1541"/>
      <c r="T112" s="61"/>
      <c r="U112" s="61"/>
    </row>
    <row r="113" spans="1:21" ht="15.75" thickBot="1">
      <c r="A113" s="24"/>
      <c r="B113" s="21"/>
      <c r="C113" s="21"/>
      <c r="D113" s="21"/>
      <c r="E113" s="21"/>
      <c r="F113" s="21"/>
      <c r="G113" s="21"/>
      <c r="H113" s="21"/>
      <c r="I113" s="21"/>
      <c r="J113" s="5"/>
      <c r="K113" s="5"/>
      <c r="L113" s="21"/>
      <c r="M113" s="218"/>
      <c r="N113" s="219"/>
      <c r="O113" s="219"/>
      <c r="P113" s="133" t="s">
        <v>649</v>
      </c>
      <c r="Q113" s="973">
        <f>Q112*4</f>
        <v>0</v>
      </c>
      <c r="R113" s="974"/>
      <c r="T113" s="61"/>
      <c r="U113" s="61"/>
    </row>
    <row r="114" spans="1:21" ht="16.5" customHeight="1">
      <c r="A114" s="244" t="s">
        <v>440</v>
      </c>
      <c r="B114" s="11"/>
      <c r="C114" s="1633" t="s">
        <v>270</v>
      </c>
      <c r="D114" s="1633"/>
      <c r="E114" s="1633"/>
      <c r="F114" s="1633"/>
      <c r="G114" s="1633"/>
      <c r="H114" s="1633"/>
      <c r="I114" s="1633"/>
      <c r="J114" s="1633"/>
      <c r="K114" s="1633"/>
      <c r="L114" s="1633"/>
      <c r="M114" s="1633"/>
      <c r="N114" s="1633"/>
      <c r="O114" s="1633"/>
      <c r="P114" s="1633"/>
      <c r="Q114" s="1633"/>
      <c r="R114" s="1634"/>
      <c r="T114" s="61"/>
      <c r="U114" s="61"/>
    </row>
    <row r="115" spans="1:21" ht="13.5" thickBot="1">
      <c r="A115" s="1542" t="s">
        <v>271</v>
      </c>
      <c r="B115" s="1543"/>
      <c r="C115" s="1543"/>
      <c r="D115" s="1543"/>
      <c r="E115" s="1543"/>
      <c r="F115" s="1543"/>
      <c r="G115" s="1543"/>
      <c r="H115" s="1543"/>
      <c r="I115" s="1543"/>
      <c r="J115" s="1543"/>
      <c r="K115" s="1543"/>
      <c r="L115" s="1543"/>
      <c r="M115" s="1543"/>
      <c r="N115" s="1543"/>
      <c r="O115" s="1543"/>
      <c r="P115" s="1543"/>
      <c r="Q115" s="1543"/>
      <c r="R115" s="1544"/>
      <c r="T115" s="61"/>
      <c r="U115" s="61"/>
    </row>
    <row r="116" spans="1:21" ht="18" customHeight="1" thickTop="1">
      <c r="A116" s="100"/>
      <c r="B116" s="101"/>
      <c r="C116" s="101"/>
      <c r="D116" s="101"/>
      <c r="E116" s="101"/>
      <c r="F116" s="103"/>
      <c r="G116" s="106"/>
      <c r="H116" s="101"/>
      <c r="I116" s="101"/>
      <c r="J116" s="101"/>
      <c r="K116" s="178"/>
      <c r="L116" s="1650" t="s">
        <v>272</v>
      </c>
      <c r="M116" s="1651"/>
      <c r="N116" s="1651"/>
      <c r="O116" s="1651"/>
      <c r="P116" s="1651"/>
      <c r="Q116" s="1651"/>
      <c r="R116" s="1652"/>
      <c r="T116" s="61"/>
      <c r="U116" s="61"/>
    </row>
    <row r="117" spans="1:21" ht="12.75">
      <c r="A117" s="100"/>
      <c r="B117" s="101"/>
      <c r="C117" s="1653" t="s">
        <v>412</v>
      </c>
      <c r="D117" s="1653"/>
      <c r="E117" s="1653"/>
      <c r="F117" s="1653"/>
      <c r="G117" s="1653"/>
      <c r="H117" s="1653"/>
      <c r="I117" s="101"/>
      <c r="J117" s="101"/>
      <c r="K117" s="104"/>
      <c r="L117" s="1654"/>
      <c r="M117" s="1655"/>
      <c r="N117" s="1655"/>
      <c r="O117" s="1655"/>
      <c r="P117" s="1655"/>
      <c r="Q117" s="1655"/>
      <c r="R117" s="1656"/>
      <c r="T117" s="61"/>
      <c r="U117" s="61"/>
    </row>
    <row r="118" spans="1:21" ht="14.25">
      <c r="A118" s="100"/>
      <c r="B118" s="101"/>
      <c r="C118" s="1139"/>
      <c r="D118" s="1140"/>
      <c r="E118" s="1140"/>
      <c r="F118" s="1140"/>
      <c r="G118" s="1140"/>
      <c r="H118" s="1141"/>
      <c r="I118" s="101"/>
      <c r="J118" s="101"/>
      <c r="K118" s="104"/>
      <c r="L118" s="1657"/>
      <c r="M118" s="1658"/>
      <c r="N118" s="1658"/>
      <c r="O118" s="1658"/>
      <c r="P118" s="1658"/>
      <c r="Q118" s="1658"/>
      <c r="R118" s="1659"/>
      <c r="T118" s="61"/>
      <c r="U118" s="61"/>
    </row>
    <row r="119" spans="1:21" ht="17.25" customHeight="1">
      <c r="A119" s="100"/>
      <c r="B119" s="101"/>
      <c r="C119" s="105" t="s">
        <v>647</v>
      </c>
      <c r="D119" s="101"/>
      <c r="E119" s="23"/>
      <c r="F119" s="23"/>
      <c r="G119" s="23"/>
      <c r="H119" s="101"/>
      <c r="I119" s="101"/>
      <c r="J119" s="101"/>
      <c r="K119" s="104"/>
      <c r="L119" s="1657"/>
      <c r="M119" s="1658"/>
      <c r="N119" s="1658"/>
      <c r="O119" s="1658"/>
      <c r="P119" s="1658"/>
      <c r="Q119" s="1658"/>
      <c r="R119" s="1659"/>
      <c r="T119" s="61"/>
      <c r="U119" s="61"/>
    </row>
    <row r="120" spans="1:21" ht="18" customHeight="1">
      <c r="A120" s="100"/>
      <c r="B120" s="101"/>
      <c r="C120" s="1663"/>
      <c r="D120" s="1664"/>
      <c r="E120" s="1664"/>
      <c r="F120" s="1664"/>
      <c r="G120" s="1664"/>
      <c r="H120" s="1665"/>
      <c r="I120" s="101"/>
      <c r="J120" s="101"/>
      <c r="K120" s="104"/>
      <c r="L120" s="1657"/>
      <c r="M120" s="1658"/>
      <c r="N120" s="1658"/>
      <c r="O120" s="1658"/>
      <c r="P120" s="1658"/>
      <c r="Q120" s="1658"/>
      <c r="R120" s="1659"/>
      <c r="T120" s="61"/>
      <c r="U120" s="61"/>
    </row>
    <row r="121" spans="1:21" ht="13.5" thickBot="1">
      <c r="A121" s="100"/>
      <c r="B121" s="101"/>
      <c r="C121" s="101"/>
      <c r="D121" s="101"/>
      <c r="E121" s="101"/>
      <c r="F121" s="103"/>
      <c r="G121" s="107"/>
      <c r="H121" s="101"/>
      <c r="I121" s="101"/>
      <c r="J121" s="101"/>
      <c r="K121" s="104"/>
      <c r="L121" s="1657"/>
      <c r="M121" s="1658"/>
      <c r="N121" s="1658"/>
      <c r="O121" s="1658"/>
      <c r="P121" s="1658"/>
      <c r="Q121" s="1658"/>
      <c r="R121" s="1659"/>
      <c r="T121" s="61"/>
      <c r="U121" s="61"/>
    </row>
    <row r="122" spans="1:21" ht="15.75" thickBot="1">
      <c r="A122" s="177"/>
      <c r="B122" s="102"/>
      <c r="C122" s="102"/>
      <c r="D122" s="102"/>
      <c r="E122" s="102"/>
      <c r="F122" s="102"/>
      <c r="G122" s="102"/>
      <c r="H122" s="102"/>
      <c r="I122" s="134"/>
      <c r="J122" s="245"/>
      <c r="K122" s="246"/>
      <c r="L122" s="1660"/>
      <c r="M122" s="1661"/>
      <c r="N122" s="1661"/>
      <c r="O122" s="1661"/>
      <c r="P122" s="1661"/>
      <c r="Q122" s="1661"/>
      <c r="R122" s="1662"/>
      <c r="T122" s="61"/>
      <c r="U122" s="61"/>
    </row>
    <row r="123" spans="1:21" ht="15">
      <c r="A123" s="250"/>
      <c r="B123" s="250"/>
      <c r="C123" s="250"/>
      <c r="D123" s="250"/>
      <c r="E123" s="250"/>
      <c r="F123" s="250"/>
      <c r="G123" s="250"/>
      <c r="H123" s="250"/>
      <c r="I123" s="250"/>
      <c r="J123" s="251"/>
      <c r="K123" s="251"/>
      <c r="L123" s="250"/>
      <c r="M123" s="252"/>
      <c r="N123" s="253"/>
      <c r="O123" s="253"/>
      <c r="P123" s="254"/>
      <c r="Q123" s="109"/>
      <c r="R123" s="109"/>
      <c r="T123" s="61"/>
      <c r="U123" s="61"/>
    </row>
    <row r="124" spans="1:21" ht="15">
      <c r="A124" s="250"/>
      <c r="B124" s="250"/>
      <c r="C124" s="250"/>
      <c r="D124" s="250"/>
      <c r="E124" s="250"/>
      <c r="F124" s="250"/>
      <c r="G124" s="250"/>
      <c r="H124" s="250"/>
      <c r="I124" s="250"/>
      <c r="J124" s="251"/>
      <c r="K124" s="251"/>
      <c r="L124" s="250"/>
      <c r="M124" s="252"/>
      <c r="N124" s="253"/>
      <c r="O124" s="253"/>
      <c r="P124" s="254"/>
      <c r="Q124" s="109"/>
      <c r="R124" s="109"/>
      <c r="T124" s="61"/>
      <c r="U124" s="61"/>
    </row>
    <row r="125" spans="1:18" ht="12.75">
      <c r="A125" s="42"/>
      <c r="B125" s="42"/>
      <c r="C125" s="42"/>
      <c r="D125" s="42"/>
      <c r="E125" s="42"/>
      <c r="F125" s="42"/>
      <c r="G125" s="42"/>
      <c r="H125" s="42"/>
      <c r="I125" s="42"/>
      <c r="J125" s="42"/>
      <c r="K125" s="42"/>
      <c r="L125" s="42"/>
      <c r="M125" s="42"/>
      <c r="N125" s="42"/>
      <c r="O125" s="42"/>
      <c r="P125" s="42"/>
      <c r="Q125" s="42"/>
      <c r="R125" s="42"/>
    </row>
    <row r="126" spans="1:18" ht="12.75">
      <c r="A126" s="42"/>
      <c r="B126" s="42"/>
      <c r="C126" s="42"/>
      <c r="D126" s="42"/>
      <c r="E126" s="42"/>
      <c r="F126" s="42"/>
      <c r="G126" s="42"/>
      <c r="H126" s="42"/>
      <c r="I126" s="42"/>
      <c r="J126" s="42"/>
      <c r="K126" s="42"/>
      <c r="L126" s="42"/>
      <c r="M126" s="42"/>
      <c r="N126" s="42"/>
      <c r="O126" s="42"/>
      <c r="P126" s="42"/>
      <c r="Q126" s="42"/>
      <c r="R126" s="42"/>
    </row>
    <row r="127" spans="1:18" ht="12.75">
      <c r="A127" s="58" t="str">
        <f>Sheet1!A1</f>
        <v>Canon City, CO Field Office</v>
      </c>
      <c r="B127" s="58"/>
      <c r="C127" s="58"/>
      <c r="D127" s="58"/>
      <c r="E127" s="58"/>
      <c r="F127" s="58" t="str">
        <f>Sheet1!E1</f>
        <v>B. Gohlke</v>
      </c>
      <c r="G127" s="58"/>
      <c r="H127" s="58"/>
      <c r="I127" s="58"/>
      <c r="J127" s="58"/>
      <c r="K127" s="58"/>
      <c r="L127" s="58"/>
      <c r="M127" s="58"/>
      <c r="N127" s="58"/>
      <c r="O127" s="58"/>
      <c r="P127" s="58"/>
      <c r="Q127" s="58"/>
      <c r="R127" s="58"/>
    </row>
    <row r="128" spans="1:18" ht="12.75">
      <c r="A128" s="58" t="str">
        <f>Sheet1!A2</f>
        <v>Cheyenne Wells, CO Field Office</v>
      </c>
      <c r="B128" s="58"/>
      <c r="C128" s="58"/>
      <c r="D128" s="58"/>
      <c r="E128" s="58"/>
      <c r="F128" s="58" t="str">
        <f>Sheet1!E2</f>
        <v>G. Langer</v>
      </c>
      <c r="G128" s="58"/>
      <c r="H128" s="58"/>
      <c r="I128" s="58"/>
      <c r="J128" s="58"/>
      <c r="K128" s="58"/>
      <c r="L128" s="58"/>
      <c r="M128" s="58"/>
      <c r="N128" s="58"/>
      <c r="O128" s="58"/>
      <c r="P128" s="58"/>
      <c r="Q128" s="58"/>
      <c r="R128" s="58"/>
    </row>
    <row r="129" spans="1:18" ht="12.75">
      <c r="A129" s="58" t="str">
        <f>Sheet1!A3</f>
        <v>Colorado Springs, CO Field Office</v>
      </c>
      <c r="B129" s="58"/>
      <c r="C129" s="58"/>
      <c r="D129" s="58"/>
      <c r="E129" s="58"/>
      <c r="F129" s="58" t="str">
        <f>Sheet1!E3</f>
        <v>J. Valentine</v>
      </c>
      <c r="G129" s="58"/>
      <c r="H129" s="58"/>
      <c r="I129" s="58"/>
      <c r="J129" s="58"/>
      <c r="K129" s="58"/>
      <c r="L129" s="58"/>
      <c r="M129" s="58"/>
      <c r="N129" s="58"/>
      <c r="O129" s="58"/>
      <c r="P129" s="58"/>
      <c r="Q129" s="58"/>
      <c r="R129" s="58"/>
    </row>
    <row r="130" spans="1:18" ht="12.75">
      <c r="A130" s="58" t="str">
        <f>Sheet1!A4</f>
        <v>Eads, CO Field Office</v>
      </c>
      <c r="B130" s="58"/>
      <c r="C130" s="58"/>
      <c r="D130" s="58"/>
      <c r="E130" s="58"/>
      <c r="F130" s="58" t="str">
        <f>Sheet1!E4</f>
        <v>R. Castle</v>
      </c>
      <c r="G130" s="58"/>
      <c r="H130" s="58"/>
      <c r="I130" s="58"/>
      <c r="J130" s="58"/>
      <c r="K130" s="58"/>
      <c r="L130" s="58"/>
      <c r="M130" s="58"/>
      <c r="N130" s="58"/>
      <c r="O130" s="58"/>
      <c r="P130" s="58"/>
      <c r="Q130" s="58"/>
      <c r="R130" s="58"/>
    </row>
    <row r="131" spans="1:18" ht="12.75">
      <c r="A131" s="58" t="str">
        <f>Sheet1!A5</f>
        <v>Holly, CO Northeast Prowers SCD</v>
      </c>
      <c r="B131" s="58"/>
      <c r="C131" s="58"/>
      <c r="D131" s="58"/>
      <c r="E131" s="58"/>
      <c r="F131" s="58" t="str">
        <f>Sheet1!E5</f>
        <v>R. Rhoades</v>
      </c>
      <c r="G131" s="58"/>
      <c r="H131" s="58"/>
      <c r="I131" s="58"/>
      <c r="J131" s="58"/>
      <c r="K131" s="58"/>
      <c r="L131" s="58"/>
      <c r="M131" s="58"/>
      <c r="N131" s="58"/>
      <c r="O131" s="58"/>
      <c r="P131" s="58"/>
      <c r="Q131" s="58"/>
      <c r="R131" s="58"/>
    </row>
    <row r="132" spans="1:18" ht="12.75">
      <c r="A132" s="58" t="str">
        <f>Sheet1!A6</f>
        <v>Hugo, CO Field Office</v>
      </c>
      <c r="B132" s="58"/>
      <c r="C132" s="58"/>
      <c r="D132" s="58"/>
      <c r="E132" s="58"/>
      <c r="F132" s="58" t="str">
        <f>Sheet1!E6</f>
        <v>B. Fortman</v>
      </c>
      <c r="G132" s="58"/>
      <c r="H132" s="58"/>
      <c r="I132" s="58"/>
      <c r="J132" s="58"/>
      <c r="K132" s="58"/>
      <c r="L132" s="58"/>
      <c r="M132" s="58"/>
      <c r="N132" s="58"/>
      <c r="O132" s="58"/>
      <c r="P132" s="58"/>
      <c r="Q132" s="58"/>
      <c r="R132" s="58"/>
    </row>
    <row r="133" spans="1:18" ht="12.75">
      <c r="A133" s="58" t="str">
        <f>Sheet1!A7</f>
        <v>Lamar, CO  Field Office</v>
      </c>
      <c r="B133" s="58"/>
      <c r="C133" s="58"/>
      <c r="D133" s="58"/>
      <c r="E133" s="58"/>
      <c r="F133" s="58" t="str">
        <f>Sheet1!E7</f>
        <v>L. Borrego</v>
      </c>
      <c r="G133" s="58"/>
      <c r="H133" s="58"/>
      <c r="I133" s="58"/>
      <c r="J133" s="58"/>
      <c r="K133" s="58"/>
      <c r="L133" s="58"/>
      <c r="M133" s="58"/>
      <c r="N133" s="58"/>
      <c r="O133" s="58"/>
      <c r="P133" s="58"/>
      <c r="Q133" s="58"/>
      <c r="R133" s="58"/>
    </row>
    <row r="134" spans="1:18" ht="12.75">
      <c r="A134" s="58" t="str">
        <f>Sheet1!A8</f>
        <v>Las Animas, CO Field Office</v>
      </c>
      <c r="B134" s="275"/>
      <c r="C134" s="58"/>
      <c r="D134" s="58"/>
      <c r="E134" s="58"/>
      <c r="F134" s="58" t="str">
        <f>Sheet1!E8</f>
        <v>M. Clark</v>
      </c>
      <c r="G134" s="58"/>
      <c r="H134" s="58"/>
      <c r="I134" s="58"/>
      <c r="J134" s="58"/>
      <c r="K134" s="58"/>
      <c r="L134" s="275"/>
      <c r="M134" s="58"/>
      <c r="N134" s="58"/>
      <c r="O134" s="58"/>
      <c r="P134" s="58"/>
      <c r="Q134" s="58"/>
      <c r="R134" s="58"/>
    </row>
    <row r="135" spans="1:18" ht="12.75">
      <c r="A135" s="58" t="str">
        <f>Sheet1!A9</f>
        <v>Pueblo, CO Field Office</v>
      </c>
      <c r="B135" s="275"/>
      <c r="C135" s="58"/>
      <c r="D135" s="58"/>
      <c r="E135" s="58"/>
      <c r="F135" s="58" t="str">
        <f>Sheet1!E9</f>
        <v>B. Klinkerman</v>
      </c>
      <c r="G135" s="58"/>
      <c r="H135" s="58"/>
      <c r="I135" s="58"/>
      <c r="J135" s="58"/>
      <c r="K135" s="58"/>
      <c r="L135" s="275"/>
      <c r="M135" s="58"/>
      <c r="N135" s="58"/>
      <c r="O135" s="58"/>
      <c r="P135" s="58"/>
      <c r="Q135" s="58"/>
      <c r="R135" s="58"/>
    </row>
    <row r="136" spans="1:18" ht="12.75">
      <c r="A136" s="58" t="str">
        <f>Sheet1!A10</f>
        <v>Rocky Ford, CO Field Office</v>
      </c>
      <c r="B136" s="275"/>
      <c r="C136" s="58"/>
      <c r="D136" s="58"/>
      <c r="E136" s="58"/>
      <c r="F136" s="58" t="str">
        <f>Sheet1!E10</f>
        <v>D. Miller</v>
      </c>
      <c r="G136" s="58"/>
      <c r="H136" s="58"/>
      <c r="I136" s="58"/>
      <c r="J136" s="58"/>
      <c r="K136" s="58"/>
      <c r="L136" s="275"/>
      <c r="M136" s="58"/>
      <c r="N136" s="58"/>
      <c r="O136" s="58"/>
      <c r="P136" s="58"/>
      <c r="Q136" s="58"/>
      <c r="R136" s="58"/>
    </row>
    <row r="137" spans="1:18" ht="12.75">
      <c r="A137" s="58" t="str">
        <f>Sheet1!A11</f>
        <v>Salida, CO Field Office</v>
      </c>
      <c r="B137" s="275"/>
      <c r="C137" s="58"/>
      <c r="D137" s="58"/>
      <c r="E137" s="58"/>
      <c r="F137" s="58" t="str">
        <f>Sheet1!E11</f>
        <v>D. Russell</v>
      </c>
      <c r="G137" s="58"/>
      <c r="H137" s="58"/>
      <c r="I137" s="58"/>
      <c r="J137" s="58"/>
      <c r="K137" s="58"/>
      <c r="L137" s="275"/>
      <c r="M137" s="58"/>
      <c r="N137" s="58"/>
      <c r="O137" s="58"/>
      <c r="P137" s="58"/>
      <c r="Q137" s="58"/>
      <c r="R137" s="58"/>
    </row>
    <row r="138" spans="1:18" ht="12.75">
      <c r="A138" s="58" t="str">
        <f>Sheet1!A12</f>
        <v>Silver Cliff, CO Field Office</v>
      </c>
      <c r="B138" s="275"/>
      <c r="C138" s="58"/>
      <c r="D138" s="58"/>
      <c r="E138" s="58"/>
      <c r="F138" s="58" t="str">
        <f>Sheet1!E12</f>
        <v>M. Williams</v>
      </c>
      <c r="G138" s="58"/>
      <c r="H138" s="58"/>
      <c r="I138" s="58"/>
      <c r="J138" s="58"/>
      <c r="K138" s="58"/>
      <c r="L138" s="275"/>
      <c r="M138" s="58"/>
      <c r="N138" s="58"/>
      <c r="O138" s="58"/>
      <c r="P138" s="58"/>
      <c r="Q138" s="58"/>
      <c r="R138" s="58"/>
    </row>
    <row r="139" spans="1:18" ht="12.75">
      <c r="A139" s="58" t="str">
        <f>Sheet1!A13</f>
        <v>Simla, CO Field Office</v>
      </c>
      <c r="B139" s="275"/>
      <c r="C139" s="58"/>
      <c r="D139" s="58"/>
      <c r="E139" s="58"/>
      <c r="F139" s="58" t="str">
        <f>Sheet1!E13</f>
        <v>F. Edens</v>
      </c>
      <c r="G139" s="58"/>
      <c r="H139" s="58"/>
      <c r="I139" s="58"/>
      <c r="J139" s="58"/>
      <c r="K139" s="58"/>
      <c r="L139" s="275"/>
      <c r="M139" s="58"/>
      <c r="N139" s="58"/>
      <c r="O139" s="58"/>
      <c r="P139" s="58"/>
      <c r="Q139" s="58"/>
      <c r="R139" s="58"/>
    </row>
    <row r="140" spans="1:18" ht="12.75">
      <c r="A140" s="58" t="str">
        <f>Sheet1!A14</f>
        <v>Springfield, CO Field Office</v>
      </c>
      <c r="B140" s="275"/>
      <c r="C140" s="58"/>
      <c r="D140" s="58"/>
      <c r="E140" s="58"/>
      <c r="F140" s="58" t="str">
        <f>Sheet1!E14</f>
        <v>J. "Wade" Sigler</v>
      </c>
      <c r="G140" s="58"/>
      <c r="H140" s="58"/>
      <c r="I140" s="58"/>
      <c r="J140" s="58"/>
      <c r="K140" s="58"/>
      <c r="L140" s="275"/>
      <c r="M140" s="58"/>
      <c r="N140" s="58"/>
      <c r="O140" s="58"/>
      <c r="P140" s="58"/>
      <c r="Q140" s="58"/>
      <c r="R140" s="58"/>
    </row>
    <row r="141" spans="1:18" ht="12.75">
      <c r="A141" s="58" t="str">
        <f>Sheet1!A15</f>
        <v>Trinidad, CO Field Office</v>
      </c>
      <c r="B141" s="275"/>
      <c r="C141" s="58"/>
      <c r="D141" s="58"/>
      <c r="E141" s="58"/>
      <c r="F141" s="58" t="str">
        <f>Sheet1!E15</f>
        <v>C. Waugh</v>
      </c>
      <c r="G141" s="58"/>
      <c r="H141" s="58"/>
      <c r="I141" s="58"/>
      <c r="J141" s="58"/>
      <c r="K141" s="58"/>
      <c r="L141" s="275"/>
      <c r="M141" s="58"/>
      <c r="N141" s="58"/>
      <c r="O141" s="58"/>
      <c r="P141" s="58"/>
      <c r="Q141" s="58"/>
      <c r="R141" s="58"/>
    </row>
    <row r="142" spans="1:18" ht="12.75">
      <c r="A142" s="58" t="str">
        <f>Sheet1!A16</f>
        <v>Walsenburg, CO Field Office</v>
      </c>
      <c r="B142" s="275"/>
      <c r="C142" s="58"/>
      <c r="D142" s="58"/>
      <c r="E142" s="58"/>
      <c r="F142" s="58" t="str">
        <f>Sheet1!E16</f>
        <v>S. Smith</v>
      </c>
      <c r="G142" s="58"/>
      <c r="H142" s="58"/>
      <c r="I142" s="58"/>
      <c r="J142" s="58"/>
      <c r="K142" s="58"/>
      <c r="L142" s="275"/>
      <c r="M142" s="58"/>
      <c r="N142" s="58"/>
      <c r="O142" s="58"/>
      <c r="P142" s="58"/>
      <c r="Q142" s="58"/>
      <c r="R142" s="58"/>
    </row>
    <row r="143" spans="1:18" ht="12.75">
      <c r="A143" s="58" t="str">
        <f>Sheet1!A17</f>
        <v>Woodland Park, CO Teller/Park SCD</v>
      </c>
      <c r="B143" s="275"/>
      <c r="C143" s="58"/>
      <c r="D143" s="58"/>
      <c r="E143" s="58"/>
      <c r="F143" s="58" t="str">
        <f>Sheet1!E17</f>
        <v>J. Nelson</v>
      </c>
      <c r="G143" s="58"/>
      <c r="H143" s="58"/>
      <c r="I143" s="58"/>
      <c r="J143" s="58"/>
      <c r="K143" s="58"/>
      <c r="L143" s="275"/>
      <c r="M143" s="58"/>
      <c r="N143" s="58"/>
      <c r="O143" s="58"/>
      <c r="P143" s="58"/>
      <c r="Q143" s="58"/>
      <c r="R143" s="58"/>
    </row>
    <row r="144" spans="1:18" ht="12.75">
      <c r="A144" s="58"/>
      <c r="B144" s="275"/>
      <c r="C144" s="58"/>
      <c r="D144" s="58"/>
      <c r="E144" s="58"/>
      <c r="F144" s="58" t="str">
        <f>Sheet1!E18</f>
        <v>J. Sperry</v>
      </c>
      <c r="G144" s="58"/>
      <c r="H144" s="58"/>
      <c r="I144" s="58"/>
      <c r="J144" s="58"/>
      <c r="K144" s="58"/>
      <c r="L144" s="275"/>
      <c r="M144" s="58"/>
      <c r="N144" s="58"/>
      <c r="O144" s="58"/>
      <c r="P144" s="58"/>
      <c r="Q144" s="58"/>
      <c r="R144" s="58"/>
    </row>
    <row r="145" spans="1:18" ht="12.75">
      <c r="A145" s="58"/>
      <c r="B145" s="275"/>
      <c r="C145" s="58"/>
      <c r="D145" s="58"/>
      <c r="E145" s="58"/>
      <c r="F145" s="58" t="str">
        <f>Sheet1!E19</f>
        <v>R. Romano</v>
      </c>
      <c r="G145" s="58"/>
      <c r="H145" s="58"/>
      <c r="I145" s="58"/>
      <c r="J145" s="58"/>
      <c r="K145" s="58"/>
      <c r="L145" s="275"/>
      <c r="M145" s="58"/>
      <c r="N145" s="58"/>
      <c r="O145" s="58"/>
      <c r="P145" s="58"/>
      <c r="Q145" s="58"/>
      <c r="R145" s="58"/>
    </row>
    <row r="146" spans="1:18" ht="12.75">
      <c r="A146" s="58"/>
      <c r="B146" s="275"/>
      <c r="C146" s="58"/>
      <c r="D146" s="58"/>
      <c r="E146" s="58"/>
      <c r="F146" s="58" t="str">
        <f>Sheet1!E20</f>
        <v>R. Fontaine</v>
      </c>
      <c r="G146" s="58"/>
      <c r="H146" s="58"/>
      <c r="I146" s="58"/>
      <c r="J146" s="58"/>
      <c r="K146" s="58"/>
      <c r="L146" s="275"/>
      <c r="M146" s="58"/>
      <c r="N146" s="58"/>
      <c r="O146" s="58"/>
      <c r="P146" s="58"/>
      <c r="Q146" s="58"/>
      <c r="R146" s="58"/>
    </row>
    <row r="147" spans="1:18" ht="12.75">
      <c r="A147" s="58" t="str">
        <f>Sheet1!A21</f>
        <v>Individual</v>
      </c>
      <c r="B147" s="275"/>
      <c r="C147" s="58"/>
      <c r="D147" s="58"/>
      <c r="E147" s="58"/>
      <c r="F147" s="58" t="str">
        <f>Sheet1!E21</f>
        <v>M. Watson</v>
      </c>
      <c r="G147" s="58"/>
      <c r="H147" s="58"/>
      <c r="I147" s="58"/>
      <c r="J147" s="58"/>
      <c r="K147" s="58"/>
      <c r="L147" s="275"/>
      <c r="M147" s="58"/>
      <c r="N147" s="58"/>
      <c r="O147" s="58"/>
      <c r="P147" s="58"/>
      <c r="Q147" s="58"/>
      <c r="R147" s="58"/>
    </row>
    <row r="148" spans="1:18" ht="12.75">
      <c r="A148" s="58" t="str">
        <f>Sheet1!A22</f>
        <v>General Partnership</v>
      </c>
      <c r="B148" s="275"/>
      <c r="C148" s="58"/>
      <c r="D148" s="58"/>
      <c r="E148" s="58"/>
      <c r="F148" s="58" t="str">
        <f>Sheet1!E22</f>
        <v>M. Miller</v>
      </c>
      <c r="G148" s="58"/>
      <c r="H148" s="58"/>
      <c r="I148" s="58"/>
      <c r="J148" s="58"/>
      <c r="K148" s="58"/>
      <c r="L148" s="275"/>
      <c r="M148" s="58"/>
      <c r="N148" s="58"/>
      <c r="O148" s="58"/>
      <c r="P148" s="58"/>
      <c r="Q148" s="58"/>
      <c r="R148" s="58"/>
    </row>
    <row r="149" spans="1:18" ht="12.75">
      <c r="A149" s="58" t="str">
        <f>Sheet1!A23</f>
        <v>Joint Venture</v>
      </c>
      <c r="B149" s="275"/>
      <c r="C149" s="58"/>
      <c r="D149" s="58"/>
      <c r="E149" s="58"/>
      <c r="F149" s="58" t="str">
        <f>Sheet1!E23</f>
        <v>C. Sheley</v>
      </c>
      <c r="G149" s="58"/>
      <c r="H149" s="58"/>
      <c r="I149" s="58"/>
      <c r="J149" s="58"/>
      <c r="K149" s="58"/>
      <c r="L149" s="275"/>
      <c r="M149" s="58"/>
      <c r="N149" s="58"/>
      <c r="O149" s="58"/>
      <c r="P149" s="58"/>
      <c r="Q149" s="58"/>
      <c r="R149" s="58"/>
    </row>
    <row r="150" spans="1:18" ht="12.75">
      <c r="A150" s="58" t="str">
        <f>Sheet1!A24</f>
        <v>Limited Liability Partnership</v>
      </c>
      <c r="B150" s="275"/>
      <c r="C150" s="58"/>
      <c r="D150" s="58"/>
      <c r="E150" s="58"/>
      <c r="F150" s="58" t="str">
        <f>Sheet1!E24</f>
        <v>D. Sanchez</v>
      </c>
      <c r="G150" s="58"/>
      <c r="H150" s="58"/>
      <c r="I150" s="58"/>
      <c r="J150" s="58"/>
      <c r="K150" s="58"/>
      <c r="L150" s="275"/>
      <c r="M150" s="58"/>
      <c r="N150" s="58"/>
      <c r="O150" s="58"/>
      <c r="P150" s="58"/>
      <c r="Q150" s="58"/>
      <c r="R150" s="58"/>
    </row>
    <row r="151" spans="1:18" ht="12.75">
      <c r="A151" s="58" t="str">
        <f>Sheet1!A25</f>
        <v>Limited Liability Limited Partnership</v>
      </c>
      <c r="B151" s="275"/>
      <c r="C151" s="58"/>
      <c r="D151" s="58"/>
      <c r="E151" s="58"/>
      <c r="F151" s="58" t="str">
        <f>Sheet1!E25</f>
        <v>L.G. "Smitty" Smith</v>
      </c>
      <c r="G151" s="58"/>
      <c r="H151" s="58"/>
      <c r="I151" s="58"/>
      <c r="J151" s="58"/>
      <c r="K151" s="58"/>
      <c r="L151" s="275"/>
      <c r="M151" s="58"/>
      <c r="N151" s="58"/>
      <c r="O151" s="58"/>
      <c r="P151" s="58"/>
      <c r="Q151" s="58"/>
      <c r="R151" s="58"/>
    </row>
    <row r="152" spans="1:18" ht="12.75">
      <c r="A152" s="58" t="str">
        <f>Sheet1!A26</f>
        <v>Limited Partnership Association</v>
      </c>
      <c r="B152" s="275"/>
      <c r="C152" s="58"/>
      <c r="D152" s="58"/>
      <c r="E152" s="58"/>
      <c r="F152" s="58" t="str">
        <f>Sheet1!E26</f>
        <v>C. Regnier</v>
      </c>
      <c r="G152" s="58"/>
      <c r="H152" s="58"/>
      <c r="I152" s="58"/>
      <c r="J152" s="58"/>
      <c r="K152" s="58"/>
      <c r="L152" s="275"/>
      <c r="M152" s="58"/>
      <c r="N152" s="58"/>
      <c r="O152" s="58"/>
      <c r="P152" s="58"/>
      <c r="Q152" s="58"/>
      <c r="R152" s="58"/>
    </row>
    <row r="153" spans="1:18" ht="12.75">
      <c r="A153" s="58" t="str">
        <f>Sheet1!A27</f>
        <v>Limited Liability Company</v>
      </c>
      <c r="B153" s="58"/>
      <c r="C153" s="58"/>
      <c r="D153" s="58"/>
      <c r="E153" s="58"/>
      <c r="F153" s="58" t="str">
        <f>Sheet1!E27</f>
        <v>C. Melcher</v>
      </c>
      <c r="G153" s="58"/>
      <c r="H153" s="58"/>
      <c r="I153" s="58"/>
      <c r="J153" s="58"/>
      <c r="K153" s="58"/>
      <c r="L153" s="58"/>
      <c r="M153" s="58"/>
      <c r="N153" s="58"/>
      <c r="O153" s="58"/>
      <c r="P153" s="58"/>
      <c r="Q153" s="58"/>
      <c r="R153" s="58"/>
    </row>
    <row r="154" spans="1:18" ht="12.75">
      <c r="A154" s="58" t="str">
        <f>Sheet1!A28</f>
        <v>Limited Partnership  </v>
      </c>
      <c r="B154" s="58"/>
      <c r="C154" s="58"/>
      <c r="D154" s="58"/>
      <c r="E154" s="58"/>
      <c r="F154" s="58" t="str">
        <f>Sheet1!E28</f>
        <v>W. "Ted" Lonnberg</v>
      </c>
      <c r="G154" s="58"/>
      <c r="H154" s="58"/>
      <c r="I154" s="58"/>
      <c r="J154" s="58"/>
      <c r="K154" s="58"/>
      <c r="L154" s="58"/>
      <c r="M154" s="58"/>
      <c r="N154" s="58"/>
      <c r="O154" s="58"/>
      <c r="P154" s="58"/>
      <c r="Q154" s="58"/>
      <c r="R154" s="58"/>
    </row>
    <row r="155" spans="1:18" ht="12.75">
      <c r="A155" s="58" t="str">
        <f>Sheet1!A29</f>
        <v>Corporation</v>
      </c>
      <c r="B155" s="58"/>
      <c r="C155" s="58"/>
      <c r="D155" s="58"/>
      <c r="E155" s="58"/>
      <c r="F155" s="58" t="str">
        <f>Sheet1!E29</f>
        <v>B. Johnson</v>
      </c>
      <c r="G155" s="58"/>
      <c r="H155" s="58"/>
      <c r="I155" s="58"/>
      <c r="J155" s="58"/>
      <c r="K155" s="58"/>
      <c r="L155" s="58"/>
      <c r="M155" s="58"/>
      <c r="N155" s="58"/>
      <c r="O155" s="58"/>
      <c r="P155" s="58"/>
      <c r="Q155" s="58"/>
      <c r="R155" s="58"/>
    </row>
    <row r="156" spans="1:18" ht="12.75">
      <c r="A156" s="58" t="str">
        <f>Sheet1!A30</f>
        <v>Trust</v>
      </c>
      <c r="B156" s="58"/>
      <c r="C156" s="58"/>
      <c r="D156" s="58"/>
      <c r="E156" s="58"/>
      <c r="F156" s="58" t="str">
        <f>Sheet1!E30</f>
        <v>A. White</v>
      </c>
      <c r="G156" s="58"/>
      <c r="H156" s="58"/>
      <c r="I156" s="58"/>
      <c r="J156" s="58"/>
      <c r="K156" s="58"/>
      <c r="L156" s="58"/>
      <c r="M156" s="58"/>
      <c r="N156" s="58"/>
      <c r="O156" s="58"/>
      <c r="P156" s="58"/>
      <c r="Q156" s="58"/>
      <c r="R156" s="58"/>
    </row>
    <row r="157" spans="1:18" ht="12.75">
      <c r="A157" s="58" t="str">
        <f>Sheet1!A31</f>
        <v>Estate</v>
      </c>
      <c r="B157" s="58"/>
      <c r="C157" s="58"/>
      <c r="D157" s="58"/>
      <c r="E157" s="58"/>
      <c r="F157" s="58" t="str">
        <f>Sheet1!E31</f>
        <v>W. Bland</v>
      </c>
      <c r="G157" s="58"/>
      <c r="H157" s="58"/>
      <c r="I157" s="58"/>
      <c r="J157" s="58"/>
      <c r="K157" s="58"/>
      <c r="L157" s="58"/>
      <c r="M157" s="58"/>
      <c r="N157" s="58"/>
      <c r="O157" s="58"/>
      <c r="P157" s="58"/>
      <c r="Q157" s="58"/>
      <c r="R157" s="58"/>
    </row>
    <row r="158" spans="1:18" ht="12.75">
      <c r="A158" s="58"/>
      <c r="B158" s="58"/>
      <c r="C158" s="58"/>
      <c r="D158" s="58"/>
      <c r="E158" s="58"/>
      <c r="F158" s="58" t="str">
        <f>Sheet1!E32</f>
        <v>S. Hansen</v>
      </c>
      <c r="G158" s="58"/>
      <c r="H158" s="58"/>
      <c r="I158" s="58"/>
      <c r="J158" s="58"/>
      <c r="K158" s="58"/>
      <c r="L158" s="58"/>
      <c r="M158" s="58"/>
      <c r="N158" s="58"/>
      <c r="O158" s="58"/>
      <c r="P158" s="58"/>
      <c r="Q158" s="58"/>
      <c r="R158" s="58"/>
    </row>
    <row r="159" spans="1:18" ht="12.75">
      <c r="A159" s="58"/>
      <c r="B159" s="58"/>
      <c r="C159" s="58"/>
      <c r="D159" s="58"/>
      <c r="E159" s="58"/>
      <c r="F159" s="58" t="str">
        <f>Sheet1!E33</f>
        <v>K. Conrad</v>
      </c>
      <c r="G159" s="58"/>
      <c r="H159" s="58"/>
      <c r="I159" s="58"/>
      <c r="J159" s="58"/>
      <c r="K159" s="58"/>
      <c r="L159" s="58"/>
      <c r="M159" s="58"/>
      <c r="N159" s="58"/>
      <c r="O159" s="58"/>
      <c r="P159" s="58"/>
      <c r="Q159" s="58"/>
      <c r="R159" s="58"/>
    </row>
    <row r="160" spans="1:18" ht="12.75">
      <c r="A160" s="58" t="str">
        <f>Sheet1!A34</f>
        <v>Colorado Division of Wildlife</v>
      </c>
      <c r="B160" s="58"/>
      <c r="C160" s="58"/>
      <c r="D160" s="58"/>
      <c r="E160" s="58"/>
      <c r="F160" s="58" t="str">
        <f>Sheet1!E34</f>
        <v>M. Martin</v>
      </c>
      <c r="G160" s="58"/>
      <c r="H160" s="58"/>
      <c r="I160" s="58"/>
      <c r="J160" s="58"/>
      <c r="K160" s="58"/>
      <c r="L160" s="58"/>
      <c r="M160" s="58"/>
      <c r="N160" s="58"/>
      <c r="O160" s="58"/>
      <c r="P160" s="58"/>
      <c r="Q160" s="58"/>
      <c r="R160" s="58"/>
    </row>
    <row r="161" spans="1:18" ht="12.75">
      <c r="A161" s="58" t="str">
        <f>Sheet1!A35</f>
        <v>U.S. Fish and Wildlife Service</v>
      </c>
      <c r="B161" s="58"/>
      <c r="C161" s="58"/>
      <c r="D161" s="58"/>
      <c r="E161" s="58"/>
      <c r="F161" s="58" t="str">
        <f>Sheet1!E35</f>
        <v>E. Kilpatrick</v>
      </c>
      <c r="G161" s="58"/>
      <c r="H161" s="58"/>
      <c r="I161" s="58"/>
      <c r="J161" s="58"/>
      <c r="K161" s="58"/>
      <c r="L161" s="58"/>
      <c r="M161" s="58"/>
      <c r="N161" s="58"/>
      <c r="O161" s="58"/>
      <c r="P161" s="58"/>
      <c r="Q161" s="58"/>
      <c r="R161" s="58"/>
    </row>
    <row r="162" spans="1:18" ht="12.75">
      <c r="A162" s="58" t="str">
        <f>Sheet1!A36</f>
        <v>Colorado Elk Foundation</v>
      </c>
      <c r="B162" s="58"/>
      <c r="C162" s="58"/>
      <c r="D162" s="58"/>
      <c r="E162" s="58"/>
      <c r="F162" s="58" t="str">
        <f>Sheet1!E36</f>
        <v>C. Schleining</v>
      </c>
      <c r="G162" s="58"/>
      <c r="H162" s="58"/>
      <c r="I162" s="58"/>
      <c r="J162" s="58"/>
      <c r="K162" s="58"/>
      <c r="L162" s="58"/>
      <c r="M162" s="58"/>
      <c r="N162" s="58"/>
      <c r="O162" s="58"/>
      <c r="P162" s="58"/>
      <c r="Q162" s="58"/>
      <c r="R162" s="58"/>
    </row>
    <row r="163" spans="1:18" ht="12.75">
      <c r="A163" s="58" t="str">
        <f>Sheet1!A37</f>
        <v>Pheasants Forever</v>
      </c>
      <c r="B163" s="58"/>
      <c r="C163" s="58"/>
      <c r="D163" s="58"/>
      <c r="E163" s="58"/>
      <c r="F163" s="58" t="str">
        <f>Sheet1!E37</f>
        <v>B. "B.J." Jones</v>
      </c>
      <c r="G163" s="58"/>
      <c r="H163" s="58"/>
      <c r="I163" s="58"/>
      <c r="J163" s="58"/>
      <c r="K163" s="58"/>
      <c r="L163" s="58"/>
      <c r="M163" s="58"/>
      <c r="N163" s="58"/>
      <c r="O163" s="58"/>
      <c r="P163" s="58"/>
      <c r="Q163" s="58"/>
      <c r="R163" s="58"/>
    </row>
    <row r="164" spans="1:18" ht="12.75">
      <c r="A164" s="58" t="str">
        <f>Sheet1!A38</f>
        <v>Ducks Unlimited</v>
      </c>
      <c r="B164" s="58"/>
      <c r="C164" s="58"/>
      <c r="D164" s="58"/>
      <c r="E164" s="58"/>
      <c r="F164" s="58" t="str">
        <f>Sheet1!E38</f>
        <v>J. Hamilton</v>
      </c>
      <c r="G164" s="58"/>
      <c r="H164" s="58"/>
      <c r="I164" s="58"/>
      <c r="J164" s="58"/>
      <c r="K164" s="58"/>
      <c r="L164" s="58"/>
      <c r="M164" s="58"/>
      <c r="N164" s="58"/>
      <c r="O164" s="58"/>
      <c r="P164" s="58"/>
      <c r="Q164" s="58"/>
      <c r="R164" s="58"/>
    </row>
    <row r="165" spans="1:18" ht="12.75">
      <c r="A165" s="58" t="str">
        <f>Sheet1!A39</f>
        <v>Other</v>
      </c>
      <c r="B165" s="58"/>
      <c r="C165" s="58"/>
      <c r="D165" s="58"/>
      <c r="E165" s="58"/>
      <c r="F165" s="58" t="str">
        <f>Sheet1!E39</f>
        <v>J. Moffett</v>
      </c>
      <c r="G165" s="58"/>
      <c r="H165" s="58"/>
      <c r="I165" s="58"/>
      <c r="J165" s="58"/>
      <c r="K165" s="58"/>
      <c r="L165" s="58"/>
      <c r="M165" s="58"/>
      <c r="N165" s="58"/>
      <c r="O165" s="58"/>
      <c r="P165" s="58"/>
      <c r="Q165" s="58"/>
      <c r="R165" s="58"/>
    </row>
    <row r="166" spans="1:18" ht="12.75">
      <c r="A166" s="58" t="str">
        <f>Sheet1!A40</f>
        <v>Not Applicable</v>
      </c>
      <c r="B166" s="58"/>
      <c r="C166" s="58"/>
      <c r="D166" s="58"/>
      <c r="E166" s="58"/>
      <c r="F166" s="58" t="str">
        <f>Sheet1!E40</f>
        <v>R. Grigat</v>
      </c>
      <c r="G166" s="58"/>
      <c r="H166" s="58"/>
      <c r="I166" s="58"/>
      <c r="J166" s="58"/>
      <c r="K166" s="58"/>
      <c r="L166" s="58"/>
      <c r="M166" s="58"/>
      <c r="N166" s="58"/>
      <c r="O166" s="58"/>
      <c r="P166" s="58"/>
      <c r="Q166" s="58"/>
      <c r="R166" s="58"/>
    </row>
    <row r="167" spans="1:18" ht="12.75">
      <c r="A167" s="58"/>
      <c r="B167" s="58"/>
      <c r="C167" s="58"/>
      <c r="D167" s="58"/>
      <c r="E167" s="58"/>
      <c r="F167" s="58" t="str">
        <f>Sheet1!E41</f>
        <v>J. Dukes</v>
      </c>
      <c r="G167" s="58"/>
      <c r="H167" s="58"/>
      <c r="I167" s="58"/>
      <c r="J167" s="58"/>
      <c r="K167" s="58"/>
      <c r="L167" s="58"/>
      <c r="M167" s="58"/>
      <c r="N167" s="58"/>
      <c r="O167" s="58"/>
      <c r="P167" s="58"/>
      <c r="Q167" s="58"/>
      <c r="R167" s="58"/>
    </row>
    <row r="168" spans="1:18" ht="12.75">
      <c r="A168" s="58"/>
      <c r="B168" s="58"/>
      <c r="C168" s="58"/>
      <c r="D168" s="58"/>
      <c r="E168" s="58"/>
      <c r="F168" s="58" t="str">
        <f>Sheet1!E42</f>
        <v>T. Werner</v>
      </c>
      <c r="G168" s="58"/>
      <c r="H168" s="58"/>
      <c r="I168" s="58"/>
      <c r="J168" s="58"/>
      <c r="K168" s="58"/>
      <c r="L168" s="58"/>
      <c r="M168" s="58"/>
      <c r="N168" s="58"/>
      <c r="O168" s="58"/>
      <c r="P168" s="58"/>
      <c r="Q168" s="58"/>
      <c r="R168" s="58"/>
    </row>
    <row r="169" spans="1:18" ht="12.75">
      <c r="A169" s="58"/>
      <c r="B169" s="58"/>
      <c r="C169" s="58"/>
      <c r="D169" s="58"/>
      <c r="E169" s="58"/>
      <c r="F169" s="58" t="str">
        <f>Sheet1!E43</f>
        <v>K. Falen</v>
      </c>
      <c r="G169" s="58"/>
      <c r="H169" s="58"/>
      <c r="I169" s="58"/>
      <c r="J169" s="58"/>
      <c r="K169" s="58"/>
      <c r="L169" s="58"/>
      <c r="M169" s="58"/>
      <c r="N169" s="58"/>
      <c r="O169" s="58"/>
      <c r="P169" s="58"/>
      <c r="Q169" s="58"/>
      <c r="R169" s="58"/>
    </row>
    <row r="170" spans="1:18" ht="12.75">
      <c r="A170" s="58"/>
      <c r="B170" s="58"/>
      <c r="C170" s="58"/>
      <c r="D170" s="58"/>
      <c r="E170" s="58"/>
      <c r="F170" s="58" t="str">
        <f>Sheet1!E44</f>
        <v>M. "Storm" Casper</v>
      </c>
      <c r="G170" s="58"/>
      <c r="H170" s="58"/>
      <c r="I170" s="58"/>
      <c r="J170" s="58"/>
      <c r="K170" s="58"/>
      <c r="L170" s="58"/>
      <c r="M170" s="58"/>
      <c r="N170" s="58"/>
      <c r="O170" s="58"/>
      <c r="P170" s="58"/>
      <c r="Q170" s="58"/>
      <c r="R170" s="58"/>
    </row>
    <row r="171" spans="1:18" ht="12.75">
      <c r="A171" s="58"/>
      <c r="B171" s="58"/>
      <c r="C171" s="58"/>
      <c r="D171" s="58"/>
      <c r="E171" s="58"/>
      <c r="F171" s="58" t="str">
        <f>Sheet1!E45</f>
        <v>M. Gigante</v>
      </c>
      <c r="G171" s="58"/>
      <c r="H171" s="58"/>
      <c r="I171" s="58"/>
      <c r="J171" s="58"/>
      <c r="K171" s="58"/>
      <c r="L171" s="58"/>
      <c r="M171" s="58"/>
      <c r="N171" s="58"/>
      <c r="O171" s="58"/>
      <c r="P171" s="58"/>
      <c r="Q171" s="58"/>
      <c r="R171" s="58"/>
    </row>
    <row r="172" spans="1:18" ht="12.75">
      <c r="A172" s="58" t="str">
        <f>Sheet1!A46</f>
        <v>None</v>
      </c>
      <c r="B172" s="58"/>
      <c r="C172" s="58"/>
      <c r="D172" s="58"/>
      <c r="E172" s="58"/>
      <c r="F172" s="58" t="str">
        <f>Sheet1!E46</f>
        <v>T. Arnhold</v>
      </c>
      <c r="G172" s="58"/>
      <c r="H172" s="58"/>
      <c r="I172" s="58"/>
      <c r="J172" s="58"/>
      <c r="K172" s="58"/>
      <c r="L172" s="58"/>
      <c r="M172" s="58"/>
      <c r="N172" s="58"/>
      <c r="O172" s="58"/>
      <c r="P172" s="58"/>
      <c r="Q172" s="58"/>
      <c r="R172" s="58"/>
    </row>
    <row r="173" spans="1:18" ht="12.75">
      <c r="A173" s="58" t="str">
        <f>Sheet1!A47</f>
        <v>Colorado Mule Deer Area</v>
      </c>
      <c r="B173" s="58"/>
      <c r="C173" s="58"/>
      <c r="D173" s="58"/>
      <c r="E173" s="58"/>
      <c r="F173" s="58" t="str">
        <f>Sheet1!E47</f>
        <v>K. Lutz</v>
      </c>
      <c r="G173" s="58"/>
      <c r="H173" s="58"/>
      <c r="I173" s="58"/>
      <c r="J173" s="58"/>
      <c r="K173" s="58"/>
      <c r="L173" s="58"/>
      <c r="M173" s="58"/>
      <c r="N173" s="58"/>
      <c r="O173" s="58"/>
      <c r="P173" s="58"/>
      <c r="Q173" s="58"/>
      <c r="R173" s="58"/>
    </row>
    <row r="174" spans="1:18" ht="12.75">
      <c r="A174" s="58" t="str">
        <f>Sheet1!A48</f>
        <v>Preble's Meadow Jumping Mouse Area</v>
      </c>
      <c r="B174" s="58"/>
      <c r="C174" s="58"/>
      <c r="D174" s="58"/>
      <c r="E174" s="58"/>
      <c r="F174" s="58" t="str">
        <f>Sheet1!E48</f>
        <v>D. Lane</v>
      </c>
      <c r="G174" s="58"/>
      <c r="H174" s="58"/>
      <c r="I174" s="58"/>
      <c r="J174" s="58"/>
      <c r="K174" s="58"/>
      <c r="L174" s="58"/>
      <c r="M174" s="58"/>
      <c r="N174" s="58"/>
      <c r="O174" s="58"/>
      <c r="P174" s="58"/>
      <c r="Q174" s="58"/>
      <c r="R174" s="58"/>
    </row>
    <row r="175" spans="1:18" ht="12.75">
      <c r="A175" s="58" t="str">
        <f>Sheet1!A49</f>
        <v>Mountain Plover Area</v>
      </c>
      <c r="B175" s="58"/>
      <c r="C175" s="58"/>
      <c r="D175" s="58"/>
      <c r="E175" s="58"/>
      <c r="F175" s="58" t="str">
        <f>Sheet1!E49</f>
        <v>L."Pete" Ward, Jr.</v>
      </c>
      <c r="G175" s="58"/>
      <c r="H175" s="58"/>
      <c r="I175" s="58"/>
      <c r="J175" s="58"/>
      <c r="K175" s="58"/>
      <c r="L175" s="58"/>
      <c r="M175" s="58"/>
      <c r="N175" s="58"/>
      <c r="O175" s="58"/>
      <c r="P175" s="58"/>
      <c r="Q175" s="58"/>
      <c r="R175" s="58"/>
    </row>
    <row r="176" spans="1:18" ht="12.75">
      <c r="A176" s="58" t="str">
        <f>Sheet1!A50</f>
        <v>Lesser Prairie Chicken Area</v>
      </c>
      <c r="B176" s="58"/>
      <c r="C176" s="58"/>
      <c r="D176" s="58"/>
      <c r="E176" s="58"/>
      <c r="F176" s="58" t="str">
        <f>Sheet1!E50</f>
        <v>L. Kot</v>
      </c>
      <c r="G176" s="58"/>
      <c r="H176" s="58"/>
      <c r="I176" s="58"/>
      <c r="J176" s="58"/>
      <c r="K176" s="58"/>
      <c r="L176" s="58"/>
      <c r="M176" s="58"/>
      <c r="N176" s="58"/>
      <c r="O176" s="58"/>
      <c r="P176" s="58"/>
      <c r="Q176" s="58"/>
      <c r="R176" s="58"/>
    </row>
    <row r="177" spans="1:18" ht="12.75">
      <c r="A177" s="58"/>
      <c r="B177" s="58"/>
      <c r="C177" s="58"/>
      <c r="D177" s="58"/>
      <c r="E177" s="58"/>
      <c r="F177" s="58" t="str">
        <f>Sheet1!E51</f>
        <v>L. Pearson</v>
      </c>
      <c r="G177" s="58"/>
      <c r="H177" s="58"/>
      <c r="I177" s="58"/>
      <c r="J177" s="58"/>
      <c r="K177" s="58"/>
      <c r="L177" s="58"/>
      <c r="M177" s="58"/>
      <c r="N177" s="58"/>
      <c r="O177" s="58"/>
      <c r="P177" s="58"/>
      <c r="Q177" s="58"/>
      <c r="R177" s="58"/>
    </row>
    <row r="178" spans="1:18" ht="12.75">
      <c r="A178" s="58"/>
      <c r="B178" s="58"/>
      <c r="C178" s="58"/>
      <c r="D178" s="58"/>
      <c r="E178" s="58"/>
      <c r="F178" s="58" t="str">
        <f>Sheet1!E52</f>
        <v>B. Kitten</v>
      </c>
      <c r="G178" s="58"/>
      <c r="H178" s="58"/>
      <c r="I178" s="58"/>
      <c r="J178" s="58"/>
      <c r="K178" s="58"/>
      <c r="L178" s="58"/>
      <c r="M178" s="58"/>
      <c r="N178" s="58"/>
      <c r="O178" s="58"/>
      <c r="P178" s="58"/>
      <c r="Q178" s="58"/>
      <c r="R178" s="58"/>
    </row>
    <row r="179" spans="1:18" ht="12.75">
      <c r="A179" s="58"/>
      <c r="B179" s="58"/>
      <c r="C179" s="58"/>
      <c r="D179" s="58"/>
      <c r="E179" s="58"/>
      <c r="F179" s="58" t="str">
        <f>Sheet1!E53</f>
        <v>L. Sutherland</v>
      </c>
      <c r="G179" s="58"/>
      <c r="H179" s="58"/>
      <c r="I179" s="58"/>
      <c r="J179" s="58"/>
      <c r="K179" s="58"/>
      <c r="L179" s="58"/>
      <c r="M179" s="58"/>
      <c r="N179" s="58"/>
      <c r="O179" s="58"/>
      <c r="P179" s="58"/>
      <c r="Q179" s="58"/>
      <c r="R179" s="58"/>
    </row>
    <row r="180" spans="1:18" ht="12.75">
      <c r="A180" s="58"/>
      <c r="B180" s="58"/>
      <c r="C180" s="58"/>
      <c r="D180" s="58"/>
      <c r="E180" s="58"/>
      <c r="F180" s="58" t="str">
        <f>Sheet1!E54</f>
        <v>C. Pannebaker</v>
      </c>
      <c r="G180" s="58"/>
      <c r="H180" s="58"/>
      <c r="I180" s="58"/>
      <c r="J180" s="58"/>
      <c r="K180" s="58"/>
      <c r="L180" s="58"/>
      <c r="M180" s="58"/>
      <c r="N180" s="58"/>
      <c r="O180" s="58"/>
      <c r="P180" s="58"/>
      <c r="Q180" s="58"/>
      <c r="R180" s="58"/>
    </row>
    <row r="181" spans="1:18" ht="12.75">
      <c r="A181" s="58"/>
      <c r="B181" s="58"/>
      <c r="C181" s="58"/>
      <c r="D181" s="58"/>
      <c r="E181" s="58"/>
      <c r="F181" s="58" t="str">
        <f>Sheet1!E55</f>
        <v>B. Berlinger</v>
      </c>
      <c r="G181" s="58"/>
      <c r="H181" s="58"/>
      <c r="I181" s="58"/>
      <c r="J181" s="58"/>
      <c r="K181" s="58"/>
      <c r="L181" s="58"/>
      <c r="M181" s="58"/>
      <c r="N181" s="58"/>
      <c r="O181" s="58"/>
      <c r="P181" s="58"/>
      <c r="Q181" s="58"/>
      <c r="R181" s="58"/>
    </row>
    <row r="182" spans="1:18" ht="12.75">
      <c r="A182" s="58"/>
      <c r="B182" s="58"/>
      <c r="C182" s="58"/>
      <c r="D182" s="58"/>
      <c r="E182" s="58"/>
      <c r="F182" s="58"/>
      <c r="G182" s="58"/>
      <c r="H182" s="58"/>
      <c r="I182" s="58"/>
      <c r="J182" s="58"/>
      <c r="K182" s="58"/>
      <c r="L182" s="58"/>
      <c r="M182" s="58"/>
      <c r="N182" s="58"/>
      <c r="O182" s="58"/>
      <c r="P182" s="58"/>
      <c r="Q182" s="58"/>
      <c r="R182" s="58"/>
    </row>
    <row r="183" spans="1:18" ht="12.75">
      <c r="A183" s="58"/>
      <c r="B183" s="58"/>
      <c r="C183" s="58"/>
      <c r="D183" s="58"/>
      <c r="E183" s="58"/>
      <c r="F183" s="58"/>
      <c r="G183" s="58"/>
      <c r="H183" s="58"/>
      <c r="I183" s="58"/>
      <c r="J183" s="58"/>
      <c r="K183" s="58"/>
      <c r="L183" s="58"/>
      <c r="M183" s="58"/>
      <c r="N183" s="58"/>
      <c r="O183" s="58"/>
      <c r="P183" s="58"/>
      <c r="Q183" s="58"/>
      <c r="R183" s="58"/>
    </row>
    <row r="184" spans="1:18" ht="12.75">
      <c r="A184" s="58" t="str">
        <f>Sheet1!A57</f>
        <v>A.</v>
      </c>
      <c r="B184" s="58"/>
      <c r="C184" s="58"/>
      <c r="D184" s="58"/>
      <c r="E184" s="58" t="str">
        <f>Sheet1!D57</f>
        <v>B.</v>
      </c>
      <c r="F184" s="58"/>
      <c r="G184" s="58"/>
      <c r="H184" s="58"/>
      <c r="I184" s="58"/>
      <c r="J184" s="58"/>
      <c r="K184" s="58" t="str">
        <f>Sheet1!H57</f>
        <v>C.</v>
      </c>
      <c r="L184" s="58"/>
      <c r="M184" s="58"/>
      <c r="N184" s="58" t="str">
        <f>Sheet1!K57</f>
        <v>D.</v>
      </c>
      <c r="O184" s="58"/>
      <c r="P184" s="58"/>
      <c r="Q184" s="58"/>
      <c r="R184" s="58"/>
    </row>
    <row r="185" spans="1:18" ht="12.75">
      <c r="A185" s="58" t="str">
        <f>Sheet1!A58</f>
        <v>none</v>
      </c>
      <c r="B185" s="58"/>
      <c r="C185" s="58"/>
      <c r="D185" s="58"/>
      <c r="E185" s="58" t="str">
        <f>Sheet1!D58</f>
        <v>none</v>
      </c>
      <c r="F185" s="58"/>
      <c r="G185" s="58"/>
      <c r="H185" s="58"/>
      <c r="I185" s="58"/>
      <c r="J185" s="58"/>
      <c r="K185" s="58" t="str">
        <f>Sheet1!H58</f>
        <v>none</v>
      </c>
      <c r="L185" s="58"/>
      <c r="M185" s="58"/>
      <c r="N185" s="58" t="str">
        <f>Sheet1!K58</f>
        <v>none</v>
      </c>
      <c r="O185" s="58"/>
      <c r="P185" s="58"/>
      <c r="Q185" s="58"/>
      <c r="R185" s="58"/>
    </row>
    <row r="186" spans="1:18" ht="12.75">
      <c r="A186" s="58" t="str">
        <f>Sheet1!A59</f>
        <v>lesser prairie chicken</v>
      </c>
      <c r="B186" s="58"/>
      <c r="C186" s="58"/>
      <c r="D186" s="58"/>
      <c r="E186" s="58" t="str">
        <f>Sheet1!D59</f>
        <v>plains sharp-tailed grouse</v>
      </c>
      <c r="F186" s="58"/>
      <c r="G186" s="58"/>
      <c r="H186" s="58"/>
      <c r="I186" s="58"/>
      <c r="J186" s="58"/>
      <c r="K186" s="58" t="str">
        <f>Sheet1!H59</f>
        <v>pheasant</v>
      </c>
      <c r="L186" s="58"/>
      <c r="M186" s="58"/>
      <c r="N186" s="58" t="str">
        <f>Sheet1!K59</f>
        <v>game birds-duck</v>
      </c>
      <c r="O186" s="58"/>
      <c r="P186" s="58"/>
      <c r="Q186" s="58"/>
      <c r="R186" s="58"/>
    </row>
    <row r="187" spans="1:18" ht="12.75">
      <c r="A187" s="58" t="str">
        <f>Sheet1!A60</f>
        <v>greater prairie chicken</v>
      </c>
      <c r="B187" s="58"/>
      <c r="C187" s="58"/>
      <c r="D187" s="58"/>
      <c r="E187" s="58" t="str">
        <f>Sheet1!D60</f>
        <v>bald eagle</v>
      </c>
      <c r="F187" s="58"/>
      <c r="G187" s="58"/>
      <c r="H187" s="58"/>
      <c r="I187" s="58"/>
      <c r="J187" s="58"/>
      <c r="K187" s="58" t="str">
        <f>Sheet1!H60</f>
        <v>northern bobwhite quail</v>
      </c>
      <c r="L187" s="58"/>
      <c r="M187" s="58"/>
      <c r="N187" s="58" t="str">
        <f>Sheet1!K60</f>
        <v>game birds-geese</v>
      </c>
      <c r="O187" s="58"/>
      <c r="P187" s="58"/>
      <c r="Q187" s="58"/>
      <c r="R187" s="58"/>
    </row>
    <row r="188" spans="1:18" ht="12.75">
      <c r="A188" s="58" t="str">
        <f>Sheet1!A61</f>
        <v>Cassin's sparrow</v>
      </c>
      <c r="B188" s="58"/>
      <c r="C188" s="58"/>
      <c r="D188" s="58"/>
      <c r="E188" s="58" t="str">
        <f>Sheet1!D61</f>
        <v>southwest willow flycatcher</v>
      </c>
      <c r="F188" s="58"/>
      <c r="G188" s="58"/>
      <c r="H188" s="58"/>
      <c r="I188" s="58"/>
      <c r="J188" s="58"/>
      <c r="K188" s="58" t="str">
        <f>Sheet1!H61</f>
        <v>scaled quail</v>
      </c>
      <c r="L188" s="58"/>
      <c r="M188" s="58"/>
      <c r="N188" s="58" t="str">
        <f>Sheet1!K61</f>
        <v>game birds-mourning dove</v>
      </c>
      <c r="O188" s="58"/>
      <c r="P188" s="58"/>
      <c r="Q188" s="58"/>
      <c r="R188" s="58"/>
    </row>
    <row r="189" spans="1:18" ht="12.75">
      <c r="A189" s="58" t="str">
        <f>Sheet1!A62</f>
        <v>long-billed curlew</v>
      </c>
      <c r="B189" s="58"/>
      <c r="C189" s="58"/>
      <c r="D189" s="58"/>
      <c r="E189" s="58" t="str">
        <f>Sheet1!D62</f>
        <v>least tern</v>
      </c>
      <c r="F189" s="58"/>
      <c r="G189" s="58"/>
      <c r="H189" s="58"/>
      <c r="I189" s="58"/>
      <c r="J189" s="58"/>
      <c r="K189" s="58" t="str">
        <f>Sheet1!H62</f>
        <v>wild turkey</v>
      </c>
      <c r="L189" s="58"/>
      <c r="M189" s="58"/>
      <c r="N189" s="58" t="str">
        <f>Sheet1!K62</f>
        <v>non-game birds-songbird</v>
      </c>
      <c r="O189" s="58"/>
      <c r="P189" s="58"/>
      <c r="Q189" s="58"/>
      <c r="R189" s="58"/>
    </row>
    <row r="190" spans="1:18" ht="12.75">
      <c r="A190" s="58" t="str">
        <f>Sheet1!A63</f>
        <v>greater sandhill crane</v>
      </c>
      <c r="B190" s="58"/>
      <c r="C190" s="58"/>
      <c r="D190" s="58"/>
      <c r="E190" s="58" t="str">
        <f>Sheet1!D63</f>
        <v>Mexican spotted owl</v>
      </c>
      <c r="F190" s="58"/>
      <c r="G190" s="58"/>
      <c r="H190" s="58"/>
      <c r="I190" s="58"/>
      <c r="J190" s="58"/>
      <c r="K190" s="58" t="str">
        <f>Sheet1!H63</f>
        <v>grassland birds</v>
      </c>
      <c r="L190" s="58"/>
      <c r="M190" s="58"/>
      <c r="N190" s="58" t="str">
        <f>Sheet1!K63</f>
        <v>non-game birds-passerine</v>
      </c>
      <c r="O190" s="58"/>
      <c r="P190" s="58"/>
      <c r="Q190" s="58"/>
      <c r="R190" s="58"/>
    </row>
    <row r="191" spans="1:18" ht="12.75">
      <c r="A191" s="58" t="str">
        <f>Sheet1!A64</f>
        <v>piping plover</v>
      </c>
      <c r="B191" s="58"/>
      <c r="C191" s="58"/>
      <c r="D191" s="58"/>
      <c r="E191" s="58">
        <f>Sheet1!D64</f>
        <v>0</v>
      </c>
      <c r="F191" s="58"/>
      <c r="G191" s="58"/>
      <c r="H191" s="58"/>
      <c r="I191" s="58"/>
      <c r="J191" s="58"/>
      <c r="K191" s="58">
        <f>Sheet1!H64</f>
        <v>0</v>
      </c>
      <c r="L191" s="58"/>
      <c r="M191" s="58"/>
      <c r="N191" s="58" t="str">
        <f>Sheet1!K64</f>
        <v>non-game birds-raptors</v>
      </c>
      <c r="O191" s="58"/>
      <c r="P191" s="58"/>
      <c r="Q191" s="58"/>
      <c r="R191" s="58"/>
    </row>
    <row r="192" spans="1:18" ht="12.75">
      <c r="A192" s="58" t="str">
        <f>Sheet1!A65</f>
        <v>mountain plover</v>
      </c>
      <c r="B192" s="58"/>
      <c r="C192" s="58"/>
      <c r="D192" s="58"/>
      <c r="E192" s="58" t="str">
        <f>Sheet1!D65</f>
        <v>none</v>
      </c>
      <c r="F192" s="58"/>
      <c r="G192" s="58"/>
      <c r="H192" s="58"/>
      <c r="I192" s="58"/>
      <c r="J192" s="58"/>
      <c r="K192" s="58" t="str">
        <f>Sheet1!H65</f>
        <v>none</v>
      </c>
      <c r="L192" s="58"/>
      <c r="M192" s="58"/>
      <c r="N192" s="58">
        <f>Sheet1!K65</f>
        <v>0</v>
      </c>
      <c r="O192" s="58"/>
      <c r="P192" s="58"/>
      <c r="Q192" s="58"/>
      <c r="R192" s="58"/>
    </row>
    <row r="193" spans="1:18" ht="12.75">
      <c r="A193" s="58" t="str">
        <f>Sheet1!A66</f>
        <v>Columbian sharp-tailed grouse</v>
      </c>
      <c r="B193" s="58"/>
      <c r="C193" s="58"/>
      <c r="D193" s="58"/>
      <c r="E193" s="58" t="str">
        <f>Sheet1!D66</f>
        <v>black footed ferret</v>
      </c>
      <c r="F193" s="58"/>
      <c r="G193" s="58"/>
      <c r="H193" s="58"/>
      <c r="I193" s="58"/>
      <c r="J193" s="58"/>
      <c r="K193" s="58" t="str">
        <f>Sheet1!H66</f>
        <v>bighorn sheep</v>
      </c>
      <c r="L193" s="58"/>
      <c r="M193" s="58"/>
      <c r="N193" s="58" t="str">
        <f>Sheet1!K66</f>
        <v>none</v>
      </c>
      <c r="O193" s="58"/>
      <c r="P193" s="58"/>
      <c r="Q193" s="58"/>
      <c r="R193" s="58"/>
    </row>
    <row r="194" spans="1:18" ht="12.75">
      <c r="A194" s="58" t="str">
        <f>Sheet1!A67</f>
        <v>Gunnison's sage grouse</v>
      </c>
      <c r="B194" s="58"/>
      <c r="C194" s="58"/>
      <c r="D194" s="58"/>
      <c r="E194" s="58" t="str">
        <f>Sheet1!D67</f>
        <v>Preble's meadow jumping mouse</v>
      </c>
      <c r="F194" s="58"/>
      <c r="G194" s="58"/>
      <c r="H194" s="58"/>
      <c r="I194" s="58"/>
      <c r="J194" s="58"/>
      <c r="K194" s="58" t="str">
        <f>Sheet1!H67</f>
        <v>pronghorn antelope</v>
      </c>
      <c r="L194" s="58"/>
      <c r="M194" s="58"/>
      <c r="N194" s="58" t="str">
        <f>Sheet1!K67</f>
        <v>other</v>
      </c>
      <c r="O194" s="58"/>
      <c r="P194" s="58"/>
      <c r="Q194" s="58"/>
      <c r="R194" s="58"/>
    </row>
    <row r="195" spans="1:18" ht="12.75">
      <c r="A195" s="58" t="str">
        <f>Sheet1!A68</f>
        <v>northern sage grouse</v>
      </c>
      <c r="B195" s="58"/>
      <c r="C195" s="58"/>
      <c r="D195" s="58"/>
      <c r="E195" s="58">
        <f>Sheet1!D68</f>
        <v>0</v>
      </c>
      <c r="F195" s="58"/>
      <c r="G195" s="58"/>
      <c r="H195" s="58"/>
      <c r="I195" s="58"/>
      <c r="J195" s="58"/>
      <c r="K195" s="58" t="str">
        <f>Sheet1!H68</f>
        <v>elk</v>
      </c>
      <c r="L195" s="58"/>
      <c r="M195" s="58"/>
      <c r="N195" s="58">
        <f>Sheet1!K68</f>
        <v>0</v>
      </c>
      <c r="O195" s="58"/>
      <c r="P195" s="58"/>
      <c r="Q195" s="58"/>
      <c r="R195" s="58"/>
    </row>
    <row r="196" spans="1:18" ht="12.75">
      <c r="A196" s="58" t="str">
        <f>Sheet1!A69</f>
        <v>burrowing owl</v>
      </c>
      <c r="B196" s="58"/>
      <c r="C196" s="58"/>
      <c r="D196" s="58"/>
      <c r="E196" s="58" t="str">
        <f>Sheet1!D69</f>
        <v>none</v>
      </c>
      <c r="F196" s="58"/>
      <c r="G196" s="58"/>
      <c r="H196" s="58"/>
      <c r="I196" s="58"/>
      <c r="J196" s="58"/>
      <c r="K196" s="58" t="str">
        <f>Sheet1!H69</f>
        <v>mule deer</v>
      </c>
      <c r="L196" s="58"/>
      <c r="M196" s="58"/>
      <c r="N196" s="58" t="str">
        <f>Sheet1!K69</f>
        <v>none</v>
      </c>
      <c r="O196" s="58"/>
      <c r="P196" s="58"/>
      <c r="Q196" s="58"/>
      <c r="R196" s="58"/>
    </row>
    <row r="197" spans="1:18" ht="12.75">
      <c r="A197" s="58" t="str">
        <f>Sheet1!A70</f>
        <v>upland sandpiper</v>
      </c>
      <c r="B197" s="58"/>
      <c r="C197" s="58"/>
      <c r="D197" s="58"/>
      <c r="E197" s="58" t="str">
        <f>Sheet1!D70</f>
        <v>Colorado pikeminnow</v>
      </c>
      <c r="F197" s="58"/>
      <c r="G197" s="58"/>
      <c r="H197" s="58"/>
      <c r="I197" s="58"/>
      <c r="J197" s="58"/>
      <c r="K197" s="58" t="str">
        <f>Sheet1!H70</f>
        <v>white-tailed deer</v>
      </c>
      <c r="L197" s="58"/>
      <c r="M197" s="58"/>
      <c r="N197" s="58" t="str">
        <f>Sheet1!K70</f>
        <v>other</v>
      </c>
      <c r="O197" s="58"/>
      <c r="P197" s="58"/>
      <c r="Q197" s="58"/>
      <c r="R197" s="58"/>
    </row>
    <row r="198" spans="1:18" ht="12.75">
      <c r="A198" s="58">
        <f>Sheet1!A71</f>
        <v>0</v>
      </c>
      <c r="B198" s="58"/>
      <c r="C198" s="58"/>
      <c r="D198" s="58"/>
      <c r="E198" s="58" t="str">
        <f>Sheet1!D71</f>
        <v>humpback chub</v>
      </c>
      <c r="F198" s="58"/>
      <c r="G198" s="58"/>
      <c r="H198" s="58"/>
      <c r="I198" s="58"/>
      <c r="J198" s="58"/>
      <c r="K198" s="58">
        <f>Sheet1!H71</f>
        <v>0</v>
      </c>
      <c r="L198" s="58"/>
      <c r="M198" s="58"/>
      <c r="N198" s="58">
        <f>Sheet1!K71</f>
        <v>0</v>
      </c>
      <c r="O198" s="58"/>
      <c r="P198" s="58"/>
      <c r="Q198" s="58"/>
      <c r="R198" s="58"/>
    </row>
    <row r="199" spans="1:18" ht="12.75">
      <c r="A199" s="58" t="str">
        <f>Sheet1!A72</f>
        <v>none</v>
      </c>
      <c r="B199" s="58"/>
      <c r="C199" s="58"/>
      <c r="D199" s="58"/>
      <c r="E199" s="58" t="str">
        <f>Sheet1!D72</f>
        <v>razorback sucker</v>
      </c>
      <c r="F199" s="58"/>
      <c r="G199" s="58"/>
      <c r="H199" s="58"/>
      <c r="I199" s="58"/>
      <c r="J199" s="58"/>
      <c r="K199" s="58" t="str">
        <f>Sheet1!H72</f>
        <v>none</v>
      </c>
      <c r="L199" s="58"/>
      <c r="M199" s="58"/>
      <c r="N199" s="58">
        <f>Sheet1!K72</f>
        <v>0</v>
      </c>
      <c r="O199" s="58"/>
      <c r="P199" s="58"/>
      <c r="Q199" s="58"/>
      <c r="R199" s="58"/>
    </row>
    <row r="200" spans="1:18" ht="12.75">
      <c r="A200" s="58" t="str">
        <f>Sheet1!A73</f>
        <v>black-tailed prairie dog</v>
      </c>
      <c r="B200" s="58"/>
      <c r="C200" s="58"/>
      <c r="D200" s="58"/>
      <c r="E200" s="58" t="str">
        <f>Sheet1!D73</f>
        <v>bonytail chub</v>
      </c>
      <c r="F200" s="58"/>
      <c r="G200" s="58"/>
      <c r="H200" s="58"/>
      <c r="I200" s="58"/>
      <c r="J200" s="58"/>
      <c r="K200" s="58" t="str">
        <f>Sheet1!H73</f>
        <v>trout</v>
      </c>
      <c r="L200" s="58"/>
      <c r="M200" s="58"/>
      <c r="N200" s="58">
        <f>Sheet1!K73</f>
        <v>0</v>
      </c>
      <c r="O200" s="58"/>
      <c r="P200" s="58"/>
      <c r="Q200" s="58"/>
      <c r="R200" s="58"/>
    </row>
    <row r="201" spans="1:18" ht="12.75">
      <c r="A201" s="58" t="str">
        <f>Sheet1!A74</f>
        <v>kit fox</v>
      </c>
      <c r="B201" s="58"/>
      <c r="C201" s="58"/>
      <c r="D201" s="58"/>
      <c r="E201" s="58" t="str">
        <f>Sheet1!D74</f>
        <v>southern redbelly dace</v>
      </c>
      <c r="F201" s="58"/>
      <c r="G201" s="58"/>
      <c r="H201" s="58"/>
      <c r="I201" s="58"/>
      <c r="J201" s="58"/>
      <c r="K201" s="58">
        <f>Sheet1!H74</f>
        <v>0</v>
      </c>
      <c r="L201" s="58"/>
      <c r="M201" s="58"/>
      <c r="N201" s="58">
        <f>Sheet1!K74</f>
        <v>0</v>
      </c>
      <c r="O201" s="58"/>
      <c r="P201" s="58"/>
      <c r="Q201" s="58"/>
      <c r="R201" s="58"/>
    </row>
    <row r="202" spans="1:18" ht="12.75">
      <c r="A202" s="58" t="str">
        <f>Sheet1!A75</f>
        <v>mule deer</v>
      </c>
      <c r="B202" s="58"/>
      <c r="C202" s="58"/>
      <c r="D202" s="58"/>
      <c r="E202" s="58" t="str">
        <f>Sheet1!D75</f>
        <v>plains minnow</v>
      </c>
      <c r="F202" s="58"/>
      <c r="G202" s="58"/>
      <c r="H202" s="58"/>
      <c r="I202" s="58"/>
      <c r="J202" s="58"/>
      <c r="K202" s="58">
        <f>Sheet1!H75</f>
        <v>0</v>
      </c>
      <c r="L202" s="58"/>
      <c r="M202" s="58"/>
      <c r="N202" s="58">
        <f>Sheet1!K75</f>
        <v>0</v>
      </c>
      <c r="O202" s="58"/>
      <c r="P202" s="58"/>
      <c r="Q202" s="58"/>
      <c r="R202" s="58"/>
    </row>
    <row r="203" spans="1:18" ht="12.75">
      <c r="A203" s="58">
        <f>Sheet1!A76</f>
        <v>0</v>
      </c>
      <c r="B203" s="58"/>
      <c r="C203" s="58"/>
      <c r="D203" s="58"/>
      <c r="E203" s="58" t="str">
        <f>Sheet1!D76</f>
        <v>suckermouth minnow</v>
      </c>
      <c r="F203" s="58"/>
      <c r="G203" s="58"/>
      <c r="H203" s="58"/>
      <c r="I203" s="58"/>
      <c r="J203" s="58"/>
      <c r="K203" s="58">
        <f>Sheet1!H76</f>
        <v>0</v>
      </c>
      <c r="L203" s="58"/>
      <c r="M203" s="58"/>
      <c r="N203" s="58">
        <f>Sheet1!K76</f>
        <v>0</v>
      </c>
      <c r="O203" s="58"/>
      <c r="P203" s="58"/>
      <c r="Q203" s="58"/>
      <c r="R203" s="58"/>
    </row>
    <row r="204" spans="1:18" ht="12.75">
      <c r="A204" s="58" t="str">
        <f>Sheet1!A77</f>
        <v>none</v>
      </c>
      <c r="B204" s="58"/>
      <c r="C204" s="58"/>
      <c r="D204" s="58"/>
      <c r="E204" s="58" t="str">
        <f>Sheet1!D77</f>
        <v>northern redbelly dace</v>
      </c>
      <c r="F204" s="58"/>
      <c r="G204" s="58"/>
      <c r="H204" s="58"/>
      <c r="I204" s="58"/>
      <c r="J204" s="58"/>
      <c r="K204" s="58">
        <f>Sheet1!H77</f>
        <v>0</v>
      </c>
      <c r="L204" s="58"/>
      <c r="M204" s="58"/>
      <c r="N204" s="58">
        <f>Sheet1!K77</f>
        <v>0</v>
      </c>
      <c r="O204" s="58"/>
      <c r="P204" s="58"/>
      <c r="Q204" s="58"/>
      <c r="R204" s="58"/>
    </row>
    <row r="205" spans="1:18" ht="12.75">
      <c r="A205" s="58" t="str">
        <f>Sheet1!A78</f>
        <v>Colorado River cutthroat trout</v>
      </c>
      <c r="B205" s="58"/>
      <c r="C205" s="58"/>
      <c r="D205" s="58"/>
      <c r="E205" s="58" t="str">
        <f>Sheet1!D78</f>
        <v>lake chub</v>
      </c>
      <c r="F205" s="58"/>
      <c r="G205" s="58"/>
      <c r="H205" s="58"/>
      <c r="I205" s="58"/>
      <c r="J205" s="58"/>
      <c r="K205" s="58">
        <f>Sheet1!H78</f>
        <v>0</v>
      </c>
      <c r="L205" s="58"/>
      <c r="M205" s="58"/>
      <c r="N205" s="58">
        <f>Sheet1!K78</f>
        <v>0</v>
      </c>
      <c r="O205" s="58"/>
      <c r="P205" s="58"/>
      <c r="Q205" s="58"/>
      <c r="R205" s="58"/>
    </row>
    <row r="206" spans="1:18" ht="12.75">
      <c r="A206" s="58" t="str">
        <f>Sheet1!A79</f>
        <v>Greenback cutthroat trout</v>
      </c>
      <c r="B206" s="58"/>
      <c r="C206" s="58"/>
      <c r="D206" s="58"/>
      <c r="E206" s="58">
        <f>Sheet1!D79</f>
        <v>0</v>
      </c>
      <c r="F206" s="58"/>
      <c r="G206" s="58"/>
      <c r="H206" s="58"/>
      <c r="I206" s="58"/>
      <c r="J206" s="58"/>
      <c r="K206" s="58">
        <f>Sheet1!H79</f>
        <v>0</v>
      </c>
      <c r="L206" s="58"/>
      <c r="M206" s="58"/>
      <c r="N206" s="58">
        <f>Sheet1!K79</f>
        <v>0</v>
      </c>
      <c r="O206" s="58"/>
      <c r="P206" s="58"/>
      <c r="Q206" s="58"/>
      <c r="R206" s="58"/>
    </row>
    <row r="207" spans="1:18" ht="12.75">
      <c r="A207" s="58" t="str">
        <f>Sheet1!A80</f>
        <v>Rio Grande cutthroat trout</v>
      </c>
      <c r="B207" s="58"/>
      <c r="C207" s="58"/>
      <c r="D207" s="58"/>
      <c r="E207" s="58">
        <f>Sheet1!D80</f>
        <v>0</v>
      </c>
      <c r="F207" s="58"/>
      <c r="G207" s="58"/>
      <c r="H207" s="58"/>
      <c r="I207" s="58"/>
      <c r="J207" s="58"/>
      <c r="K207" s="58">
        <f>Sheet1!H80</f>
        <v>0</v>
      </c>
      <c r="L207" s="58"/>
      <c r="M207" s="58"/>
      <c r="N207" s="58">
        <f>Sheet1!K80</f>
        <v>0</v>
      </c>
      <c r="O207" s="58"/>
      <c r="P207" s="58"/>
      <c r="Q207" s="58"/>
      <c r="R207" s="58"/>
    </row>
    <row r="208" spans="1:18" ht="12.75">
      <c r="A208" s="58" t="str">
        <f>Sheet1!A81</f>
        <v>Arkansas darter</v>
      </c>
      <c r="B208" s="58"/>
      <c r="C208" s="58"/>
      <c r="D208" s="58"/>
      <c r="E208" s="58">
        <f>Sheet1!D81</f>
        <v>0</v>
      </c>
      <c r="F208" s="58"/>
      <c r="G208" s="58"/>
      <c r="H208" s="58"/>
      <c r="I208" s="58"/>
      <c r="J208" s="58"/>
      <c r="K208" s="58">
        <f>Sheet1!H81</f>
        <v>0</v>
      </c>
      <c r="L208" s="58"/>
      <c r="M208" s="58"/>
      <c r="N208" s="58">
        <f>Sheet1!K81</f>
        <v>0</v>
      </c>
      <c r="O208" s="58"/>
      <c r="P208" s="58"/>
      <c r="Q208" s="58"/>
      <c r="R208" s="58"/>
    </row>
    <row r="209" spans="1:18" ht="12.75">
      <c r="A209" s="58" t="str">
        <f>Sheet1!A82</f>
        <v>flathead chub</v>
      </c>
      <c r="B209" s="58"/>
      <c r="C209" s="58"/>
      <c r="D209" s="58"/>
      <c r="E209" s="58">
        <f>Sheet1!D82</f>
        <v>0</v>
      </c>
      <c r="F209" s="58"/>
      <c r="G209" s="58"/>
      <c r="H209" s="58"/>
      <c r="I209" s="58"/>
      <c r="J209" s="58"/>
      <c r="K209" s="58">
        <f>Sheet1!H82</f>
        <v>0</v>
      </c>
      <c r="L209" s="58"/>
      <c r="M209" s="58"/>
      <c r="N209" s="58"/>
      <c r="O209" s="58"/>
      <c r="P209" s="58"/>
      <c r="Q209" s="58"/>
      <c r="R209" s="58"/>
    </row>
    <row r="210" spans="1:18" ht="12.75">
      <c r="A210" s="58" t="str">
        <f>Sheet1!A83</f>
        <v>speckled chub</v>
      </c>
      <c r="B210" s="58"/>
      <c r="C210" s="58"/>
      <c r="D210" s="58"/>
      <c r="E210" s="58">
        <f>Sheet1!D83</f>
        <v>0</v>
      </c>
      <c r="F210" s="58"/>
      <c r="G210" s="58"/>
      <c r="H210" s="58"/>
      <c r="I210" s="58"/>
      <c r="J210" s="58"/>
      <c r="K210" s="58">
        <f>Sheet1!H83</f>
        <v>0</v>
      </c>
      <c r="L210" s="58"/>
      <c r="M210" s="58"/>
      <c r="N210" s="58"/>
      <c r="O210" s="58"/>
      <c r="P210" s="58"/>
      <c r="Q210" s="58"/>
      <c r="R210" s="58"/>
    </row>
    <row r="211" spans="1:18" ht="12.75">
      <c r="A211" s="58" t="str">
        <f>Sheet1!A84</f>
        <v>brassy minnow</v>
      </c>
      <c r="B211" s="58"/>
      <c r="C211" s="58"/>
      <c r="D211" s="58"/>
      <c r="E211" s="58">
        <f>Sheet1!D84</f>
        <v>0</v>
      </c>
      <c r="F211" s="58"/>
      <c r="G211" s="58"/>
      <c r="H211" s="58"/>
      <c r="I211" s="58"/>
      <c r="J211" s="58"/>
      <c r="K211" s="58">
        <f>Sheet1!H84</f>
        <v>0</v>
      </c>
      <c r="L211" s="58"/>
      <c r="M211" s="58"/>
      <c r="N211" s="58"/>
      <c r="O211" s="58"/>
      <c r="P211" s="58"/>
      <c r="Q211" s="58"/>
      <c r="R211" s="58"/>
    </row>
    <row r="212" spans="1:18" ht="12.75">
      <c r="A212" s="58" t="str">
        <f>Sheet1!A85</f>
        <v>stonecat</v>
      </c>
      <c r="B212" s="58"/>
      <c r="C212" s="58"/>
      <c r="D212" s="58"/>
      <c r="E212" s="58">
        <f>Sheet1!D85</f>
        <v>0</v>
      </c>
      <c r="F212" s="58"/>
      <c r="G212" s="58"/>
      <c r="H212" s="58"/>
      <c r="I212" s="58"/>
      <c r="J212" s="58"/>
      <c r="K212" s="58">
        <f>Sheet1!H85</f>
        <v>0</v>
      </c>
      <c r="L212" s="58"/>
      <c r="M212" s="58"/>
      <c r="N212" s="58"/>
      <c r="O212" s="58"/>
      <c r="P212" s="58"/>
      <c r="Q212" s="58"/>
      <c r="R212" s="58"/>
    </row>
    <row r="213" spans="1:18" ht="12.75">
      <c r="A213" s="58" t="str">
        <f>Sheet1!A86</f>
        <v>plains topminnow</v>
      </c>
      <c r="B213" s="58"/>
      <c r="C213" s="58"/>
      <c r="D213" s="58"/>
      <c r="E213" s="58">
        <f>Sheet1!D86</f>
        <v>0</v>
      </c>
      <c r="F213" s="58"/>
      <c r="G213" s="58"/>
      <c r="H213" s="58"/>
      <c r="I213" s="58"/>
      <c r="J213" s="58"/>
      <c r="K213" s="58">
        <f>Sheet1!H86</f>
        <v>0</v>
      </c>
      <c r="L213" s="58"/>
      <c r="M213" s="58"/>
      <c r="N213" s="58"/>
      <c r="O213" s="58"/>
      <c r="P213" s="58"/>
      <c r="Q213" s="58"/>
      <c r="R213" s="58"/>
    </row>
    <row r="214" spans="1:18" ht="12.75">
      <c r="A214" s="58" t="str">
        <f>Sheet1!A87</f>
        <v>Iowa darter</v>
      </c>
      <c r="B214" s="58"/>
      <c r="C214" s="58"/>
      <c r="D214" s="58"/>
      <c r="E214" s="58">
        <f>Sheet1!D87</f>
        <v>0</v>
      </c>
      <c r="F214" s="58"/>
      <c r="G214" s="58"/>
      <c r="H214" s="58"/>
      <c r="I214" s="58"/>
      <c r="J214" s="58"/>
      <c r="K214" s="58"/>
      <c r="L214" s="58"/>
      <c r="M214" s="58"/>
      <c r="N214" s="58"/>
      <c r="O214" s="58"/>
      <c r="P214" s="58"/>
      <c r="Q214" s="58"/>
      <c r="R214" s="58"/>
    </row>
    <row r="215" spans="1:18" ht="12.75">
      <c r="A215" s="58">
        <f>Sheet1!A88</f>
        <v>0</v>
      </c>
      <c r="B215" s="58"/>
      <c r="C215" s="58"/>
      <c r="D215" s="58"/>
      <c r="E215" s="58">
        <f>Sheet1!D88</f>
        <v>0</v>
      </c>
      <c r="F215" s="58"/>
      <c r="G215" s="58"/>
      <c r="H215" s="58"/>
      <c r="I215" s="58"/>
      <c r="J215" s="58"/>
      <c r="K215" s="58"/>
      <c r="L215" s="58"/>
      <c r="M215" s="58"/>
      <c r="N215" s="58"/>
      <c r="O215" s="58"/>
      <c r="P215" s="58"/>
      <c r="Q215" s="58"/>
      <c r="R215" s="58"/>
    </row>
    <row r="216" spans="1:18" ht="12.75">
      <c r="A216" s="58">
        <f>Sheet1!A89</f>
        <v>0</v>
      </c>
      <c r="B216" s="58"/>
      <c r="C216" s="58"/>
      <c r="D216" s="58"/>
      <c r="E216" s="58">
        <f>Sheet1!D89</f>
        <v>0</v>
      </c>
      <c r="F216" s="58"/>
      <c r="G216" s="58"/>
      <c r="H216" s="58"/>
      <c r="I216" s="58"/>
      <c r="J216" s="58"/>
      <c r="K216" s="58"/>
      <c r="L216" s="58"/>
      <c r="M216" s="58"/>
      <c r="N216" s="58"/>
      <c r="O216" s="58"/>
      <c r="P216" s="58"/>
      <c r="Q216" s="58"/>
      <c r="R216" s="58"/>
    </row>
    <row r="217" spans="1:18" ht="12.75">
      <c r="A217" s="58">
        <f>Sheet1!A90</f>
        <v>0</v>
      </c>
      <c r="B217" s="58"/>
      <c r="C217" s="58"/>
      <c r="D217" s="58"/>
      <c r="E217" s="58">
        <f>Sheet1!D90</f>
        <v>0</v>
      </c>
      <c r="F217" s="58"/>
      <c r="G217" s="58"/>
      <c r="H217" s="58"/>
      <c r="I217" s="58"/>
      <c r="J217" s="58"/>
      <c r="K217" s="58"/>
      <c r="L217" s="58"/>
      <c r="M217" s="58"/>
      <c r="N217" s="58"/>
      <c r="O217" s="58"/>
      <c r="P217" s="58"/>
      <c r="Q217" s="58"/>
      <c r="R217" s="58"/>
    </row>
    <row r="218" spans="1:18" ht="12.75">
      <c r="A218" s="58">
        <f>Sheet1!A91</f>
        <v>0</v>
      </c>
      <c r="B218" s="58"/>
      <c r="C218" s="58"/>
      <c r="D218" s="58"/>
      <c r="E218" s="58">
        <f>Sheet1!D91</f>
        <v>0</v>
      </c>
      <c r="F218" s="58"/>
      <c r="G218" s="58"/>
      <c r="H218" s="58"/>
      <c r="I218" s="58"/>
      <c r="J218" s="58"/>
      <c r="K218" s="58"/>
      <c r="L218" s="58"/>
      <c r="M218" s="58"/>
      <c r="N218" s="58"/>
      <c r="O218" s="58"/>
      <c r="P218" s="58"/>
      <c r="Q218" s="58"/>
      <c r="R218" s="58"/>
    </row>
    <row r="219" spans="1:18" ht="12.75">
      <c r="A219" s="58">
        <f>Sheet1!A92</f>
        <v>0</v>
      </c>
      <c r="B219" s="58"/>
      <c r="C219" s="58"/>
      <c r="D219" s="58"/>
      <c r="E219" s="58"/>
      <c r="F219" s="58"/>
      <c r="G219" s="58"/>
      <c r="H219" s="58"/>
      <c r="I219" s="58"/>
      <c r="J219" s="58"/>
      <c r="K219" s="58"/>
      <c r="L219" s="58"/>
      <c r="M219" s="58"/>
      <c r="N219" s="58"/>
      <c r="O219" s="58"/>
      <c r="P219" s="58"/>
      <c r="Q219" s="58"/>
      <c r="R219" s="58"/>
    </row>
    <row r="220" spans="1:18" ht="12.75">
      <c r="A220" s="58">
        <f>Sheet1!A93</f>
        <v>0</v>
      </c>
      <c r="B220" s="58"/>
      <c r="C220" s="58"/>
      <c r="D220" s="58"/>
      <c r="E220" s="58"/>
      <c r="F220" s="58"/>
      <c r="G220" s="58"/>
      <c r="H220" s="58"/>
      <c r="I220" s="58"/>
      <c r="J220" s="58"/>
      <c r="K220" s="58"/>
      <c r="L220" s="58"/>
      <c r="M220" s="58"/>
      <c r="N220" s="58"/>
      <c r="O220" s="58"/>
      <c r="P220" s="58"/>
      <c r="Q220" s="58"/>
      <c r="R220" s="58"/>
    </row>
    <row r="221" spans="1:18" ht="12.75">
      <c r="A221" s="58">
        <f>Sheet1!A94</f>
        <v>0</v>
      </c>
      <c r="B221" s="58"/>
      <c r="C221" s="58"/>
      <c r="D221" s="58"/>
      <c r="E221" s="58"/>
      <c r="F221" s="58"/>
      <c r="G221" s="58"/>
      <c r="H221" s="58"/>
      <c r="I221" s="58"/>
      <c r="J221" s="58"/>
      <c r="K221" s="58"/>
      <c r="L221" s="58"/>
      <c r="M221" s="58"/>
      <c r="N221" s="58"/>
      <c r="O221" s="58"/>
      <c r="P221" s="58"/>
      <c r="Q221" s="58"/>
      <c r="R221" s="58"/>
    </row>
    <row r="222" spans="1:18" ht="12.75">
      <c r="A222" s="58">
        <f>Sheet1!A95</f>
        <v>0</v>
      </c>
      <c r="B222" s="58"/>
      <c r="C222" s="58"/>
      <c r="D222" s="58"/>
      <c r="E222" s="58"/>
      <c r="F222" s="58"/>
      <c r="G222" s="58"/>
      <c r="H222" s="58"/>
      <c r="I222" s="58"/>
      <c r="J222" s="58"/>
      <c r="K222" s="58"/>
      <c r="L222" s="58"/>
      <c r="M222" s="58"/>
      <c r="N222" s="58"/>
      <c r="O222" s="58"/>
      <c r="P222" s="58"/>
      <c r="Q222" s="58"/>
      <c r="R222" s="58"/>
    </row>
    <row r="223" spans="1:18" ht="12.75">
      <c r="A223" s="58">
        <f>Sheet1!A96</f>
        <v>0</v>
      </c>
      <c r="B223" s="58"/>
      <c r="C223" s="58"/>
      <c r="D223" s="58"/>
      <c r="E223" s="58"/>
      <c r="F223" s="58"/>
      <c r="G223" s="58"/>
      <c r="H223" s="58"/>
      <c r="I223" s="58"/>
      <c r="J223" s="58"/>
      <c r="K223" s="58"/>
      <c r="L223" s="58"/>
      <c r="M223" s="58"/>
      <c r="N223" s="58"/>
      <c r="O223" s="58"/>
      <c r="P223" s="58"/>
      <c r="Q223" s="58"/>
      <c r="R223" s="58"/>
    </row>
    <row r="224" spans="1:18" ht="12.75">
      <c r="A224" s="58">
        <f>Sheet1!A97</f>
        <v>0</v>
      </c>
      <c r="B224" s="58"/>
      <c r="C224" s="58"/>
      <c r="D224" s="58"/>
      <c r="E224" s="58"/>
      <c r="F224" s="58"/>
      <c r="G224" s="58"/>
      <c r="H224" s="58"/>
      <c r="I224" s="58"/>
      <c r="J224" s="58"/>
      <c r="K224" s="58"/>
      <c r="L224" s="58"/>
      <c r="M224" s="58"/>
      <c r="N224" s="58"/>
      <c r="O224" s="58"/>
      <c r="P224" s="58"/>
      <c r="Q224" s="58"/>
      <c r="R224" s="58"/>
    </row>
    <row r="225" spans="1:18" ht="12.75">
      <c r="A225" s="58">
        <f>Sheet1!A98</f>
        <v>0</v>
      </c>
      <c r="B225" s="58"/>
      <c r="C225" s="58"/>
      <c r="D225" s="58"/>
      <c r="E225" s="58"/>
      <c r="F225" s="58"/>
      <c r="G225" s="58"/>
      <c r="H225" s="58"/>
      <c r="I225" s="58"/>
      <c r="J225" s="58"/>
      <c r="K225" s="58"/>
      <c r="L225" s="58"/>
      <c r="M225" s="58"/>
      <c r="N225" s="58"/>
      <c r="O225" s="58"/>
      <c r="P225" s="58"/>
      <c r="Q225" s="58"/>
      <c r="R225" s="58"/>
    </row>
    <row r="226" spans="1:18" ht="12.75">
      <c r="A226" s="58"/>
      <c r="B226" s="58"/>
      <c r="C226" s="58"/>
      <c r="D226" s="58"/>
      <c r="E226" s="58"/>
      <c r="F226" s="58"/>
      <c r="G226" s="58"/>
      <c r="H226" s="58"/>
      <c r="I226" s="58"/>
      <c r="J226" s="58"/>
      <c r="K226" s="58"/>
      <c r="L226" s="58"/>
      <c r="M226" s="58"/>
      <c r="N226" s="58"/>
      <c r="O226" s="58"/>
      <c r="P226" s="58"/>
      <c r="Q226" s="58"/>
      <c r="R226" s="58"/>
    </row>
    <row r="227" spans="1:18" ht="12.75">
      <c r="A227" s="58"/>
      <c r="B227" s="58"/>
      <c r="C227" s="58"/>
      <c r="D227" s="58"/>
      <c r="E227" s="58"/>
      <c r="F227" s="58"/>
      <c r="G227" s="58"/>
      <c r="H227" s="58"/>
      <c r="I227" s="58"/>
      <c r="J227" s="58"/>
      <c r="K227" s="58"/>
      <c r="L227" s="58"/>
      <c r="M227" s="58"/>
      <c r="N227" s="58"/>
      <c r="O227" s="58"/>
      <c r="P227" s="58"/>
      <c r="Q227" s="58"/>
      <c r="R227" s="58"/>
    </row>
    <row r="228" spans="1:18" ht="12.75">
      <c r="A228" s="58"/>
      <c r="B228" s="58"/>
      <c r="C228" s="58"/>
      <c r="D228" s="58"/>
      <c r="E228" s="58"/>
      <c r="F228" s="58"/>
      <c r="G228" s="58"/>
      <c r="H228" s="58"/>
      <c r="I228" s="58"/>
      <c r="J228" s="58"/>
      <c r="K228" s="58"/>
      <c r="L228" s="58"/>
      <c r="M228" s="58"/>
      <c r="N228" s="58"/>
      <c r="O228" s="58"/>
      <c r="P228" s="58"/>
      <c r="Q228" s="58"/>
      <c r="R228" s="58"/>
    </row>
  </sheetData>
  <mergeCells count="116">
    <mergeCell ref="A44:R44"/>
    <mergeCell ref="A50:I51"/>
    <mergeCell ref="C114:R114"/>
    <mergeCell ref="B21:B23"/>
    <mergeCell ref="A63:R63"/>
    <mergeCell ref="C74:K74"/>
    <mergeCell ref="L74:R75"/>
    <mergeCell ref="L76:R83"/>
    <mergeCell ref="C88:I90"/>
    <mergeCell ref="L88:P88"/>
    <mergeCell ref="D81:H81"/>
    <mergeCell ref="L94:P94"/>
    <mergeCell ref="B11:P11"/>
    <mergeCell ref="B12:P12"/>
    <mergeCell ref="L90:P90"/>
    <mergeCell ref="J47:K47"/>
    <mergeCell ref="A73:R73"/>
    <mergeCell ref="Q72:R72"/>
    <mergeCell ref="B88:B90"/>
    <mergeCell ref="C62:R62"/>
    <mergeCell ref="D79:H79"/>
    <mergeCell ref="J48:K48"/>
    <mergeCell ref="L92:P92"/>
    <mergeCell ref="N47:O48"/>
    <mergeCell ref="C52:R52"/>
    <mergeCell ref="N59:O59"/>
    <mergeCell ref="Q51:R51"/>
    <mergeCell ref="C68:P68"/>
    <mergeCell ref="N57:O57"/>
    <mergeCell ref="N55:O55"/>
    <mergeCell ref="A115:R115"/>
    <mergeCell ref="L93:P93"/>
    <mergeCell ref="J83:K83"/>
    <mergeCell ref="C84:R84"/>
    <mergeCell ref="A85:R85"/>
    <mergeCell ref="B91:B93"/>
    <mergeCell ref="L89:P89"/>
    <mergeCell ref="B94:B96"/>
    <mergeCell ref="C94:I96"/>
    <mergeCell ref="L97:P97"/>
    <mergeCell ref="L116:R116"/>
    <mergeCell ref="C117:H117"/>
    <mergeCell ref="L117:R122"/>
    <mergeCell ref="C118:H118"/>
    <mergeCell ref="C120:H120"/>
    <mergeCell ref="A2:B3"/>
    <mergeCell ref="A4:B6"/>
    <mergeCell ref="C18:R18"/>
    <mergeCell ref="A19:R19"/>
    <mergeCell ref="P4:Q4"/>
    <mergeCell ref="I4:O4"/>
    <mergeCell ref="I6:L7"/>
    <mergeCell ref="M6:N7"/>
    <mergeCell ref="C8:E8"/>
    <mergeCell ref="B13:P13"/>
    <mergeCell ref="C7:H7"/>
    <mergeCell ref="A10:R10"/>
    <mergeCell ref="O6:P7"/>
    <mergeCell ref="A9:B9"/>
    <mergeCell ref="C9:H9"/>
    <mergeCell ref="C32:M32"/>
    <mergeCell ref="C4:H6"/>
    <mergeCell ref="B35:J36"/>
    <mergeCell ref="B15:P15"/>
    <mergeCell ref="A14:Q14"/>
    <mergeCell ref="C21:M21"/>
    <mergeCell ref="C24:M24"/>
    <mergeCell ref="E22:L22"/>
    <mergeCell ref="A7:B7"/>
    <mergeCell ref="A8:B8"/>
    <mergeCell ref="J46:K46"/>
    <mergeCell ref="B40:J40"/>
    <mergeCell ref="A46:I46"/>
    <mergeCell ref="A16:Q16"/>
    <mergeCell ref="A17:R17"/>
    <mergeCell ref="K35:K36"/>
    <mergeCell ref="M35:M36"/>
    <mergeCell ref="C30:M30"/>
    <mergeCell ref="C27:M27"/>
    <mergeCell ref="Q42:R42"/>
    <mergeCell ref="A1:R1"/>
    <mergeCell ref="N8:P8"/>
    <mergeCell ref="G8:H8"/>
    <mergeCell ref="E37:L37"/>
    <mergeCell ref="I2:K2"/>
    <mergeCell ref="Q8:R8"/>
    <mergeCell ref="I8:K8"/>
    <mergeCell ref="C2:H3"/>
    <mergeCell ref="Q6:Q7"/>
    <mergeCell ref="B24:B26"/>
    <mergeCell ref="C43:R43"/>
    <mergeCell ref="D80:H80"/>
    <mergeCell ref="C31:M31"/>
    <mergeCell ref="E25:L25"/>
    <mergeCell ref="D78:H78"/>
    <mergeCell ref="C66:P66"/>
    <mergeCell ref="Q61:R61"/>
    <mergeCell ref="A54:G55"/>
    <mergeCell ref="D77:H77"/>
    <mergeCell ref="C67:P67"/>
    <mergeCell ref="J54:M55"/>
    <mergeCell ref="A53:R53"/>
    <mergeCell ref="Q113:R113"/>
    <mergeCell ref="C106:I106"/>
    <mergeCell ref="Q112:R112"/>
    <mergeCell ref="Q102:R102"/>
    <mergeCell ref="A104:R104"/>
    <mergeCell ref="C103:R103"/>
    <mergeCell ref="L99:P99"/>
    <mergeCell ref="B97:B99"/>
    <mergeCell ref="C97:I99"/>
    <mergeCell ref="C91:I93"/>
    <mergeCell ref="L98:P98"/>
    <mergeCell ref="L95:P95"/>
    <mergeCell ref="L96:P96"/>
    <mergeCell ref="L91:P91"/>
  </mergeCells>
  <dataValidations count="18">
    <dataValidation type="list" allowBlank="1" showInputMessage="1" showErrorMessage="1" sqref="C7:H7">
      <formula1>$A$127:$A$143</formula1>
    </dataValidation>
    <dataValidation type="list" allowBlank="1" showInputMessage="1" showErrorMessage="1" sqref="C8:E8">
      <formula1>$F$127:$F$180</formula1>
    </dataValidation>
    <dataValidation type="list" allowBlank="1" showInputMessage="1" showErrorMessage="1" sqref="Q11:Q13 Q15">
      <formula1>$L$2:$L$3</formula1>
    </dataValidation>
    <dataValidation type="list" allowBlank="1" showInputMessage="1" showErrorMessage="1" sqref="E22:L22">
      <formula1>$A$172:$A$176</formula1>
    </dataValidation>
    <dataValidation type="list" allowBlank="1" showInputMessage="1" showErrorMessage="1" sqref="C4:H6">
      <formula1>$A$147:$A$157</formula1>
    </dataValidation>
    <dataValidation type="list" allowBlank="1" showInputMessage="1" showErrorMessage="1" sqref="L88:P88">
      <formula1>$A$185:$A$197</formula1>
    </dataValidation>
    <dataValidation type="list" allowBlank="1" showInputMessage="1" showErrorMessage="1" sqref="L89:P89">
      <formula1>$A$199:$A$202</formula1>
    </dataValidation>
    <dataValidation type="list" allowBlank="1" showInputMessage="1" showErrorMessage="1" sqref="L90:P90">
      <formula1>$A$204:$A$214</formula1>
    </dataValidation>
    <dataValidation type="list" allowBlank="1" showInputMessage="1" showErrorMessage="1" sqref="L91:P91">
      <formula1>$E$185:$E$190</formula1>
    </dataValidation>
    <dataValidation type="list" allowBlank="1" showInputMessage="1" showErrorMessage="1" sqref="L92:P92">
      <formula1>$E$192:$E$194</formula1>
    </dataValidation>
    <dataValidation type="list" allowBlank="1" showInputMessage="1" showErrorMessage="1" sqref="L93:P93">
      <formula1>$E$196:$E$205</formula1>
    </dataValidation>
    <dataValidation type="list" allowBlank="1" showInputMessage="1" showErrorMessage="1" sqref="L94:P94">
      <formula1>$K$185:$K$190</formula1>
    </dataValidation>
    <dataValidation type="list" allowBlank="1" showInputMessage="1" showErrorMessage="1" sqref="L95:P95">
      <formula1>$K$192:$K$197</formula1>
    </dataValidation>
    <dataValidation type="list" allowBlank="1" showInputMessage="1" showErrorMessage="1" sqref="L96:P96">
      <formula1>$K$199:$K$200</formula1>
    </dataValidation>
    <dataValidation type="list" allowBlank="1" showInputMessage="1" showErrorMessage="1" sqref="L97:P97">
      <formula1>$N$185:$N$191</formula1>
    </dataValidation>
    <dataValidation type="list" allowBlank="1" showInputMessage="1" showErrorMessage="1" sqref="L98:P98">
      <formula1>$N$193:$N$194</formula1>
    </dataValidation>
    <dataValidation type="list" allowBlank="1" showInputMessage="1" showErrorMessage="1" sqref="L99:P99">
      <formula1>$N$196:$N$197</formula1>
    </dataValidation>
    <dataValidation type="list" allowBlank="1" showInputMessage="1" showErrorMessage="1" sqref="C118:H118">
      <formula1>$A$160:$A$166</formula1>
    </dataValidation>
  </dataValidations>
  <printOptions/>
  <pageMargins left="0.78" right="0.41" top="0.89" bottom="0.59" header="0.39" footer="0.37"/>
  <pageSetup horizontalDpi="600" verticalDpi="600" orientation="portrait" scale="83" r:id="rId3"/>
  <headerFooter alignWithMargins="0">
    <oddHeader>&amp;C&amp;"Comic Sans MS,Regular"&amp;14Environmental Quality Incentive Program (EQIP)
Upper Arkansas River Watershed-Wildlife Ranking Worksheet (C4)</oddHeader>
    <oddFooter>&amp;L&amp;12February 02, 2004&amp;C&amp;12Page &amp;P of  &amp;N&amp;R&amp;12USDA-NRCS, Area 3, La Junta, CO</oddFooter>
  </headerFooter>
  <rowBreaks count="2" manualBreakCount="2">
    <brk id="51" max="17" man="1"/>
    <brk id="102" max="17" man="1"/>
  </rowBreaks>
  <legacyDrawing r:id="rId2"/>
</worksheet>
</file>

<file path=xl/worksheets/sheet5.xml><?xml version="1.0" encoding="utf-8"?>
<worksheet xmlns="http://schemas.openxmlformats.org/spreadsheetml/2006/main" xmlns:r="http://schemas.openxmlformats.org/officeDocument/2006/relationships">
  <dimension ref="A1:AA336"/>
  <sheetViews>
    <sheetView showGridLines="0" tabSelected="1" workbookViewId="0" topLeftCell="A162">
      <selection activeCell="R13" sqref="R13"/>
    </sheetView>
  </sheetViews>
  <sheetFormatPr defaultColWidth="9.140625" defaultRowHeight="12.75"/>
  <cols>
    <col min="1" max="1" width="5.140625" style="0" customWidth="1"/>
    <col min="2" max="2" width="9.7109375" style="0" customWidth="1"/>
    <col min="3" max="3" width="3.140625" style="0" customWidth="1"/>
    <col min="4" max="4" width="4.140625" style="0" customWidth="1"/>
    <col min="5" max="5" width="5.28125" style="0" customWidth="1"/>
    <col min="6" max="6" width="5.140625" style="0" customWidth="1"/>
    <col min="7" max="7" width="7.00390625" style="0" customWidth="1"/>
    <col min="8" max="8" width="6.00390625" style="0" customWidth="1"/>
    <col min="9" max="9" width="6.421875" style="0" customWidth="1"/>
    <col min="10" max="10" width="3.8515625" style="0" customWidth="1"/>
    <col min="11" max="11" width="6.28125" style="0" customWidth="1"/>
    <col min="12" max="12" width="6.421875" style="0" customWidth="1"/>
    <col min="13" max="13" width="9.28125" style="0" customWidth="1"/>
    <col min="14" max="14" width="6.28125" style="0" customWidth="1"/>
    <col min="15" max="15" width="6.140625" style="0" customWidth="1"/>
    <col min="16" max="17" width="6.421875" style="0" customWidth="1"/>
    <col min="18" max="18" width="6.140625" style="0" customWidth="1"/>
    <col min="19" max="19" width="6.421875" style="0" customWidth="1"/>
    <col min="20" max="20" width="6.00390625" style="237" customWidth="1"/>
    <col min="21" max="21" width="12.7109375" style="41" customWidth="1"/>
    <col min="22" max="22" width="16.57421875" style="41" customWidth="1"/>
    <col min="23" max="27" width="9.140625" style="41" customWidth="1"/>
    <col min="28" max="32" width="9.140625" style="237" customWidth="1"/>
  </cols>
  <sheetData>
    <row r="1" spans="1:22" ht="18.75" thickBot="1">
      <c r="A1" s="1009" t="s">
        <v>48</v>
      </c>
      <c r="B1" s="1010"/>
      <c r="C1" s="1010"/>
      <c r="D1" s="1010"/>
      <c r="E1" s="1010"/>
      <c r="F1" s="1010"/>
      <c r="G1" s="1010"/>
      <c r="H1" s="1010"/>
      <c r="I1" s="1010"/>
      <c r="J1" s="1010"/>
      <c r="K1" s="1010"/>
      <c r="L1" s="1010"/>
      <c r="M1" s="1010"/>
      <c r="N1" s="1010"/>
      <c r="O1" s="1010"/>
      <c r="P1" s="1010"/>
      <c r="Q1" s="1010"/>
      <c r="R1" s="1010"/>
      <c r="S1" s="1011"/>
      <c r="U1" s="63"/>
      <c r="V1" s="63"/>
    </row>
    <row r="2" spans="1:22" ht="14.25" customHeight="1" thickBot="1">
      <c r="A2" s="1257" t="s">
        <v>281</v>
      </c>
      <c r="B2" s="1259"/>
      <c r="C2" s="1358"/>
      <c r="D2" s="1359"/>
      <c r="E2" s="1359"/>
      <c r="F2" s="1359"/>
      <c r="G2" s="1359"/>
      <c r="H2" s="1359"/>
      <c r="I2" s="1360"/>
      <c r="J2" s="1257" t="s">
        <v>265</v>
      </c>
      <c r="K2" s="1258"/>
      <c r="L2" s="1259"/>
      <c r="M2" s="490" t="s">
        <v>362</v>
      </c>
      <c r="N2" s="506" t="s">
        <v>362</v>
      </c>
      <c r="O2" s="66"/>
      <c r="P2" s="67"/>
      <c r="Q2" s="68"/>
      <c r="R2" s="69"/>
      <c r="S2" s="70"/>
      <c r="U2" s="63"/>
      <c r="V2" s="63"/>
    </row>
    <row r="3" spans="1:22" ht="15" customHeight="1" thickBot="1">
      <c r="A3" s="1295"/>
      <c r="B3" s="1297"/>
      <c r="C3" s="1361"/>
      <c r="D3" s="1362"/>
      <c r="E3" s="1362"/>
      <c r="F3" s="1362"/>
      <c r="G3" s="1362"/>
      <c r="H3" s="1362"/>
      <c r="I3" s="1363"/>
      <c r="J3" s="1779" t="s">
        <v>282</v>
      </c>
      <c r="K3" s="1780"/>
      <c r="L3" s="1781"/>
      <c r="M3" s="489">
        <v>2</v>
      </c>
      <c r="N3" s="28" t="s">
        <v>363</v>
      </c>
      <c r="O3" s="29"/>
      <c r="P3" s="29"/>
      <c r="Q3" s="64"/>
      <c r="R3" s="65"/>
      <c r="S3" s="30"/>
      <c r="U3" s="63"/>
      <c r="V3" s="63"/>
    </row>
    <row r="4" spans="1:22" ht="16.5" customHeight="1">
      <c r="A4" s="1788" t="s">
        <v>416</v>
      </c>
      <c r="B4" s="1789"/>
      <c r="C4" s="1792"/>
      <c r="D4" s="1792"/>
      <c r="E4" s="1792"/>
      <c r="F4" s="1792"/>
      <c r="G4" s="1792"/>
      <c r="H4" s="1792"/>
      <c r="I4" s="1793"/>
      <c r="J4" s="1785" t="s">
        <v>328</v>
      </c>
      <c r="K4" s="1785"/>
      <c r="L4" s="1785"/>
      <c r="M4" s="1785"/>
      <c r="N4" s="1785"/>
      <c r="O4" s="303" t="s">
        <v>329</v>
      </c>
      <c r="P4" s="304" t="s">
        <v>330</v>
      </c>
      <c r="Q4" s="1786" t="s">
        <v>478</v>
      </c>
      <c r="R4" s="1787"/>
      <c r="S4" s="305">
        <v>0</v>
      </c>
      <c r="U4" s="63"/>
      <c r="V4" s="63"/>
    </row>
    <row r="5" spans="1:22" ht="17.25" customHeight="1">
      <c r="A5" s="1790"/>
      <c r="B5" s="1791"/>
      <c r="C5" s="1794"/>
      <c r="D5" s="1794"/>
      <c r="E5" s="1794"/>
      <c r="F5" s="1794"/>
      <c r="G5" s="1794"/>
      <c r="H5" s="1794"/>
      <c r="I5" s="1795"/>
      <c r="J5" s="306"/>
      <c r="K5" s="306"/>
      <c r="L5" s="306"/>
      <c r="M5" s="307"/>
      <c r="N5" s="307"/>
      <c r="O5" s="307"/>
      <c r="P5" s="306"/>
      <c r="Q5" s="308" t="s">
        <v>46</v>
      </c>
      <c r="R5" s="1796">
        <v>0</v>
      </c>
      <c r="S5" s="1797"/>
      <c r="U5" s="63"/>
      <c r="V5" s="63"/>
    </row>
    <row r="6" spans="1:22" ht="16.5" customHeight="1">
      <c r="A6" s="1000" t="s">
        <v>266</v>
      </c>
      <c r="B6" s="1001"/>
      <c r="C6" s="1248"/>
      <c r="D6" s="1249"/>
      <c r="E6" s="1249"/>
      <c r="F6" s="1249"/>
      <c r="G6" s="1249"/>
      <c r="H6" s="1249"/>
      <c r="I6" s="1250"/>
      <c r="J6" s="1643" t="s">
        <v>470</v>
      </c>
      <c r="K6" s="1644"/>
      <c r="L6" s="1644"/>
      <c r="M6" s="1620"/>
      <c r="N6" s="1220">
        <v>0</v>
      </c>
      <c r="O6" s="1221"/>
      <c r="P6" s="1798" t="s">
        <v>268</v>
      </c>
      <c r="Q6" s="1799"/>
      <c r="R6" s="1016">
        <f>SUM(R27,R39,R49,R58,R67,K85,K117,R140,K169)</f>
        <v>0</v>
      </c>
      <c r="S6" s="1017"/>
      <c r="U6" s="63"/>
      <c r="V6" s="63"/>
    </row>
    <row r="7" spans="1:22" ht="15" customHeight="1" thickBot="1">
      <c r="A7" s="1007" t="s">
        <v>267</v>
      </c>
      <c r="B7" s="1008"/>
      <c r="C7" s="992"/>
      <c r="D7" s="1272"/>
      <c r="E7" s="1272"/>
      <c r="F7" s="993"/>
      <c r="G7" s="309" t="s">
        <v>283</v>
      </c>
      <c r="H7" s="1293">
        <f ca="1">IF(C7="","",NOW())</f>
      </c>
      <c r="I7" s="1294"/>
      <c r="J7" s="1773"/>
      <c r="K7" s="1774"/>
      <c r="L7" s="1774"/>
      <c r="M7" s="1775"/>
      <c r="N7" s="1776"/>
      <c r="O7" s="1777"/>
      <c r="P7" s="1800"/>
      <c r="Q7" s="1801"/>
      <c r="R7" s="1018"/>
      <c r="S7" s="1019"/>
      <c r="U7" s="63"/>
      <c r="V7" s="63"/>
    </row>
    <row r="8" spans="1:22" ht="15.75" customHeight="1" thickBot="1">
      <c r="A8" s="1802" t="s">
        <v>813</v>
      </c>
      <c r="B8" s="1803"/>
      <c r="C8" s="1100">
        <f>IF(H7="","",IF(OR(R11="YES",R10="NO"),"LOW PRIORITY",IF(R13="NO","MEDIUM PRIORITY","HIGH PRIORITY")))</f>
      </c>
      <c r="D8" s="1101"/>
      <c r="E8" s="1101"/>
      <c r="F8" s="1101"/>
      <c r="G8" s="1101"/>
      <c r="H8" s="1101"/>
      <c r="I8" s="1102"/>
      <c r="J8" s="310"/>
      <c r="K8" s="311"/>
      <c r="L8" s="311"/>
      <c r="M8" s="311"/>
      <c r="N8" s="249"/>
      <c r="O8" s="249"/>
      <c r="P8" s="312"/>
      <c r="Q8" s="312"/>
      <c r="R8" s="313"/>
      <c r="S8" s="314"/>
      <c r="U8" s="63"/>
      <c r="V8" s="63"/>
    </row>
    <row r="9" spans="1:22" ht="18.75" customHeight="1" thickBot="1">
      <c r="A9" s="883" t="s">
        <v>49</v>
      </c>
      <c r="B9" s="884"/>
      <c r="C9" s="884"/>
      <c r="D9" s="884"/>
      <c r="E9" s="884"/>
      <c r="F9" s="884"/>
      <c r="G9" s="884"/>
      <c r="H9" s="884"/>
      <c r="I9" s="884"/>
      <c r="J9" s="884"/>
      <c r="K9" s="884"/>
      <c r="L9" s="884"/>
      <c r="M9" s="884"/>
      <c r="N9" s="884"/>
      <c r="O9" s="884"/>
      <c r="P9" s="884"/>
      <c r="Q9" s="884"/>
      <c r="R9" s="884"/>
      <c r="S9" s="885"/>
      <c r="U9" s="63"/>
      <c r="V9" s="63"/>
    </row>
    <row r="10" spans="1:22" ht="17.25" customHeight="1" thickBot="1">
      <c r="A10" s="315" t="s">
        <v>815</v>
      </c>
      <c r="B10" s="1806" t="s">
        <v>218</v>
      </c>
      <c r="C10" s="1806"/>
      <c r="D10" s="1806"/>
      <c r="E10" s="1806"/>
      <c r="F10" s="1806"/>
      <c r="G10" s="1806"/>
      <c r="H10" s="1806"/>
      <c r="I10" s="1806"/>
      <c r="J10" s="1806"/>
      <c r="K10" s="1806"/>
      <c r="L10" s="1806"/>
      <c r="M10" s="1806"/>
      <c r="N10" s="1806"/>
      <c r="O10" s="1806"/>
      <c r="P10" s="1806"/>
      <c r="Q10" s="1807"/>
      <c r="R10" s="316"/>
      <c r="S10" s="491">
        <f>COUNTIF(R10:R11,"NO")</f>
        <v>0</v>
      </c>
      <c r="U10" s="63"/>
      <c r="V10" s="63"/>
    </row>
    <row r="11" spans="1:22" ht="25.5" customHeight="1">
      <c r="A11" s="317" t="s">
        <v>816</v>
      </c>
      <c r="B11" s="1804" t="s">
        <v>232</v>
      </c>
      <c r="C11" s="1804"/>
      <c r="D11" s="1804"/>
      <c r="E11" s="1804"/>
      <c r="F11" s="1804"/>
      <c r="G11" s="1804"/>
      <c r="H11" s="1804"/>
      <c r="I11" s="1804"/>
      <c r="J11" s="1804"/>
      <c r="K11" s="1804"/>
      <c r="L11" s="1804"/>
      <c r="M11" s="1804"/>
      <c r="N11" s="1804"/>
      <c r="O11" s="1804"/>
      <c r="P11" s="1804"/>
      <c r="Q11" s="1805"/>
      <c r="R11" s="318"/>
      <c r="S11" s="492"/>
      <c r="U11" s="63"/>
      <c r="V11" s="63"/>
    </row>
    <row r="12" spans="1:22" ht="16.5" customHeight="1" thickBot="1">
      <c r="A12" s="1591" t="s">
        <v>148</v>
      </c>
      <c r="B12" s="1592"/>
      <c r="C12" s="1592"/>
      <c r="D12" s="1592"/>
      <c r="E12" s="1592"/>
      <c r="F12" s="1592"/>
      <c r="G12" s="1592"/>
      <c r="H12" s="1592"/>
      <c r="I12" s="1592"/>
      <c r="J12" s="1592"/>
      <c r="K12" s="1592"/>
      <c r="L12" s="1592"/>
      <c r="M12" s="1592"/>
      <c r="N12" s="1592"/>
      <c r="O12" s="1592"/>
      <c r="P12" s="1592"/>
      <c r="Q12" s="1592"/>
      <c r="R12" s="1593"/>
      <c r="S12" s="493"/>
      <c r="U12" s="63"/>
      <c r="V12" s="63"/>
    </row>
    <row r="13" spans="1:22" ht="24.75" customHeight="1" thickBot="1">
      <c r="A13" s="319" t="s">
        <v>814</v>
      </c>
      <c r="B13" s="1236" t="s">
        <v>159</v>
      </c>
      <c r="C13" s="1236"/>
      <c r="D13" s="1236"/>
      <c r="E13" s="1236"/>
      <c r="F13" s="1236"/>
      <c r="G13" s="1236"/>
      <c r="H13" s="1236"/>
      <c r="I13" s="1236"/>
      <c r="J13" s="1236"/>
      <c r="K13" s="1236"/>
      <c r="L13" s="1236"/>
      <c r="M13" s="1236"/>
      <c r="N13" s="1236"/>
      <c r="O13" s="1236"/>
      <c r="P13" s="1236"/>
      <c r="Q13" s="1778"/>
      <c r="R13" s="320"/>
      <c r="S13" s="494"/>
      <c r="U13" s="63"/>
      <c r="V13" s="63"/>
    </row>
    <row r="14" spans="1:22" ht="16.5" customHeight="1" thickBot="1">
      <c r="A14" s="1782" t="s">
        <v>725</v>
      </c>
      <c r="B14" s="1783"/>
      <c r="C14" s="1783"/>
      <c r="D14" s="1783"/>
      <c r="E14" s="1783"/>
      <c r="F14" s="1783"/>
      <c r="G14" s="1783"/>
      <c r="H14" s="1783"/>
      <c r="I14" s="1783"/>
      <c r="J14" s="1783"/>
      <c r="K14" s="1783"/>
      <c r="L14" s="1783"/>
      <c r="M14" s="1783"/>
      <c r="N14" s="1783"/>
      <c r="O14" s="1783"/>
      <c r="P14" s="1783"/>
      <c r="Q14" s="1783"/>
      <c r="R14" s="1784"/>
      <c r="S14" s="494"/>
      <c r="U14" s="63"/>
      <c r="V14" s="63"/>
    </row>
    <row r="15" spans="1:22" ht="18.75" customHeight="1" thickBot="1">
      <c r="A15" s="883" t="s">
        <v>50</v>
      </c>
      <c r="B15" s="884"/>
      <c r="C15" s="884"/>
      <c r="D15" s="884"/>
      <c r="E15" s="884"/>
      <c r="F15" s="884"/>
      <c r="G15" s="884"/>
      <c r="H15" s="884"/>
      <c r="I15" s="884"/>
      <c r="J15" s="884"/>
      <c r="K15" s="884"/>
      <c r="L15" s="884"/>
      <c r="M15" s="884"/>
      <c r="N15" s="884"/>
      <c r="O15" s="884"/>
      <c r="P15" s="884"/>
      <c r="Q15" s="884"/>
      <c r="R15" s="884"/>
      <c r="S15" s="885"/>
      <c r="U15" s="63"/>
      <c r="V15" s="63"/>
    </row>
    <row r="16" spans="1:27" ht="15" customHeight="1">
      <c r="A16" s="321" t="s">
        <v>437</v>
      </c>
      <c r="B16" s="322"/>
      <c r="C16" s="902" t="s">
        <v>409</v>
      </c>
      <c r="D16" s="902"/>
      <c r="E16" s="902"/>
      <c r="F16" s="902"/>
      <c r="G16" s="902"/>
      <c r="H16" s="902"/>
      <c r="I16" s="902"/>
      <c r="J16" s="902"/>
      <c r="K16" s="902"/>
      <c r="L16" s="902"/>
      <c r="M16" s="902"/>
      <c r="N16" s="902"/>
      <c r="O16" s="902"/>
      <c r="P16" s="902"/>
      <c r="Q16" s="902"/>
      <c r="R16" s="902"/>
      <c r="S16" s="903"/>
      <c r="V16" s="63"/>
      <c r="Z16" s="237"/>
      <c r="AA16" s="237"/>
    </row>
    <row r="17" spans="1:27" ht="26.25" customHeight="1" thickBot="1">
      <c r="A17" s="1812" t="s">
        <v>838</v>
      </c>
      <c r="B17" s="1813"/>
      <c r="C17" s="1813"/>
      <c r="D17" s="1813"/>
      <c r="E17" s="1813"/>
      <c r="F17" s="1813"/>
      <c r="G17" s="1813"/>
      <c r="H17" s="1813"/>
      <c r="I17" s="1813"/>
      <c r="J17" s="1813"/>
      <c r="K17" s="1813"/>
      <c r="L17" s="1813"/>
      <c r="M17" s="1813"/>
      <c r="N17" s="1813"/>
      <c r="O17" s="1813"/>
      <c r="P17" s="1813"/>
      <c r="Q17" s="1813"/>
      <c r="R17" s="1813"/>
      <c r="S17" s="1814"/>
      <c r="V17" s="63"/>
      <c r="Z17" s="237"/>
      <c r="AA17" s="237"/>
    </row>
    <row r="18" spans="1:27" ht="15" customHeight="1" thickTop="1">
      <c r="A18" s="1755" t="s">
        <v>56</v>
      </c>
      <c r="B18" s="1707"/>
      <c r="C18" s="1707"/>
      <c r="D18" s="1707"/>
      <c r="E18" s="1707"/>
      <c r="F18" s="306"/>
      <c r="G18" s="323"/>
      <c r="H18" s="1330" t="s">
        <v>55</v>
      </c>
      <c r="I18" s="1330"/>
      <c r="J18" s="1330"/>
      <c r="K18" s="1330"/>
      <c r="L18" s="324"/>
      <c r="M18" s="306"/>
      <c r="N18" s="323"/>
      <c r="O18" s="323"/>
      <c r="P18" s="236" t="s">
        <v>341</v>
      </c>
      <c r="Q18" s="325"/>
      <c r="R18" s="326" t="s">
        <v>69</v>
      </c>
      <c r="S18" s="327"/>
      <c r="V18" s="63"/>
      <c r="Z18" s="237"/>
      <c r="AA18" s="237"/>
    </row>
    <row r="19" spans="1:27" ht="15" customHeight="1">
      <c r="A19" s="1756"/>
      <c r="B19" s="1757"/>
      <c r="C19" s="1757"/>
      <c r="D19" s="1757"/>
      <c r="E19" s="1757"/>
      <c r="F19" s="306"/>
      <c r="G19" s="306"/>
      <c r="H19" s="1331"/>
      <c r="I19" s="1331"/>
      <c r="J19" s="1331"/>
      <c r="K19" s="1331"/>
      <c r="L19" s="328"/>
      <c r="M19" s="306"/>
      <c r="N19" s="306"/>
      <c r="O19" s="306"/>
      <c r="P19" s="77" t="s">
        <v>342</v>
      </c>
      <c r="Q19" s="330"/>
      <c r="R19" s="326" t="s">
        <v>70</v>
      </c>
      <c r="S19" s="331"/>
      <c r="V19" s="63"/>
      <c r="Z19" s="237"/>
      <c r="AA19" s="237"/>
    </row>
    <row r="20" spans="1:27" ht="15" customHeight="1">
      <c r="A20" s="332"/>
      <c r="B20" s="1758" t="s">
        <v>724</v>
      </c>
      <c r="C20" s="1758"/>
      <c r="D20" s="1758"/>
      <c r="E20" s="1758"/>
      <c r="F20" s="1758"/>
      <c r="G20" s="1758"/>
      <c r="H20" s="1331"/>
      <c r="I20" s="1331"/>
      <c r="J20" s="1331"/>
      <c r="K20" s="1331"/>
      <c r="L20" s="328"/>
      <c r="M20" s="306"/>
      <c r="N20" s="306"/>
      <c r="O20" s="306"/>
      <c r="P20" s="77" t="s">
        <v>343</v>
      </c>
      <c r="Q20" s="330"/>
      <c r="R20" s="326" t="s">
        <v>71</v>
      </c>
      <c r="S20" s="331"/>
      <c r="V20" s="63"/>
      <c r="Z20" s="237"/>
      <c r="AA20" s="237"/>
    </row>
    <row r="21" spans="1:27" ht="15" customHeight="1">
      <c r="A21" s="333"/>
      <c r="B21" s="1758"/>
      <c r="C21" s="1758"/>
      <c r="D21" s="1758"/>
      <c r="E21" s="1758"/>
      <c r="F21" s="1758"/>
      <c r="G21" s="1758"/>
      <c r="H21" s="306"/>
      <c r="I21" s="306"/>
      <c r="J21" s="306"/>
      <c r="K21" s="306"/>
      <c r="L21" s="329" t="s">
        <v>339</v>
      </c>
      <c r="M21" s="334"/>
      <c r="N21" s="335" t="s">
        <v>72</v>
      </c>
      <c r="O21" s="1808" t="s">
        <v>160</v>
      </c>
      <c r="P21" s="1809"/>
      <c r="Q21" s="1809"/>
      <c r="R21" s="1810"/>
      <c r="S21" s="331"/>
      <c r="V21" s="63"/>
      <c r="Z21" s="237"/>
      <c r="AA21" s="237"/>
    </row>
    <row r="22" spans="1:27" ht="15" customHeight="1">
      <c r="A22" s="333"/>
      <c r="B22" s="1758"/>
      <c r="C22" s="1758"/>
      <c r="D22" s="1758"/>
      <c r="E22" s="1758"/>
      <c r="F22" s="1758"/>
      <c r="G22" s="1758"/>
      <c r="H22" s="306"/>
      <c r="I22" s="328"/>
      <c r="J22" s="306"/>
      <c r="K22" s="306"/>
      <c r="L22" s="336" t="s">
        <v>57</v>
      </c>
      <c r="M22" s="337"/>
      <c r="N22" s="335" t="s">
        <v>106</v>
      </c>
      <c r="O22" s="1809"/>
      <c r="P22" s="1809"/>
      <c r="Q22" s="1809"/>
      <c r="R22" s="1810"/>
      <c r="S22" s="331"/>
      <c r="V22" s="63"/>
      <c r="Z22" s="237"/>
      <c r="AA22" s="237"/>
    </row>
    <row r="23" spans="1:27" ht="15" customHeight="1">
      <c r="A23" s="332"/>
      <c r="B23" s="306"/>
      <c r="C23" s="338"/>
      <c r="D23" s="339" t="s">
        <v>329</v>
      </c>
      <c r="E23" s="306"/>
      <c r="F23" s="339" t="s">
        <v>330</v>
      </c>
      <c r="G23" s="306"/>
      <c r="H23" s="306"/>
      <c r="I23" s="328"/>
      <c r="J23" s="328"/>
      <c r="K23" s="328"/>
      <c r="L23" s="328"/>
      <c r="M23" s="338"/>
      <c r="N23" s="306"/>
      <c r="O23" s="1809"/>
      <c r="P23" s="1809"/>
      <c r="Q23" s="1809"/>
      <c r="R23" s="1810"/>
      <c r="S23" s="340">
        <v>2</v>
      </c>
      <c r="V23" s="63"/>
      <c r="Z23" s="237"/>
      <c r="AA23" s="237"/>
    </row>
    <row r="24" spans="1:27" ht="7.5" customHeight="1" thickBot="1">
      <c r="A24" s="332"/>
      <c r="B24" s="306"/>
      <c r="C24" s="306"/>
      <c r="D24" s="306"/>
      <c r="E24" s="306"/>
      <c r="F24" s="306"/>
      <c r="G24" s="306"/>
      <c r="H24" s="306"/>
      <c r="I24" s="306"/>
      <c r="J24" s="306"/>
      <c r="K24" s="329"/>
      <c r="L24" s="306"/>
      <c r="M24" s="306"/>
      <c r="N24" s="306"/>
      <c r="O24" s="341"/>
      <c r="P24" s="341"/>
      <c r="Q24" s="341"/>
      <c r="R24" s="306"/>
      <c r="S24" s="342"/>
      <c r="V24" s="63"/>
      <c r="Z24" s="237"/>
      <c r="AA24" s="237"/>
    </row>
    <row r="25" spans="1:27" ht="15" customHeight="1" thickBot="1" thickTop="1">
      <c r="A25" s="332"/>
      <c r="B25" s="306"/>
      <c r="C25" s="306"/>
      <c r="D25" s="306"/>
      <c r="E25" s="336" t="s">
        <v>59</v>
      </c>
      <c r="F25" s="486">
        <f>IF(S23=1,7,0)</f>
        <v>0</v>
      </c>
      <c r="G25" s="306" t="s">
        <v>107</v>
      </c>
      <c r="H25" s="306"/>
      <c r="I25" s="306"/>
      <c r="J25" s="306"/>
      <c r="K25" s="306"/>
      <c r="L25" s="336" t="s">
        <v>58</v>
      </c>
      <c r="M25" s="240">
        <f>IF(M21="",0,Q18*Q19*Q20/M21)</f>
        <v>0</v>
      </c>
      <c r="N25" s="343" t="s">
        <v>108</v>
      </c>
      <c r="O25" s="306"/>
      <c r="P25" s="329" t="s">
        <v>345</v>
      </c>
      <c r="Q25" s="486">
        <f>IF(M25=0,0,IF(4.4117*LN(M25)+4.1206&lt;0,0,4.4117*LN(M25)+4.1206))</f>
        <v>0</v>
      </c>
      <c r="R25" s="344" t="s">
        <v>109</v>
      </c>
      <c r="S25" s="331"/>
      <c r="V25" s="63"/>
      <c r="Z25" s="237"/>
      <c r="AA25" s="237"/>
    </row>
    <row r="26" spans="1:27" ht="6.75" customHeight="1" thickBot="1" thickTop="1">
      <c r="A26" s="332"/>
      <c r="B26" s="306"/>
      <c r="C26" s="338"/>
      <c r="D26" s="336"/>
      <c r="E26" s="345"/>
      <c r="F26" s="345"/>
      <c r="G26" s="346"/>
      <c r="H26" s="329"/>
      <c r="I26" s="329"/>
      <c r="J26" s="329"/>
      <c r="K26" s="329"/>
      <c r="L26" s="329"/>
      <c r="M26" s="161"/>
      <c r="N26" s="326"/>
      <c r="O26" s="306"/>
      <c r="P26" s="306"/>
      <c r="Q26" s="347"/>
      <c r="R26" s="348"/>
      <c r="S26" s="349"/>
      <c r="V26" s="63"/>
      <c r="Z26" s="237"/>
      <c r="AA26" s="237"/>
    </row>
    <row r="27" spans="1:27" ht="15" customHeight="1" thickBot="1">
      <c r="A27" s="350" t="s">
        <v>147</v>
      </c>
      <c r="B27" s="351"/>
      <c r="C27" s="352"/>
      <c r="D27" s="351"/>
      <c r="E27" s="351"/>
      <c r="F27" s="351"/>
      <c r="G27" s="351"/>
      <c r="H27" s="351"/>
      <c r="I27" s="353"/>
      <c r="J27" s="353"/>
      <c r="K27" s="353"/>
      <c r="L27" s="353"/>
      <c r="M27" s="352"/>
      <c r="N27" s="351"/>
      <c r="O27" s="351"/>
      <c r="P27" s="351"/>
      <c r="Q27" s="354" t="s">
        <v>346</v>
      </c>
      <c r="R27" s="1319">
        <f>F25+Q25</f>
        <v>0</v>
      </c>
      <c r="S27" s="1320"/>
      <c r="V27" s="63"/>
      <c r="Z27" s="237"/>
      <c r="AA27" s="237"/>
    </row>
    <row r="28" spans="1:22" ht="15" customHeight="1">
      <c r="A28" s="321" t="s">
        <v>438</v>
      </c>
      <c r="B28" s="322"/>
      <c r="C28" s="902" t="s">
        <v>497</v>
      </c>
      <c r="D28" s="902"/>
      <c r="E28" s="902"/>
      <c r="F28" s="902"/>
      <c r="G28" s="902"/>
      <c r="H28" s="902"/>
      <c r="I28" s="902"/>
      <c r="J28" s="902"/>
      <c r="K28" s="902"/>
      <c r="L28" s="902"/>
      <c r="M28" s="902"/>
      <c r="N28" s="902"/>
      <c r="O28" s="902"/>
      <c r="P28" s="902"/>
      <c r="Q28" s="902"/>
      <c r="R28" s="902"/>
      <c r="S28" s="903"/>
      <c r="U28" s="63"/>
      <c r="V28" s="63"/>
    </row>
    <row r="29" spans="1:22" ht="15" customHeight="1" thickBot="1">
      <c r="A29" s="896" t="s">
        <v>219</v>
      </c>
      <c r="B29" s="893"/>
      <c r="C29" s="893"/>
      <c r="D29" s="893"/>
      <c r="E29" s="893"/>
      <c r="F29" s="893"/>
      <c r="G29" s="893"/>
      <c r="H29" s="893"/>
      <c r="I29" s="893"/>
      <c r="J29" s="893"/>
      <c r="K29" s="893"/>
      <c r="L29" s="893"/>
      <c r="M29" s="893"/>
      <c r="N29" s="893"/>
      <c r="O29" s="893"/>
      <c r="P29" s="893"/>
      <c r="Q29" s="893"/>
      <c r="R29" s="893"/>
      <c r="S29" s="894"/>
      <c r="U29" s="63"/>
      <c r="V29" s="63"/>
    </row>
    <row r="30" spans="1:22" ht="20.25" customHeight="1" thickTop="1">
      <c r="A30" s="332"/>
      <c r="B30" s="355"/>
      <c r="C30" s="355"/>
      <c r="D30" s="355"/>
      <c r="E30" s="355"/>
      <c r="F30" s="355"/>
      <c r="G30" s="355"/>
      <c r="H30" s="355"/>
      <c r="I30" s="355"/>
      <c r="J30" s="355"/>
      <c r="K30" s="356"/>
      <c r="L30" s="357"/>
      <c r="M30" s="306"/>
      <c r="N30" s="306"/>
      <c r="O30" s="358"/>
      <c r="P30" s="358"/>
      <c r="Q30" s="358"/>
      <c r="R30" s="359"/>
      <c r="S30" s="360"/>
      <c r="U30" s="63"/>
      <c r="V30" s="63"/>
    </row>
    <row r="31" spans="1:22" ht="15" customHeight="1">
      <c r="A31" s="361"/>
      <c r="B31" s="346"/>
      <c r="C31" s="1712"/>
      <c r="D31" s="1713"/>
      <c r="E31" s="918" t="s">
        <v>835</v>
      </c>
      <c r="F31" s="919"/>
      <c r="G31" s="919"/>
      <c r="H31" s="919"/>
      <c r="I31" s="919"/>
      <c r="J31" s="919"/>
      <c r="K31" s="919"/>
      <c r="L31" s="914"/>
      <c r="M31" s="306"/>
      <c r="N31" s="965" t="s">
        <v>293</v>
      </c>
      <c r="O31" s="965"/>
      <c r="P31" s="965"/>
      <c r="Q31" s="965"/>
      <c r="R31" s="359"/>
      <c r="S31" s="360"/>
      <c r="U31" s="63"/>
      <c r="V31" s="63"/>
    </row>
    <row r="32" spans="1:22" ht="15" customHeight="1">
      <c r="A32" s="361"/>
      <c r="B32" s="346"/>
      <c r="C32" s="1714"/>
      <c r="D32" s="1715"/>
      <c r="E32" s="915"/>
      <c r="F32" s="913"/>
      <c r="G32" s="913"/>
      <c r="H32" s="913"/>
      <c r="I32" s="913"/>
      <c r="J32" s="913"/>
      <c r="K32" s="913"/>
      <c r="L32" s="911"/>
      <c r="M32" s="362"/>
      <c r="N32" s="965"/>
      <c r="O32" s="965"/>
      <c r="P32" s="965"/>
      <c r="Q32" s="965"/>
      <c r="R32" s="359"/>
      <c r="S32" s="363">
        <v>3</v>
      </c>
      <c r="U32" s="63"/>
      <c r="V32" s="63"/>
    </row>
    <row r="33" spans="1:22" ht="21" customHeight="1">
      <c r="A33" s="364"/>
      <c r="B33" s="362"/>
      <c r="C33" s="1716"/>
      <c r="D33" s="1717"/>
      <c r="E33" s="918" t="s">
        <v>836</v>
      </c>
      <c r="F33" s="919"/>
      <c r="G33" s="919"/>
      <c r="H33" s="919"/>
      <c r="I33" s="919"/>
      <c r="J33" s="919"/>
      <c r="K33" s="919"/>
      <c r="L33" s="914"/>
      <c r="M33" s="306"/>
      <c r="N33" s="965"/>
      <c r="O33" s="965"/>
      <c r="P33" s="965"/>
      <c r="Q33" s="965"/>
      <c r="R33" s="359"/>
      <c r="S33" s="360"/>
      <c r="U33" s="63"/>
      <c r="V33" s="63"/>
    </row>
    <row r="34" spans="1:22" ht="15" customHeight="1">
      <c r="A34" s="364"/>
      <c r="B34" s="362"/>
      <c r="C34" s="1718"/>
      <c r="D34" s="1719"/>
      <c r="E34" s="915"/>
      <c r="F34" s="913"/>
      <c r="G34" s="913"/>
      <c r="H34" s="913"/>
      <c r="I34" s="913"/>
      <c r="J34" s="913"/>
      <c r="K34" s="913"/>
      <c r="L34" s="911"/>
      <c r="M34" s="306"/>
      <c r="N34" s="365" t="s">
        <v>329</v>
      </c>
      <c r="O34" s="366"/>
      <c r="P34" s="367" t="s">
        <v>330</v>
      </c>
      <c r="Q34" s="306"/>
      <c r="R34" s="306"/>
      <c r="S34" s="368">
        <v>2</v>
      </c>
      <c r="U34" s="63"/>
      <c r="V34" s="63"/>
    </row>
    <row r="35" spans="1:22" ht="15" customHeight="1" thickBot="1">
      <c r="A35" s="364"/>
      <c r="B35" s="362"/>
      <c r="C35" s="1716"/>
      <c r="D35" s="1717"/>
      <c r="E35" s="918" t="s">
        <v>351</v>
      </c>
      <c r="F35" s="919"/>
      <c r="G35" s="919"/>
      <c r="H35" s="919"/>
      <c r="I35" s="919"/>
      <c r="J35" s="919"/>
      <c r="K35" s="919"/>
      <c r="L35" s="914"/>
      <c r="M35" s="306"/>
      <c r="N35" s="306"/>
      <c r="O35" s="369"/>
      <c r="P35" s="369"/>
      <c r="Q35" s="370"/>
      <c r="R35" s="362"/>
      <c r="S35" s="360"/>
      <c r="U35" s="63"/>
      <c r="V35" s="63"/>
    </row>
    <row r="36" spans="1:22" ht="15" customHeight="1" thickBot="1" thickTop="1">
      <c r="A36" s="364"/>
      <c r="B36" s="362"/>
      <c r="C36" s="1718"/>
      <c r="D36" s="1719"/>
      <c r="E36" s="915"/>
      <c r="F36" s="913"/>
      <c r="G36" s="913"/>
      <c r="H36" s="913"/>
      <c r="I36" s="913"/>
      <c r="J36" s="913"/>
      <c r="K36" s="913"/>
      <c r="L36" s="911"/>
      <c r="M36" s="306"/>
      <c r="N36" s="901" t="s">
        <v>498</v>
      </c>
      <c r="O36" s="901"/>
      <c r="P36" s="901"/>
      <c r="Q36" s="279">
        <f>IF(S34=1,7,0)</f>
        <v>0</v>
      </c>
      <c r="R36" s="372" t="s">
        <v>353</v>
      </c>
      <c r="S36" s="360"/>
      <c r="U36" s="63"/>
      <c r="V36" s="63"/>
    </row>
    <row r="37" spans="1:22" ht="13.5" customHeight="1" thickBot="1" thickTop="1">
      <c r="A37" s="364"/>
      <c r="B37" s="362"/>
      <c r="C37" s="362"/>
      <c r="D37" s="362"/>
      <c r="E37" s="362"/>
      <c r="F37" s="362"/>
      <c r="G37" s="362"/>
      <c r="H37" s="362"/>
      <c r="I37" s="306"/>
      <c r="J37" s="306"/>
      <c r="K37" s="306"/>
      <c r="L37" s="1241"/>
      <c r="M37" s="1241"/>
      <c r="N37" s="1241"/>
      <c r="O37" s="1241"/>
      <c r="P37" s="1241"/>
      <c r="Q37" s="1241"/>
      <c r="R37" s="373"/>
      <c r="S37" s="360"/>
      <c r="U37" s="63"/>
      <c r="V37" s="63"/>
    </row>
    <row r="38" spans="1:22" ht="15" customHeight="1" thickBot="1" thickTop="1">
      <c r="A38" s="364"/>
      <c r="B38" s="362"/>
      <c r="C38" s="362"/>
      <c r="D38" s="362"/>
      <c r="E38" s="362"/>
      <c r="F38" s="362"/>
      <c r="G38" s="362"/>
      <c r="H38" s="362"/>
      <c r="I38" s="374"/>
      <c r="J38" s="329" t="s">
        <v>354</v>
      </c>
      <c r="K38" s="281">
        <f>IF(S32=1,5,IF(S32=2,2,0))</f>
        <v>0</v>
      </c>
      <c r="L38" s="375" t="s">
        <v>352</v>
      </c>
      <c r="M38" s="362"/>
      <c r="N38" s="362"/>
      <c r="O38" s="362"/>
      <c r="P38" s="362"/>
      <c r="Q38" s="362"/>
      <c r="R38" s="362"/>
      <c r="S38" s="376"/>
      <c r="U38" s="63"/>
      <c r="V38" s="63"/>
    </row>
    <row r="39" spans="1:22" ht="15" customHeight="1" thickBot="1" thickTop="1">
      <c r="A39" s="350" t="s">
        <v>355</v>
      </c>
      <c r="B39" s="377"/>
      <c r="C39" s="377"/>
      <c r="D39" s="377"/>
      <c r="E39" s="377"/>
      <c r="F39" s="377"/>
      <c r="G39" s="377"/>
      <c r="H39" s="377"/>
      <c r="I39" s="377"/>
      <c r="J39" s="377"/>
      <c r="K39" s="377"/>
      <c r="L39" s="378"/>
      <c r="M39" s="377"/>
      <c r="N39" s="377"/>
      <c r="O39" s="377"/>
      <c r="P39" s="377"/>
      <c r="Q39" s="354" t="s">
        <v>361</v>
      </c>
      <c r="R39" s="1319">
        <f>K38+Q36</f>
        <v>0</v>
      </c>
      <c r="S39" s="1320"/>
      <c r="U39" s="63"/>
      <c r="V39" s="63"/>
    </row>
    <row r="40" spans="1:22" ht="15.75" customHeight="1">
      <c r="A40" s="321" t="s">
        <v>439</v>
      </c>
      <c r="B40" s="322"/>
      <c r="C40" s="902" t="s">
        <v>161</v>
      </c>
      <c r="D40" s="902"/>
      <c r="E40" s="902"/>
      <c r="F40" s="902"/>
      <c r="G40" s="902"/>
      <c r="H40" s="902"/>
      <c r="I40" s="902"/>
      <c r="J40" s="902"/>
      <c r="K40" s="902"/>
      <c r="L40" s="902"/>
      <c r="M40" s="902"/>
      <c r="N40" s="902"/>
      <c r="O40" s="902"/>
      <c r="P40" s="902"/>
      <c r="Q40" s="902"/>
      <c r="R40" s="1183"/>
      <c r="S40" s="1184"/>
      <c r="U40" s="63"/>
      <c r="V40" s="63"/>
    </row>
    <row r="41" spans="1:22" ht="15.75" customHeight="1" thickBot="1">
      <c r="A41" s="379" t="s">
        <v>162</v>
      </c>
      <c r="B41" s="380"/>
      <c r="C41" s="381"/>
      <c r="D41" s="381"/>
      <c r="E41" s="381"/>
      <c r="F41" s="381"/>
      <c r="G41" s="381"/>
      <c r="H41" s="381"/>
      <c r="I41" s="381"/>
      <c r="J41" s="381"/>
      <c r="K41" s="381"/>
      <c r="L41" s="381"/>
      <c r="M41" s="381"/>
      <c r="N41" s="381"/>
      <c r="O41" s="381"/>
      <c r="P41" s="381"/>
      <c r="Q41" s="381"/>
      <c r="R41" s="381"/>
      <c r="S41" s="382"/>
      <c r="U41" s="63"/>
      <c r="V41" s="63"/>
    </row>
    <row r="42" spans="1:22" ht="8.25" customHeight="1" thickBot="1" thickTop="1">
      <c r="A42" s="364"/>
      <c r="B42" s="362"/>
      <c r="C42" s="362"/>
      <c r="D42" s="362"/>
      <c r="E42" s="362"/>
      <c r="F42" s="362"/>
      <c r="G42" s="362"/>
      <c r="H42" s="362"/>
      <c r="I42" s="362"/>
      <c r="J42" s="362"/>
      <c r="K42" s="329"/>
      <c r="L42" s="383"/>
      <c r="M42" s="383"/>
      <c r="N42" s="362"/>
      <c r="O42" s="362"/>
      <c r="P42" s="362"/>
      <c r="Q42" s="362"/>
      <c r="R42" s="362"/>
      <c r="S42" s="360"/>
      <c r="U42" s="63"/>
      <c r="V42" s="63"/>
    </row>
    <row r="43" spans="1:22" ht="15" customHeight="1" thickBot="1" thickTop="1">
      <c r="A43" s="364"/>
      <c r="B43" s="362"/>
      <c r="C43" s="362"/>
      <c r="D43" s="362"/>
      <c r="E43" s="362"/>
      <c r="F43" s="362"/>
      <c r="G43" s="362"/>
      <c r="H43" s="362"/>
      <c r="I43" s="362"/>
      <c r="J43" s="362"/>
      <c r="K43" s="384"/>
      <c r="L43" s="306"/>
      <c r="M43" s="384" t="s">
        <v>217</v>
      </c>
      <c r="N43" s="890">
        <f>IF(M3&gt;1,0,S4*2)</f>
        <v>0</v>
      </c>
      <c r="O43" s="886"/>
      <c r="P43" s="357" t="s">
        <v>66</v>
      </c>
      <c r="Q43" s="362"/>
      <c r="R43" s="362"/>
      <c r="S43" s="360"/>
      <c r="U43" s="63"/>
      <c r="V43" s="63"/>
    </row>
    <row r="44" spans="1:22" ht="5.25" customHeight="1" thickBot="1" thickTop="1">
      <c r="A44" s="364"/>
      <c r="B44" s="362"/>
      <c r="C44" s="362"/>
      <c r="D44" s="362"/>
      <c r="E44" s="362"/>
      <c r="F44" s="362"/>
      <c r="G44" s="362"/>
      <c r="H44" s="362"/>
      <c r="I44" s="362"/>
      <c r="J44" s="362"/>
      <c r="K44" s="384"/>
      <c r="L44" s="1240"/>
      <c r="M44" s="1240"/>
      <c r="N44" s="362"/>
      <c r="O44" s="362"/>
      <c r="P44" s="362"/>
      <c r="Q44" s="362"/>
      <c r="R44" s="362"/>
      <c r="S44" s="376"/>
      <c r="U44" s="63"/>
      <c r="V44" s="63"/>
    </row>
    <row r="45" spans="1:22" ht="25.5" customHeight="1" thickBot="1">
      <c r="A45" s="364"/>
      <c r="B45" s="362"/>
      <c r="C45" s="386" t="s">
        <v>15</v>
      </c>
      <c r="D45" s="362"/>
      <c r="E45" s="362"/>
      <c r="F45" s="362"/>
      <c r="G45" s="362"/>
      <c r="H45" s="362"/>
      <c r="I45" s="362"/>
      <c r="J45" s="362"/>
      <c r="K45" s="384"/>
      <c r="L45" s="385"/>
      <c r="M45" s="385"/>
      <c r="N45" s="362"/>
      <c r="O45" s="362"/>
      <c r="P45" s="362"/>
      <c r="Q45" s="362"/>
      <c r="R45" s="362"/>
      <c r="S45" s="387" t="b">
        <v>0</v>
      </c>
      <c r="U45" s="63"/>
      <c r="V45" s="63"/>
    </row>
    <row r="46" spans="1:22" ht="10.5" customHeight="1" thickBot="1">
      <c r="A46" s="364"/>
      <c r="B46" s="362"/>
      <c r="C46" s="362"/>
      <c r="D46" s="362"/>
      <c r="E46" s="362"/>
      <c r="F46" s="362"/>
      <c r="G46" s="362"/>
      <c r="H46" s="362"/>
      <c r="I46" s="362"/>
      <c r="J46" s="362"/>
      <c r="K46" s="384"/>
      <c r="L46" s="385"/>
      <c r="M46" s="385"/>
      <c r="N46" s="362"/>
      <c r="O46" s="362"/>
      <c r="P46" s="362"/>
      <c r="Q46" s="362"/>
      <c r="R46" s="362"/>
      <c r="S46" s="388"/>
      <c r="U46" s="63"/>
      <c r="V46" s="63"/>
    </row>
    <row r="47" spans="1:22" ht="14.25" customHeight="1" thickBot="1" thickTop="1">
      <c r="A47" s="364"/>
      <c r="B47" s="362"/>
      <c r="C47" s="362"/>
      <c r="D47" s="362"/>
      <c r="E47" s="362"/>
      <c r="F47" s="362"/>
      <c r="G47" s="362"/>
      <c r="H47" s="362"/>
      <c r="I47" s="362"/>
      <c r="J47" s="362"/>
      <c r="K47" s="384"/>
      <c r="L47" s="385"/>
      <c r="M47" s="384" t="s">
        <v>299</v>
      </c>
      <c r="N47" s="890">
        <f>IF(S45=TRUE,7,0)</f>
        <v>0</v>
      </c>
      <c r="O47" s="886"/>
      <c r="P47" s="357" t="s">
        <v>67</v>
      </c>
      <c r="Q47" s="362"/>
      <c r="R47" s="362"/>
      <c r="S47" s="360"/>
      <c r="U47" s="63"/>
      <c r="V47" s="63"/>
    </row>
    <row r="48" spans="1:22" ht="6" customHeight="1" thickBot="1" thickTop="1">
      <c r="A48" s="364"/>
      <c r="B48" s="362"/>
      <c r="C48" s="362"/>
      <c r="D48" s="362"/>
      <c r="E48" s="362"/>
      <c r="F48" s="362"/>
      <c r="G48" s="362"/>
      <c r="H48" s="362"/>
      <c r="I48" s="362"/>
      <c r="J48" s="362"/>
      <c r="K48" s="384"/>
      <c r="L48" s="385"/>
      <c r="M48" s="384"/>
      <c r="N48" s="295"/>
      <c r="O48" s="295"/>
      <c r="P48" s="357"/>
      <c r="Q48" s="362"/>
      <c r="R48" s="362"/>
      <c r="S48" s="360"/>
      <c r="U48" s="63"/>
      <c r="V48" s="63"/>
    </row>
    <row r="49" spans="1:22" ht="15" customHeight="1" thickBot="1">
      <c r="A49" s="389" t="s">
        <v>842</v>
      </c>
      <c r="B49" s="377"/>
      <c r="C49" s="377"/>
      <c r="D49" s="377"/>
      <c r="E49" s="377"/>
      <c r="F49" s="377"/>
      <c r="G49" s="377"/>
      <c r="H49" s="377"/>
      <c r="I49" s="377"/>
      <c r="J49" s="377"/>
      <c r="K49" s="390"/>
      <c r="L49" s="391"/>
      <c r="M49" s="390"/>
      <c r="N49" s="392"/>
      <c r="O49" s="392"/>
      <c r="P49" s="393"/>
      <c r="Q49" s="354" t="s">
        <v>368</v>
      </c>
      <c r="R49" s="1319">
        <f>IF(N43+N47&gt;15,15,N43+N47)</f>
        <v>0</v>
      </c>
      <c r="S49" s="1759"/>
      <c r="U49" s="63"/>
      <c r="V49" s="63"/>
    </row>
    <row r="50" spans="1:22" ht="14.25" customHeight="1">
      <c r="A50" s="321" t="s">
        <v>440</v>
      </c>
      <c r="B50" s="322"/>
      <c r="C50" s="902" t="s">
        <v>644</v>
      </c>
      <c r="D50" s="902"/>
      <c r="E50" s="902"/>
      <c r="F50" s="902"/>
      <c r="G50" s="902"/>
      <c r="H50" s="902"/>
      <c r="I50" s="902"/>
      <c r="J50" s="902"/>
      <c r="K50" s="902"/>
      <c r="L50" s="902"/>
      <c r="M50" s="902"/>
      <c r="N50" s="902"/>
      <c r="O50" s="902"/>
      <c r="P50" s="902"/>
      <c r="Q50" s="902"/>
      <c r="R50" s="902"/>
      <c r="S50" s="903"/>
      <c r="U50" s="63"/>
      <c r="V50" s="63"/>
    </row>
    <row r="51" spans="1:22" ht="14.25" customHeight="1" thickBot="1">
      <c r="A51" s="379" t="s">
        <v>645</v>
      </c>
      <c r="B51" s="380"/>
      <c r="C51" s="381"/>
      <c r="D51" s="381"/>
      <c r="E51" s="381"/>
      <c r="F51" s="381"/>
      <c r="G51" s="381"/>
      <c r="H51" s="381"/>
      <c r="I51" s="381"/>
      <c r="J51" s="381"/>
      <c r="K51" s="381"/>
      <c r="L51" s="381"/>
      <c r="M51" s="381"/>
      <c r="N51" s="381"/>
      <c r="O51" s="381"/>
      <c r="P51" s="381"/>
      <c r="Q51" s="381"/>
      <c r="R51" s="381"/>
      <c r="S51" s="382"/>
      <c r="U51" s="63"/>
      <c r="V51" s="63"/>
    </row>
    <row r="52" spans="1:22" ht="9.75" customHeight="1" thickTop="1">
      <c r="A52" s="361"/>
      <c r="B52" s="306"/>
      <c r="C52" s="394"/>
      <c r="D52" s="394"/>
      <c r="E52" s="394"/>
      <c r="F52" s="394"/>
      <c r="G52" s="394"/>
      <c r="H52" s="394"/>
      <c r="I52" s="394"/>
      <c r="J52" s="394"/>
      <c r="K52" s="394"/>
      <c r="L52" s="394"/>
      <c r="M52" s="394"/>
      <c r="N52" s="394"/>
      <c r="O52" s="394"/>
      <c r="P52" s="394"/>
      <c r="Q52" s="394"/>
      <c r="R52" s="394"/>
      <c r="S52" s="395"/>
      <c r="U52" s="63"/>
      <c r="V52" s="63"/>
    </row>
    <row r="53" spans="1:22" ht="15.75" customHeight="1">
      <c r="A53" s="364"/>
      <c r="B53" s="362"/>
      <c r="C53" s="362"/>
      <c r="D53" s="362"/>
      <c r="E53" s="362"/>
      <c r="F53" s="362"/>
      <c r="G53" s="362"/>
      <c r="H53" s="362"/>
      <c r="I53" s="362"/>
      <c r="J53" s="362"/>
      <c r="K53" s="384"/>
      <c r="L53" s="385"/>
      <c r="M53" s="384"/>
      <c r="N53" s="295"/>
      <c r="O53" s="295"/>
      <c r="P53" s="362"/>
      <c r="Q53" s="362"/>
      <c r="R53" s="362"/>
      <c r="S53" s="396"/>
      <c r="U53" s="63"/>
      <c r="V53" s="63"/>
    </row>
    <row r="54" spans="1:22" ht="18.75" customHeight="1" thickBot="1">
      <c r="A54" s="364"/>
      <c r="B54" s="397"/>
      <c r="C54" s="1768" t="s">
        <v>239</v>
      </c>
      <c r="D54" s="1769"/>
      <c r="E54" s="1769"/>
      <c r="F54" s="1769"/>
      <c r="G54" s="1769"/>
      <c r="H54" s="1769"/>
      <c r="I54" s="1769"/>
      <c r="J54" s="1769"/>
      <c r="K54" s="1769"/>
      <c r="L54" s="1769"/>
      <c r="M54" s="1769"/>
      <c r="N54" s="1769"/>
      <c r="O54" s="1769"/>
      <c r="P54" s="1769"/>
      <c r="Q54" s="1770"/>
      <c r="R54" s="362"/>
      <c r="S54" s="398"/>
      <c r="U54" s="63"/>
      <c r="V54" s="63"/>
    </row>
    <row r="55" spans="1:22" ht="30.75" customHeight="1" thickBot="1">
      <c r="A55" s="364"/>
      <c r="B55" s="399"/>
      <c r="C55" s="1765" t="s">
        <v>238</v>
      </c>
      <c r="D55" s="1766"/>
      <c r="E55" s="1766"/>
      <c r="F55" s="1766"/>
      <c r="G55" s="1766"/>
      <c r="H55" s="1766"/>
      <c r="I55" s="1766"/>
      <c r="J55" s="1766"/>
      <c r="K55" s="1766"/>
      <c r="L55" s="1766"/>
      <c r="M55" s="1766"/>
      <c r="N55" s="1766"/>
      <c r="O55" s="1766"/>
      <c r="P55" s="1766"/>
      <c r="Q55" s="1767"/>
      <c r="R55" s="362"/>
      <c r="S55" s="398"/>
      <c r="U55" s="63"/>
      <c r="V55" s="63"/>
    </row>
    <row r="56" spans="1:22" ht="21" customHeight="1" thickBot="1">
      <c r="A56" s="364"/>
      <c r="B56" s="399"/>
      <c r="C56" s="1765" t="s">
        <v>240</v>
      </c>
      <c r="D56" s="1766"/>
      <c r="E56" s="1766"/>
      <c r="F56" s="1766"/>
      <c r="G56" s="1766"/>
      <c r="H56" s="1766"/>
      <c r="I56" s="1766"/>
      <c r="J56" s="1766"/>
      <c r="K56" s="1766"/>
      <c r="L56" s="1766"/>
      <c r="M56" s="1766"/>
      <c r="N56" s="1766"/>
      <c r="O56" s="1766"/>
      <c r="P56" s="1766"/>
      <c r="Q56" s="1767"/>
      <c r="R56" s="362"/>
      <c r="S56" s="400">
        <v>3</v>
      </c>
      <c r="U56" s="63"/>
      <c r="V56" s="63"/>
    </row>
    <row r="57" spans="1:22" ht="10.5" customHeight="1" thickBot="1">
      <c r="A57" s="364"/>
      <c r="B57" s="362"/>
      <c r="C57" s="386"/>
      <c r="D57" s="362"/>
      <c r="E57" s="362"/>
      <c r="F57" s="362"/>
      <c r="G57" s="362"/>
      <c r="H57" s="362"/>
      <c r="I57" s="362"/>
      <c r="J57" s="362"/>
      <c r="K57" s="384"/>
      <c r="L57" s="385"/>
      <c r="M57" s="384"/>
      <c r="N57" s="295"/>
      <c r="O57" s="295"/>
      <c r="P57" s="362"/>
      <c r="Q57" s="362"/>
      <c r="R57" s="362"/>
      <c r="S57" s="376"/>
      <c r="U57" s="63"/>
      <c r="V57" s="63"/>
    </row>
    <row r="58" spans="1:22" ht="15" customHeight="1" thickBot="1">
      <c r="A58" s="350"/>
      <c r="B58" s="351"/>
      <c r="C58" s="351"/>
      <c r="D58" s="351"/>
      <c r="E58" s="351"/>
      <c r="F58" s="351"/>
      <c r="G58" s="351"/>
      <c r="H58" s="351"/>
      <c r="I58" s="351"/>
      <c r="J58" s="351"/>
      <c r="K58" s="351"/>
      <c r="L58" s="351"/>
      <c r="M58" s="351"/>
      <c r="N58" s="351"/>
      <c r="O58" s="351"/>
      <c r="P58" s="351"/>
      <c r="Q58" s="354" t="s">
        <v>249</v>
      </c>
      <c r="R58" s="973">
        <f>IF($S$56=1,11,IF($S$56=2,8,0))</f>
        <v>0</v>
      </c>
      <c r="S58" s="1239"/>
      <c r="U58" s="63"/>
      <c r="V58" s="63"/>
    </row>
    <row r="59" spans="1:22" ht="15" customHeight="1">
      <c r="A59" s="321" t="s">
        <v>252</v>
      </c>
      <c r="B59" s="322"/>
      <c r="C59" s="902" t="s">
        <v>367</v>
      </c>
      <c r="D59" s="902"/>
      <c r="E59" s="902"/>
      <c r="F59" s="902"/>
      <c r="G59" s="902"/>
      <c r="H59" s="902"/>
      <c r="I59" s="902"/>
      <c r="J59" s="902"/>
      <c r="K59" s="902"/>
      <c r="L59" s="902"/>
      <c r="M59" s="902"/>
      <c r="N59" s="902"/>
      <c r="O59" s="902"/>
      <c r="P59" s="902"/>
      <c r="Q59" s="902"/>
      <c r="R59" s="902"/>
      <c r="S59" s="903"/>
      <c r="U59" s="63"/>
      <c r="V59" s="63"/>
    </row>
    <row r="60" spans="1:22" ht="27" customHeight="1" thickBot="1">
      <c r="A60" s="897" t="s">
        <v>40</v>
      </c>
      <c r="B60" s="898"/>
      <c r="C60" s="898"/>
      <c r="D60" s="898"/>
      <c r="E60" s="898"/>
      <c r="F60" s="898"/>
      <c r="G60" s="898"/>
      <c r="H60" s="898"/>
      <c r="I60" s="898"/>
      <c r="J60" s="898"/>
      <c r="K60" s="898"/>
      <c r="L60" s="898"/>
      <c r="M60" s="898"/>
      <c r="N60" s="898"/>
      <c r="O60" s="898"/>
      <c r="P60" s="898"/>
      <c r="Q60" s="898"/>
      <c r="R60" s="898"/>
      <c r="S60" s="895"/>
      <c r="U60" s="63"/>
      <c r="V60" s="63"/>
    </row>
    <row r="61" spans="1:22" ht="7.5" customHeight="1" thickTop="1">
      <c r="A61" s="1771" t="s">
        <v>149</v>
      </c>
      <c r="B61" s="1772"/>
      <c r="C61" s="1772"/>
      <c r="D61" s="1772"/>
      <c r="E61" s="1772"/>
      <c r="F61" s="1772"/>
      <c r="G61" s="1772"/>
      <c r="H61" s="1772"/>
      <c r="I61" s="1772"/>
      <c r="J61" s="1772"/>
      <c r="K61" s="1772"/>
      <c r="L61" s="1772"/>
      <c r="M61" s="362"/>
      <c r="N61" s="362"/>
      <c r="O61" s="362"/>
      <c r="P61" s="306"/>
      <c r="Q61" s="362"/>
      <c r="R61" s="362"/>
      <c r="S61" s="401"/>
      <c r="U61" s="63"/>
      <c r="V61" s="63"/>
    </row>
    <row r="62" spans="1:22" ht="15" customHeight="1">
      <c r="A62" s="1771"/>
      <c r="B62" s="1772"/>
      <c r="C62" s="1772"/>
      <c r="D62" s="1772"/>
      <c r="E62" s="1772"/>
      <c r="F62" s="1772"/>
      <c r="G62" s="1772"/>
      <c r="H62" s="1772"/>
      <c r="I62" s="1772"/>
      <c r="J62" s="1772"/>
      <c r="K62" s="1772"/>
      <c r="L62" s="1772"/>
      <c r="M62" s="278">
        <f>R5</f>
        <v>0</v>
      </c>
      <c r="N62" s="402" t="s">
        <v>152</v>
      </c>
      <c r="O62" s="362"/>
      <c r="P62" s="362"/>
      <c r="Q62" s="362"/>
      <c r="R62" s="362"/>
      <c r="S62" s="360"/>
      <c r="U62" s="63"/>
      <c r="V62" s="63"/>
    </row>
    <row r="63" spans="1:22" ht="15" customHeight="1" thickBot="1">
      <c r="A63" s="332"/>
      <c r="B63" s="901" t="s">
        <v>151</v>
      </c>
      <c r="C63" s="901"/>
      <c r="D63" s="901"/>
      <c r="E63" s="901"/>
      <c r="F63" s="901"/>
      <c r="G63" s="901"/>
      <c r="H63" s="901"/>
      <c r="I63" s="901"/>
      <c r="J63" s="901"/>
      <c r="K63" s="901"/>
      <c r="L63" s="1811"/>
      <c r="M63" s="403">
        <v>0</v>
      </c>
      <c r="N63" s="404" t="s">
        <v>153</v>
      </c>
      <c r="O63" s="901" t="s">
        <v>595</v>
      </c>
      <c r="P63" s="901"/>
      <c r="Q63" s="371"/>
      <c r="R63" s="371"/>
      <c r="S63" s="405"/>
      <c r="U63" s="63"/>
      <c r="V63" s="63"/>
    </row>
    <row r="64" spans="1:22" ht="15" customHeight="1" thickBot="1" thickTop="1">
      <c r="A64" s="364"/>
      <c r="B64" s="362"/>
      <c r="C64" s="362"/>
      <c r="D64" s="362"/>
      <c r="E64" s="362"/>
      <c r="F64" s="362"/>
      <c r="G64" s="362"/>
      <c r="H64" s="362"/>
      <c r="I64" s="362"/>
      <c r="J64" s="362"/>
      <c r="K64" s="306"/>
      <c r="L64" s="329" t="s">
        <v>156</v>
      </c>
      <c r="M64" s="277">
        <f>IF(M63=0,0,M63/M62)</f>
        <v>0</v>
      </c>
      <c r="N64" s="402" t="s">
        <v>154</v>
      </c>
      <c r="O64" s="901"/>
      <c r="P64" s="901"/>
      <c r="Q64" s="287">
        <f>IF(M63=0,0,-3.0069*LN(M64)+19.041)</f>
        <v>0</v>
      </c>
      <c r="R64" s="357" t="s">
        <v>596</v>
      </c>
      <c r="S64" s="360"/>
      <c r="U64" s="63"/>
      <c r="V64" s="63"/>
    </row>
    <row r="65" spans="1:22" ht="6.75" customHeight="1" thickTop="1">
      <c r="A65" s="364"/>
      <c r="B65" s="362"/>
      <c r="C65" s="362"/>
      <c r="D65" s="362"/>
      <c r="E65" s="362"/>
      <c r="F65" s="362"/>
      <c r="G65" s="362"/>
      <c r="H65" s="362"/>
      <c r="I65" s="362"/>
      <c r="J65" s="362"/>
      <c r="K65" s="329"/>
      <c r="L65" s="383"/>
      <c r="M65" s="383"/>
      <c r="N65" s="362"/>
      <c r="O65" s="362"/>
      <c r="P65" s="362"/>
      <c r="Q65" s="362"/>
      <c r="R65" s="362"/>
      <c r="S65" s="360"/>
      <c r="U65" s="63"/>
      <c r="V65" s="63"/>
    </row>
    <row r="66" spans="1:22" ht="13.5" customHeight="1" thickBot="1">
      <c r="A66" s="1203" t="s">
        <v>41</v>
      </c>
      <c r="B66" s="1204"/>
      <c r="C66" s="1204"/>
      <c r="D66" s="1204"/>
      <c r="E66" s="1204"/>
      <c r="F66" s="1204"/>
      <c r="G66" s="1204"/>
      <c r="H66" s="1204"/>
      <c r="I66" s="1204"/>
      <c r="J66" s="1204"/>
      <c r="K66" s="1204"/>
      <c r="L66" s="383"/>
      <c r="M66" s="383"/>
      <c r="N66" s="362"/>
      <c r="O66" s="362"/>
      <c r="P66" s="362"/>
      <c r="Q66" s="362"/>
      <c r="R66" s="362"/>
      <c r="S66" s="376"/>
      <c r="U66" s="63"/>
      <c r="V66" s="63"/>
    </row>
    <row r="67" spans="1:22" ht="15" customHeight="1" thickBot="1">
      <c r="A67" s="1205"/>
      <c r="B67" s="1206"/>
      <c r="C67" s="1206"/>
      <c r="D67" s="1206"/>
      <c r="E67" s="1206"/>
      <c r="F67" s="1206"/>
      <c r="G67" s="1206"/>
      <c r="H67" s="1206"/>
      <c r="I67" s="1206"/>
      <c r="J67" s="1206"/>
      <c r="K67" s="1206"/>
      <c r="L67" s="306"/>
      <c r="M67" s="384"/>
      <c r="N67" s="306"/>
      <c r="O67" s="306"/>
      <c r="P67" s="402"/>
      <c r="Q67" s="354" t="s">
        <v>646</v>
      </c>
      <c r="R67" s="973">
        <f>IF(Q64&lt;0,0,IF(Q64&gt;10,10,Q64))</f>
        <v>0</v>
      </c>
      <c r="S67" s="974"/>
      <c r="U67" s="63"/>
      <c r="V67" s="63"/>
    </row>
    <row r="68" spans="1:22" ht="18.75" customHeight="1" thickBot="1">
      <c r="A68" s="883" t="s">
        <v>51</v>
      </c>
      <c r="B68" s="884"/>
      <c r="C68" s="884"/>
      <c r="D68" s="884"/>
      <c r="E68" s="884"/>
      <c r="F68" s="884"/>
      <c r="G68" s="884"/>
      <c r="H68" s="884"/>
      <c r="I68" s="884"/>
      <c r="J68" s="884"/>
      <c r="K68" s="884"/>
      <c r="L68" s="884"/>
      <c r="M68" s="884"/>
      <c r="N68" s="884"/>
      <c r="O68" s="884"/>
      <c r="P68" s="884"/>
      <c r="Q68" s="884"/>
      <c r="R68" s="884"/>
      <c r="S68" s="885"/>
      <c r="U68" s="63"/>
      <c r="V68" s="63"/>
    </row>
    <row r="69" spans="1:22" ht="15.75" customHeight="1" thickBot="1">
      <c r="A69" s="321" t="s">
        <v>437</v>
      </c>
      <c r="B69" s="406"/>
      <c r="C69" s="406"/>
      <c r="D69" s="1742" t="s">
        <v>280</v>
      </c>
      <c r="E69" s="1742"/>
      <c r="F69" s="1742"/>
      <c r="G69" s="1742"/>
      <c r="H69" s="1742"/>
      <c r="I69" s="1742"/>
      <c r="J69" s="1742"/>
      <c r="K69" s="1742"/>
      <c r="L69" s="1743"/>
      <c r="M69" s="1721" t="s">
        <v>364</v>
      </c>
      <c r="N69" s="1722"/>
      <c r="O69" s="1722"/>
      <c r="P69" s="1722"/>
      <c r="Q69" s="407"/>
      <c r="R69" s="407"/>
      <c r="S69" s="408"/>
      <c r="U69" s="63"/>
      <c r="V69" s="63"/>
    </row>
    <row r="70" spans="1:22" ht="15.75" customHeight="1" thickTop="1">
      <c r="A70" s="409"/>
      <c r="B70" s="410"/>
      <c r="C70" s="410"/>
      <c r="D70" s="1744"/>
      <c r="E70" s="1744"/>
      <c r="F70" s="1744"/>
      <c r="G70" s="1744"/>
      <c r="H70" s="1744"/>
      <c r="I70" s="1744"/>
      <c r="J70" s="1744"/>
      <c r="K70" s="1744"/>
      <c r="L70" s="1745"/>
      <c r="M70" s="1725" t="s">
        <v>429</v>
      </c>
      <c r="N70" s="1726"/>
      <c r="O70" s="1726"/>
      <c r="P70" s="1726"/>
      <c r="Q70" s="1726"/>
      <c r="R70" s="1726"/>
      <c r="S70" s="1727"/>
      <c r="U70" s="63"/>
      <c r="V70" s="63"/>
    </row>
    <row r="71" spans="1:22" ht="27.75" customHeight="1">
      <c r="A71" s="1746" t="s">
        <v>428</v>
      </c>
      <c r="B71" s="1747"/>
      <c r="C71" s="1747"/>
      <c r="D71" s="1747"/>
      <c r="E71" s="1747"/>
      <c r="F71" s="1747"/>
      <c r="G71" s="1747"/>
      <c r="H71" s="1747"/>
      <c r="I71" s="1747"/>
      <c r="J71" s="1747"/>
      <c r="K71" s="1747"/>
      <c r="L71" s="1748"/>
      <c r="M71" s="1728"/>
      <c r="N71" s="1729"/>
      <c r="O71" s="1729"/>
      <c r="P71" s="1729"/>
      <c r="Q71" s="1729"/>
      <c r="R71" s="1729"/>
      <c r="S71" s="1730"/>
      <c r="U71" s="63"/>
      <c r="V71" s="63"/>
    </row>
    <row r="72" spans="1:22" ht="12" customHeight="1" thickBot="1">
      <c r="A72" s="1343"/>
      <c r="B72" s="1344"/>
      <c r="C72" s="1344"/>
      <c r="D72" s="1344"/>
      <c r="E72" s="1344"/>
      <c r="F72" s="1344"/>
      <c r="G72" s="1344"/>
      <c r="H72" s="1344"/>
      <c r="I72" s="1344"/>
      <c r="J72" s="1344"/>
      <c r="K72" s="1344"/>
      <c r="L72" s="1345"/>
      <c r="M72" s="1731"/>
      <c r="N72" s="1732"/>
      <c r="O72" s="1732"/>
      <c r="P72" s="1732"/>
      <c r="Q72" s="1732"/>
      <c r="R72" s="1732"/>
      <c r="S72" s="1733"/>
      <c r="T72" s="238"/>
      <c r="U72" s="63"/>
      <c r="V72" s="63"/>
    </row>
    <row r="73" spans="1:22" ht="15" customHeight="1" thickTop="1">
      <c r="A73" s="332"/>
      <c r="B73" s="306"/>
      <c r="C73" s="306"/>
      <c r="D73" s="306"/>
      <c r="E73" s="306"/>
      <c r="F73" s="306"/>
      <c r="G73" s="306"/>
      <c r="H73" s="411" t="s">
        <v>376</v>
      </c>
      <c r="I73" s="1723">
        <v>0</v>
      </c>
      <c r="J73" s="1724"/>
      <c r="K73" s="326" t="s">
        <v>73</v>
      </c>
      <c r="L73" s="412"/>
      <c r="M73" s="1734"/>
      <c r="N73" s="1735"/>
      <c r="O73" s="1735"/>
      <c r="P73" s="1735"/>
      <c r="Q73" s="1735"/>
      <c r="R73" s="1735"/>
      <c r="S73" s="1736"/>
      <c r="T73" s="238"/>
      <c r="U73" s="63"/>
      <c r="V73" s="63"/>
    </row>
    <row r="74" spans="1:22" ht="15" customHeight="1">
      <c r="A74" s="332"/>
      <c r="B74" s="306"/>
      <c r="C74" s="306"/>
      <c r="D74" s="306"/>
      <c r="E74" s="306"/>
      <c r="F74" s="306"/>
      <c r="G74" s="306"/>
      <c r="H74" s="413" t="s">
        <v>426</v>
      </c>
      <c r="I74" s="939">
        <f>IF($R$5=0,0,I73/$R$5)</f>
        <v>0</v>
      </c>
      <c r="J74" s="940"/>
      <c r="K74" s="326" t="s">
        <v>74</v>
      </c>
      <c r="L74" s="414">
        <f>I74*100</f>
        <v>0</v>
      </c>
      <c r="M74" s="1734"/>
      <c r="N74" s="1735"/>
      <c r="O74" s="1735"/>
      <c r="P74" s="1735"/>
      <c r="Q74" s="1735"/>
      <c r="R74" s="1735"/>
      <c r="S74" s="1736"/>
      <c r="T74" s="238"/>
      <c r="U74" s="63"/>
      <c r="V74" s="63"/>
    </row>
    <row r="75" spans="1:22" ht="6" customHeight="1">
      <c r="A75" s="332"/>
      <c r="B75" s="306"/>
      <c r="C75" s="306"/>
      <c r="D75" s="306"/>
      <c r="E75" s="336"/>
      <c r="F75" s="336"/>
      <c r="G75" s="306"/>
      <c r="H75" s="306"/>
      <c r="I75" s="306"/>
      <c r="J75" s="306"/>
      <c r="K75" s="306"/>
      <c r="L75" s="414"/>
      <c r="M75" s="1734"/>
      <c r="N75" s="1735"/>
      <c r="O75" s="1735"/>
      <c r="P75" s="1735"/>
      <c r="Q75" s="1735"/>
      <c r="R75" s="1735"/>
      <c r="S75" s="1736"/>
      <c r="U75" s="63"/>
      <c r="V75" s="63"/>
    </row>
    <row r="76" spans="1:22" ht="15" customHeight="1">
      <c r="A76" s="332"/>
      <c r="B76" s="306"/>
      <c r="C76" s="306"/>
      <c r="D76" s="306"/>
      <c r="E76" s="306"/>
      <c r="F76" s="306"/>
      <c r="G76" s="415" t="s">
        <v>13</v>
      </c>
      <c r="H76" s="241">
        <f>IF(M25=0,0,I74/(0.125/M25))</f>
        <v>0</v>
      </c>
      <c r="I76" s="402" t="s">
        <v>75</v>
      </c>
      <c r="J76" s="336"/>
      <c r="K76" s="336"/>
      <c r="L76" s="414"/>
      <c r="M76" s="1734"/>
      <c r="N76" s="1735"/>
      <c r="O76" s="1735"/>
      <c r="P76" s="1735"/>
      <c r="Q76" s="1735"/>
      <c r="R76" s="1735"/>
      <c r="S76" s="1736"/>
      <c r="U76" s="63"/>
      <c r="V76" s="63"/>
    </row>
    <row r="77" spans="1:22" ht="18" customHeight="1">
      <c r="A77" s="332"/>
      <c r="B77" s="306"/>
      <c r="C77" s="306"/>
      <c r="D77" s="306"/>
      <c r="E77" s="306"/>
      <c r="F77" s="306"/>
      <c r="G77" s="416"/>
      <c r="H77" s="415" t="s">
        <v>164</v>
      </c>
      <c r="I77" s="1356" t="str">
        <f>IF($L$74&lt;1,"None",IF($L$74&lt;15,"Low",(IF($L$74&lt;30,"Medium",(IF($L$74&lt;45,"Medium High","High"))))))</f>
        <v>None</v>
      </c>
      <c r="J77" s="1356"/>
      <c r="K77" s="1749"/>
      <c r="L77" s="414"/>
      <c r="M77" s="1734"/>
      <c r="N77" s="1735"/>
      <c r="O77" s="1735"/>
      <c r="P77" s="1735"/>
      <c r="Q77" s="1735"/>
      <c r="R77" s="1735"/>
      <c r="S77" s="1736"/>
      <c r="U77" s="63"/>
      <c r="V77" s="63"/>
    </row>
    <row r="78" spans="1:22" ht="4.5" customHeight="1">
      <c r="A78" s="332"/>
      <c r="B78" s="306"/>
      <c r="C78" s="306"/>
      <c r="D78" s="306"/>
      <c r="E78" s="306"/>
      <c r="F78" s="306"/>
      <c r="G78" s="336"/>
      <c r="H78" s="306"/>
      <c r="I78" s="336"/>
      <c r="J78" s="336"/>
      <c r="K78" s="336"/>
      <c r="L78" s="414"/>
      <c r="M78" s="1734"/>
      <c r="N78" s="1735"/>
      <c r="O78" s="1735"/>
      <c r="P78" s="1735"/>
      <c r="Q78" s="1735"/>
      <c r="R78" s="1735"/>
      <c r="S78" s="1736"/>
      <c r="U78" s="63"/>
      <c r="V78" s="63"/>
    </row>
    <row r="79" spans="1:22" ht="15" customHeight="1">
      <c r="A79" s="332"/>
      <c r="B79" s="306"/>
      <c r="C79" s="306"/>
      <c r="D79" s="306"/>
      <c r="E79" s="306"/>
      <c r="F79" s="306"/>
      <c r="G79" s="336"/>
      <c r="H79" s="415" t="s">
        <v>809</v>
      </c>
      <c r="I79" s="157">
        <f>IF($M$22="","",IF($M$22="A",1,IF($M$22="B",2,(IF($M$22="C",3,4)))))</f>
      </c>
      <c r="J79" s="417" t="s">
        <v>87</v>
      </c>
      <c r="K79" s="306"/>
      <c r="L79" s="414"/>
      <c r="M79" s="1734"/>
      <c r="N79" s="1735"/>
      <c r="O79" s="1735"/>
      <c r="P79" s="1735"/>
      <c r="Q79" s="1735"/>
      <c r="R79" s="1735"/>
      <c r="S79" s="1736"/>
      <c r="U79" s="63"/>
      <c r="V79" s="63"/>
    </row>
    <row r="80" spans="1:22" ht="5.25" customHeight="1">
      <c r="A80" s="332"/>
      <c r="B80" s="306"/>
      <c r="C80" s="306"/>
      <c r="D80" s="306"/>
      <c r="E80" s="306"/>
      <c r="F80" s="306"/>
      <c r="G80" s="336"/>
      <c r="H80" s="415"/>
      <c r="I80" s="418"/>
      <c r="J80" s="336"/>
      <c r="K80" s="306"/>
      <c r="L80" s="414"/>
      <c r="M80" s="1734"/>
      <c r="N80" s="1735"/>
      <c r="O80" s="1735"/>
      <c r="P80" s="1735"/>
      <c r="Q80" s="1735"/>
      <c r="R80" s="1735"/>
      <c r="S80" s="1736"/>
      <c r="U80" s="63"/>
      <c r="V80" s="63"/>
    </row>
    <row r="81" spans="1:22" ht="15" customHeight="1">
      <c r="A81" s="332"/>
      <c r="B81" s="306"/>
      <c r="C81" s="306"/>
      <c r="D81" s="306"/>
      <c r="E81" s="306"/>
      <c r="F81" s="306"/>
      <c r="G81" s="336"/>
      <c r="H81" s="306"/>
      <c r="I81" s="306"/>
      <c r="J81" s="336"/>
      <c r="K81" s="306"/>
      <c r="L81" s="414"/>
      <c r="M81" s="1734"/>
      <c r="N81" s="1735"/>
      <c r="O81" s="1735"/>
      <c r="P81" s="1735"/>
      <c r="Q81" s="1735"/>
      <c r="R81" s="1735"/>
      <c r="S81" s="1736"/>
      <c r="U81" s="63"/>
      <c r="V81" s="63"/>
    </row>
    <row r="82" spans="1:22" ht="24" customHeight="1">
      <c r="A82" s="332"/>
      <c r="B82" s="1050" t="s">
        <v>12</v>
      </c>
      <c r="C82" s="1050"/>
      <c r="D82" s="1050"/>
      <c r="E82" s="1050"/>
      <c r="F82" s="1050"/>
      <c r="G82" s="1050"/>
      <c r="H82" s="1050"/>
      <c r="I82" s="1050"/>
      <c r="J82" s="1050"/>
      <c r="K82" s="1720"/>
      <c r="L82" s="414"/>
      <c r="M82" s="1734"/>
      <c r="N82" s="1735"/>
      <c r="O82" s="1735"/>
      <c r="P82" s="1735"/>
      <c r="Q82" s="1735"/>
      <c r="R82" s="1735"/>
      <c r="S82" s="1736"/>
      <c r="U82" s="63"/>
      <c r="V82" s="63"/>
    </row>
    <row r="83" spans="1:22" ht="6" customHeight="1">
      <c r="A83" s="332"/>
      <c r="B83" s="306"/>
      <c r="C83" s="306"/>
      <c r="D83" s="306"/>
      <c r="E83" s="306"/>
      <c r="F83" s="306"/>
      <c r="G83" s="306"/>
      <c r="H83" s="306"/>
      <c r="I83" s="306"/>
      <c r="J83" s="306"/>
      <c r="K83" s="306"/>
      <c r="L83" s="414"/>
      <c r="M83" s="1734"/>
      <c r="N83" s="1735"/>
      <c r="O83" s="1735"/>
      <c r="P83" s="1735"/>
      <c r="Q83" s="1735"/>
      <c r="R83" s="1735"/>
      <c r="S83" s="1736"/>
      <c r="U83"/>
      <c r="V83" s="63"/>
    </row>
    <row r="84" spans="1:22" ht="15" customHeight="1" thickBot="1">
      <c r="A84" s="332" t="s">
        <v>165</v>
      </c>
      <c r="B84" s="306"/>
      <c r="C84" s="306"/>
      <c r="D84" s="306"/>
      <c r="E84" s="306"/>
      <c r="F84" s="306"/>
      <c r="G84" s="306"/>
      <c r="H84" s="306"/>
      <c r="I84" s="306"/>
      <c r="J84" s="306"/>
      <c r="K84" s="306"/>
      <c r="L84" s="420"/>
      <c r="M84" s="1734"/>
      <c r="N84" s="1735"/>
      <c r="O84" s="1735"/>
      <c r="P84" s="1735"/>
      <c r="Q84" s="1735"/>
      <c r="R84" s="1735"/>
      <c r="S84" s="1736"/>
      <c r="U84" s="63"/>
      <c r="V84" s="63"/>
    </row>
    <row r="85" spans="1:22" ht="15" customHeight="1" thickBot="1">
      <c r="A85" s="350" t="s">
        <v>114</v>
      </c>
      <c r="B85" s="351"/>
      <c r="C85" s="351"/>
      <c r="D85" s="351"/>
      <c r="E85" s="351"/>
      <c r="F85" s="351"/>
      <c r="G85" s="351"/>
      <c r="H85" s="351"/>
      <c r="I85" s="351"/>
      <c r="J85" s="421" t="s">
        <v>369</v>
      </c>
      <c r="K85" s="899">
        <f>IF(I73=0,0,H76*I79)</f>
        <v>0</v>
      </c>
      <c r="L85" s="900"/>
      <c r="M85" s="1737"/>
      <c r="N85" s="1738"/>
      <c r="O85" s="1738"/>
      <c r="P85" s="1738"/>
      <c r="Q85" s="1738"/>
      <c r="R85" s="1738"/>
      <c r="S85" s="1739"/>
      <c r="U85" s="63"/>
      <c r="V85" s="63"/>
    </row>
    <row r="86" spans="1:22" ht="16.5" customHeight="1" thickBot="1">
      <c r="A86" s="321" t="s">
        <v>438</v>
      </c>
      <c r="B86" s="406"/>
      <c r="C86" s="406"/>
      <c r="D86" s="891" t="s">
        <v>316</v>
      </c>
      <c r="E86" s="891"/>
      <c r="F86" s="891"/>
      <c r="G86" s="891"/>
      <c r="H86" s="891"/>
      <c r="I86" s="891"/>
      <c r="J86" s="891"/>
      <c r="K86" s="891"/>
      <c r="L86" s="892"/>
      <c r="M86" s="422" t="s">
        <v>250</v>
      </c>
      <c r="N86" s="423"/>
      <c r="O86" s="423"/>
      <c r="P86" s="423"/>
      <c r="Q86" s="423" t="s">
        <v>45</v>
      </c>
      <c r="R86" s="423"/>
      <c r="S86" s="424"/>
      <c r="U86" s="63"/>
      <c r="V86" s="63"/>
    </row>
    <row r="87" spans="1:22" ht="24" customHeight="1" thickBot="1" thickTop="1">
      <c r="A87" s="897" t="s">
        <v>332</v>
      </c>
      <c r="B87" s="898"/>
      <c r="C87" s="898"/>
      <c r="D87" s="898"/>
      <c r="E87" s="898"/>
      <c r="F87" s="898"/>
      <c r="G87" s="898"/>
      <c r="H87" s="898"/>
      <c r="I87" s="898"/>
      <c r="J87" s="898"/>
      <c r="K87" s="898"/>
      <c r="L87" s="895"/>
      <c r="M87" s="1725" t="s">
        <v>431</v>
      </c>
      <c r="N87" s="1726"/>
      <c r="O87" s="1726"/>
      <c r="P87" s="1726"/>
      <c r="Q87" s="1726"/>
      <c r="R87" s="1726"/>
      <c r="S87" s="1727"/>
      <c r="U87" s="63"/>
      <c r="V87" s="63"/>
    </row>
    <row r="88" spans="1:22" ht="15" customHeight="1" thickTop="1">
      <c r="A88" s="1211"/>
      <c r="B88" s="1212"/>
      <c r="C88" s="1212"/>
      <c r="D88" s="1212"/>
      <c r="E88" s="306"/>
      <c r="F88" s="306"/>
      <c r="G88" s="306"/>
      <c r="H88" s="306"/>
      <c r="I88" s="306"/>
      <c r="J88" s="306"/>
      <c r="K88" s="306"/>
      <c r="L88" s="412"/>
      <c r="M88" s="1728"/>
      <c r="N88" s="1729"/>
      <c r="O88" s="1729"/>
      <c r="P88" s="1729"/>
      <c r="Q88" s="1729"/>
      <c r="R88" s="1729"/>
      <c r="S88" s="1730"/>
      <c r="U88" s="63"/>
      <c r="V88" s="63"/>
    </row>
    <row r="89" spans="1:22" ht="18.75" customHeight="1">
      <c r="A89" s="332"/>
      <c r="B89" s="306" t="s">
        <v>483</v>
      </c>
      <c r="C89" s="306"/>
      <c r="D89" s="306"/>
      <c r="E89" s="306"/>
      <c r="F89" s="306"/>
      <c r="G89" s="336"/>
      <c r="H89" s="306"/>
      <c r="I89" s="306"/>
      <c r="J89" s="306"/>
      <c r="K89" s="306"/>
      <c r="L89" s="414">
        <f>IF($L$99=1,5,"")</f>
      </c>
      <c r="M89" s="1187"/>
      <c r="N89" s="1188"/>
      <c r="O89" s="1188"/>
      <c r="P89" s="1188"/>
      <c r="Q89" s="1188"/>
      <c r="R89" s="1188"/>
      <c r="S89" s="1189"/>
      <c r="U89" s="63"/>
      <c r="V89" s="63"/>
    </row>
    <row r="90" spans="1:22" ht="16.5" customHeight="1">
      <c r="A90" s="332"/>
      <c r="B90" s="306" t="s">
        <v>484</v>
      </c>
      <c r="C90" s="306"/>
      <c r="D90" s="306"/>
      <c r="E90" s="306"/>
      <c r="F90" s="306"/>
      <c r="G90" s="336"/>
      <c r="H90" s="306"/>
      <c r="I90" s="306"/>
      <c r="J90" s="306"/>
      <c r="K90" s="306"/>
      <c r="L90" s="414">
        <f>IF($L$99=2,10,"")</f>
      </c>
      <c r="M90" s="1190"/>
      <c r="N90" s="1191"/>
      <c r="O90" s="1191"/>
      <c r="P90" s="1191"/>
      <c r="Q90" s="1191"/>
      <c r="R90" s="1191"/>
      <c r="S90" s="1192"/>
      <c r="U90" s="63"/>
      <c r="V90" s="63"/>
    </row>
    <row r="91" spans="1:22" ht="16.5" customHeight="1">
      <c r="A91" s="332"/>
      <c r="B91" s="306" t="s">
        <v>485</v>
      </c>
      <c r="C91" s="306"/>
      <c r="D91" s="306"/>
      <c r="E91" s="306"/>
      <c r="F91" s="306"/>
      <c r="G91" s="336"/>
      <c r="H91" s="306"/>
      <c r="I91" s="306"/>
      <c r="J91" s="306"/>
      <c r="K91" s="306"/>
      <c r="L91" s="414">
        <f>IF($L$99=3,15,"")</f>
      </c>
      <c r="M91" s="1190"/>
      <c r="N91" s="1191"/>
      <c r="O91" s="1191"/>
      <c r="P91" s="1191"/>
      <c r="Q91" s="1191"/>
      <c r="R91" s="1191"/>
      <c r="S91" s="1192"/>
      <c r="U91" s="63"/>
      <c r="V91" s="63"/>
    </row>
    <row r="92" spans="1:22" ht="12.75">
      <c r="A92" s="332"/>
      <c r="B92" s="306"/>
      <c r="C92" s="306"/>
      <c r="D92" s="306"/>
      <c r="E92" s="306"/>
      <c r="F92" s="306"/>
      <c r="G92" s="336"/>
      <c r="H92" s="306"/>
      <c r="I92" s="306"/>
      <c r="J92" s="306"/>
      <c r="K92" s="306"/>
      <c r="L92" s="414"/>
      <c r="M92" s="1190"/>
      <c r="N92" s="1191"/>
      <c r="O92" s="1191"/>
      <c r="P92" s="1191"/>
      <c r="Q92" s="1191"/>
      <c r="R92" s="1191"/>
      <c r="S92" s="1192"/>
      <c r="U92" s="63"/>
      <c r="V92" s="63"/>
    </row>
    <row r="93" spans="1:22" ht="12.75">
      <c r="A93" s="332"/>
      <c r="B93" s="306" t="s">
        <v>331</v>
      </c>
      <c r="C93" s="306"/>
      <c r="D93" s="306"/>
      <c r="E93" s="306"/>
      <c r="F93" s="306"/>
      <c r="G93" s="336"/>
      <c r="H93" s="306"/>
      <c r="I93" s="306"/>
      <c r="J93" s="306"/>
      <c r="K93" s="306"/>
      <c r="L93" s="414"/>
      <c r="M93" s="1190"/>
      <c r="N93" s="1191"/>
      <c r="O93" s="1191"/>
      <c r="P93" s="1191"/>
      <c r="Q93" s="1191"/>
      <c r="R93" s="1191"/>
      <c r="S93" s="1192"/>
      <c r="U93" s="63"/>
      <c r="V93" s="63"/>
    </row>
    <row r="94" spans="1:22" ht="15" customHeight="1">
      <c r="A94" s="332"/>
      <c r="B94" s="306"/>
      <c r="C94" s="306" t="s">
        <v>486</v>
      </c>
      <c r="D94" s="306"/>
      <c r="E94" s="306"/>
      <c r="F94" s="306"/>
      <c r="G94" s="336"/>
      <c r="H94" s="306"/>
      <c r="I94" s="306"/>
      <c r="J94" s="306"/>
      <c r="K94" s="306"/>
      <c r="L94" s="414">
        <f>IF($L$99=4,17,"")</f>
      </c>
      <c r="M94" s="1190"/>
      <c r="N94" s="1191"/>
      <c r="O94" s="1191"/>
      <c r="P94" s="1191"/>
      <c r="Q94" s="1191"/>
      <c r="R94" s="1191"/>
      <c r="S94" s="1192"/>
      <c r="U94" s="63"/>
      <c r="V94" s="63"/>
    </row>
    <row r="95" spans="1:22" ht="16.5" customHeight="1">
      <c r="A95" s="332"/>
      <c r="B95" s="306"/>
      <c r="C95" s="306" t="s">
        <v>487</v>
      </c>
      <c r="D95" s="306"/>
      <c r="E95" s="306"/>
      <c r="F95" s="306"/>
      <c r="G95" s="336"/>
      <c r="H95" s="306"/>
      <c r="I95" s="306"/>
      <c r="J95" s="306"/>
      <c r="K95" s="306"/>
      <c r="L95" s="414">
        <f>IF($L$99=5,19,"")</f>
      </c>
      <c r="M95" s="1190"/>
      <c r="N95" s="1191"/>
      <c r="O95" s="1191"/>
      <c r="P95" s="1191"/>
      <c r="Q95" s="1191"/>
      <c r="R95" s="1191"/>
      <c r="S95" s="1192"/>
      <c r="U95" s="63"/>
      <c r="V95" s="63"/>
    </row>
    <row r="96" spans="1:22" ht="16.5" customHeight="1">
      <c r="A96" s="332"/>
      <c r="B96" s="306"/>
      <c r="C96" s="306" t="s">
        <v>491</v>
      </c>
      <c r="D96" s="306"/>
      <c r="E96" s="306"/>
      <c r="F96" s="306"/>
      <c r="G96" s="336"/>
      <c r="H96" s="306"/>
      <c r="I96" s="306"/>
      <c r="J96" s="306"/>
      <c r="K96" s="306"/>
      <c r="L96" s="414">
        <f>IF($L$99=6,21,"")</f>
      </c>
      <c r="M96" s="1190"/>
      <c r="N96" s="1191"/>
      <c r="O96" s="1191"/>
      <c r="P96" s="1191"/>
      <c r="Q96" s="1191"/>
      <c r="R96" s="1191"/>
      <c r="S96" s="1192"/>
      <c r="U96" s="63"/>
      <c r="V96" s="63"/>
    </row>
    <row r="97" spans="1:22" ht="16.5" customHeight="1">
      <c r="A97" s="332"/>
      <c r="B97" s="306"/>
      <c r="C97" s="426" t="s">
        <v>492</v>
      </c>
      <c r="D97" s="306"/>
      <c r="E97" s="426"/>
      <c r="F97" s="426"/>
      <c r="G97" s="426"/>
      <c r="H97" s="426"/>
      <c r="I97" s="426"/>
      <c r="J97" s="426"/>
      <c r="K97" s="427"/>
      <c r="L97" s="414">
        <f>IF($L$99=7,23,"")</f>
      </c>
      <c r="M97" s="1190"/>
      <c r="N97" s="1191"/>
      <c r="O97" s="1191"/>
      <c r="P97" s="1191"/>
      <c r="Q97" s="1191"/>
      <c r="R97" s="1191"/>
      <c r="S97" s="1192"/>
      <c r="U97" s="63"/>
      <c r="V97" s="63"/>
    </row>
    <row r="98" spans="1:22" ht="19.5" customHeight="1">
      <c r="A98" s="332"/>
      <c r="B98" s="306" t="s">
        <v>493</v>
      </c>
      <c r="C98" s="306"/>
      <c r="D98" s="306"/>
      <c r="E98" s="306"/>
      <c r="F98" s="306"/>
      <c r="G98" s="336"/>
      <c r="H98" s="428"/>
      <c r="I98" s="428"/>
      <c r="J98" s="306"/>
      <c r="K98" s="427"/>
      <c r="L98" s="414">
        <f>IF($L$99=8,0,"")</f>
        <v>0</v>
      </c>
      <c r="M98" s="1190"/>
      <c r="N98" s="1191"/>
      <c r="O98" s="1191"/>
      <c r="P98" s="1191"/>
      <c r="Q98" s="1191"/>
      <c r="R98" s="1191"/>
      <c r="S98" s="1192"/>
      <c r="U98" s="63"/>
      <c r="V98" s="63"/>
    </row>
    <row r="99" spans="1:22" ht="16.5" customHeight="1" thickBot="1">
      <c r="A99" s="332"/>
      <c r="B99" s="306"/>
      <c r="C99" s="306"/>
      <c r="D99" s="306"/>
      <c r="E99" s="306"/>
      <c r="F99" s="306"/>
      <c r="G99" s="336"/>
      <c r="H99" s="428"/>
      <c r="I99" s="306"/>
      <c r="J99" s="306"/>
      <c r="K99" s="427"/>
      <c r="L99" s="420">
        <v>8</v>
      </c>
      <c r="M99" s="1190"/>
      <c r="N99" s="1191"/>
      <c r="O99" s="1191"/>
      <c r="P99" s="1191"/>
      <c r="Q99" s="1191"/>
      <c r="R99" s="1191"/>
      <c r="S99" s="1192"/>
      <c r="U99" s="63"/>
      <c r="V99" s="63"/>
    </row>
    <row r="100" spans="1:22" ht="16.5" customHeight="1" thickBot="1" thickTop="1">
      <c r="A100" s="332"/>
      <c r="B100" s="306"/>
      <c r="C100" s="306"/>
      <c r="D100" s="306"/>
      <c r="E100" s="306"/>
      <c r="F100" s="306"/>
      <c r="G100" s="336"/>
      <c r="H100" s="429" t="s">
        <v>226</v>
      </c>
      <c r="I100" s="1763">
        <f>MAX(L89:L98)</f>
        <v>0</v>
      </c>
      <c r="J100" s="1764"/>
      <c r="K100" s="430" t="s">
        <v>89</v>
      </c>
      <c r="L100" s="414"/>
      <c r="M100" s="1190"/>
      <c r="N100" s="1191"/>
      <c r="O100" s="1191"/>
      <c r="P100" s="1191"/>
      <c r="Q100" s="1191"/>
      <c r="R100" s="1191"/>
      <c r="S100" s="1192"/>
      <c r="U100" s="63"/>
      <c r="V100" s="63"/>
    </row>
    <row r="101" spans="1:22" ht="16.5" customHeight="1" thickTop="1">
      <c r="A101" s="332"/>
      <c r="B101" s="306"/>
      <c r="C101" s="306"/>
      <c r="D101" s="306"/>
      <c r="E101" s="306"/>
      <c r="F101" s="306"/>
      <c r="G101" s="336"/>
      <c r="H101" s="428"/>
      <c r="I101" s="428"/>
      <c r="J101" s="306"/>
      <c r="K101" s="427"/>
      <c r="L101" s="414"/>
      <c r="M101" s="1190"/>
      <c r="N101" s="1191"/>
      <c r="O101" s="1191"/>
      <c r="P101" s="1191"/>
      <c r="Q101" s="1191"/>
      <c r="R101" s="1191"/>
      <c r="S101" s="1192"/>
      <c r="U101" s="63"/>
      <c r="V101" s="63"/>
    </row>
    <row r="102" spans="1:22" ht="42.75" customHeight="1">
      <c r="A102" s="332"/>
      <c r="B102" s="938" t="s">
        <v>64</v>
      </c>
      <c r="C102" s="938"/>
      <c r="D102" s="938"/>
      <c r="E102" s="938"/>
      <c r="F102" s="938"/>
      <c r="G102" s="938"/>
      <c r="H102" s="938"/>
      <c r="I102" s="938"/>
      <c r="J102" s="938"/>
      <c r="K102" s="427"/>
      <c r="L102" s="414"/>
      <c r="M102" s="1190"/>
      <c r="N102" s="1191"/>
      <c r="O102" s="1191"/>
      <c r="P102" s="1191"/>
      <c r="Q102" s="1191"/>
      <c r="R102" s="1191"/>
      <c r="S102" s="1192"/>
      <c r="U102" s="63"/>
      <c r="V102" s="63"/>
    </row>
    <row r="103" spans="1:22" ht="54" customHeight="1">
      <c r="A103" s="332"/>
      <c r="B103" s="1161" t="s">
        <v>205</v>
      </c>
      <c r="C103" s="1161"/>
      <c r="D103" s="1161"/>
      <c r="E103" s="1161"/>
      <c r="F103" s="1161"/>
      <c r="G103" s="1161"/>
      <c r="H103" s="1161"/>
      <c r="I103" s="1161"/>
      <c r="J103" s="1161"/>
      <c r="K103" s="427"/>
      <c r="L103" s="414"/>
      <c r="M103" s="1190"/>
      <c r="N103" s="1191"/>
      <c r="O103" s="1191"/>
      <c r="P103" s="1191"/>
      <c r="Q103" s="1191"/>
      <c r="R103" s="1191"/>
      <c r="S103" s="1192"/>
      <c r="U103" s="63"/>
      <c r="V103" s="63"/>
    </row>
    <row r="104" spans="1:22" ht="28.5" customHeight="1" thickBot="1">
      <c r="A104" s="332"/>
      <c r="B104" s="1161" t="s">
        <v>14</v>
      </c>
      <c r="C104" s="1161"/>
      <c r="D104" s="1161"/>
      <c r="E104" s="1161"/>
      <c r="F104" s="1161"/>
      <c r="G104" s="1161"/>
      <c r="H104" s="1161"/>
      <c r="I104" s="1161"/>
      <c r="J104" s="1161"/>
      <c r="K104" s="427"/>
      <c r="L104" s="420">
        <v>3</v>
      </c>
      <c r="M104" s="1190"/>
      <c r="N104" s="1191"/>
      <c r="O104" s="1191"/>
      <c r="P104" s="1191"/>
      <c r="Q104" s="1191"/>
      <c r="R104" s="1191"/>
      <c r="S104" s="1192"/>
      <c r="U104" s="63"/>
      <c r="V104" s="63"/>
    </row>
    <row r="105" spans="1:22" ht="5.25" customHeight="1" thickBot="1">
      <c r="A105" s="332"/>
      <c r="B105" s="306"/>
      <c r="C105" s="306"/>
      <c r="D105" s="306"/>
      <c r="E105" s="306"/>
      <c r="F105" s="306"/>
      <c r="G105" s="336"/>
      <c r="H105" s="428"/>
      <c r="I105" s="428"/>
      <c r="J105" s="306"/>
      <c r="K105" s="427"/>
      <c r="L105" s="414"/>
      <c r="M105" s="1190"/>
      <c r="N105" s="1191"/>
      <c r="O105" s="1191"/>
      <c r="P105" s="1191"/>
      <c r="Q105" s="1191"/>
      <c r="R105" s="1191"/>
      <c r="S105" s="1192"/>
      <c r="U105" s="63"/>
      <c r="V105" s="63"/>
    </row>
    <row r="106" spans="1:22" ht="16.5" customHeight="1" thickBot="1" thickTop="1">
      <c r="A106" s="332"/>
      <c r="B106" s="306"/>
      <c r="C106" s="306"/>
      <c r="D106" s="306"/>
      <c r="E106" s="306"/>
      <c r="F106" s="306"/>
      <c r="G106" s="336"/>
      <c r="H106" s="429" t="s">
        <v>227</v>
      </c>
      <c r="I106" s="1761">
        <f>IF(L104=1,9,IF(L104=2,5,0))</f>
        <v>0</v>
      </c>
      <c r="J106" s="1762"/>
      <c r="K106" s="430" t="s">
        <v>90</v>
      </c>
      <c r="L106" s="414"/>
      <c r="M106" s="1190"/>
      <c r="N106" s="1191"/>
      <c r="O106" s="1191"/>
      <c r="P106" s="1191"/>
      <c r="Q106" s="1191"/>
      <c r="R106" s="1191"/>
      <c r="S106" s="1192"/>
      <c r="U106" s="63"/>
      <c r="V106" s="63"/>
    </row>
    <row r="107" spans="1:22" ht="16.5" customHeight="1" thickTop="1">
      <c r="A107" s="332"/>
      <c r="B107" s="306"/>
      <c r="C107" s="306"/>
      <c r="D107" s="306"/>
      <c r="E107" s="306"/>
      <c r="F107" s="306"/>
      <c r="G107" s="336"/>
      <c r="H107" s="428"/>
      <c r="I107" s="306"/>
      <c r="J107" s="306"/>
      <c r="K107" s="427"/>
      <c r="L107" s="414"/>
      <c r="M107" s="1190"/>
      <c r="N107" s="1191"/>
      <c r="O107" s="1191"/>
      <c r="P107" s="1191"/>
      <c r="Q107" s="1191"/>
      <c r="R107" s="1191"/>
      <c r="S107" s="1192"/>
      <c r="U107" s="63"/>
      <c r="V107" s="63"/>
    </row>
    <row r="108" spans="1:22" ht="16.5" customHeight="1">
      <c r="A108" s="332"/>
      <c r="B108" s="366" t="s">
        <v>494</v>
      </c>
      <c r="C108" s="366"/>
      <c r="D108" s="366"/>
      <c r="E108" s="366"/>
      <c r="F108" s="431" t="s">
        <v>496</v>
      </c>
      <c r="G108" s="366"/>
      <c r="H108" s="432"/>
      <c r="I108" s="428"/>
      <c r="J108" s="306"/>
      <c r="K108" s="427"/>
      <c r="L108" s="414"/>
      <c r="M108" s="1190"/>
      <c r="N108" s="1191"/>
      <c r="O108" s="1191"/>
      <c r="P108" s="1191"/>
      <c r="Q108" s="1191"/>
      <c r="R108" s="1191"/>
      <c r="S108" s="1192"/>
      <c r="U108" s="63"/>
      <c r="V108" s="63"/>
    </row>
    <row r="109" spans="1:22" ht="16.5" customHeight="1">
      <c r="A109" s="332"/>
      <c r="B109" s="431" t="s">
        <v>495</v>
      </c>
      <c r="C109" s="431"/>
      <c r="D109" s="366"/>
      <c r="E109" s="366"/>
      <c r="F109" s="366" t="s">
        <v>212</v>
      </c>
      <c r="G109" s="306"/>
      <c r="H109" s="432"/>
      <c r="I109" s="428"/>
      <c r="J109" s="306"/>
      <c r="K109" s="427"/>
      <c r="L109" s="414"/>
      <c r="M109" s="1190"/>
      <c r="N109" s="1191"/>
      <c r="O109" s="1191"/>
      <c r="P109" s="1191"/>
      <c r="Q109" s="1191"/>
      <c r="R109" s="1191"/>
      <c r="S109" s="1192"/>
      <c r="U109" s="63"/>
      <c r="V109" s="63"/>
    </row>
    <row r="110" spans="1:22" ht="16.5" customHeight="1" thickBot="1">
      <c r="A110" s="332"/>
      <c r="B110" s="366" t="s">
        <v>262</v>
      </c>
      <c r="C110" s="366"/>
      <c r="D110" s="366"/>
      <c r="E110" s="366"/>
      <c r="F110" s="366"/>
      <c r="G110" s="366"/>
      <c r="H110" s="432"/>
      <c r="I110" s="428"/>
      <c r="J110" s="306"/>
      <c r="K110" s="427"/>
      <c r="L110" s="420">
        <v>1</v>
      </c>
      <c r="M110" s="1190"/>
      <c r="N110" s="1191"/>
      <c r="O110" s="1191"/>
      <c r="P110" s="1191"/>
      <c r="Q110" s="1191"/>
      <c r="R110" s="1191"/>
      <c r="S110" s="1192"/>
      <c r="U110" s="63"/>
      <c r="V110" s="63"/>
    </row>
    <row r="111" spans="1:22" ht="10.5" customHeight="1" thickBot="1">
      <c r="A111" s="332"/>
      <c r="B111" s="306"/>
      <c r="C111" s="306"/>
      <c r="D111" s="306"/>
      <c r="E111" s="306"/>
      <c r="F111" s="306"/>
      <c r="G111" s="336"/>
      <c r="H111" s="428"/>
      <c r="I111" s="428"/>
      <c r="J111" s="306"/>
      <c r="K111" s="306"/>
      <c r="L111" s="433"/>
      <c r="M111" s="1190"/>
      <c r="N111" s="1191"/>
      <c r="O111" s="1191"/>
      <c r="P111" s="1191"/>
      <c r="Q111" s="1191"/>
      <c r="R111" s="1191"/>
      <c r="S111" s="1192"/>
      <c r="U111" s="63"/>
      <c r="V111" s="63"/>
    </row>
    <row r="112" spans="1:22" ht="16.5" customHeight="1" thickBot="1" thickTop="1">
      <c r="A112" s="332"/>
      <c r="B112" s="306"/>
      <c r="C112" s="306"/>
      <c r="D112" s="306"/>
      <c r="E112" s="306"/>
      <c r="F112" s="306"/>
      <c r="G112" s="336"/>
      <c r="H112" s="429" t="s">
        <v>228</v>
      </c>
      <c r="I112" s="1761">
        <f>IF(L110&lt;2,0,IF(L110&lt;3,2,(IF(L110&lt;4,3,(IF(L110&lt;5,4,5))))))</f>
        <v>0</v>
      </c>
      <c r="J112" s="1762"/>
      <c r="K112" s="372" t="s">
        <v>91</v>
      </c>
      <c r="L112" s="414"/>
      <c r="M112" s="1190"/>
      <c r="N112" s="1191"/>
      <c r="O112" s="1191"/>
      <c r="P112" s="1191"/>
      <c r="Q112" s="1191"/>
      <c r="R112" s="1191"/>
      <c r="S112" s="1192"/>
      <c r="U112" s="63"/>
      <c r="V112" s="63"/>
    </row>
    <row r="113" spans="1:22" ht="3.75" customHeight="1" thickTop="1">
      <c r="A113" s="332"/>
      <c r="B113" s="306"/>
      <c r="C113" s="306"/>
      <c r="D113" s="306"/>
      <c r="E113" s="306"/>
      <c r="F113" s="306"/>
      <c r="G113" s="336"/>
      <c r="H113" s="428"/>
      <c r="I113" s="428"/>
      <c r="J113" s="306"/>
      <c r="K113" s="306"/>
      <c r="L113" s="414"/>
      <c r="M113" s="1190"/>
      <c r="N113" s="1191"/>
      <c r="O113" s="1191"/>
      <c r="P113" s="1191"/>
      <c r="Q113" s="1191"/>
      <c r="R113" s="1191"/>
      <c r="S113" s="1192"/>
      <c r="U113" s="63"/>
      <c r="V113" s="63"/>
    </row>
    <row r="114" spans="1:22" ht="22.5" customHeight="1">
      <c r="A114" s="1211" t="s">
        <v>611</v>
      </c>
      <c r="B114" s="1212"/>
      <c r="C114" s="1212"/>
      <c r="D114" s="1212"/>
      <c r="E114" s="1212"/>
      <c r="F114" s="1212"/>
      <c r="G114" s="1212"/>
      <c r="H114" s="1212"/>
      <c r="I114" s="428"/>
      <c r="J114" s="306"/>
      <c r="K114" s="306"/>
      <c r="L114" s="414"/>
      <c r="M114" s="1190"/>
      <c r="N114" s="1191"/>
      <c r="O114" s="1191"/>
      <c r="P114" s="1191"/>
      <c r="Q114" s="1191"/>
      <c r="R114" s="1191"/>
      <c r="S114" s="1192"/>
      <c r="U114" s="63"/>
      <c r="V114" s="63"/>
    </row>
    <row r="115" spans="1:22" ht="15.75" customHeight="1">
      <c r="A115" s="1211"/>
      <c r="B115" s="1212"/>
      <c r="C115" s="1212"/>
      <c r="D115" s="1212"/>
      <c r="E115" s="1212"/>
      <c r="F115" s="1212"/>
      <c r="G115" s="1212"/>
      <c r="H115" s="1212"/>
      <c r="I115" s="1209"/>
      <c r="J115" s="1210"/>
      <c r="K115" s="326" t="s">
        <v>92</v>
      </c>
      <c r="L115" s="414"/>
      <c r="M115" s="1190"/>
      <c r="N115" s="1191"/>
      <c r="O115" s="1191"/>
      <c r="P115" s="1191"/>
      <c r="Q115" s="1191"/>
      <c r="R115" s="1191"/>
      <c r="S115" s="1192"/>
      <c r="U115" s="63"/>
      <c r="V115" s="63"/>
    </row>
    <row r="116" spans="1:22" ht="29.25" customHeight="1" thickBot="1">
      <c r="A116" s="1751" t="s">
        <v>166</v>
      </c>
      <c r="B116" s="1752"/>
      <c r="C116" s="1752"/>
      <c r="D116" s="1752"/>
      <c r="E116" s="1752"/>
      <c r="F116" s="434"/>
      <c r="G116" s="425"/>
      <c r="H116" s="425"/>
      <c r="I116" s="428"/>
      <c r="J116" s="428"/>
      <c r="K116" s="306"/>
      <c r="L116" s="420"/>
      <c r="M116" s="1190"/>
      <c r="N116" s="1191"/>
      <c r="O116" s="1191"/>
      <c r="P116" s="1191"/>
      <c r="Q116" s="1191"/>
      <c r="R116" s="1191"/>
      <c r="S116" s="1192"/>
      <c r="U116" s="63"/>
      <c r="V116" s="63"/>
    </row>
    <row r="117" spans="1:22" ht="15" customHeight="1" thickBot="1">
      <c r="A117" s="1753"/>
      <c r="B117" s="1754"/>
      <c r="C117" s="1754"/>
      <c r="D117" s="1754"/>
      <c r="E117" s="1754"/>
      <c r="F117" s="435"/>
      <c r="G117" s="351"/>
      <c r="H117" s="351"/>
      <c r="I117" s="351"/>
      <c r="J117" s="421" t="s">
        <v>370</v>
      </c>
      <c r="K117" s="973">
        <f>SUM(I100,I106,I112)*I115</f>
        <v>0</v>
      </c>
      <c r="L117" s="1239"/>
      <c r="M117" s="1193"/>
      <c r="N117" s="1194"/>
      <c r="O117" s="1194"/>
      <c r="P117" s="1194"/>
      <c r="Q117" s="1194"/>
      <c r="R117" s="1194"/>
      <c r="S117" s="1195"/>
      <c r="U117" s="63"/>
      <c r="V117" s="63"/>
    </row>
    <row r="118" spans="1:22" ht="15.75" customHeight="1">
      <c r="A118" s="436" t="s">
        <v>439</v>
      </c>
      <c r="B118" s="406"/>
      <c r="C118" s="406"/>
      <c r="D118" s="891" t="s">
        <v>500</v>
      </c>
      <c r="E118" s="891"/>
      <c r="F118" s="891"/>
      <c r="G118" s="891"/>
      <c r="H118" s="891"/>
      <c r="I118" s="891"/>
      <c r="J118" s="891"/>
      <c r="K118" s="891"/>
      <c r="L118" s="891"/>
      <c r="M118" s="891"/>
      <c r="N118" s="891"/>
      <c r="O118" s="891"/>
      <c r="P118" s="891"/>
      <c r="Q118" s="891"/>
      <c r="R118" s="891"/>
      <c r="S118" s="892"/>
      <c r="U118" s="63"/>
      <c r="V118" s="63"/>
    </row>
    <row r="119" spans="1:22" ht="23.25" customHeight="1" thickBot="1">
      <c r="A119" s="897" t="s">
        <v>177</v>
      </c>
      <c r="B119" s="898"/>
      <c r="C119" s="898"/>
      <c r="D119" s="898"/>
      <c r="E119" s="898"/>
      <c r="F119" s="898"/>
      <c r="G119" s="898"/>
      <c r="H119" s="898"/>
      <c r="I119" s="898"/>
      <c r="J119" s="898"/>
      <c r="K119" s="898"/>
      <c r="L119" s="898"/>
      <c r="M119" s="898"/>
      <c r="N119" s="898"/>
      <c r="O119" s="898"/>
      <c r="P119" s="898"/>
      <c r="Q119" s="898"/>
      <c r="R119" s="898"/>
      <c r="S119" s="895"/>
      <c r="U119" s="63"/>
      <c r="V119" s="63"/>
    </row>
    <row r="120" spans="1:22" ht="18" customHeight="1" thickTop="1">
      <c r="A120" s="1181" t="s">
        <v>481</v>
      </c>
      <c r="B120" s="1182"/>
      <c r="C120" s="1182"/>
      <c r="D120" s="1182"/>
      <c r="E120" s="1182"/>
      <c r="F120" s="1182"/>
      <c r="G120" s="1182"/>
      <c r="H120" s="1182"/>
      <c r="I120" s="1182"/>
      <c r="J120" s="1182"/>
      <c r="K120" s="1182"/>
      <c r="L120" s="437"/>
      <c r="M120" s="306"/>
      <c r="N120" s="306"/>
      <c r="O120" s="306"/>
      <c r="P120" s="306"/>
      <c r="Q120" s="306"/>
      <c r="R120" s="306"/>
      <c r="S120" s="412"/>
      <c r="U120" s="63"/>
      <c r="V120" s="63"/>
    </row>
    <row r="121" spans="1:22" ht="15" customHeight="1">
      <c r="A121" s="332" t="s">
        <v>213</v>
      </c>
      <c r="B121" s="306"/>
      <c r="C121" s="306"/>
      <c r="D121" s="306"/>
      <c r="E121" s="306"/>
      <c r="F121" s="306"/>
      <c r="G121" s="438"/>
      <c r="H121" s="357" t="s">
        <v>94</v>
      </c>
      <c r="I121" s="366"/>
      <c r="J121" s="306"/>
      <c r="K121" s="306" t="s">
        <v>298</v>
      </c>
      <c r="L121" s="306"/>
      <c r="M121" s="439"/>
      <c r="N121" s="439"/>
      <c r="O121" s="438"/>
      <c r="P121" s="357" t="s">
        <v>98</v>
      </c>
      <c r="Q121" s="366"/>
      <c r="R121" s="427"/>
      <c r="S121" s="440"/>
      <c r="U121" s="63"/>
      <c r="V121" s="63"/>
    </row>
    <row r="122" spans="1:22" ht="15" customHeight="1">
      <c r="A122" s="332"/>
      <c r="B122" s="306"/>
      <c r="C122" s="306"/>
      <c r="D122" s="306"/>
      <c r="E122" s="306"/>
      <c r="F122" s="441" t="s">
        <v>502</v>
      </c>
      <c r="G122" s="487">
        <f>IF($R$5=0,0,G121/$R$5)</f>
        <v>0</v>
      </c>
      <c r="H122" s="442" t="s">
        <v>95</v>
      </c>
      <c r="I122" s="443"/>
      <c r="J122" s="372"/>
      <c r="K122" s="94"/>
      <c r="L122" s="439"/>
      <c r="M122" s="439"/>
      <c r="N122" s="441" t="s">
        <v>502</v>
      </c>
      <c r="O122" s="487">
        <f>IF($R$5=0,0,O121/$R$5)</f>
        <v>0</v>
      </c>
      <c r="P122" s="442" t="s">
        <v>99</v>
      </c>
      <c r="Q122" s="443"/>
      <c r="R122" s="444"/>
      <c r="S122" s="440"/>
      <c r="U122" s="63"/>
      <c r="V122" s="63"/>
    </row>
    <row r="123" spans="1:22" ht="4.5" customHeight="1">
      <c r="A123" s="332"/>
      <c r="B123" s="306"/>
      <c r="C123" s="306"/>
      <c r="D123" s="306"/>
      <c r="E123" s="306"/>
      <c r="F123" s="306"/>
      <c r="G123" s="366"/>
      <c r="H123" s="306"/>
      <c r="I123" s="306"/>
      <c r="J123" s="306"/>
      <c r="K123" s="306"/>
      <c r="L123" s="437"/>
      <c r="M123" s="306"/>
      <c r="N123" s="306"/>
      <c r="O123" s="306"/>
      <c r="P123" s="306"/>
      <c r="Q123" s="306"/>
      <c r="R123" s="306"/>
      <c r="S123" s="414"/>
      <c r="U123" s="63"/>
      <c r="V123" s="63"/>
    </row>
    <row r="124" spans="1:22" ht="15.75" customHeight="1">
      <c r="A124" s="332" t="s">
        <v>295</v>
      </c>
      <c r="B124" s="306"/>
      <c r="C124" s="306"/>
      <c r="D124" s="306"/>
      <c r="E124" s="306"/>
      <c r="F124" s="306"/>
      <c r="G124" s="438"/>
      <c r="H124" s="357" t="s">
        <v>96</v>
      </c>
      <c r="I124" s="366"/>
      <c r="J124" s="306"/>
      <c r="K124" s="306"/>
      <c r="L124" s="437"/>
      <c r="M124" s="306"/>
      <c r="N124" s="306"/>
      <c r="O124" s="306"/>
      <c r="P124" s="306"/>
      <c r="Q124" s="306"/>
      <c r="R124" s="306"/>
      <c r="S124" s="414"/>
      <c r="U124" s="63"/>
      <c r="V124" s="63"/>
    </row>
    <row r="125" spans="1:22" ht="15.75" customHeight="1">
      <c r="A125" s="332"/>
      <c r="B125" s="306"/>
      <c r="C125" s="306"/>
      <c r="D125" s="306"/>
      <c r="E125" s="306"/>
      <c r="F125" s="441" t="s">
        <v>502</v>
      </c>
      <c r="G125" s="487">
        <f>IF($R$5=0,0,G124/$R$5)</f>
        <v>0</v>
      </c>
      <c r="H125" s="442" t="s">
        <v>97</v>
      </c>
      <c r="I125" s="443"/>
      <c r="J125" s="326"/>
      <c r="K125" s="306"/>
      <c r="L125" s="439"/>
      <c r="M125" s="439"/>
      <c r="N125" s="439"/>
      <c r="O125" s="439"/>
      <c r="P125" s="439"/>
      <c r="Q125" s="439"/>
      <c r="R125" s="445"/>
      <c r="S125" s="414"/>
      <c r="U125" s="63"/>
      <c r="V125" s="63"/>
    </row>
    <row r="126" spans="1:22" ht="3.75" customHeight="1" thickBot="1">
      <c r="A126" s="332"/>
      <c r="B126" s="306"/>
      <c r="C126" s="306"/>
      <c r="D126" s="306"/>
      <c r="E126" s="306"/>
      <c r="F126" s="441"/>
      <c r="G126" s="94"/>
      <c r="H126" s="442"/>
      <c r="I126" s="443"/>
      <c r="J126" s="306"/>
      <c r="K126" s="306"/>
      <c r="L126" s="439"/>
      <c r="M126" s="439"/>
      <c r="N126" s="439"/>
      <c r="O126" s="439"/>
      <c r="P126" s="439"/>
      <c r="Q126" s="439"/>
      <c r="R126" s="445"/>
      <c r="S126" s="414"/>
      <c r="U126" s="63"/>
      <c r="V126" s="63"/>
    </row>
    <row r="127" spans="1:22" ht="14.25" customHeight="1" thickBot="1" thickTop="1">
      <c r="A127" s="332"/>
      <c r="B127" s="306"/>
      <c r="C127" s="306"/>
      <c r="D127" s="306"/>
      <c r="E127" s="306"/>
      <c r="F127" s="306"/>
      <c r="G127" s="306"/>
      <c r="H127" s="416"/>
      <c r="I127" s="416"/>
      <c r="J127" s="416"/>
      <c r="K127" s="416"/>
      <c r="L127" s="439"/>
      <c r="M127" s="439"/>
      <c r="N127" s="446" t="s">
        <v>167</v>
      </c>
      <c r="O127" s="890">
        <f>SUM(G122,G125,O122)*100*0.675</f>
        <v>0</v>
      </c>
      <c r="P127" s="886"/>
      <c r="Q127" s="372" t="s">
        <v>100</v>
      </c>
      <c r="R127" s="445"/>
      <c r="S127" s="414"/>
      <c r="U127" s="63"/>
      <c r="V127" s="63"/>
    </row>
    <row r="128" spans="1:22" ht="18" customHeight="1" thickTop="1">
      <c r="A128" s="447" t="s">
        <v>482</v>
      </c>
      <c r="B128" s="448"/>
      <c r="C128" s="448"/>
      <c r="D128" s="448"/>
      <c r="E128" s="448"/>
      <c r="F128" s="448"/>
      <c r="G128" s="448"/>
      <c r="H128" s="306"/>
      <c r="I128" s="306"/>
      <c r="J128" s="306"/>
      <c r="K128" s="306"/>
      <c r="L128" s="437"/>
      <c r="M128" s="306"/>
      <c r="N128" s="306"/>
      <c r="O128" s="306"/>
      <c r="P128" s="306"/>
      <c r="Q128" s="306"/>
      <c r="R128" s="306"/>
      <c r="S128" s="414"/>
      <c r="U128" s="63"/>
      <c r="V128" s="63"/>
    </row>
    <row r="129" spans="1:22" ht="15" customHeight="1">
      <c r="A129" s="332" t="s">
        <v>214</v>
      </c>
      <c r="B129" s="306"/>
      <c r="C129" s="306"/>
      <c r="D129" s="306"/>
      <c r="E129" s="306"/>
      <c r="F129" s="306"/>
      <c r="G129" s="449"/>
      <c r="H129" s="450" t="s">
        <v>100</v>
      </c>
      <c r="I129" s="366"/>
      <c r="J129" s="306"/>
      <c r="K129" s="426" t="s">
        <v>296</v>
      </c>
      <c r="L129" s="306"/>
      <c r="M129" s="306"/>
      <c r="N129" s="306"/>
      <c r="O129" s="438"/>
      <c r="P129" s="357" t="s">
        <v>172</v>
      </c>
      <c r="Q129" s="366"/>
      <c r="R129" s="427"/>
      <c r="S129" s="414"/>
      <c r="U129" s="63"/>
      <c r="V129" s="63"/>
    </row>
    <row r="130" spans="1:22" ht="15" customHeight="1">
      <c r="A130" s="332"/>
      <c r="B130" s="306"/>
      <c r="C130" s="306"/>
      <c r="D130" s="306"/>
      <c r="E130" s="306"/>
      <c r="F130" s="441" t="s">
        <v>502</v>
      </c>
      <c r="G130" s="488">
        <f>IF($R$5=0,0,G129/$R$5)</f>
        <v>0</v>
      </c>
      <c r="H130" s="451" t="s">
        <v>101</v>
      </c>
      <c r="I130" s="443"/>
      <c r="J130" s="326"/>
      <c r="K130" s="94"/>
      <c r="L130" s="161"/>
      <c r="M130" s="306"/>
      <c r="N130" s="441" t="s">
        <v>502</v>
      </c>
      <c r="O130" s="487">
        <f>IF($R$5=0,0,O129/$R$5)</f>
        <v>0</v>
      </c>
      <c r="P130" s="357" t="s">
        <v>173</v>
      </c>
      <c r="Q130" s="443"/>
      <c r="R130" s="444"/>
      <c r="S130" s="414"/>
      <c r="U130" s="63"/>
      <c r="V130" s="63"/>
    </row>
    <row r="131" spans="1:22" ht="6" customHeight="1">
      <c r="A131" s="332"/>
      <c r="B131" s="306"/>
      <c r="C131" s="306"/>
      <c r="D131" s="306"/>
      <c r="E131" s="306"/>
      <c r="F131" s="306"/>
      <c r="G131" s="306"/>
      <c r="H131" s="306"/>
      <c r="I131" s="306"/>
      <c r="J131" s="357"/>
      <c r="K131" s="306"/>
      <c r="L131" s="161"/>
      <c r="M131" s="306"/>
      <c r="N131" s="306"/>
      <c r="O131" s="366"/>
      <c r="P131" s="306"/>
      <c r="Q131" s="366"/>
      <c r="R131" s="427"/>
      <c r="S131" s="414"/>
      <c r="U131" s="63"/>
      <c r="V131" s="63"/>
    </row>
    <row r="132" spans="1:22" ht="15" customHeight="1">
      <c r="A132" s="333" t="s">
        <v>215</v>
      </c>
      <c r="B132" s="306"/>
      <c r="C132" s="306"/>
      <c r="D132" s="431"/>
      <c r="E132" s="431"/>
      <c r="F132" s="431"/>
      <c r="G132" s="449"/>
      <c r="H132" s="357" t="s">
        <v>103</v>
      </c>
      <c r="I132" s="366"/>
      <c r="J132" s="326"/>
      <c r="K132" s="306" t="s">
        <v>297</v>
      </c>
      <c r="L132" s="161"/>
      <c r="M132" s="306"/>
      <c r="N132" s="306"/>
      <c r="O132" s="438"/>
      <c r="P132" s="326" t="s">
        <v>174</v>
      </c>
      <c r="Q132" s="366"/>
      <c r="R132" s="427"/>
      <c r="S132" s="414"/>
      <c r="U132" s="63"/>
      <c r="V132" s="63"/>
    </row>
    <row r="133" spans="1:22" ht="15" customHeight="1">
      <c r="A133" s="332"/>
      <c r="B133" s="452"/>
      <c r="C133" s="452"/>
      <c r="D133" s="452"/>
      <c r="E133" s="452"/>
      <c r="F133" s="441" t="s">
        <v>502</v>
      </c>
      <c r="G133" s="488">
        <f>IF($R$5=0,0,G132/$R$5)</f>
        <v>0</v>
      </c>
      <c r="H133" s="357" t="s">
        <v>104</v>
      </c>
      <c r="I133" s="443"/>
      <c r="J133" s="326"/>
      <c r="K133" s="306"/>
      <c r="L133" s="437"/>
      <c r="M133" s="306"/>
      <c r="N133" s="441" t="s">
        <v>502</v>
      </c>
      <c r="O133" s="487">
        <f>IF($R$5=0,0,O132/$R$5)</f>
        <v>0</v>
      </c>
      <c r="P133" s="306" t="s">
        <v>175</v>
      </c>
      <c r="Q133" s="443"/>
      <c r="R133" s="444"/>
      <c r="S133" s="414"/>
      <c r="U133" s="63"/>
      <c r="V133" s="63"/>
    </row>
    <row r="134" spans="1:22" ht="6.75" customHeight="1">
      <c r="A134" s="332"/>
      <c r="B134" s="452"/>
      <c r="C134" s="452"/>
      <c r="D134" s="452"/>
      <c r="E134" s="452"/>
      <c r="F134" s="452"/>
      <c r="G134" s="453"/>
      <c r="H134" s="453"/>
      <c r="I134" s="306"/>
      <c r="J134" s="357"/>
      <c r="K134" s="306"/>
      <c r="L134" s="437"/>
      <c r="M134" s="306"/>
      <c r="N134" s="306"/>
      <c r="O134" s="306"/>
      <c r="P134" s="306"/>
      <c r="Q134" s="306"/>
      <c r="R134" s="306"/>
      <c r="S134" s="414"/>
      <c r="U134" s="63"/>
      <c r="V134" s="63"/>
    </row>
    <row r="135" spans="1:22" ht="13.5" customHeight="1">
      <c r="A135" s="454" t="s">
        <v>294</v>
      </c>
      <c r="B135" s="306"/>
      <c r="C135" s="306"/>
      <c r="D135" s="306"/>
      <c r="E135" s="306"/>
      <c r="F135" s="306"/>
      <c r="G135" s="449"/>
      <c r="H135" s="357" t="s">
        <v>170</v>
      </c>
      <c r="I135" s="366"/>
      <c r="J135" s="357"/>
      <c r="K135" s="306"/>
      <c r="L135" s="437"/>
      <c r="M135" s="306"/>
      <c r="N135" s="306"/>
      <c r="O135" s="306"/>
      <c r="P135" s="306"/>
      <c r="Q135" s="306"/>
      <c r="R135" s="306"/>
      <c r="S135" s="414"/>
      <c r="U135" s="63"/>
      <c r="V135" s="63"/>
    </row>
    <row r="136" spans="1:22" ht="13.5" customHeight="1">
      <c r="A136" s="455"/>
      <c r="B136" s="161"/>
      <c r="C136" s="306"/>
      <c r="D136" s="306"/>
      <c r="E136" s="306"/>
      <c r="F136" s="441" t="s">
        <v>502</v>
      </c>
      <c r="G136" s="488">
        <f>IF($R$5=0,0,G135/$R$5)</f>
        <v>0</v>
      </c>
      <c r="H136" s="357" t="s">
        <v>171</v>
      </c>
      <c r="I136" s="443"/>
      <c r="J136" s="326"/>
      <c r="K136" s="306"/>
      <c r="L136" s="437"/>
      <c r="M136" s="306"/>
      <c r="N136" s="306"/>
      <c r="O136" s="306"/>
      <c r="P136" s="306"/>
      <c r="Q136" s="306"/>
      <c r="R136" s="306"/>
      <c r="S136" s="414"/>
      <c r="U136" s="63"/>
      <c r="V136" s="63"/>
    </row>
    <row r="137" spans="1:22" ht="6" customHeight="1" thickBot="1">
      <c r="A137" s="332"/>
      <c r="B137" s="452"/>
      <c r="C137" s="452"/>
      <c r="D137" s="452"/>
      <c r="E137" s="452"/>
      <c r="F137" s="452"/>
      <c r="G137" s="453"/>
      <c r="H137" s="453"/>
      <c r="I137" s="306"/>
      <c r="J137" s="357"/>
      <c r="K137" s="306"/>
      <c r="L137" s="437"/>
      <c r="M137" s="306"/>
      <c r="N137" s="306"/>
      <c r="O137" s="306"/>
      <c r="P137" s="306"/>
      <c r="Q137" s="306"/>
      <c r="R137" s="306"/>
      <c r="S137" s="414"/>
      <c r="U137" s="63"/>
      <c r="V137" s="63"/>
    </row>
    <row r="138" spans="1:22" ht="13.5" customHeight="1" thickBot="1" thickTop="1">
      <c r="A138" s="332"/>
      <c r="B138" s="306"/>
      <c r="C138" s="306"/>
      <c r="D138" s="419"/>
      <c r="E138" s="419"/>
      <c r="F138" s="419"/>
      <c r="G138" s="306"/>
      <c r="H138" s="416"/>
      <c r="I138" s="416"/>
      <c r="J138" s="416"/>
      <c r="K138" s="416"/>
      <c r="L138" s="416"/>
      <c r="M138" s="306"/>
      <c r="N138" s="446" t="s">
        <v>168</v>
      </c>
      <c r="O138" s="890">
        <f>SUM(G130,G133,G136,O130,O133)*100*0.675</f>
        <v>0</v>
      </c>
      <c r="P138" s="886"/>
      <c r="Q138" s="326" t="s">
        <v>176</v>
      </c>
      <c r="R138" s="306"/>
      <c r="S138" s="414"/>
      <c r="U138" s="63"/>
      <c r="V138" s="63"/>
    </row>
    <row r="139" spans="1:22" ht="4.5" customHeight="1" thickBot="1" thickTop="1">
      <c r="A139" s="332"/>
      <c r="B139" s="452"/>
      <c r="C139" s="452"/>
      <c r="D139" s="452"/>
      <c r="E139" s="452"/>
      <c r="F139" s="452"/>
      <c r="G139" s="453"/>
      <c r="H139" s="453"/>
      <c r="I139" s="306"/>
      <c r="J139" s="357"/>
      <c r="K139" s="306"/>
      <c r="L139" s="437"/>
      <c r="M139" s="306"/>
      <c r="N139" s="306"/>
      <c r="O139" s="306"/>
      <c r="P139" s="306"/>
      <c r="Q139" s="306"/>
      <c r="R139" s="306"/>
      <c r="S139" s="420"/>
      <c r="U139" s="63"/>
      <c r="V139" s="63"/>
    </row>
    <row r="140" spans="1:22" ht="15" customHeight="1" thickBot="1">
      <c r="A140" s="350" t="s">
        <v>169</v>
      </c>
      <c r="B140" s="351"/>
      <c r="C140" s="351"/>
      <c r="D140" s="351"/>
      <c r="E140" s="351"/>
      <c r="F140" s="351"/>
      <c r="G140" s="351"/>
      <c r="H140" s="351"/>
      <c r="I140" s="351"/>
      <c r="J140" s="351"/>
      <c r="K140" s="351"/>
      <c r="L140" s="456"/>
      <c r="M140" s="351"/>
      <c r="N140" s="351"/>
      <c r="O140" s="351"/>
      <c r="P140" s="351"/>
      <c r="Q140" s="354" t="s">
        <v>377</v>
      </c>
      <c r="R140" s="1319">
        <f>SUM(O127,O138)</f>
        <v>0</v>
      </c>
      <c r="S140" s="1320"/>
      <c r="U140" s="63"/>
      <c r="V140" s="63"/>
    </row>
    <row r="141" spans="1:22" ht="18.75" customHeight="1" thickBot="1">
      <c r="A141" s="883" t="s">
        <v>52</v>
      </c>
      <c r="B141" s="884"/>
      <c r="C141" s="884"/>
      <c r="D141" s="884"/>
      <c r="E141" s="884"/>
      <c r="F141" s="884"/>
      <c r="G141" s="884"/>
      <c r="H141" s="884"/>
      <c r="I141" s="884"/>
      <c r="J141" s="884"/>
      <c r="K141" s="884"/>
      <c r="L141" s="884"/>
      <c r="M141" s="884"/>
      <c r="N141" s="884"/>
      <c r="O141" s="884"/>
      <c r="P141" s="884"/>
      <c r="Q141" s="884"/>
      <c r="R141" s="884"/>
      <c r="S141" s="885"/>
      <c r="U141" s="63"/>
      <c r="V141" s="63"/>
    </row>
    <row r="142" spans="1:22" ht="13.5" customHeight="1" thickBot="1">
      <c r="A142" s="457" t="s">
        <v>437</v>
      </c>
      <c r="B142" s="458"/>
      <c r="C142" s="458"/>
      <c r="D142" s="1144" t="s">
        <v>432</v>
      </c>
      <c r="E142" s="1144"/>
      <c r="F142" s="1144"/>
      <c r="G142" s="1144"/>
      <c r="H142" s="1144"/>
      <c r="I142" s="1144"/>
      <c r="J142" s="1144"/>
      <c r="K142" s="1144"/>
      <c r="L142" s="1286"/>
      <c r="M142" s="459" t="s">
        <v>250</v>
      </c>
      <c r="N142" s="460"/>
      <c r="O142" s="460"/>
      <c r="P142" s="460"/>
      <c r="Q142" s="460" t="s">
        <v>44</v>
      </c>
      <c r="R142" s="460"/>
      <c r="S142" s="461"/>
      <c r="U142" s="63"/>
      <c r="V142" s="63"/>
    </row>
    <row r="143" spans="1:22" ht="16.5" customHeight="1" thickTop="1">
      <c r="A143" s="462"/>
      <c r="B143" s="463"/>
      <c r="C143" s="463"/>
      <c r="D143" s="1287"/>
      <c r="E143" s="1287"/>
      <c r="F143" s="1287"/>
      <c r="G143" s="1287"/>
      <c r="H143" s="1287"/>
      <c r="I143" s="1287"/>
      <c r="J143" s="1287"/>
      <c r="K143" s="1287"/>
      <c r="L143" s="1288"/>
      <c r="M143" s="1090" t="s">
        <v>47</v>
      </c>
      <c r="N143" s="1707"/>
      <c r="O143" s="1707"/>
      <c r="P143" s="1707"/>
      <c r="Q143" s="1707"/>
      <c r="R143" s="1707"/>
      <c r="S143" s="1708"/>
      <c r="U143" s="63"/>
      <c r="V143" s="63"/>
    </row>
    <row r="144" spans="1:22" ht="69" customHeight="1" thickBot="1">
      <c r="A144" s="1088" t="s">
        <v>847</v>
      </c>
      <c r="B144" s="1089"/>
      <c r="C144" s="1089"/>
      <c r="D144" s="1089"/>
      <c r="E144" s="1089"/>
      <c r="F144" s="1089"/>
      <c r="G144" s="1089"/>
      <c r="H144" s="1089"/>
      <c r="I144" s="1089"/>
      <c r="J144" s="1089"/>
      <c r="K144" s="1089"/>
      <c r="L144" s="1305"/>
      <c r="M144" s="1709"/>
      <c r="N144" s="1710"/>
      <c r="O144" s="1710"/>
      <c r="P144" s="1710"/>
      <c r="Q144" s="1710"/>
      <c r="R144" s="1710"/>
      <c r="S144" s="1711"/>
      <c r="U144" s="63"/>
      <c r="V144" s="63"/>
    </row>
    <row r="145" spans="1:22" ht="13.5" customHeight="1" thickTop="1">
      <c r="A145" s="464"/>
      <c r="B145" s="465"/>
      <c r="C145" s="465"/>
      <c r="D145" s="465"/>
      <c r="E145" s="465"/>
      <c r="F145" s="465"/>
      <c r="G145" s="465"/>
      <c r="H145" s="465"/>
      <c r="I145" s="465"/>
      <c r="J145" s="465"/>
      <c r="K145" s="465"/>
      <c r="L145" s="466"/>
      <c r="M145" s="929"/>
      <c r="N145" s="930"/>
      <c r="O145" s="930"/>
      <c r="P145" s="930"/>
      <c r="Q145" s="930"/>
      <c r="R145" s="930"/>
      <c r="S145" s="931"/>
      <c r="U145" s="63"/>
      <c r="V145" s="63"/>
    </row>
    <row r="146" spans="1:22" ht="27" customHeight="1">
      <c r="A146" s="464"/>
      <c r="B146" s="1750" t="s">
        <v>727</v>
      </c>
      <c r="C146" s="1750"/>
      <c r="D146" s="1750"/>
      <c r="E146" s="1750"/>
      <c r="F146" s="1750"/>
      <c r="G146" s="1750"/>
      <c r="H146" s="1750"/>
      <c r="I146" s="465"/>
      <c r="J146" s="465"/>
      <c r="K146" s="465"/>
      <c r="L146" s="466"/>
      <c r="M146" s="932"/>
      <c r="N146" s="933"/>
      <c r="O146" s="933"/>
      <c r="P146" s="933"/>
      <c r="Q146" s="933"/>
      <c r="R146" s="933"/>
      <c r="S146" s="934"/>
      <c r="U146" s="63"/>
      <c r="V146" s="63"/>
    </row>
    <row r="147" spans="1:22" ht="13.5" customHeight="1">
      <c r="A147" s="464"/>
      <c r="B147" s="1750"/>
      <c r="C147" s="1750"/>
      <c r="D147" s="1750"/>
      <c r="E147" s="1750"/>
      <c r="F147" s="1750"/>
      <c r="G147" s="1750"/>
      <c r="H147" s="1750"/>
      <c r="I147" s="1084">
        <v>0</v>
      </c>
      <c r="J147" s="1085"/>
      <c r="K147" s="467" t="s">
        <v>242</v>
      </c>
      <c r="L147" s="466"/>
      <c r="M147" s="932"/>
      <c r="N147" s="933"/>
      <c r="O147" s="933"/>
      <c r="P147" s="933"/>
      <c r="Q147" s="933"/>
      <c r="R147" s="933"/>
      <c r="S147" s="934"/>
      <c r="U147" s="63"/>
      <c r="V147" s="63"/>
    </row>
    <row r="148" spans="1:22" ht="14.25" customHeight="1">
      <c r="A148" s="464"/>
      <c r="B148" s="1760" t="s">
        <v>225</v>
      </c>
      <c r="C148" s="1760"/>
      <c r="D148" s="1760"/>
      <c r="E148" s="1760"/>
      <c r="F148" s="1760"/>
      <c r="G148" s="1760"/>
      <c r="H148" s="1760"/>
      <c r="I148" s="1084">
        <v>0</v>
      </c>
      <c r="J148" s="1085"/>
      <c r="K148" s="467" t="s">
        <v>243</v>
      </c>
      <c r="L148" s="466"/>
      <c r="M148" s="932"/>
      <c r="N148" s="933"/>
      <c r="O148" s="933"/>
      <c r="P148" s="933"/>
      <c r="Q148" s="933"/>
      <c r="R148" s="933"/>
      <c r="S148" s="934"/>
      <c r="U148" s="63"/>
      <c r="V148" s="63"/>
    </row>
    <row r="149" spans="1:22" ht="4.5" customHeight="1" thickBot="1">
      <c r="A149" s="464"/>
      <c r="B149" s="468"/>
      <c r="C149" s="468"/>
      <c r="D149" s="468"/>
      <c r="E149" s="468"/>
      <c r="F149" s="468"/>
      <c r="G149" s="468"/>
      <c r="H149" s="468"/>
      <c r="I149" s="469"/>
      <c r="J149" s="469"/>
      <c r="K149" s="467"/>
      <c r="L149" s="466"/>
      <c r="M149" s="932"/>
      <c r="N149" s="933"/>
      <c r="O149" s="933"/>
      <c r="P149" s="933"/>
      <c r="Q149" s="933"/>
      <c r="R149" s="933"/>
      <c r="S149" s="934"/>
      <c r="U149" s="63"/>
      <c r="V149" s="63"/>
    </row>
    <row r="150" spans="1:22" ht="15" thickTop="1">
      <c r="A150" s="470"/>
      <c r="B150" s="471"/>
      <c r="C150" s="471"/>
      <c r="D150" s="471"/>
      <c r="E150" s="471"/>
      <c r="F150" s="471"/>
      <c r="G150" s="472"/>
      <c r="H150" s="472" t="s">
        <v>843</v>
      </c>
      <c r="I150" s="1142">
        <f>IF(I147=0,0,I148/I147)</f>
        <v>0</v>
      </c>
      <c r="J150" s="1143"/>
      <c r="K150" s="473" t="s">
        <v>244</v>
      </c>
      <c r="L150" s="474"/>
      <c r="M150" s="932"/>
      <c r="N150" s="933"/>
      <c r="O150" s="933"/>
      <c r="P150" s="933"/>
      <c r="Q150" s="933"/>
      <c r="R150" s="933"/>
      <c r="S150" s="934"/>
      <c r="U150" s="63"/>
      <c r="V150" s="63"/>
    </row>
    <row r="151" spans="1:22" ht="6" customHeight="1">
      <c r="A151" s="470"/>
      <c r="B151" s="471"/>
      <c r="C151" s="475"/>
      <c r="D151" s="475"/>
      <c r="E151" s="475"/>
      <c r="F151" s="475"/>
      <c r="G151" s="475"/>
      <c r="H151" s="475"/>
      <c r="I151" s="475"/>
      <c r="J151" s="475"/>
      <c r="K151" s="465"/>
      <c r="L151" s="476"/>
      <c r="M151" s="932"/>
      <c r="N151" s="933"/>
      <c r="O151" s="933"/>
      <c r="P151" s="933"/>
      <c r="Q151" s="933"/>
      <c r="R151" s="933"/>
      <c r="S151" s="934"/>
      <c r="U151" s="63"/>
      <c r="V151" s="63"/>
    </row>
    <row r="152" spans="1:21" ht="14.25" customHeight="1" thickBot="1">
      <c r="A152" s="1740" t="s">
        <v>846</v>
      </c>
      <c r="B152" s="1741"/>
      <c r="C152" s="1741"/>
      <c r="D152" s="1741"/>
      <c r="E152" s="1741"/>
      <c r="F152" s="1741"/>
      <c r="G152" s="1741"/>
      <c r="H152" s="306"/>
      <c r="I152" s="306"/>
      <c r="J152" s="306"/>
      <c r="K152" s="471"/>
      <c r="L152" s="476"/>
      <c r="M152" s="932"/>
      <c r="N152" s="933"/>
      <c r="O152" s="933"/>
      <c r="P152" s="933"/>
      <c r="Q152" s="933"/>
      <c r="R152" s="933"/>
      <c r="S152" s="934"/>
      <c r="U152" s="63"/>
    </row>
    <row r="153" spans="1:21" ht="14.25" customHeight="1" thickBot="1" thickTop="1">
      <c r="A153" s="1740"/>
      <c r="B153" s="1741"/>
      <c r="C153" s="1741"/>
      <c r="D153" s="1741"/>
      <c r="E153" s="1741"/>
      <c r="F153" s="1741"/>
      <c r="G153" s="1741"/>
      <c r="H153" s="1146">
        <f>I150*5</f>
        <v>0</v>
      </c>
      <c r="I153" s="1147"/>
      <c r="J153" s="473" t="s">
        <v>245</v>
      </c>
      <c r="K153" s="471"/>
      <c r="L153" s="476"/>
      <c r="M153" s="932"/>
      <c r="N153" s="933"/>
      <c r="O153" s="933"/>
      <c r="P153" s="933"/>
      <c r="Q153" s="933"/>
      <c r="R153" s="933"/>
      <c r="S153" s="934"/>
      <c r="U153" s="63"/>
    </row>
    <row r="154" spans="1:21" ht="18" customHeight="1" thickTop="1">
      <c r="A154" s="470"/>
      <c r="B154" s="471"/>
      <c r="C154" s="471"/>
      <c r="D154" s="471"/>
      <c r="E154" s="471"/>
      <c r="F154" s="471"/>
      <c r="G154" s="472"/>
      <c r="H154" s="477"/>
      <c r="I154" s="471"/>
      <c r="J154" s="471"/>
      <c r="K154" s="471"/>
      <c r="L154" s="476"/>
      <c r="M154" s="932"/>
      <c r="N154" s="933"/>
      <c r="O154" s="933"/>
      <c r="P154" s="933"/>
      <c r="Q154" s="933"/>
      <c r="R154" s="933"/>
      <c r="S154" s="934"/>
      <c r="U154" s="63"/>
    </row>
    <row r="155" spans="1:21" ht="50.25" customHeight="1">
      <c r="A155" s="470"/>
      <c r="B155" s="478"/>
      <c r="C155" s="922" t="s">
        <v>16</v>
      </c>
      <c r="D155" s="920"/>
      <c r="E155" s="920"/>
      <c r="F155" s="920"/>
      <c r="G155" s="920"/>
      <c r="H155" s="920"/>
      <c r="I155" s="920"/>
      <c r="J155" s="921"/>
      <c r="K155" s="471"/>
      <c r="L155" s="476">
        <f>IF(L161=1,5,"")</f>
      </c>
      <c r="M155" s="932"/>
      <c r="N155" s="933"/>
      <c r="O155" s="933"/>
      <c r="P155" s="933"/>
      <c r="Q155" s="933"/>
      <c r="R155" s="933"/>
      <c r="S155" s="934"/>
      <c r="U155" s="63"/>
    </row>
    <row r="156" spans="1:21" ht="41.25" customHeight="1">
      <c r="A156" s="470"/>
      <c r="B156" s="478"/>
      <c r="C156" s="922" t="s">
        <v>17</v>
      </c>
      <c r="D156" s="920"/>
      <c r="E156" s="920"/>
      <c r="F156" s="920"/>
      <c r="G156" s="920"/>
      <c r="H156" s="920"/>
      <c r="I156" s="920"/>
      <c r="J156" s="921"/>
      <c r="K156" s="471"/>
      <c r="L156" s="476">
        <f>IF($L$161=2,4,"")</f>
      </c>
      <c r="M156" s="932"/>
      <c r="N156" s="933"/>
      <c r="O156" s="933"/>
      <c r="P156" s="933"/>
      <c r="Q156" s="933"/>
      <c r="R156" s="933"/>
      <c r="S156" s="934"/>
      <c r="U156" s="63"/>
    </row>
    <row r="157" spans="1:21" ht="41.25" customHeight="1">
      <c r="A157" s="470"/>
      <c r="B157" s="478"/>
      <c r="C157" s="922" t="s">
        <v>18</v>
      </c>
      <c r="D157" s="920"/>
      <c r="E157" s="920"/>
      <c r="F157" s="920"/>
      <c r="G157" s="920"/>
      <c r="H157" s="920"/>
      <c r="I157" s="920"/>
      <c r="J157" s="921"/>
      <c r="K157" s="471"/>
      <c r="L157" s="476">
        <f>IF($L$161=3,3,"")</f>
      </c>
      <c r="M157" s="932"/>
      <c r="N157" s="933"/>
      <c r="O157" s="933"/>
      <c r="P157" s="933"/>
      <c r="Q157" s="933"/>
      <c r="R157" s="933"/>
      <c r="S157" s="934"/>
      <c r="U157" s="63"/>
    </row>
    <row r="158" spans="1:21" ht="41.25" customHeight="1">
      <c r="A158" s="470"/>
      <c r="B158" s="478"/>
      <c r="C158" s="922" t="s">
        <v>19</v>
      </c>
      <c r="D158" s="920"/>
      <c r="E158" s="920"/>
      <c r="F158" s="920"/>
      <c r="G158" s="920"/>
      <c r="H158" s="920"/>
      <c r="I158" s="920"/>
      <c r="J158" s="921"/>
      <c r="K158" s="471"/>
      <c r="L158" s="476">
        <f>IF($L$161=4,2,"")</f>
      </c>
      <c r="M158" s="932"/>
      <c r="N158" s="933"/>
      <c r="O158" s="933"/>
      <c r="P158" s="933"/>
      <c r="Q158" s="933"/>
      <c r="R158" s="933"/>
      <c r="S158" s="934"/>
      <c r="U158" s="63"/>
    </row>
    <row r="159" spans="1:21" ht="21.75" customHeight="1">
      <c r="A159" s="470"/>
      <c r="B159" s="478"/>
      <c r="C159" s="922" t="s">
        <v>20</v>
      </c>
      <c r="D159" s="920"/>
      <c r="E159" s="920"/>
      <c r="F159" s="920"/>
      <c r="G159" s="920"/>
      <c r="H159" s="920"/>
      <c r="I159" s="920"/>
      <c r="J159" s="921"/>
      <c r="K159" s="471"/>
      <c r="L159" s="476">
        <f>IF($L$161=5,0,"")</f>
        <v>0</v>
      </c>
      <c r="M159" s="932"/>
      <c r="N159" s="933"/>
      <c r="O159" s="933"/>
      <c r="P159" s="933"/>
      <c r="Q159" s="933"/>
      <c r="R159" s="933"/>
      <c r="S159" s="934"/>
      <c r="U159" s="63"/>
    </row>
    <row r="160" spans="1:21" ht="8.25" customHeight="1" thickBot="1">
      <c r="A160" s="470"/>
      <c r="B160" s="471"/>
      <c r="C160" s="479"/>
      <c r="D160" s="479"/>
      <c r="E160" s="479"/>
      <c r="F160" s="479"/>
      <c r="G160" s="479"/>
      <c r="H160" s="479"/>
      <c r="I160" s="479"/>
      <c r="J160" s="479"/>
      <c r="K160" s="471"/>
      <c r="L160" s="476"/>
      <c r="M160" s="932"/>
      <c r="N160" s="933"/>
      <c r="O160" s="933"/>
      <c r="P160" s="933"/>
      <c r="Q160" s="933"/>
      <c r="R160" s="933"/>
      <c r="S160" s="934"/>
      <c r="U160" s="63"/>
    </row>
    <row r="161" spans="1:21" ht="13.5" customHeight="1" thickBot="1" thickTop="1">
      <c r="A161" s="470"/>
      <c r="B161" s="471"/>
      <c r="C161" s="471"/>
      <c r="D161" s="471"/>
      <c r="E161" s="471"/>
      <c r="F161" s="471"/>
      <c r="G161" s="480" t="s">
        <v>229</v>
      </c>
      <c r="H161" s="1196">
        <f>MAX(L155:L158)</f>
        <v>0</v>
      </c>
      <c r="I161" s="1197"/>
      <c r="J161" s="473" t="s">
        <v>248</v>
      </c>
      <c r="K161" s="471"/>
      <c r="L161" s="476">
        <v>5</v>
      </c>
      <c r="M161" s="932"/>
      <c r="N161" s="933"/>
      <c r="O161" s="933"/>
      <c r="P161" s="933"/>
      <c r="Q161" s="933"/>
      <c r="R161" s="933"/>
      <c r="S161" s="934"/>
      <c r="U161" s="63"/>
    </row>
    <row r="162" spans="1:21" ht="12" customHeight="1" thickTop="1">
      <c r="A162" s="470"/>
      <c r="B162" s="471"/>
      <c r="C162" s="471"/>
      <c r="D162" s="306"/>
      <c r="E162" s="306"/>
      <c r="F162" s="306"/>
      <c r="G162" s="306"/>
      <c r="H162" s="306"/>
      <c r="I162" s="306"/>
      <c r="J162" s="306"/>
      <c r="K162" s="471"/>
      <c r="L162" s="476"/>
      <c r="M162" s="932"/>
      <c r="N162" s="933"/>
      <c r="O162" s="933"/>
      <c r="P162" s="933"/>
      <c r="Q162" s="933"/>
      <c r="R162" s="933"/>
      <c r="S162" s="934"/>
      <c r="U162" s="63"/>
    </row>
    <row r="163" spans="1:21" ht="12.75" customHeight="1">
      <c r="A163" s="470"/>
      <c r="B163" s="471"/>
      <c r="C163" s="475" t="s">
        <v>412</v>
      </c>
      <c r="D163" s="306"/>
      <c r="E163" s="475"/>
      <c r="F163" s="475"/>
      <c r="G163" s="475"/>
      <c r="H163" s="475"/>
      <c r="I163" s="475"/>
      <c r="J163" s="475"/>
      <c r="K163" s="471"/>
      <c r="L163" s="476"/>
      <c r="M163" s="932"/>
      <c r="N163" s="933"/>
      <c r="O163" s="933"/>
      <c r="P163" s="933"/>
      <c r="Q163" s="933"/>
      <c r="R163" s="933"/>
      <c r="S163" s="934"/>
      <c r="U163" s="63"/>
    </row>
    <row r="164" spans="1:21" ht="2.25" customHeight="1">
      <c r="A164" s="470"/>
      <c r="B164" s="471"/>
      <c r="C164" s="471"/>
      <c r="D164" s="475"/>
      <c r="E164" s="475"/>
      <c r="F164" s="475"/>
      <c r="G164" s="475"/>
      <c r="H164" s="475"/>
      <c r="I164" s="475"/>
      <c r="J164" s="475"/>
      <c r="K164" s="471"/>
      <c r="L164" s="476"/>
      <c r="M164" s="932"/>
      <c r="N164" s="933"/>
      <c r="O164" s="933"/>
      <c r="P164" s="933"/>
      <c r="Q164" s="933"/>
      <c r="R164" s="933"/>
      <c r="S164" s="934"/>
      <c r="U164" s="63"/>
    </row>
    <row r="165" spans="1:21" ht="14.25">
      <c r="A165" s="470"/>
      <c r="B165" s="471"/>
      <c r="C165" s="471"/>
      <c r="D165" s="471"/>
      <c r="E165" s="1139"/>
      <c r="F165" s="1140"/>
      <c r="G165" s="1140"/>
      <c r="H165" s="1140"/>
      <c r="I165" s="1140"/>
      <c r="J165" s="1141"/>
      <c r="K165" s="471"/>
      <c r="L165" s="476"/>
      <c r="M165" s="932"/>
      <c r="N165" s="933"/>
      <c r="O165" s="933"/>
      <c r="P165" s="933"/>
      <c r="Q165" s="933"/>
      <c r="R165" s="933"/>
      <c r="S165" s="934"/>
      <c r="U165" s="63"/>
    </row>
    <row r="166" spans="1:21" ht="15.75" customHeight="1">
      <c r="A166" s="470"/>
      <c r="B166" s="471"/>
      <c r="C166" s="481" t="s">
        <v>647</v>
      </c>
      <c r="D166" s="471"/>
      <c r="E166" s="176"/>
      <c r="F166" s="176"/>
      <c r="G166" s="176"/>
      <c r="H166" s="176"/>
      <c r="I166" s="176"/>
      <c r="J166" s="176"/>
      <c r="K166" s="471"/>
      <c r="L166" s="476"/>
      <c r="M166" s="932"/>
      <c r="N166" s="933"/>
      <c r="O166" s="933"/>
      <c r="P166" s="933"/>
      <c r="Q166" s="933"/>
      <c r="R166" s="933"/>
      <c r="S166" s="934"/>
      <c r="U166" s="63"/>
    </row>
    <row r="167" spans="1:21" ht="16.5" customHeight="1">
      <c r="A167" s="470"/>
      <c r="B167" s="471"/>
      <c r="C167" s="471"/>
      <c r="D167" s="471"/>
      <c r="E167" s="1198"/>
      <c r="F167" s="1199"/>
      <c r="G167" s="1199"/>
      <c r="H167" s="1199"/>
      <c r="I167" s="1199"/>
      <c r="J167" s="1200"/>
      <c r="K167" s="471"/>
      <c r="L167" s="476"/>
      <c r="M167" s="932"/>
      <c r="N167" s="933"/>
      <c r="O167" s="933"/>
      <c r="P167" s="933"/>
      <c r="Q167" s="933"/>
      <c r="R167" s="933"/>
      <c r="S167" s="934"/>
      <c r="U167" s="63"/>
    </row>
    <row r="168" spans="1:21" ht="7.5" customHeight="1" thickBot="1">
      <c r="A168" s="470"/>
      <c r="B168" s="471"/>
      <c r="C168" s="471"/>
      <c r="D168" s="471"/>
      <c r="E168" s="471"/>
      <c r="F168" s="471"/>
      <c r="G168" s="472"/>
      <c r="H168" s="482"/>
      <c r="I168" s="471"/>
      <c r="J168" s="471"/>
      <c r="K168" s="471"/>
      <c r="L168" s="476"/>
      <c r="M168" s="932"/>
      <c r="N168" s="933"/>
      <c r="O168" s="933"/>
      <c r="P168" s="933"/>
      <c r="Q168" s="933"/>
      <c r="R168" s="933"/>
      <c r="S168" s="934"/>
      <c r="U168" s="63"/>
    </row>
    <row r="169" spans="1:21" ht="15.75" thickBot="1">
      <c r="A169" s="483" t="s">
        <v>710</v>
      </c>
      <c r="B169" s="484"/>
      <c r="C169" s="484"/>
      <c r="D169" s="484"/>
      <c r="E169" s="484"/>
      <c r="F169" s="484"/>
      <c r="G169" s="484"/>
      <c r="H169" s="484"/>
      <c r="I169" s="351"/>
      <c r="J169" s="485" t="s">
        <v>419</v>
      </c>
      <c r="K169" s="1076">
        <f>H153+H161</f>
        <v>0</v>
      </c>
      <c r="L169" s="1077"/>
      <c r="M169" s="935"/>
      <c r="N169" s="936"/>
      <c r="O169" s="936"/>
      <c r="P169" s="936"/>
      <c r="Q169" s="936"/>
      <c r="R169" s="936"/>
      <c r="S169" s="937"/>
      <c r="U169" s="63"/>
    </row>
    <row r="170" spans="1:19" ht="12.75">
      <c r="A170" s="42"/>
      <c r="B170" s="42"/>
      <c r="C170" s="42"/>
      <c r="D170" s="42"/>
      <c r="E170" s="42"/>
      <c r="F170" s="42"/>
      <c r="G170" s="42"/>
      <c r="H170" s="42"/>
      <c r="I170" s="42"/>
      <c r="J170" s="42"/>
      <c r="K170" s="42"/>
      <c r="L170" s="42"/>
      <c r="M170" s="42"/>
      <c r="N170" s="42"/>
      <c r="O170" s="42"/>
      <c r="P170" s="42"/>
      <c r="Q170" s="42"/>
      <c r="R170" s="42"/>
      <c r="S170" s="42"/>
    </row>
    <row r="171" spans="1:19" ht="12.75">
      <c r="A171" s="58" t="str">
        <f>Sheet1!A1</f>
        <v>Canon City, CO Field Office</v>
      </c>
      <c r="B171" s="58"/>
      <c r="C171" s="58"/>
      <c r="D171" s="58"/>
      <c r="E171" s="58"/>
      <c r="F171" s="58"/>
      <c r="G171" s="58"/>
      <c r="H171" s="58" t="str">
        <f>Sheet1!E1</f>
        <v>B. Gohlke</v>
      </c>
      <c r="I171" s="58"/>
      <c r="J171" s="58"/>
      <c r="K171" s="58"/>
      <c r="L171" s="58"/>
      <c r="M171" s="58"/>
      <c r="N171" s="58"/>
      <c r="O171" s="58"/>
      <c r="P171" s="58"/>
      <c r="Q171" s="58"/>
      <c r="R171" s="58"/>
      <c r="S171" s="42"/>
    </row>
    <row r="172" spans="1:19" ht="12.75">
      <c r="A172" s="58" t="str">
        <f>Sheet1!A2</f>
        <v>Cheyenne Wells, CO Field Office</v>
      </c>
      <c r="B172" s="58"/>
      <c r="C172" s="58"/>
      <c r="D172" s="58"/>
      <c r="E172" s="58"/>
      <c r="F172" s="58"/>
      <c r="G172" s="58"/>
      <c r="H172" s="58" t="str">
        <f>Sheet1!E2</f>
        <v>G. Langer</v>
      </c>
      <c r="I172" s="58"/>
      <c r="J172" s="58"/>
      <c r="K172" s="58"/>
      <c r="L172" s="58"/>
      <c r="M172" s="58"/>
      <c r="N172" s="58"/>
      <c r="O172" s="58"/>
      <c r="P172" s="58"/>
      <c r="Q172" s="58"/>
      <c r="R172" s="58"/>
      <c r="S172" s="42"/>
    </row>
    <row r="173" spans="1:19" ht="12.75">
      <c r="A173" s="58" t="str">
        <f>Sheet1!A3</f>
        <v>Colorado Springs, CO Field Office</v>
      </c>
      <c r="B173" s="58"/>
      <c r="C173" s="58"/>
      <c r="D173" s="58"/>
      <c r="E173" s="58"/>
      <c r="F173" s="58"/>
      <c r="G173" s="58"/>
      <c r="H173" s="58" t="str">
        <f>Sheet1!E3</f>
        <v>J. Valentine</v>
      </c>
      <c r="I173" s="58"/>
      <c r="J173" s="58"/>
      <c r="K173" s="58"/>
      <c r="L173" s="58"/>
      <c r="M173" s="58"/>
      <c r="N173" s="58"/>
      <c r="O173" s="58"/>
      <c r="P173" s="58"/>
      <c r="Q173" s="58"/>
      <c r="R173" s="58"/>
      <c r="S173" s="42"/>
    </row>
    <row r="174" spans="1:19" ht="12.75">
      <c r="A174" s="58" t="str">
        <f>Sheet1!A4</f>
        <v>Eads, CO Field Office</v>
      </c>
      <c r="B174" s="58"/>
      <c r="C174" s="58"/>
      <c r="D174" s="58"/>
      <c r="E174" s="58"/>
      <c r="F174" s="58"/>
      <c r="G174" s="58"/>
      <c r="H174" s="58" t="str">
        <f>Sheet1!E4</f>
        <v>R. Castle</v>
      </c>
      <c r="I174" s="58"/>
      <c r="J174" s="58"/>
      <c r="K174" s="58"/>
      <c r="L174" s="58"/>
      <c r="M174" s="58"/>
      <c r="N174" s="58"/>
      <c r="O174" s="58"/>
      <c r="P174" s="58"/>
      <c r="Q174" s="58"/>
      <c r="R174" s="58"/>
      <c r="S174" s="42"/>
    </row>
    <row r="175" spans="1:19" ht="12.75">
      <c r="A175" s="58" t="str">
        <f>Sheet1!A5</f>
        <v>Holly, CO Northeast Prowers SCD</v>
      </c>
      <c r="B175" s="58"/>
      <c r="C175" s="58"/>
      <c r="D175" s="58"/>
      <c r="E175" s="58"/>
      <c r="F175" s="58"/>
      <c r="G175" s="58"/>
      <c r="H175" s="58" t="str">
        <f>Sheet1!E5</f>
        <v>R. Rhoades</v>
      </c>
      <c r="I175" s="58"/>
      <c r="J175" s="58"/>
      <c r="K175" s="58"/>
      <c r="L175" s="58"/>
      <c r="M175" s="58"/>
      <c r="N175" s="58"/>
      <c r="O175" s="58"/>
      <c r="P175" s="58"/>
      <c r="Q175" s="58"/>
      <c r="R175" s="58"/>
      <c r="S175" s="42"/>
    </row>
    <row r="176" spans="1:19" ht="12.75">
      <c r="A176" s="58" t="str">
        <f>Sheet1!A6</f>
        <v>Hugo, CO Field Office</v>
      </c>
      <c r="B176" s="58"/>
      <c r="C176" s="58"/>
      <c r="D176" s="58"/>
      <c r="E176" s="58"/>
      <c r="F176" s="58"/>
      <c r="G176" s="58"/>
      <c r="H176" s="58" t="str">
        <f>Sheet1!E6</f>
        <v>B. Fortman</v>
      </c>
      <c r="I176" s="58"/>
      <c r="J176" s="58"/>
      <c r="K176" s="58"/>
      <c r="L176" s="58"/>
      <c r="M176" s="58"/>
      <c r="N176" s="58"/>
      <c r="O176" s="58"/>
      <c r="P176" s="58"/>
      <c r="Q176" s="58"/>
      <c r="R176" s="58"/>
      <c r="S176" s="42"/>
    </row>
    <row r="177" spans="1:19" ht="12.75">
      <c r="A177" s="58" t="str">
        <f>Sheet1!A7</f>
        <v>Lamar, CO  Field Office</v>
      </c>
      <c r="B177" s="58"/>
      <c r="C177" s="58"/>
      <c r="D177" s="58"/>
      <c r="E177" s="58"/>
      <c r="F177" s="58"/>
      <c r="G177" s="58"/>
      <c r="H177" s="58" t="str">
        <f>Sheet1!E7</f>
        <v>L. Borrego</v>
      </c>
      <c r="I177" s="58"/>
      <c r="J177" s="58"/>
      <c r="K177" s="58"/>
      <c r="L177" s="58"/>
      <c r="M177" s="58"/>
      <c r="N177" s="58"/>
      <c r="O177" s="58"/>
      <c r="P177" s="58"/>
      <c r="Q177" s="58"/>
      <c r="R177" s="58"/>
      <c r="S177" s="42"/>
    </row>
    <row r="178" spans="1:19" ht="12.75">
      <c r="A178" s="58" t="str">
        <f>Sheet1!A8</f>
        <v>Las Animas, CO Field Office</v>
      </c>
      <c r="B178" s="58"/>
      <c r="C178" s="58"/>
      <c r="D178" s="58"/>
      <c r="E178" s="58"/>
      <c r="F178" s="58"/>
      <c r="G178" s="58"/>
      <c r="H178" s="58" t="str">
        <f>Sheet1!E8</f>
        <v>M. Clark</v>
      </c>
      <c r="I178" s="58"/>
      <c r="J178" s="58"/>
      <c r="K178" s="58"/>
      <c r="L178" s="58"/>
      <c r="M178" s="58"/>
      <c r="N178" s="58"/>
      <c r="O178" s="58"/>
      <c r="P178" s="58"/>
      <c r="Q178" s="58"/>
      <c r="R178" s="58"/>
      <c r="S178" s="42"/>
    </row>
    <row r="179" spans="1:19" ht="12.75">
      <c r="A179" s="58" t="str">
        <f>Sheet1!A9</f>
        <v>Pueblo, CO Field Office</v>
      </c>
      <c r="B179" s="58"/>
      <c r="C179" s="58"/>
      <c r="D179" s="58"/>
      <c r="E179" s="58"/>
      <c r="F179" s="58"/>
      <c r="G179" s="58"/>
      <c r="H179" s="58" t="str">
        <f>Sheet1!E9</f>
        <v>B. Klinkerman</v>
      </c>
      <c r="I179" s="58"/>
      <c r="J179" s="58"/>
      <c r="K179" s="58"/>
      <c r="L179" s="58"/>
      <c r="M179" s="58"/>
      <c r="N179" s="58"/>
      <c r="O179" s="58"/>
      <c r="P179" s="58"/>
      <c r="Q179" s="58"/>
      <c r="R179" s="58"/>
      <c r="S179" s="42"/>
    </row>
    <row r="180" spans="1:19" ht="12.75">
      <c r="A180" s="58" t="str">
        <f>Sheet1!A10</f>
        <v>Rocky Ford, CO Field Office</v>
      </c>
      <c r="B180" s="58"/>
      <c r="C180" s="58"/>
      <c r="D180" s="58"/>
      <c r="E180" s="58"/>
      <c r="F180" s="58"/>
      <c r="G180" s="58"/>
      <c r="H180" s="58" t="str">
        <f>Sheet1!E10</f>
        <v>D. Miller</v>
      </c>
      <c r="I180" s="58"/>
      <c r="J180" s="58"/>
      <c r="K180" s="58"/>
      <c r="L180" s="58"/>
      <c r="M180" s="58"/>
      <c r="N180" s="58"/>
      <c r="O180" s="58"/>
      <c r="P180" s="58"/>
      <c r="Q180" s="58"/>
      <c r="R180" s="58"/>
      <c r="S180" s="42"/>
    </row>
    <row r="181" spans="1:19" ht="12.75">
      <c r="A181" s="58" t="str">
        <f>Sheet1!A11</f>
        <v>Salida, CO Field Office</v>
      </c>
      <c r="B181" s="58"/>
      <c r="C181" s="58"/>
      <c r="D181" s="58"/>
      <c r="E181" s="58"/>
      <c r="F181" s="58"/>
      <c r="G181" s="58"/>
      <c r="H181" s="58" t="str">
        <f>Sheet1!E11</f>
        <v>D. Russell</v>
      </c>
      <c r="I181" s="58"/>
      <c r="J181" s="58"/>
      <c r="K181" s="58"/>
      <c r="L181" s="58"/>
      <c r="M181" s="58"/>
      <c r="N181" s="58"/>
      <c r="O181" s="58"/>
      <c r="P181" s="58"/>
      <c r="Q181" s="58"/>
      <c r="R181" s="58"/>
      <c r="S181" s="42"/>
    </row>
    <row r="182" spans="1:19" ht="12.75">
      <c r="A182" s="58" t="str">
        <f>Sheet1!A12</f>
        <v>Silver Cliff, CO Field Office</v>
      </c>
      <c r="B182" s="58"/>
      <c r="C182" s="58"/>
      <c r="D182" s="58"/>
      <c r="E182" s="58"/>
      <c r="F182" s="58"/>
      <c r="G182" s="58"/>
      <c r="H182" s="58" t="str">
        <f>Sheet1!E12</f>
        <v>M. Williams</v>
      </c>
      <c r="I182" s="58"/>
      <c r="J182" s="58"/>
      <c r="K182" s="58"/>
      <c r="L182" s="58"/>
      <c r="M182" s="58"/>
      <c r="N182" s="58"/>
      <c r="O182" s="58"/>
      <c r="P182" s="58"/>
      <c r="Q182" s="58"/>
      <c r="R182" s="58"/>
      <c r="S182" s="42"/>
    </row>
    <row r="183" spans="1:19" ht="12.75">
      <c r="A183" s="58" t="str">
        <f>Sheet1!A13</f>
        <v>Simla, CO Field Office</v>
      </c>
      <c r="B183" s="58"/>
      <c r="C183" s="58"/>
      <c r="D183" s="58"/>
      <c r="E183" s="58"/>
      <c r="F183" s="58"/>
      <c r="G183" s="58"/>
      <c r="H183" s="58" t="str">
        <f>Sheet1!E13</f>
        <v>F. Edens</v>
      </c>
      <c r="I183" s="58"/>
      <c r="J183" s="58"/>
      <c r="K183" s="58"/>
      <c r="L183" s="58"/>
      <c r="M183" s="58"/>
      <c r="N183" s="58"/>
      <c r="O183" s="58"/>
      <c r="P183" s="58"/>
      <c r="Q183" s="58"/>
      <c r="R183" s="58"/>
      <c r="S183" s="42"/>
    </row>
    <row r="184" spans="1:19" ht="12.75">
      <c r="A184" s="58" t="str">
        <f>Sheet1!A14</f>
        <v>Springfield, CO Field Office</v>
      </c>
      <c r="B184" s="58"/>
      <c r="C184" s="58"/>
      <c r="D184" s="58"/>
      <c r="E184" s="58"/>
      <c r="F184" s="58"/>
      <c r="G184" s="58"/>
      <c r="H184" s="58" t="str">
        <f>Sheet1!E14</f>
        <v>J. "Wade" Sigler</v>
      </c>
      <c r="I184" s="58"/>
      <c r="J184" s="58"/>
      <c r="K184" s="58"/>
      <c r="L184" s="58"/>
      <c r="M184" s="58"/>
      <c r="N184" s="58"/>
      <c r="O184" s="58"/>
      <c r="P184" s="58"/>
      <c r="Q184" s="58"/>
      <c r="R184" s="58"/>
      <c r="S184" s="42"/>
    </row>
    <row r="185" spans="1:19" ht="12.75">
      <c r="A185" s="58" t="str">
        <f>Sheet1!A15</f>
        <v>Trinidad, CO Field Office</v>
      </c>
      <c r="B185" s="58"/>
      <c r="C185" s="58"/>
      <c r="D185" s="58"/>
      <c r="E185" s="58"/>
      <c r="F185" s="58"/>
      <c r="G185" s="58"/>
      <c r="H185" s="58" t="str">
        <f>Sheet1!E15</f>
        <v>C. Waugh</v>
      </c>
      <c r="I185" s="58"/>
      <c r="J185" s="58"/>
      <c r="K185" s="58"/>
      <c r="L185" s="58"/>
      <c r="M185" s="58"/>
      <c r="N185" s="58"/>
      <c r="O185" s="58"/>
      <c r="P185" s="58"/>
      <c r="Q185" s="58"/>
      <c r="R185" s="58"/>
      <c r="S185" s="42"/>
    </row>
    <row r="186" spans="1:19" ht="12.75">
      <c r="A186" s="58" t="str">
        <f>Sheet1!A16</f>
        <v>Walsenburg, CO Field Office</v>
      </c>
      <c r="B186" s="58"/>
      <c r="C186" s="58"/>
      <c r="D186" s="58"/>
      <c r="E186" s="58"/>
      <c r="F186" s="58"/>
      <c r="G186" s="58"/>
      <c r="H186" s="58" t="str">
        <f>Sheet1!E16</f>
        <v>S. Smith</v>
      </c>
      <c r="I186" s="58"/>
      <c r="J186" s="58"/>
      <c r="K186" s="58"/>
      <c r="L186" s="58"/>
      <c r="M186" s="58"/>
      <c r="N186" s="58"/>
      <c r="O186" s="58"/>
      <c r="P186" s="58"/>
      <c r="Q186" s="58"/>
      <c r="R186" s="58"/>
      <c r="S186" s="42"/>
    </row>
    <row r="187" spans="1:19" ht="12.75">
      <c r="A187" s="58" t="str">
        <f>Sheet1!A17</f>
        <v>Woodland Park, CO Teller/Park SCD</v>
      </c>
      <c r="B187" s="58"/>
      <c r="C187" s="58"/>
      <c r="D187" s="58"/>
      <c r="E187" s="58"/>
      <c r="F187" s="58"/>
      <c r="G187" s="58"/>
      <c r="H187" s="58" t="str">
        <f>Sheet1!E17</f>
        <v>J. Nelson</v>
      </c>
      <c r="I187" s="58"/>
      <c r="J187" s="58"/>
      <c r="K187" s="58"/>
      <c r="L187" s="58"/>
      <c r="M187" s="58"/>
      <c r="N187" s="58"/>
      <c r="O187" s="58"/>
      <c r="P187" s="58"/>
      <c r="Q187" s="58"/>
      <c r="R187" s="58"/>
      <c r="S187" s="42"/>
    </row>
    <row r="188" spans="1:19" ht="12.75">
      <c r="A188" s="58"/>
      <c r="B188" s="58"/>
      <c r="C188" s="58"/>
      <c r="D188" s="58"/>
      <c r="E188" s="58"/>
      <c r="F188" s="58"/>
      <c r="G188" s="58"/>
      <c r="H188" s="58" t="str">
        <f>Sheet1!E18</f>
        <v>J. Sperry</v>
      </c>
      <c r="I188" s="58"/>
      <c r="J188" s="58"/>
      <c r="K188" s="58"/>
      <c r="L188" s="58"/>
      <c r="M188" s="58"/>
      <c r="N188" s="58"/>
      <c r="O188" s="58"/>
      <c r="P188" s="58"/>
      <c r="Q188" s="58"/>
      <c r="R188" s="58"/>
      <c r="S188" s="42"/>
    </row>
    <row r="189" spans="1:19" ht="12.75">
      <c r="A189" s="58"/>
      <c r="B189" s="58"/>
      <c r="C189" s="58"/>
      <c r="D189" s="58"/>
      <c r="E189" s="58"/>
      <c r="F189" s="58"/>
      <c r="G189" s="58"/>
      <c r="H189" s="58" t="str">
        <f>Sheet1!E19</f>
        <v>R. Romano</v>
      </c>
      <c r="I189" s="58"/>
      <c r="J189" s="58"/>
      <c r="K189" s="58"/>
      <c r="L189" s="58"/>
      <c r="M189" s="58"/>
      <c r="N189" s="58"/>
      <c r="O189" s="58"/>
      <c r="P189" s="58"/>
      <c r="Q189" s="58"/>
      <c r="R189" s="58"/>
      <c r="S189" s="42"/>
    </row>
    <row r="190" spans="1:19" ht="12.75">
      <c r="A190" s="58"/>
      <c r="B190" s="58"/>
      <c r="C190" s="58"/>
      <c r="D190" s="58"/>
      <c r="E190" s="58"/>
      <c r="F190" s="58"/>
      <c r="G190" s="58"/>
      <c r="H190" s="58" t="str">
        <f>Sheet1!E20</f>
        <v>R. Fontaine</v>
      </c>
      <c r="I190" s="58"/>
      <c r="J190" s="58"/>
      <c r="K190" s="58"/>
      <c r="L190" s="58"/>
      <c r="M190" s="58"/>
      <c r="N190" s="58"/>
      <c r="O190" s="58"/>
      <c r="P190" s="58"/>
      <c r="Q190" s="58"/>
      <c r="R190" s="58"/>
      <c r="S190" s="42"/>
    </row>
    <row r="191" spans="1:19" ht="12.75">
      <c r="A191" s="58" t="str">
        <f>Sheet1!A21</f>
        <v>Individual</v>
      </c>
      <c r="B191" s="58"/>
      <c r="C191" s="58"/>
      <c r="D191" s="58"/>
      <c r="E191" s="58"/>
      <c r="F191" s="58"/>
      <c r="G191" s="58"/>
      <c r="H191" s="58" t="str">
        <f>Sheet1!E21</f>
        <v>M. Watson</v>
      </c>
      <c r="I191" s="58"/>
      <c r="J191" s="58"/>
      <c r="K191" s="58"/>
      <c r="L191" s="58"/>
      <c r="M191" s="58"/>
      <c r="N191" s="58"/>
      <c r="O191" s="58"/>
      <c r="P191" s="58"/>
      <c r="Q191" s="58"/>
      <c r="R191" s="58"/>
      <c r="S191" s="42"/>
    </row>
    <row r="192" spans="1:19" ht="12.75">
      <c r="A192" s="58" t="str">
        <f>Sheet1!A22</f>
        <v>General Partnership</v>
      </c>
      <c r="B192" s="58"/>
      <c r="C192" s="58"/>
      <c r="D192" s="58"/>
      <c r="E192" s="58"/>
      <c r="F192" s="58"/>
      <c r="G192" s="58"/>
      <c r="H192" s="58" t="str">
        <f>Sheet1!E22</f>
        <v>M. Miller</v>
      </c>
      <c r="I192" s="58"/>
      <c r="J192" s="58"/>
      <c r="K192" s="58"/>
      <c r="L192" s="58"/>
      <c r="M192" s="58"/>
      <c r="N192" s="58"/>
      <c r="O192" s="58"/>
      <c r="P192" s="58"/>
      <c r="Q192" s="58"/>
      <c r="R192" s="58"/>
      <c r="S192" s="42"/>
    </row>
    <row r="193" spans="1:19" ht="12.75">
      <c r="A193" s="58" t="str">
        <f>Sheet1!A23</f>
        <v>Joint Venture</v>
      </c>
      <c r="B193" s="58"/>
      <c r="C193" s="58"/>
      <c r="D193" s="58"/>
      <c r="E193" s="58"/>
      <c r="F193" s="58"/>
      <c r="G193" s="58"/>
      <c r="H193" s="58" t="str">
        <f>Sheet1!E23</f>
        <v>C. Sheley</v>
      </c>
      <c r="I193" s="58"/>
      <c r="J193" s="58"/>
      <c r="K193" s="58"/>
      <c r="L193" s="58"/>
      <c r="M193" s="58"/>
      <c r="N193" s="58"/>
      <c r="O193" s="58"/>
      <c r="P193" s="58"/>
      <c r="Q193" s="58"/>
      <c r="R193" s="58"/>
      <c r="S193" s="42"/>
    </row>
    <row r="194" spans="1:19" ht="12.75">
      <c r="A194" s="58" t="str">
        <f>Sheet1!A24</f>
        <v>Limited Liability Partnership</v>
      </c>
      <c r="B194" s="58"/>
      <c r="C194" s="58"/>
      <c r="D194" s="58"/>
      <c r="E194" s="58"/>
      <c r="F194" s="58"/>
      <c r="G194" s="58"/>
      <c r="H194" s="58" t="str">
        <f>Sheet1!E24</f>
        <v>D. Sanchez</v>
      </c>
      <c r="I194" s="58"/>
      <c r="J194" s="58"/>
      <c r="K194" s="58"/>
      <c r="L194" s="58"/>
      <c r="M194" s="58"/>
      <c r="N194" s="58"/>
      <c r="O194" s="58"/>
      <c r="P194" s="58"/>
      <c r="Q194" s="58"/>
      <c r="R194" s="58"/>
      <c r="S194" s="42"/>
    </row>
    <row r="195" spans="1:19" ht="12.75">
      <c r="A195" s="58" t="str">
        <f>Sheet1!A25</f>
        <v>Limited Liability Limited Partnership</v>
      </c>
      <c r="B195" s="58"/>
      <c r="C195" s="58"/>
      <c r="D195" s="58"/>
      <c r="E195" s="58"/>
      <c r="F195" s="58"/>
      <c r="G195" s="58"/>
      <c r="H195" s="58" t="str">
        <f>Sheet1!E25</f>
        <v>L.G. "Smitty" Smith</v>
      </c>
      <c r="I195" s="58"/>
      <c r="J195" s="58"/>
      <c r="K195" s="58"/>
      <c r="L195" s="58"/>
      <c r="M195" s="58"/>
      <c r="N195" s="58"/>
      <c r="O195" s="58"/>
      <c r="P195" s="58"/>
      <c r="Q195" s="58"/>
      <c r="R195" s="58"/>
      <c r="S195" s="42"/>
    </row>
    <row r="196" spans="1:19" ht="12.75">
      <c r="A196" s="58" t="str">
        <f>Sheet1!A26</f>
        <v>Limited Partnership Association</v>
      </c>
      <c r="B196" s="58"/>
      <c r="C196" s="58"/>
      <c r="D196" s="58"/>
      <c r="E196" s="58"/>
      <c r="F196" s="58"/>
      <c r="G196" s="58"/>
      <c r="H196" s="58" t="str">
        <f>Sheet1!E26</f>
        <v>C. Regnier</v>
      </c>
      <c r="I196" s="58"/>
      <c r="J196" s="58"/>
      <c r="K196" s="58"/>
      <c r="L196" s="58"/>
      <c r="M196" s="58"/>
      <c r="N196" s="58"/>
      <c r="O196" s="58"/>
      <c r="P196" s="58"/>
      <c r="Q196" s="58"/>
      <c r="R196" s="58"/>
      <c r="S196" s="42"/>
    </row>
    <row r="197" spans="1:19" ht="12.75">
      <c r="A197" s="58" t="str">
        <f>Sheet1!A27</f>
        <v>Limited Liability Company</v>
      </c>
      <c r="B197" s="58"/>
      <c r="C197" s="58"/>
      <c r="D197" s="58"/>
      <c r="E197" s="58"/>
      <c r="F197" s="58"/>
      <c r="G197" s="58"/>
      <c r="H197" s="58" t="str">
        <f>Sheet1!E27</f>
        <v>C. Melcher</v>
      </c>
      <c r="I197" s="58"/>
      <c r="J197" s="58"/>
      <c r="K197" s="58"/>
      <c r="L197" s="58"/>
      <c r="M197" s="58"/>
      <c r="N197" s="58"/>
      <c r="O197" s="58"/>
      <c r="P197" s="58"/>
      <c r="Q197" s="58"/>
      <c r="R197" s="58"/>
      <c r="S197" s="42"/>
    </row>
    <row r="198" spans="1:19" ht="12.75">
      <c r="A198" s="58" t="str">
        <f>Sheet1!A28</f>
        <v>Limited Partnership  </v>
      </c>
      <c r="B198" s="58"/>
      <c r="C198" s="58"/>
      <c r="D198" s="58"/>
      <c r="E198" s="58"/>
      <c r="F198" s="58"/>
      <c r="G198" s="58"/>
      <c r="H198" s="58" t="str">
        <f>Sheet1!E28</f>
        <v>W. "Ted" Lonnberg</v>
      </c>
      <c r="I198" s="58"/>
      <c r="J198" s="58"/>
      <c r="K198" s="58"/>
      <c r="L198" s="58"/>
      <c r="M198" s="58"/>
      <c r="N198" s="58"/>
      <c r="O198" s="58"/>
      <c r="P198" s="58"/>
      <c r="Q198" s="58"/>
      <c r="R198" s="58"/>
      <c r="S198" s="42"/>
    </row>
    <row r="199" spans="1:19" ht="12.75">
      <c r="A199" s="58" t="str">
        <f>Sheet1!A29</f>
        <v>Corporation</v>
      </c>
      <c r="B199" s="58"/>
      <c r="C199" s="58"/>
      <c r="D199" s="58"/>
      <c r="E199" s="58"/>
      <c r="F199" s="58"/>
      <c r="G199" s="58"/>
      <c r="H199" s="58" t="str">
        <f>Sheet1!E29</f>
        <v>B. Johnson</v>
      </c>
      <c r="I199" s="58"/>
      <c r="J199" s="58"/>
      <c r="K199" s="58"/>
      <c r="L199" s="58"/>
      <c r="M199" s="58"/>
      <c r="N199" s="58"/>
      <c r="O199" s="58"/>
      <c r="P199" s="58"/>
      <c r="Q199" s="58"/>
      <c r="R199" s="58"/>
      <c r="S199" s="42"/>
    </row>
    <row r="200" spans="1:19" ht="12.75">
      <c r="A200" s="58" t="str">
        <f>Sheet1!A30</f>
        <v>Trust</v>
      </c>
      <c r="B200" s="58"/>
      <c r="C200" s="58"/>
      <c r="D200" s="58"/>
      <c r="E200" s="58"/>
      <c r="F200" s="58"/>
      <c r="G200" s="58"/>
      <c r="H200" s="58" t="str">
        <f>Sheet1!E30</f>
        <v>A. White</v>
      </c>
      <c r="I200" s="58"/>
      <c r="J200" s="58"/>
      <c r="K200" s="58"/>
      <c r="L200" s="58"/>
      <c r="M200" s="58"/>
      <c r="N200" s="58"/>
      <c r="O200" s="58"/>
      <c r="P200" s="58"/>
      <c r="Q200" s="58"/>
      <c r="R200" s="58"/>
      <c r="S200" s="42"/>
    </row>
    <row r="201" spans="1:19" ht="12.75">
      <c r="A201" s="58" t="str">
        <f>Sheet1!A31</f>
        <v>Estate</v>
      </c>
      <c r="B201" s="58"/>
      <c r="C201" s="58"/>
      <c r="D201" s="58"/>
      <c r="E201" s="58"/>
      <c r="F201" s="58"/>
      <c r="G201" s="58"/>
      <c r="H201" s="58" t="str">
        <f>Sheet1!E31</f>
        <v>W. Bland</v>
      </c>
      <c r="I201" s="58"/>
      <c r="J201" s="58"/>
      <c r="K201" s="58"/>
      <c r="L201" s="58"/>
      <c r="M201" s="58"/>
      <c r="N201" s="58"/>
      <c r="O201" s="58"/>
      <c r="P201" s="58"/>
      <c r="Q201" s="58"/>
      <c r="R201" s="58"/>
      <c r="S201" s="42"/>
    </row>
    <row r="202" spans="1:19" ht="12.75">
      <c r="A202" s="58"/>
      <c r="B202" s="58"/>
      <c r="C202" s="58"/>
      <c r="D202" s="58"/>
      <c r="E202" s="58"/>
      <c r="F202" s="58"/>
      <c r="G202" s="58"/>
      <c r="H202" s="58" t="str">
        <f>Sheet1!E32</f>
        <v>S. Hansen</v>
      </c>
      <c r="I202" s="58"/>
      <c r="J202" s="58"/>
      <c r="K202" s="58"/>
      <c r="L202" s="58"/>
      <c r="M202" s="58"/>
      <c r="N202" s="58"/>
      <c r="O202" s="58"/>
      <c r="P202" s="58"/>
      <c r="Q202" s="58"/>
      <c r="R202" s="58"/>
      <c r="S202" s="42"/>
    </row>
    <row r="203" spans="1:19" ht="12.75">
      <c r="A203" s="58"/>
      <c r="B203" s="58"/>
      <c r="C203" s="58"/>
      <c r="D203" s="58"/>
      <c r="E203" s="58"/>
      <c r="F203" s="58"/>
      <c r="G203" s="58"/>
      <c r="H203" s="58" t="str">
        <f>Sheet1!E33</f>
        <v>K. Conrad</v>
      </c>
      <c r="I203" s="58"/>
      <c r="J203" s="58"/>
      <c r="K203" s="58"/>
      <c r="L203" s="58"/>
      <c r="M203" s="58"/>
      <c r="N203" s="58"/>
      <c r="O203" s="58"/>
      <c r="P203" s="58"/>
      <c r="Q203" s="58"/>
      <c r="R203" s="58"/>
      <c r="S203" s="42"/>
    </row>
    <row r="204" spans="1:19" ht="12.75">
      <c r="A204" s="58" t="str">
        <f>Sheet1!A34</f>
        <v>Colorado Division of Wildlife</v>
      </c>
      <c r="B204" s="58"/>
      <c r="C204" s="58"/>
      <c r="D204" s="58"/>
      <c r="E204" s="58"/>
      <c r="F204" s="58"/>
      <c r="G204" s="58"/>
      <c r="H204" s="58" t="str">
        <f>Sheet1!E34</f>
        <v>M. Martin</v>
      </c>
      <c r="I204" s="58"/>
      <c r="J204" s="58"/>
      <c r="K204" s="58"/>
      <c r="L204" s="58"/>
      <c r="M204" s="58"/>
      <c r="N204" s="58"/>
      <c r="O204" s="58"/>
      <c r="P204" s="58"/>
      <c r="Q204" s="58"/>
      <c r="R204" s="58"/>
      <c r="S204" s="42"/>
    </row>
    <row r="205" spans="1:19" ht="12.75">
      <c r="A205" s="58" t="str">
        <f>Sheet1!A35</f>
        <v>U.S. Fish and Wildlife Service</v>
      </c>
      <c r="B205" s="58"/>
      <c r="C205" s="58"/>
      <c r="D205" s="58"/>
      <c r="E205" s="58"/>
      <c r="F205" s="58"/>
      <c r="G205" s="58"/>
      <c r="H205" s="58" t="str">
        <f>Sheet1!E35</f>
        <v>E. Kilpatrick</v>
      </c>
      <c r="I205" s="58"/>
      <c r="J205" s="58"/>
      <c r="K205" s="58"/>
      <c r="L205" s="58"/>
      <c r="M205" s="58"/>
      <c r="N205" s="58"/>
      <c r="O205" s="58"/>
      <c r="P205" s="58"/>
      <c r="Q205" s="58"/>
      <c r="R205" s="58"/>
      <c r="S205" s="42"/>
    </row>
    <row r="206" spans="1:19" ht="12.75">
      <c r="A206" s="58" t="str">
        <f>Sheet1!A36</f>
        <v>Colorado Elk Foundation</v>
      </c>
      <c r="B206" s="58"/>
      <c r="C206" s="58"/>
      <c r="D206" s="58"/>
      <c r="E206" s="58"/>
      <c r="F206" s="58"/>
      <c r="G206" s="58"/>
      <c r="H206" s="58" t="str">
        <f>Sheet1!E36</f>
        <v>C. Schleining</v>
      </c>
      <c r="I206" s="58"/>
      <c r="J206" s="58"/>
      <c r="K206" s="58"/>
      <c r="L206" s="58"/>
      <c r="M206" s="58"/>
      <c r="N206" s="58"/>
      <c r="O206" s="58"/>
      <c r="P206" s="58"/>
      <c r="Q206" s="58"/>
      <c r="R206" s="58"/>
      <c r="S206" s="42"/>
    </row>
    <row r="207" spans="1:19" ht="12.75">
      <c r="A207" s="58" t="str">
        <f>Sheet1!A37</f>
        <v>Pheasants Forever</v>
      </c>
      <c r="B207" s="58"/>
      <c r="C207" s="58"/>
      <c r="D207" s="58"/>
      <c r="E207" s="58"/>
      <c r="F207" s="58"/>
      <c r="G207" s="58"/>
      <c r="H207" s="58" t="str">
        <f>Sheet1!E37</f>
        <v>B. "B.J." Jones</v>
      </c>
      <c r="I207" s="58"/>
      <c r="J207" s="58"/>
      <c r="K207" s="58"/>
      <c r="L207" s="58"/>
      <c r="M207" s="58"/>
      <c r="N207" s="58"/>
      <c r="O207" s="58"/>
      <c r="P207" s="58"/>
      <c r="Q207" s="58"/>
      <c r="R207" s="58"/>
      <c r="S207" s="42"/>
    </row>
    <row r="208" spans="1:19" ht="12.75">
      <c r="A208" s="58" t="str">
        <f>Sheet1!A38</f>
        <v>Ducks Unlimited</v>
      </c>
      <c r="B208" s="58"/>
      <c r="C208" s="58"/>
      <c r="D208" s="58"/>
      <c r="E208" s="58"/>
      <c r="F208" s="58"/>
      <c r="G208" s="58"/>
      <c r="H208" s="58" t="str">
        <f>Sheet1!E38</f>
        <v>J. Hamilton</v>
      </c>
      <c r="I208" s="58"/>
      <c r="J208" s="58"/>
      <c r="K208" s="58"/>
      <c r="L208" s="58"/>
      <c r="M208" s="58"/>
      <c r="N208" s="58"/>
      <c r="O208" s="58"/>
      <c r="P208" s="58"/>
      <c r="Q208" s="58"/>
      <c r="R208" s="58"/>
      <c r="S208" s="42"/>
    </row>
    <row r="209" spans="1:19" ht="12.75">
      <c r="A209" s="58" t="str">
        <f>Sheet1!A39</f>
        <v>Other</v>
      </c>
      <c r="B209" s="58"/>
      <c r="C209" s="58"/>
      <c r="D209" s="58"/>
      <c r="E209" s="58"/>
      <c r="F209" s="58"/>
      <c r="G209" s="58"/>
      <c r="H209" s="58" t="str">
        <f>Sheet1!E39</f>
        <v>J. Moffett</v>
      </c>
      <c r="I209" s="58"/>
      <c r="J209" s="58"/>
      <c r="K209" s="58"/>
      <c r="L209" s="58"/>
      <c r="M209" s="58"/>
      <c r="N209" s="58"/>
      <c r="O209" s="58"/>
      <c r="P209" s="58"/>
      <c r="Q209" s="58"/>
      <c r="R209" s="58"/>
      <c r="S209" s="42"/>
    </row>
    <row r="210" spans="1:19" ht="12.75">
      <c r="A210" s="58" t="str">
        <f>Sheet1!A40</f>
        <v>Not Applicable</v>
      </c>
      <c r="B210" s="58"/>
      <c r="C210" s="58"/>
      <c r="D210" s="58"/>
      <c r="E210" s="58"/>
      <c r="F210" s="58"/>
      <c r="G210" s="58"/>
      <c r="H210" s="58" t="str">
        <f>Sheet1!E40</f>
        <v>R. Grigat</v>
      </c>
      <c r="I210" s="58"/>
      <c r="J210" s="58"/>
      <c r="K210" s="58"/>
      <c r="L210" s="58"/>
      <c r="M210" s="58"/>
      <c r="N210" s="58"/>
      <c r="O210" s="58"/>
      <c r="P210" s="58"/>
      <c r="Q210" s="58"/>
      <c r="R210" s="58"/>
      <c r="S210" s="42"/>
    </row>
    <row r="211" spans="1:19" ht="12.75">
      <c r="A211" s="58"/>
      <c r="B211" s="58"/>
      <c r="C211" s="58"/>
      <c r="D211" s="58"/>
      <c r="E211" s="58"/>
      <c r="F211" s="58"/>
      <c r="G211" s="58"/>
      <c r="H211" s="58" t="str">
        <f>Sheet1!E41</f>
        <v>J. Dukes</v>
      </c>
      <c r="I211" s="58"/>
      <c r="J211" s="58"/>
      <c r="K211" s="58"/>
      <c r="L211" s="58"/>
      <c r="M211" s="58"/>
      <c r="N211" s="58"/>
      <c r="O211" s="58"/>
      <c r="P211" s="58"/>
      <c r="Q211" s="58"/>
      <c r="R211" s="58"/>
      <c r="S211" s="42"/>
    </row>
    <row r="212" spans="1:19" ht="12.75">
      <c r="A212" s="58"/>
      <c r="B212" s="58"/>
      <c r="C212" s="58"/>
      <c r="D212" s="58"/>
      <c r="E212" s="58"/>
      <c r="F212" s="58"/>
      <c r="G212" s="58"/>
      <c r="H212" s="58" t="str">
        <f>Sheet1!E42</f>
        <v>T. Werner</v>
      </c>
      <c r="I212" s="58"/>
      <c r="J212" s="58"/>
      <c r="K212" s="58"/>
      <c r="L212" s="58"/>
      <c r="M212" s="58"/>
      <c r="N212" s="58"/>
      <c r="O212" s="58"/>
      <c r="P212" s="58"/>
      <c r="Q212" s="58"/>
      <c r="R212" s="58"/>
      <c r="S212" s="42"/>
    </row>
    <row r="213" spans="1:19" ht="12.75">
      <c r="A213" s="58"/>
      <c r="B213" s="58"/>
      <c r="C213" s="58"/>
      <c r="D213" s="58"/>
      <c r="E213" s="58"/>
      <c r="F213" s="58"/>
      <c r="G213" s="58"/>
      <c r="H213" s="58" t="str">
        <f>Sheet1!E43</f>
        <v>K. Falen</v>
      </c>
      <c r="I213" s="58"/>
      <c r="J213" s="58"/>
      <c r="K213" s="58"/>
      <c r="L213" s="58"/>
      <c r="M213" s="58"/>
      <c r="N213" s="58"/>
      <c r="O213" s="58"/>
      <c r="P213" s="58"/>
      <c r="Q213" s="58"/>
      <c r="R213" s="58"/>
      <c r="S213" s="42"/>
    </row>
    <row r="214" spans="1:19" ht="12.75">
      <c r="A214" s="58"/>
      <c r="B214" s="58"/>
      <c r="C214" s="58"/>
      <c r="D214" s="58"/>
      <c r="E214" s="58"/>
      <c r="F214" s="58"/>
      <c r="G214" s="58"/>
      <c r="H214" s="58" t="str">
        <f>Sheet1!E44</f>
        <v>M. "Storm" Casper</v>
      </c>
      <c r="I214" s="58"/>
      <c r="J214" s="58"/>
      <c r="K214" s="58"/>
      <c r="L214" s="58"/>
      <c r="M214" s="58"/>
      <c r="N214" s="58"/>
      <c r="O214" s="58"/>
      <c r="P214" s="58"/>
      <c r="Q214" s="58"/>
      <c r="R214" s="58"/>
      <c r="S214" s="42"/>
    </row>
    <row r="215" spans="1:19" ht="12.75">
      <c r="A215" s="58"/>
      <c r="B215" s="58"/>
      <c r="C215" s="58"/>
      <c r="D215" s="58"/>
      <c r="E215" s="58"/>
      <c r="F215" s="58"/>
      <c r="G215" s="58"/>
      <c r="H215" s="58" t="str">
        <f>Sheet1!E45</f>
        <v>M. Gigante</v>
      </c>
      <c r="I215" s="58"/>
      <c r="J215" s="58"/>
      <c r="K215" s="58"/>
      <c r="L215" s="58"/>
      <c r="M215" s="58"/>
      <c r="N215" s="58"/>
      <c r="O215" s="58"/>
      <c r="P215" s="58"/>
      <c r="Q215" s="58"/>
      <c r="R215" s="58"/>
      <c r="S215" s="42"/>
    </row>
    <row r="216" spans="1:19" ht="12.75">
      <c r="A216" s="58"/>
      <c r="B216" s="58"/>
      <c r="C216" s="58"/>
      <c r="D216" s="58"/>
      <c r="E216" s="58"/>
      <c r="F216" s="58"/>
      <c r="G216" s="58"/>
      <c r="H216" s="58" t="str">
        <f>Sheet1!E46</f>
        <v>T. Arnhold</v>
      </c>
      <c r="I216" s="58"/>
      <c r="J216" s="58"/>
      <c r="K216" s="58"/>
      <c r="L216" s="58"/>
      <c r="M216" s="58"/>
      <c r="N216" s="58"/>
      <c r="O216" s="58"/>
      <c r="P216" s="58"/>
      <c r="Q216" s="58"/>
      <c r="R216" s="58"/>
      <c r="S216" s="42"/>
    </row>
    <row r="217" spans="1:19" ht="12.75">
      <c r="A217" s="58"/>
      <c r="B217" s="58"/>
      <c r="C217" s="58"/>
      <c r="D217" s="58"/>
      <c r="E217" s="58"/>
      <c r="F217" s="58"/>
      <c r="G217" s="58"/>
      <c r="H217" s="58" t="str">
        <f>Sheet1!E47</f>
        <v>K. Lutz</v>
      </c>
      <c r="I217" s="58"/>
      <c r="J217" s="58"/>
      <c r="K217" s="58"/>
      <c r="L217" s="58"/>
      <c r="M217" s="58"/>
      <c r="N217" s="58"/>
      <c r="O217" s="58"/>
      <c r="P217" s="58"/>
      <c r="Q217" s="58"/>
      <c r="R217" s="58"/>
      <c r="S217" s="42"/>
    </row>
    <row r="218" spans="1:19" ht="12.75">
      <c r="A218" s="58"/>
      <c r="B218" s="58"/>
      <c r="C218" s="58"/>
      <c r="D218" s="58"/>
      <c r="E218" s="58"/>
      <c r="F218" s="58"/>
      <c r="G218" s="58"/>
      <c r="H218" s="58" t="str">
        <f>Sheet1!E48</f>
        <v>D. Lane</v>
      </c>
      <c r="I218" s="58"/>
      <c r="J218" s="58"/>
      <c r="K218" s="58"/>
      <c r="L218" s="58"/>
      <c r="M218" s="58"/>
      <c r="N218" s="58"/>
      <c r="O218" s="58"/>
      <c r="P218" s="58"/>
      <c r="Q218" s="58"/>
      <c r="R218" s="58"/>
      <c r="S218" s="42"/>
    </row>
    <row r="219" spans="1:19" ht="12.75">
      <c r="A219" s="58"/>
      <c r="B219" s="58"/>
      <c r="C219" s="58"/>
      <c r="D219" s="58"/>
      <c r="E219" s="58"/>
      <c r="F219" s="58"/>
      <c r="G219" s="58"/>
      <c r="H219" s="58" t="str">
        <f>Sheet1!E49</f>
        <v>L."Pete" Ward, Jr.</v>
      </c>
      <c r="I219" s="58"/>
      <c r="J219" s="58"/>
      <c r="K219" s="58"/>
      <c r="L219" s="58"/>
      <c r="M219" s="58"/>
      <c r="N219" s="58"/>
      <c r="O219" s="58"/>
      <c r="P219" s="58"/>
      <c r="Q219" s="58"/>
      <c r="R219" s="58"/>
      <c r="S219" s="42"/>
    </row>
    <row r="220" spans="1:19" ht="12.75">
      <c r="A220" s="58"/>
      <c r="B220" s="58"/>
      <c r="C220" s="58"/>
      <c r="D220" s="58"/>
      <c r="E220" s="58"/>
      <c r="F220" s="58"/>
      <c r="G220" s="58"/>
      <c r="H220" s="58" t="str">
        <f>Sheet1!E50</f>
        <v>L. Kot</v>
      </c>
      <c r="I220" s="58"/>
      <c r="J220" s="58"/>
      <c r="K220" s="58"/>
      <c r="L220" s="58"/>
      <c r="M220" s="58"/>
      <c r="N220" s="58"/>
      <c r="O220" s="58"/>
      <c r="P220" s="58"/>
      <c r="Q220" s="58"/>
      <c r="R220" s="58"/>
      <c r="S220" s="42"/>
    </row>
    <row r="221" spans="1:19" ht="12.75">
      <c r="A221" s="58"/>
      <c r="B221" s="58"/>
      <c r="C221" s="58"/>
      <c r="D221" s="58"/>
      <c r="E221" s="58"/>
      <c r="F221" s="58"/>
      <c r="G221" s="58"/>
      <c r="H221" s="58" t="str">
        <f>Sheet1!E51</f>
        <v>L. Pearson</v>
      </c>
      <c r="I221" s="58"/>
      <c r="J221" s="58"/>
      <c r="K221" s="58"/>
      <c r="L221" s="58"/>
      <c r="M221" s="58"/>
      <c r="N221" s="58"/>
      <c r="O221" s="58"/>
      <c r="P221" s="58"/>
      <c r="Q221" s="58"/>
      <c r="R221" s="58"/>
      <c r="S221" s="42"/>
    </row>
    <row r="222" spans="1:19" ht="12.75">
      <c r="A222" s="58"/>
      <c r="B222" s="58"/>
      <c r="C222" s="58"/>
      <c r="D222" s="58"/>
      <c r="E222" s="58"/>
      <c r="F222" s="58"/>
      <c r="G222" s="58"/>
      <c r="H222" s="58" t="str">
        <f>Sheet1!E52</f>
        <v>B. Kitten</v>
      </c>
      <c r="I222" s="58"/>
      <c r="J222" s="58"/>
      <c r="K222" s="58"/>
      <c r="L222" s="58"/>
      <c r="M222" s="58"/>
      <c r="N222" s="58"/>
      <c r="O222" s="58"/>
      <c r="P222" s="58"/>
      <c r="Q222" s="58"/>
      <c r="R222" s="58"/>
      <c r="S222" s="42"/>
    </row>
    <row r="223" spans="1:19" ht="12.75">
      <c r="A223" s="58"/>
      <c r="B223" s="58"/>
      <c r="C223" s="58"/>
      <c r="D223" s="58"/>
      <c r="E223" s="58"/>
      <c r="F223" s="58"/>
      <c r="G223" s="58"/>
      <c r="H223" s="58" t="str">
        <f>Sheet1!E53</f>
        <v>L. Sutherland</v>
      </c>
      <c r="I223" s="58"/>
      <c r="J223" s="58"/>
      <c r="K223" s="58"/>
      <c r="L223" s="58"/>
      <c r="M223" s="58"/>
      <c r="N223" s="58"/>
      <c r="O223" s="58"/>
      <c r="P223" s="58"/>
      <c r="Q223" s="58"/>
      <c r="R223" s="58"/>
      <c r="S223" s="42"/>
    </row>
    <row r="224" spans="1:19" ht="12.75">
      <c r="A224" s="58"/>
      <c r="B224" s="58"/>
      <c r="C224" s="58"/>
      <c r="D224" s="58"/>
      <c r="E224" s="58"/>
      <c r="F224" s="58"/>
      <c r="G224" s="58"/>
      <c r="H224" s="58" t="str">
        <f>Sheet1!E54</f>
        <v>C. Pannebaker</v>
      </c>
      <c r="I224" s="58"/>
      <c r="J224" s="58"/>
      <c r="K224" s="58"/>
      <c r="L224" s="58"/>
      <c r="M224" s="58"/>
      <c r="N224" s="58"/>
      <c r="O224" s="58"/>
      <c r="P224" s="58"/>
      <c r="Q224" s="58"/>
      <c r="R224" s="58"/>
      <c r="S224" s="42"/>
    </row>
    <row r="225" spans="1:19" ht="12.75">
      <c r="A225" s="58"/>
      <c r="B225" s="58"/>
      <c r="C225" s="58"/>
      <c r="D225" s="58"/>
      <c r="E225" s="58"/>
      <c r="F225" s="58"/>
      <c r="G225" s="58"/>
      <c r="H225" s="58" t="str">
        <f>Sheet1!E55</f>
        <v>B. Berlinger</v>
      </c>
      <c r="I225" s="58"/>
      <c r="J225" s="58"/>
      <c r="K225" s="58"/>
      <c r="L225" s="58"/>
      <c r="M225" s="58"/>
      <c r="N225" s="58"/>
      <c r="O225" s="58"/>
      <c r="P225" s="58"/>
      <c r="Q225" s="58"/>
      <c r="R225" s="58"/>
      <c r="S225" s="42"/>
    </row>
    <row r="226" spans="1:19" ht="12.75">
      <c r="A226" s="42"/>
      <c r="B226" s="42"/>
      <c r="C226" s="42"/>
      <c r="D226" s="42"/>
      <c r="E226" s="42"/>
      <c r="F226" s="42"/>
      <c r="G226" s="42"/>
      <c r="H226" s="42"/>
      <c r="I226" s="42"/>
      <c r="J226" s="42"/>
      <c r="K226" s="42"/>
      <c r="L226" s="42"/>
      <c r="M226" s="42"/>
      <c r="N226" s="42"/>
      <c r="O226" s="42"/>
      <c r="P226" s="42"/>
      <c r="Q226" s="42"/>
      <c r="R226" s="42"/>
      <c r="S226" s="42"/>
    </row>
    <row r="227" spans="1:19" ht="12.75">
      <c r="A227" s="42"/>
      <c r="B227" s="42"/>
      <c r="C227" s="42"/>
      <c r="D227" s="42"/>
      <c r="E227" s="42"/>
      <c r="F227" s="42"/>
      <c r="G227" s="42"/>
      <c r="H227" s="42"/>
      <c r="I227" s="42"/>
      <c r="J227" s="42"/>
      <c r="K227" s="42"/>
      <c r="L227" s="42"/>
      <c r="M227" s="42"/>
      <c r="N227" s="42"/>
      <c r="O227" s="42"/>
      <c r="P227" s="42"/>
      <c r="Q227" s="42"/>
      <c r="R227" s="42"/>
      <c r="S227" s="42"/>
    </row>
    <row r="228" spans="1:19" ht="12.75">
      <c r="A228" s="42"/>
      <c r="B228" s="42"/>
      <c r="C228" s="42"/>
      <c r="D228" s="42"/>
      <c r="E228" s="42"/>
      <c r="F228" s="42"/>
      <c r="G228" s="42"/>
      <c r="H228" s="42"/>
      <c r="I228" s="42"/>
      <c r="J228" s="42"/>
      <c r="K228" s="42"/>
      <c r="L228" s="42"/>
      <c r="M228" s="42"/>
      <c r="N228" s="42"/>
      <c r="O228" s="42"/>
      <c r="P228" s="42"/>
      <c r="Q228" s="42"/>
      <c r="R228" s="42"/>
      <c r="S228" s="42"/>
    </row>
    <row r="229" spans="1:19" ht="12.75">
      <c r="A229" s="42"/>
      <c r="B229" s="42"/>
      <c r="C229" s="42"/>
      <c r="D229" s="42"/>
      <c r="E229" s="42"/>
      <c r="F229" s="42"/>
      <c r="G229" s="42"/>
      <c r="H229" s="42"/>
      <c r="I229" s="42"/>
      <c r="J229" s="42"/>
      <c r="K229" s="42"/>
      <c r="L229" s="42"/>
      <c r="M229" s="42"/>
      <c r="N229" s="42"/>
      <c r="O229" s="42"/>
      <c r="P229" s="42"/>
      <c r="Q229" s="42"/>
      <c r="R229" s="42"/>
      <c r="S229" s="42"/>
    </row>
    <row r="230" spans="1:19" ht="12.75">
      <c r="A230" s="42"/>
      <c r="B230" s="42"/>
      <c r="C230" s="42"/>
      <c r="D230" s="42"/>
      <c r="E230" s="42"/>
      <c r="F230" s="42"/>
      <c r="G230" s="42"/>
      <c r="H230" s="42"/>
      <c r="I230" s="42"/>
      <c r="J230" s="42"/>
      <c r="K230" s="42"/>
      <c r="L230" s="42"/>
      <c r="M230" s="42"/>
      <c r="N230" s="42"/>
      <c r="O230" s="42"/>
      <c r="P230" s="42"/>
      <c r="Q230" s="42"/>
      <c r="R230" s="42"/>
      <c r="S230" s="42"/>
    </row>
    <row r="231" spans="1:19" ht="12.75">
      <c r="A231" s="42"/>
      <c r="B231" s="42"/>
      <c r="C231" s="42"/>
      <c r="D231" s="42"/>
      <c r="E231" s="42"/>
      <c r="F231" s="42"/>
      <c r="G231" s="42"/>
      <c r="H231" s="42"/>
      <c r="I231" s="42"/>
      <c r="J231" s="42"/>
      <c r="K231" s="42"/>
      <c r="L231" s="42"/>
      <c r="M231" s="42"/>
      <c r="N231" s="42"/>
      <c r="O231" s="42"/>
      <c r="P231" s="42"/>
      <c r="Q231" s="42"/>
      <c r="R231" s="42"/>
      <c r="S231" s="42"/>
    </row>
    <row r="232" spans="1:19" ht="12.75">
      <c r="A232" s="42"/>
      <c r="B232" s="42"/>
      <c r="C232" s="42"/>
      <c r="D232" s="42"/>
      <c r="E232" s="42"/>
      <c r="F232" s="42"/>
      <c r="G232" s="42"/>
      <c r="H232" s="42"/>
      <c r="I232" s="42"/>
      <c r="J232" s="42"/>
      <c r="K232" s="42"/>
      <c r="L232" s="42"/>
      <c r="M232" s="42"/>
      <c r="N232" s="42"/>
      <c r="O232" s="42"/>
      <c r="P232" s="42"/>
      <c r="Q232" s="42"/>
      <c r="R232" s="42"/>
      <c r="S232" s="42"/>
    </row>
    <row r="233" spans="1:19" ht="12.75">
      <c r="A233" s="42"/>
      <c r="B233" s="42"/>
      <c r="C233" s="42"/>
      <c r="D233" s="42"/>
      <c r="E233" s="42"/>
      <c r="F233" s="42"/>
      <c r="G233" s="42"/>
      <c r="H233" s="42"/>
      <c r="I233" s="42"/>
      <c r="J233" s="42"/>
      <c r="K233" s="42"/>
      <c r="L233" s="42"/>
      <c r="M233" s="42"/>
      <c r="N233" s="42"/>
      <c r="O233" s="42"/>
      <c r="P233" s="42"/>
      <c r="Q233" s="42"/>
      <c r="R233" s="42"/>
      <c r="S233" s="42"/>
    </row>
    <row r="234" spans="1:19" ht="12.75">
      <c r="A234" s="42"/>
      <c r="B234" s="42"/>
      <c r="C234" s="42"/>
      <c r="D234" s="42"/>
      <c r="E234" s="42"/>
      <c r="F234" s="42"/>
      <c r="G234" s="42"/>
      <c r="H234" s="42"/>
      <c r="I234" s="42"/>
      <c r="J234" s="42"/>
      <c r="K234" s="42"/>
      <c r="L234" s="42"/>
      <c r="M234" s="42"/>
      <c r="N234" s="42"/>
      <c r="O234" s="42"/>
      <c r="P234" s="42"/>
      <c r="Q234" s="42"/>
      <c r="R234" s="42"/>
      <c r="S234" s="42"/>
    </row>
    <row r="235" spans="1:19" ht="12.75">
      <c r="A235" s="42"/>
      <c r="B235" s="42"/>
      <c r="C235" s="42"/>
      <c r="D235" s="42"/>
      <c r="E235" s="42"/>
      <c r="F235" s="42"/>
      <c r="G235" s="42"/>
      <c r="H235" s="42"/>
      <c r="I235" s="42"/>
      <c r="J235" s="42"/>
      <c r="K235" s="42"/>
      <c r="L235" s="42"/>
      <c r="M235" s="42"/>
      <c r="N235" s="42"/>
      <c r="O235" s="42"/>
      <c r="P235" s="42"/>
      <c r="Q235" s="42"/>
      <c r="R235" s="42"/>
      <c r="S235" s="42"/>
    </row>
    <row r="236" spans="1:19" ht="12.75">
      <c r="A236" s="42"/>
      <c r="B236" s="42"/>
      <c r="C236" s="42"/>
      <c r="D236" s="42"/>
      <c r="E236" s="42"/>
      <c r="F236" s="42"/>
      <c r="G236" s="42"/>
      <c r="H236" s="42"/>
      <c r="I236" s="42"/>
      <c r="J236" s="42"/>
      <c r="K236" s="42"/>
      <c r="L236" s="42"/>
      <c r="M236" s="42"/>
      <c r="N236" s="42"/>
      <c r="O236" s="42"/>
      <c r="P236" s="42"/>
      <c r="Q236" s="42"/>
      <c r="R236" s="42"/>
      <c r="S236" s="42"/>
    </row>
    <row r="237" spans="1:19" ht="12.75">
      <c r="A237" s="42"/>
      <c r="B237" s="42"/>
      <c r="C237" s="42"/>
      <c r="D237" s="42"/>
      <c r="E237" s="42"/>
      <c r="F237" s="42"/>
      <c r="G237" s="42"/>
      <c r="H237" s="42"/>
      <c r="I237" s="42"/>
      <c r="J237" s="42"/>
      <c r="K237" s="42"/>
      <c r="L237" s="42"/>
      <c r="M237" s="42"/>
      <c r="N237" s="42"/>
      <c r="O237" s="42"/>
      <c r="P237" s="42"/>
      <c r="Q237" s="42"/>
      <c r="R237" s="42"/>
      <c r="S237" s="42"/>
    </row>
    <row r="238" spans="1:19" ht="12.75">
      <c r="A238" s="42"/>
      <c r="B238" s="42"/>
      <c r="C238" s="42"/>
      <c r="D238" s="42"/>
      <c r="E238" s="42"/>
      <c r="F238" s="42"/>
      <c r="G238" s="42"/>
      <c r="H238" s="42"/>
      <c r="I238" s="42"/>
      <c r="J238" s="42"/>
      <c r="K238" s="42"/>
      <c r="L238" s="42"/>
      <c r="M238" s="42"/>
      <c r="N238" s="42"/>
      <c r="O238" s="42"/>
      <c r="P238" s="42"/>
      <c r="Q238" s="42"/>
      <c r="R238" s="42"/>
      <c r="S238" s="42"/>
    </row>
    <row r="239" spans="1:19" ht="12.75">
      <c r="A239" s="42"/>
      <c r="B239" s="42"/>
      <c r="C239" s="42"/>
      <c r="D239" s="42"/>
      <c r="E239" s="42"/>
      <c r="F239" s="42"/>
      <c r="G239" s="42"/>
      <c r="H239" s="42"/>
      <c r="I239" s="42"/>
      <c r="J239" s="42"/>
      <c r="K239" s="42"/>
      <c r="L239" s="42"/>
      <c r="M239" s="42"/>
      <c r="N239" s="42"/>
      <c r="O239" s="42"/>
      <c r="P239" s="42"/>
      <c r="Q239" s="42"/>
      <c r="R239" s="42"/>
      <c r="S239" s="42"/>
    </row>
    <row r="240" spans="1:19" ht="12.75">
      <c r="A240" s="42"/>
      <c r="B240" s="42"/>
      <c r="C240" s="42"/>
      <c r="D240" s="42"/>
      <c r="E240" s="42"/>
      <c r="F240" s="42"/>
      <c r="G240" s="42"/>
      <c r="H240" s="42"/>
      <c r="I240" s="42"/>
      <c r="J240" s="42"/>
      <c r="K240" s="42"/>
      <c r="L240" s="42"/>
      <c r="M240" s="42"/>
      <c r="N240" s="42"/>
      <c r="O240" s="42"/>
      <c r="P240" s="42"/>
      <c r="Q240" s="42"/>
      <c r="R240" s="42"/>
      <c r="S240" s="42"/>
    </row>
    <row r="241" spans="1:19" ht="12.75">
      <c r="A241" s="42"/>
      <c r="B241" s="42"/>
      <c r="C241" s="42"/>
      <c r="D241" s="42"/>
      <c r="E241" s="42"/>
      <c r="F241" s="42"/>
      <c r="G241" s="42"/>
      <c r="H241" s="42"/>
      <c r="I241" s="42"/>
      <c r="J241" s="42"/>
      <c r="K241" s="42"/>
      <c r="L241" s="42"/>
      <c r="M241" s="42"/>
      <c r="N241" s="42"/>
      <c r="O241" s="42"/>
      <c r="P241" s="42"/>
      <c r="Q241" s="42"/>
      <c r="R241" s="42"/>
      <c r="S241" s="42"/>
    </row>
    <row r="242" spans="1:19" ht="12.75">
      <c r="A242" s="42"/>
      <c r="B242" s="42"/>
      <c r="C242" s="42"/>
      <c r="D242" s="42"/>
      <c r="E242" s="42"/>
      <c r="F242" s="42"/>
      <c r="G242" s="42"/>
      <c r="H242" s="42"/>
      <c r="I242" s="42"/>
      <c r="J242" s="42"/>
      <c r="K242" s="42"/>
      <c r="L242" s="42"/>
      <c r="M242" s="42"/>
      <c r="N242" s="42"/>
      <c r="O242" s="42"/>
      <c r="P242" s="42"/>
      <c r="Q242" s="42"/>
      <c r="R242" s="42"/>
      <c r="S242" s="42"/>
    </row>
    <row r="243" spans="1:19" ht="12.75">
      <c r="A243" s="42"/>
      <c r="B243" s="42"/>
      <c r="C243" s="42"/>
      <c r="D243" s="42"/>
      <c r="E243" s="42"/>
      <c r="F243" s="42"/>
      <c r="G243" s="42"/>
      <c r="H243" s="42"/>
      <c r="I243" s="42"/>
      <c r="J243" s="42"/>
      <c r="K243" s="42"/>
      <c r="L243" s="42"/>
      <c r="M243" s="42"/>
      <c r="N243" s="42"/>
      <c r="O243" s="42"/>
      <c r="P243" s="42"/>
      <c r="Q243" s="42"/>
      <c r="R243" s="42"/>
      <c r="S243" s="42"/>
    </row>
    <row r="244" spans="1:19" ht="12.75">
      <c r="A244" s="42"/>
      <c r="B244" s="42"/>
      <c r="C244" s="42"/>
      <c r="D244" s="42"/>
      <c r="E244" s="42"/>
      <c r="F244" s="42"/>
      <c r="G244" s="42"/>
      <c r="H244" s="42"/>
      <c r="I244" s="42"/>
      <c r="J244" s="42"/>
      <c r="K244" s="42"/>
      <c r="L244" s="42"/>
      <c r="M244" s="42"/>
      <c r="N244" s="42"/>
      <c r="O244" s="42"/>
      <c r="P244" s="42"/>
      <c r="Q244" s="42"/>
      <c r="R244" s="42"/>
      <c r="S244" s="42"/>
    </row>
    <row r="245" spans="1:19" ht="12.75">
      <c r="A245" s="42"/>
      <c r="B245" s="42"/>
      <c r="C245" s="42"/>
      <c r="D245" s="42"/>
      <c r="E245" s="42"/>
      <c r="F245" s="42"/>
      <c r="G245" s="42"/>
      <c r="H245" s="42"/>
      <c r="I245" s="42"/>
      <c r="J245" s="42"/>
      <c r="K245" s="42"/>
      <c r="L245" s="42"/>
      <c r="M245" s="42"/>
      <c r="N245" s="42"/>
      <c r="O245" s="42"/>
      <c r="P245" s="42"/>
      <c r="Q245" s="42"/>
      <c r="R245" s="42"/>
      <c r="S245" s="42"/>
    </row>
    <row r="246" spans="1:19" ht="12.75">
      <c r="A246" s="42"/>
      <c r="B246" s="42"/>
      <c r="C246" s="42"/>
      <c r="D246" s="42"/>
      <c r="E246" s="42"/>
      <c r="F246" s="42"/>
      <c r="G246" s="42"/>
      <c r="H246" s="42"/>
      <c r="I246" s="42"/>
      <c r="J246" s="42"/>
      <c r="K246" s="42"/>
      <c r="L246" s="42"/>
      <c r="M246" s="42"/>
      <c r="N246" s="42"/>
      <c r="O246" s="42"/>
      <c r="P246" s="42"/>
      <c r="Q246" s="42"/>
      <c r="R246" s="42"/>
      <c r="S246" s="42"/>
    </row>
    <row r="247" spans="1:19" ht="12.75">
      <c r="A247" s="42"/>
      <c r="B247" s="42"/>
      <c r="C247" s="42"/>
      <c r="D247" s="42"/>
      <c r="E247" s="42"/>
      <c r="F247" s="42"/>
      <c r="G247" s="42"/>
      <c r="H247" s="42"/>
      <c r="I247" s="42"/>
      <c r="J247" s="42"/>
      <c r="K247" s="42"/>
      <c r="L247" s="42"/>
      <c r="M247" s="42"/>
      <c r="N247" s="42"/>
      <c r="O247" s="42"/>
      <c r="P247" s="42"/>
      <c r="Q247" s="42"/>
      <c r="R247" s="42"/>
      <c r="S247" s="42"/>
    </row>
    <row r="248" spans="1:19" ht="12.75">
      <c r="A248" s="42"/>
      <c r="B248" s="42"/>
      <c r="C248" s="42"/>
      <c r="D248" s="42"/>
      <c r="E248" s="42"/>
      <c r="F248" s="42"/>
      <c r="G248" s="42"/>
      <c r="H248" s="42"/>
      <c r="I248" s="42"/>
      <c r="J248" s="42"/>
      <c r="K248" s="42"/>
      <c r="L248" s="42"/>
      <c r="M248" s="42"/>
      <c r="N248" s="42"/>
      <c r="O248" s="42"/>
      <c r="P248" s="42"/>
      <c r="Q248" s="42"/>
      <c r="R248" s="42"/>
      <c r="S248" s="42"/>
    </row>
    <row r="249" spans="1:19" ht="12.75">
      <c r="A249" s="42"/>
      <c r="B249" s="42"/>
      <c r="C249" s="42"/>
      <c r="D249" s="42"/>
      <c r="E249" s="42"/>
      <c r="F249" s="42"/>
      <c r="G249" s="42"/>
      <c r="H249" s="42"/>
      <c r="I249" s="42"/>
      <c r="J249" s="42"/>
      <c r="K249" s="42"/>
      <c r="L249" s="42"/>
      <c r="M249" s="42"/>
      <c r="N249" s="42"/>
      <c r="O249" s="42"/>
      <c r="P249" s="42"/>
      <c r="Q249" s="42"/>
      <c r="R249" s="42"/>
      <c r="S249" s="42"/>
    </row>
    <row r="250" spans="1:19" ht="12.75">
      <c r="A250" s="42"/>
      <c r="B250" s="42"/>
      <c r="C250" s="42"/>
      <c r="D250" s="42"/>
      <c r="E250" s="42"/>
      <c r="F250" s="42"/>
      <c r="G250" s="42"/>
      <c r="H250" s="42"/>
      <c r="I250" s="42"/>
      <c r="J250" s="42"/>
      <c r="K250" s="42"/>
      <c r="L250" s="42"/>
      <c r="M250" s="42"/>
      <c r="N250" s="42"/>
      <c r="O250" s="42"/>
      <c r="P250" s="42"/>
      <c r="Q250" s="42"/>
      <c r="R250" s="42"/>
      <c r="S250" s="42"/>
    </row>
    <row r="251" spans="1:19" ht="12.75">
      <c r="A251" s="42"/>
      <c r="B251" s="42"/>
      <c r="C251" s="42"/>
      <c r="D251" s="42"/>
      <c r="E251" s="42"/>
      <c r="F251" s="42"/>
      <c r="G251" s="42"/>
      <c r="H251" s="42"/>
      <c r="I251" s="42"/>
      <c r="J251" s="42"/>
      <c r="K251" s="42"/>
      <c r="L251" s="42"/>
      <c r="M251" s="42"/>
      <c r="N251" s="42"/>
      <c r="O251" s="42"/>
      <c r="P251" s="42"/>
      <c r="Q251" s="42"/>
      <c r="R251" s="42"/>
      <c r="S251" s="42"/>
    </row>
    <row r="252" spans="1:19" ht="12.75">
      <c r="A252" s="42"/>
      <c r="B252" s="42"/>
      <c r="C252" s="42"/>
      <c r="D252" s="42"/>
      <c r="E252" s="42"/>
      <c r="F252" s="42"/>
      <c r="G252" s="42"/>
      <c r="H252" s="42"/>
      <c r="I252" s="42"/>
      <c r="J252" s="42"/>
      <c r="K252" s="42"/>
      <c r="L252" s="42"/>
      <c r="M252" s="42"/>
      <c r="N252" s="42"/>
      <c r="O252" s="42"/>
      <c r="P252" s="42"/>
      <c r="Q252" s="42"/>
      <c r="R252" s="42"/>
      <c r="S252" s="42"/>
    </row>
    <row r="253" spans="1:19" ht="12.75">
      <c r="A253" s="42"/>
      <c r="B253" s="42"/>
      <c r="C253" s="42"/>
      <c r="D253" s="42"/>
      <c r="E253" s="42"/>
      <c r="F253" s="42"/>
      <c r="G253" s="42"/>
      <c r="H253" s="42"/>
      <c r="I253" s="42"/>
      <c r="J253" s="42"/>
      <c r="K253" s="42"/>
      <c r="L253" s="42"/>
      <c r="M253" s="42"/>
      <c r="N253" s="42"/>
      <c r="O253" s="42"/>
      <c r="P253" s="42"/>
      <c r="Q253" s="42"/>
      <c r="R253" s="42"/>
      <c r="S253" s="42"/>
    </row>
    <row r="254" spans="1:19" ht="12.75">
      <c r="A254" s="42"/>
      <c r="B254" s="42"/>
      <c r="C254" s="42"/>
      <c r="D254" s="42"/>
      <c r="E254" s="42"/>
      <c r="F254" s="42"/>
      <c r="G254" s="42"/>
      <c r="H254" s="42"/>
      <c r="I254" s="42"/>
      <c r="J254" s="42"/>
      <c r="K254" s="42"/>
      <c r="L254" s="42"/>
      <c r="M254" s="42"/>
      <c r="N254" s="42"/>
      <c r="O254" s="42"/>
      <c r="P254" s="42"/>
      <c r="Q254" s="42"/>
      <c r="R254" s="42"/>
      <c r="S254" s="42"/>
    </row>
    <row r="255" spans="1:19" ht="12.75">
      <c r="A255" s="42"/>
      <c r="B255" s="42"/>
      <c r="C255" s="42"/>
      <c r="D255" s="42"/>
      <c r="E255" s="42"/>
      <c r="F255" s="42"/>
      <c r="G255" s="42"/>
      <c r="H255" s="42"/>
      <c r="I255" s="42"/>
      <c r="J255" s="42"/>
      <c r="K255" s="42"/>
      <c r="L255" s="42"/>
      <c r="M255" s="42"/>
      <c r="N255" s="42"/>
      <c r="O255" s="42"/>
      <c r="P255" s="42"/>
      <c r="Q255" s="42"/>
      <c r="R255" s="42"/>
      <c r="S255" s="42"/>
    </row>
    <row r="256" spans="1:19" ht="12.75">
      <c r="A256" s="42"/>
      <c r="B256" s="42"/>
      <c r="C256" s="42"/>
      <c r="D256" s="42"/>
      <c r="E256" s="42"/>
      <c r="F256" s="42"/>
      <c r="G256" s="42"/>
      <c r="H256" s="42"/>
      <c r="I256" s="42"/>
      <c r="J256" s="42"/>
      <c r="K256" s="42"/>
      <c r="L256" s="42"/>
      <c r="M256" s="42"/>
      <c r="N256" s="42"/>
      <c r="O256" s="42"/>
      <c r="P256" s="42"/>
      <c r="Q256" s="42"/>
      <c r="R256" s="42"/>
      <c r="S256" s="42"/>
    </row>
    <row r="257" spans="1:19" ht="12.75">
      <c r="A257" s="42"/>
      <c r="B257" s="42"/>
      <c r="C257" s="42"/>
      <c r="D257" s="42"/>
      <c r="E257" s="42"/>
      <c r="F257" s="42"/>
      <c r="G257" s="42"/>
      <c r="H257" s="42"/>
      <c r="I257" s="42"/>
      <c r="J257" s="42"/>
      <c r="K257" s="42"/>
      <c r="L257" s="42"/>
      <c r="M257" s="42"/>
      <c r="N257" s="42"/>
      <c r="O257" s="42"/>
      <c r="P257" s="42"/>
      <c r="Q257" s="42"/>
      <c r="R257" s="42"/>
      <c r="S257" s="42"/>
    </row>
    <row r="258" spans="1:19" ht="12.75">
      <c r="A258" s="42"/>
      <c r="B258" s="42"/>
      <c r="C258" s="42"/>
      <c r="D258" s="42"/>
      <c r="E258" s="42"/>
      <c r="F258" s="42"/>
      <c r="G258" s="42"/>
      <c r="H258" s="42"/>
      <c r="I258" s="42"/>
      <c r="J258" s="42"/>
      <c r="K258" s="42"/>
      <c r="L258" s="42"/>
      <c r="M258" s="42"/>
      <c r="N258" s="42"/>
      <c r="O258" s="42"/>
      <c r="P258" s="42"/>
      <c r="Q258" s="42"/>
      <c r="R258" s="42"/>
      <c r="S258" s="42"/>
    </row>
    <row r="259" spans="1:19" ht="12.75">
      <c r="A259" s="42"/>
      <c r="B259" s="42"/>
      <c r="C259" s="42"/>
      <c r="D259" s="42"/>
      <c r="E259" s="42"/>
      <c r="F259" s="42"/>
      <c r="G259" s="42"/>
      <c r="H259" s="42"/>
      <c r="I259" s="42"/>
      <c r="J259" s="42"/>
      <c r="K259" s="42"/>
      <c r="L259" s="42"/>
      <c r="M259" s="42"/>
      <c r="N259" s="42"/>
      <c r="O259" s="42"/>
      <c r="P259" s="42"/>
      <c r="Q259" s="42"/>
      <c r="R259" s="42"/>
      <c r="S259" s="42"/>
    </row>
    <row r="260" spans="1:19" ht="12.75">
      <c r="A260" s="42"/>
      <c r="B260" s="42"/>
      <c r="C260" s="42"/>
      <c r="D260" s="42"/>
      <c r="E260" s="42"/>
      <c r="F260" s="42"/>
      <c r="G260" s="42"/>
      <c r="H260" s="42"/>
      <c r="I260" s="42"/>
      <c r="J260" s="42"/>
      <c r="K260" s="42"/>
      <c r="L260" s="42"/>
      <c r="M260" s="42"/>
      <c r="N260" s="42"/>
      <c r="O260" s="42"/>
      <c r="P260" s="42"/>
      <c r="Q260" s="42"/>
      <c r="R260" s="42"/>
      <c r="S260" s="42"/>
    </row>
    <row r="261" spans="1:19" ht="12.75">
      <c r="A261" s="42"/>
      <c r="B261" s="42"/>
      <c r="C261" s="42"/>
      <c r="D261" s="42"/>
      <c r="E261" s="42"/>
      <c r="F261" s="42"/>
      <c r="G261" s="42"/>
      <c r="H261" s="42"/>
      <c r="I261" s="42"/>
      <c r="J261" s="42"/>
      <c r="K261" s="42"/>
      <c r="L261" s="42"/>
      <c r="M261" s="42"/>
      <c r="N261" s="42"/>
      <c r="O261" s="42"/>
      <c r="P261" s="42"/>
      <c r="Q261" s="42"/>
      <c r="R261" s="42"/>
      <c r="S261" s="42"/>
    </row>
    <row r="262" spans="1:19" ht="12.75">
      <c r="A262" s="42"/>
      <c r="B262" s="42"/>
      <c r="C262" s="42"/>
      <c r="D262" s="42"/>
      <c r="E262" s="42"/>
      <c r="F262" s="42"/>
      <c r="G262" s="42"/>
      <c r="H262" s="42"/>
      <c r="I262" s="42"/>
      <c r="J262" s="42"/>
      <c r="K262" s="42"/>
      <c r="L262" s="42"/>
      <c r="M262" s="42"/>
      <c r="N262" s="42"/>
      <c r="O262" s="42"/>
      <c r="P262" s="42"/>
      <c r="Q262" s="42"/>
      <c r="R262" s="42"/>
      <c r="S262" s="42"/>
    </row>
    <row r="263" spans="1:19" ht="12.75">
      <c r="A263" s="42"/>
      <c r="B263" s="42"/>
      <c r="C263" s="42"/>
      <c r="D263" s="42"/>
      <c r="E263" s="42"/>
      <c r="F263" s="42"/>
      <c r="G263" s="42"/>
      <c r="H263" s="42"/>
      <c r="I263" s="42"/>
      <c r="J263" s="42"/>
      <c r="K263" s="42"/>
      <c r="L263" s="42"/>
      <c r="M263" s="42"/>
      <c r="N263" s="42"/>
      <c r="O263" s="42"/>
      <c r="P263" s="42"/>
      <c r="Q263" s="42"/>
      <c r="R263" s="42"/>
      <c r="S263" s="42"/>
    </row>
    <row r="264" spans="1:19" ht="12.75">
      <c r="A264" s="42"/>
      <c r="B264" s="42"/>
      <c r="C264" s="42"/>
      <c r="D264" s="42"/>
      <c r="E264" s="42"/>
      <c r="F264" s="42"/>
      <c r="G264" s="42"/>
      <c r="H264" s="42"/>
      <c r="I264" s="42"/>
      <c r="J264" s="42"/>
      <c r="K264" s="42"/>
      <c r="L264" s="42"/>
      <c r="M264" s="42"/>
      <c r="N264" s="42"/>
      <c r="O264" s="42"/>
      <c r="P264" s="42"/>
      <c r="Q264" s="42"/>
      <c r="R264" s="42"/>
      <c r="S264" s="42"/>
    </row>
    <row r="265" spans="1:19" ht="12.75">
      <c r="A265" s="42"/>
      <c r="B265" s="42"/>
      <c r="C265" s="42"/>
      <c r="D265" s="42"/>
      <c r="E265" s="42"/>
      <c r="F265" s="42"/>
      <c r="G265" s="42"/>
      <c r="H265" s="42"/>
      <c r="I265" s="42"/>
      <c r="J265" s="42"/>
      <c r="K265" s="42"/>
      <c r="L265" s="42"/>
      <c r="M265" s="42"/>
      <c r="N265" s="42"/>
      <c r="O265" s="42"/>
      <c r="P265" s="42"/>
      <c r="Q265" s="42"/>
      <c r="R265" s="42"/>
      <c r="S265" s="42"/>
    </row>
    <row r="266" spans="1:19" ht="12.75">
      <c r="A266" s="42"/>
      <c r="B266" s="42"/>
      <c r="C266" s="42"/>
      <c r="D266" s="42"/>
      <c r="E266" s="42"/>
      <c r="F266" s="42"/>
      <c r="G266" s="42"/>
      <c r="H266" s="42"/>
      <c r="I266" s="42"/>
      <c r="J266" s="42"/>
      <c r="K266" s="42"/>
      <c r="L266" s="42"/>
      <c r="M266" s="42"/>
      <c r="N266" s="42"/>
      <c r="O266" s="42"/>
      <c r="P266" s="42"/>
      <c r="Q266" s="42"/>
      <c r="R266" s="42"/>
      <c r="S266" s="42"/>
    </row>
    <row r="267" spans="1:19" ht="12.75">
      <c r="A267" s="42"/>
      <c r="B267" s="42"/>
      <c r="C267" s="42"/>
      <c r="D267" s="42"/>
      <c r="E267" s="42"/>
      <c r="F267" s="42"/>
      <c r="G267" s="42"/>
      <c r="H267" s="42"/>
      <c r="I267" s="42"/>
      <c r="J267" s="42"/>
      <c r="K267" s="42"/>
      <c r="L267" s="42"/>
      <c r="M267" s="42"/>
      <c r="N267" s="42"/>
      <c r="O267" s="42"/>
      <c r="P267" s="42"/>
      <c r="Q267" s="42"/>
      <c r="R267" s="42"/>
      <c r="S267" s="42"/>
    </row>
    <row r="268" spans="1:19" ht="12.75">
      <c r="A268" s="42"/>
      <c r="B268" s="42"/>
      <c r="C268" s="42"/>
      <c r="D268" s="42"/>
      <c r="E268" s="42"/>
      <c r="F268" s="42"/>
      <c r="G268" s="42"/>
      <c r="H268" s="42"/>
      <c r="I268" s="42"/>
      <c r="J268" s="42"/>
      <c r="K268" s="42"/>
      <c r="L268" s="42"/>
      <c r="M268" s="42"/>
      <c r="N268" s="42"/>
      <c r="O268" s="42"/>
      <c r="P268" s="42"/>
      <c r="Q268" s="42"/>
      <c r="R268" s="42"/>
      <c r="S268" s="42"/>
    </row>
    <row r="269" spans="1:19" ht="12.75">
      <c r="A269" s="42"/>
      <c r="B269" s="42"/>
      <c r="C269" s="42"/>
      <c r="D269" s="42"/>
      <c r="E269" s="42"/>
      <c r="F269" s="42"/>
      <c r="G269" s="42"/>
      <c r="H269" s="42"/>
      <c r="I269" s="42"/>
      <c r="J269" s="42"/>
      <c r="K269" s="42"/>
      <c r="L269" s="42"/>
      <c r="M269" s="42"/>
      <c r="N269" s="42"/>
      <c r="O269" s="42"/>
      <c r="P269" s="42"/>
      <c r="Q269" s="42"/>
      <c r="R269" s="42"/>
      <c r="S269" s="42"/>
    </row>
    <row r="270" spans="1:19" ht="12.75">
      <c r="A270" s="42"/>
      <c r="B270" s="42"/>
      <c r="C270" s="42"/>
      <c r="D270" s="42"/>
      <c r="E270" s="42"/>
      <c r="F270" s="42"/>
      <c r="G270" s="42"/>
      <c r="H270" s="42"/>
      <c r="I270" s="42"/>
      <c r="J270" s="42"/>
      <c r="K270" s="42"/>
      <c r="L270" s="42"/>
      <c r="M270" s="42"/>
      <c r="N270" s="42"/>
      <c r="O270" s="42"/>
      <c r="P270" s="42"/>
      <c r="Q270" s="42"/>
      <c r="R270" s="42"/>
      <c r="S270" s="42"/>
    </row>
    <row r="271" spans="1:19" ht="12.75">
      <c r="A271" s="42"/>
      <c r="B271" s="42"/>
      <c r="C271" s="42"/>
      <c r="D271" s="42"/>
      <c r="E271" s="42"/>
      <c r="F271" s="42"/>
      <c r="G271" s="42"/>
      <c r="H271" s="42"/>
      <c r="I271" s="42"/>
      <c r="J271" s="42"/>
      <c r="K271" s="42"/>
      <c r="L271" s="42"/>
      <c r="M271" s="42"/>
      <c r="N271" s="42"/>
      <c r="O271" s="42"/>
      <c r="P271" s="42"/>
      <c r="Q271" s="42"/>
      <c r="R271" s="42"/>
      <c r="S271" s="42"/>
    </row>
    <row r="272" spans="1:19" ht="12.75">
      <c r="A272" s="42"/>
      <c r="B272" s="42"/>
      <c r="C272" s="42"/>
      <c r="D272" s="42"/>
      <c r="E272" s="42"/>
      <c r="F272" s="42"/>
      <c r="G272" s="42"/>
      <c r="H272" s="42"/>
      <c r="I272" s="42"/>
      <c r="J272" s="42"/>
      <c r="K272" s="42"/>
      <c r="L272" s="42"/>
      <c r="M272" s="42"/>
      <c r="N272" s="42"/>
      <c r="O272" s="42"/>
      <c r="P272" s="42"/>
      <c r="Q272" s="42"/>
      <c r="R272" s="42"/>
      <c r="S272" s="42"/>
    </row>
    <row r="273" spans="1:19" ht="12.75">
      <c r="A273" s="42"/>
      <c r="B273" s="42"/>
      <c r="C273" s="42"/>
      <c r="D273" s="42"/>
      <c r="E273" s="42"/>
      <c r="F273" s="42"/>
      <c r="G273" s="42"/>
      <c r="H273" s="42"/>
      <c r="I273" s="42"/>
      <c r="J273" s="42"/>
      <c r="K273" s="42"/>
      <c r="L273" s="42"/>
      <c r="M273" s="42"/>
      <c r="N273" s="42"/>
      <c r="O273" s="42"/>
      <c r="P273" s="42"/>
      <c r="Q273" s="42"/>
      <c r="R273" s="42"/>
      <c r="S273" s="42"/>
    </row>
    <row r="274" spans="1:19" ht="12.75">
      <c r="A274" s="42"/>
      <c r="B274" s="42"/>
      <c r="C274" s="42"/>
      <c r="D274" s="42"/>
      <c r="E274" s="42"/>
      <c r="F274" s="42"/>
      <c r="G274" s="42"/>
      <c r="H274" s="42"/>
      <c r="I274" s="42"/>
      <c r="J274" s="42"/>
      <c r="K274" s="42"/>
      <c r="L274" s="42"/>
      <c r="M274" s="42"/>
      <c r="N274" s="42"/>
      <c r="O274" s="42"/>
      <c r="P274" s="42"/>
      <c r="Q274" s="42"/>
      <c r="R274" s="42"/>
      <c r="S274" s="42"/>
    </row>
    <row r="275" spans="1:19" ht="12.75">
      <c r="A275" s="42"/>
      <c r="B275" s="42"/>
      <c r="C275" s="42"/>
      <c r="D275" s="42"/>
      <c r="E275" s="42"/>
      <c r="F275" s="42"/>
      <c r="G275" s="42"/>
      <c r="H275" s="42"/>
      <c r="I275" s="42"/>
      <c r="J275" s="42"/>
      <c r="K275" s="42"/>
      <c r="L275" s="42"/>
      <c r="M275" s="42"/>
      <c r="N275" s="42"/>
      <c r="O275" s="42"/>
      <c r="P275" s="42"/>
      <c r="Q275" s="42"/>
      <c r="R275" s="42"/>
      <c r="S275" s="42"/>
    </row>
    <row r="276" spans="1:19" ht="12.75">
      <c r="A276" s="42"/>
      <c r="B276" s="42"/>
      <c r="C276" s="42"/>
      <c r="D276" s="42"/>
      <c r="E276" s="42"/>
      <c r="F276" s="42"/>
      <c r="G276" s="42"/>
      <c r="H276" s="42"/>
      <c r="I276" s="42"/>
      <c r="J276" s="42"/>
      <c r="K276" s="42"/>
      <c r="L276" s="42"/>
      <c r="M276" s="42"/>
      <c r="N276" s="42"/>
      <c r="O276" s="42"/>
      <c r="P276" s="42"/>
      <c r="Q276" s="42"/>
      <c r="R276" s="42"/>
      <c r="S276" s="42"/>
    </row>
    <row r="277" spans="1:19" ht="12.75">
      <c r="A277" s="42"/>
      <c r="B277" s="42"/>
      <c r="C277" s="42"/>
      <c r="D277" s="42"/>
      <c r="E277" s="42"/>
      <c r="F277" s="42"/>
      <c r="G277" s="42"/>
      <c r="H277" s="42"/>
      <c r="I277" s="42"/>
      <c r="J277" s="42"/>
      <c r="K277" s="42"/>
      <c r="L277" s="42"/>
      <c r="M277" s="42"/>
      <c r="N277" s="42"/>
      <c r="O277" s="42"/>
      <c r="P277" s="42"/>
      <c r="Q277" s="42"/>
      <c r="R277" s="42"/>
      <c r="S277" s="42"/>
    </row>
    <row r="278" spans="1:19" ht="12.75">
      <c r="A278" s="42"/>
      <c r="B278" s="42"/>
      <c r="C278" s="42"/>
      <c r="D278" s="42"/>
      <c r="E278" s="42"/>
      <c r="F278" s="42"/>
      <c r="G278" s="42"/>
      <c r="H278" s="42"/>
      <c r="I278" s="42"/>
      <c r="J278" s="42"/>
      <c r="K278" s="42"/>
      <c r="L278" s="42"/>
      <c r="M278" s="42"/>
      <c r="N278" s="42"/>
      <c r="O278" s="42"/>
      <c r="P278" s="42"/>
      <c r="Q278" s="42"/>
      <c r="R278" s="42"/>
      <c r="S278" s="42"/>
    </row>
    <row r="279" spans="1:19" ht="12.75">
      <c r="A279" s="42"/>
      <c r="B279" s="42"/>
      <c r="C279" s="42"/>
      <c r="D279" s="42"/>
      <c r="E279" s="42"/>
      <c r="F279" s="42"/>
      <c r="G279" s="42"/>
      <c r="H279" s="42"/>
      <c r="I279" s="42"/>
      <c r="J279" s="42"/>
      <c r="K279" s="42"/>
      <c r="L279" s="42"/>
      <c r="M279" s="42"/>
      <c r="N279" s="42"/>
      <c r="O279" s="42"/>
      <c r="P279" s="42"/>
      <c r="Q279" s="42"/>
      <c r="R279" s="42"/>
      <c r="S279" s="42"/>
    </row>
    <row r="280" spans="1:19" ht="12.75">
      <c r="A280" s="42"/>
      <c r="B280" s="42"/>
      <c r="C280" s="42"/>
      <c r="D280" s="42"/>
      <c r="E280" s="42"/>
      <c r="F280" s="42"/>
      <c r="G280" s="42"/>
      <c r="H280" s="42"/>
      <c r="I280" s="42"/>
      <c r="J280" s="42"/>
      <c r="K280" s="42"/>
      <c r="L280" s="42"/>
      <c r="M280" s="42"/>
      <c r="N280" s="42"/>
      <c r="O280" s="42"/>
      <c r="P280" s="42"/>
      <c r="Q280" s="42"/>
      <c r="R280" s="42"/>
      <c r="S280" s="42"/>
    </row>
    <row r="281" spans="1:19" ht="12.75">
      <c r="A281" s="42"/>
      <c r="B281" s="42"/>
      <c r="C281" s="42"/>
      <c r="D281" s="42"/>
      <c r="E281" s="42"/>
      <c r="F281" s="42"/>
      <c r="G281" s="42"/>
      <c r="H281" s="42"/>
      <c r="I281" s="42"/>
      <c r="J281" s="42"/>
      <c r="K281" s="42"/>
      <c r="L281" s="42"/>
      <c r="M281" s="42"/>
      <c r="N281" s="42"/>
      <c r="O281" s="42"/>
      <c r="P281" s="42"/>
      <c r="Q281" s="42"/>
      <c r="R281" s="42"/>
      <c r="S281" s="42"/>
    </row>
    <row r="282" spans="1:19" ht="12.75">
      <c r="A282" s="42"/>
      <c r="B282" s="42"/>
      <c r="C282" s="42"/>
      <c r="D282" s="42"/>
      <c r="E282" s="42"/>
      <c r="F282" s="42"/>
      <c r="G282" s="42"/>
      <c r="H282" s="42"/>
      <c r="I282" s="42"/>
      <c r="J282" s="42"/>
      <c r="K282" s="42"/>
      <c r="L282" s="42"/>
      <c r="M282" s="42"/>
      <c r="N282" s="42"/>
      <c r="O282" s="42"/>
      <c r="P282" s="42"/>
      <c r="Q282" s="42"/>
      <c r="R282" s="42"/>
      <c r="S282" s="42"/>
    </row>
    <row r="283" spans="1:19" ht="12.75">
      <c r="A283" s="42"/>
      <c r="B283" s="42"/>
      <c r="C283" s="42"/>
      <c r="D283" s="42"/>
      <c r="E283" s="42"/>
      <c r="F283" s="42"/>
      <c r="G283" s="42"/>
      <c r="H283" s="42"/>
      <c r="I283" s="42"/>
      <c r="J283" s="42"/>
      <c r="K283" s="42"/>
      <c r="L283" s="42"/>
      <c r="M283" s="42"/>
      <c r="N283" s="42"/>
      <c r="O283" s="42"/>
      <c r="P283" s="42"/>
      <c r="Q283" s="42"/>
      <c r="R283" s="42"/>
      <c r="S283" s="42"/>
    </row>
    <row r="284" spans="1:19" ht="12.75">
      <c r="A284" s="42"/>
      <c r="B284" s="42"/>
      <c r="C284" s="42"/>
      <c r="D284" s="42"/>
      <c r="E284" s="42"/>
      <c r="F284" s="42"/>
      <c r="G284" s="42"/>
      <c r="H284" s="42"/>
      <c r="I284" s="42"/>
      <c r="J284" s="42"/>
      <c r="K284" s="42"/>
      <c r="L284" s="42"/>
      <c r="M284" s="42"/>
      <c r="N284" s="42"/>
      <c r="O284" s="42"/>
      <c r="P284" s="42"/>
      <c r="Q284" s="42"/>
      <c r="R284" s="42"/>
      <c r="S284" s="42"/>
    </row>
    <row r="285" spans="1:19" ht="12.75">
      <c r="A285" s="42"/>
      <c r="B285" s="42"/>
      <c r="C285" s="42"/>
      <c r="D285" s="42"/>
      <c r="E285" s="42"/>
      <c r="F285" s="42"/>
      <c r="G285" s="42"/>
      <c r="H285" s="42"/>
      <c r="I285" s="42"/>
      <c r="J285" s="42"/>
      <c r="K285" s="42"/>
      <c r="L285" s="42"/>
      <c r="M285" s="42"/>
      <c r="N285" s="42"/>
      <c r="O285" s="42"/>
      <c r="P285" s="42"/>
      <c r="Q285" s="42"/>
      <c r="R285" s="42"/>
      <c r="S285" s="42"/>
    </row>
    <row r="286" spans="1:19" ht="12.75">
      <c r="A286" s="42"/>
      <c r="B286" s="42"/>
      <c r="C286" s="42"/>
      <c r="D286" s="42"/>
      <c r="E286" s="42"/>
      <c r="F286" s="42"/>
      <c r="G286" s="42"/>
      <c r="H286" s="42"/>
      <c r="I286" s="42"/>
      <c r="J286" s="42"/>
      <c r="K286" s="42"/>
      <c r="L286" s="42"/>
      <c r="M286" s="42"/>
      <c r="N286" s="42"/>
      <c r="O286" s="42"/>
      <c r="P286" s="42"/>
      <c r="Q286" s="42"/>
      <c r="R286" s="42"/>
      <c r="S286" s="42"/>
    </row>
    <row r="287" spans="1:19" ht="12.75">
      <c r="A287" s="42"/>
      <c r="B287" s="42"/>
      <c r="C287" s="42"/>
      <c r="D287" s="42"/>
      <c r="E287" s="42"/>
      <c r="F287" s="42"/>
      <c r="G287" s="42"/>
      <c r="H287" s="42"/>
      <c r="I287" s="42"/>
      <c r="J287" s="42"/>
      <c r="K287" s="42"/>
      <c r="L287" s="42"/>
      <c r="M287" s="42"/>
      <c r="N287" s="42"/>
      <c r="O287" s="42"/>
      <c r="P287" s="42"/>
      <c r="Q287" s="42"/>
      <c r="R287" s="42"/>
      <c r="S287" s="42"/>
    </row>
    <row r="288" spans="1:19" ht="12.75">
      <c r="A288" s="42"/>
      <c r="B288" s="42"/>
      <c r="C288" s="42"/>
      <c r="D288" s="42"/>
      <c r="E288" s="42"/>
      <c r="F288" s="42"/>
      <c r="G288" s="42"/>
      <c r="H288" s="42"/>
      <c r="I288" s="42"/>
      <c r="J288" s="42"/>
      <c r="K288" s="42"/>
      <c r="L288" s="42"/>
      <c r="M288" s="42"/>
      <c r="N288" s="42"/>
      <c r="O288" s="42"/>
      <c r="P288" s="42"/>
      <c r="Q288" s="42"/>
      <c r="R288" s="42"/>
      <c r="S288" s="42"/>
    </row>
    <row r="289" spans="1:19" ht="12.75">
      <c r="A289" s="42"/>
      <c r="B289" s="42"/>
      <c r="C289" s="42"/>
      <c r="D289" s="42"/>
      <c r="E289" s="42"/>
      <c r="F289" s="42"/>
      <c r="G289" s="42"/>
      <c r="H289" s="42"/>
      <c r="I289" s="42"/>
      <c r="J289" s="42"/>
      <c r="K289" s="42"/>
      <c r="L289" s="42"/>
      <c r="M289" s="42"/>
      <c r="N289" s="42"/>
      <c r="O289" s="42"/>
      <c r="P289" s="42"/>
      <c r="Q289" s="42"/>
      <c r="R289" s="42"/>
      <c r="S289" s="42"/>
    </row>
    <row r="290" spans="1:19" ht="12.75">
      <c r="A290" s="42"/>
      <c r="B290" s="42"/>
      <c r="C290" s="42"/>
      <c r="D290" s="42"/>
      <c r="E290" s="42"/>
      <c r="F290" s="42"/>
      <c r="G290" s="42"/>
      <c r="H290" s="42"/>
      <c r="I290" s="42"/>
      <c r="J290" s="42"/>
      <c r="K290" s="42"/>
      <c r="L290" s="42"/>
      <c r="M290" s="42"/>
      <c r="N290" s="42"/>
      <c r="O290" s="42"/>
      <c r="P290" s="42"/>
      <c r="Q290" s="42"/>
      <c r="R290" s="42"/>
      <c r="S290" s="42"/>
    </row>
    <row r="291" spans="1:19" ht="12.75">
      <c r="A291" s="42"/>
      <c r="B291" s="42"/>
      <c r="C291" s="42"/>
      <c r="D291" s="42"/>
      <c r="E291" s="42"/>
      <c r="F291" s="42"/>
      <c r="G291" s="42"/>
      <c r="H291" s="42"/>
      <c r="I291" s="42"/>
      <c r="J291" s="42"/>
      <c r="K291" s="42"/>
      <c r="L291" s="42"/>
      <c r="M291" s="42"/>
      <c r="N291" s="42"/>
      <c r="O291" s="42"/>
      <c r="P291" s="42"/>
      <c r="Q291" s="42"/>
      <c r="R291" s="42"/>
      <c r="S291" s="42"/>
    </row>
    <row r="292" spans="1:19" ht="12.75">
      <c r="A292" s="42"/>
      <c r="B292" s="42"/>
      <c r="C292" s="42"/>
      <c r="D292" s="42"/>
      <c r="E292" s="42"/>
      <c r="F292" s="42"/>
      <c r="G292" s="42"/>
      <c r="H292" s="42"/>
      <c r="I292" s="42"/>
      <c r="J292" s="42"/>
      <c r="K292" s="42"/>
      <c r="L292" s="42"/>
      <c r="M292" s="42"/>
      <c r="N292" s="42"/>
      <c r="O292" s="42"/>
      <c r="P292" s="42"/>
      <c r="Q292" s="42"/>
      <c r="R292" s="42"/>
      <c r="S292" s="42"/>
    </row>
    <row r="293" spans="1:19" ht="12.75">
      <c r="A293" s="42"/>
      <c r="B293" s="42"/>
      <c r="C293" s="42"/>
      <c r="D293" s="42"/>
      <c r="E293" s="42"/>
      <c r="F293" s="42"/>
      <c r="G293" s="42"/>
      <c r="H293" s="42"/>
      <c r="I293" s="42"/>
      <c r="J293" s="42"/>
      <c r="K293" s="42"/>
      <c r="L293" s="42"/>
      <c r="M293" s="42"/>
      <c r="N293" s="42"/>
      <c r="O293" s="42"/>
      <c r="P293" s="42"/>
      <c r="Q293" s="42"/>
      <c r="R293" s="42"/>
      <c r="S293" s="42"/>
    </row>
    <row r="294" spans="1:19" ht="12.75">
      <c r="A294" s="42"/>
      <c r="B294" s="42"/>
      <c r="C294" s="42"/>
      <c r="D294" s="42"/>
      <c r="E294" s="42"/>
      <c r="F294" s="42"/>
      <c r="G294" s="42"/>
      <c r="H294" s="42"/>
      <c r="I294" s="42"/>
      <c r="J294" s="42"/>
      <c r="K294" s="42"/>
      <c r="L294" s="42"/>
      <c r="M294" s="42"/>
      <c r="N294" s="42"/>
      <c r="O294" s="42"/>
      <c r="P294" s="42"/>
      <c r="Q294" s="42"/>
      <c r="R294" s="42"/>
      <c r="S294" s="42"/>
    </row>
    <row r="295" spans="1:19" ht="12.75">
      <c r="A295" s="42"/>
      <c r="B295" s="42"/>
      <c r="C295" s="42"/>
      <c r="D295" s="42"/>
      <c r="E295" s="42"/>
      <c r="F295" s="42"/>
      <c r="G295" s="42"/>
      <c r="H295" s="42"/>
      <c r="I295" s="42"/>
      <c r="J295" s="42"/>
      <c r="K295" s="42"/>
      <c r="L295" s="42"/>
      <c r="M295" s="42"/>
      <c r="N295" s="42"/>
      <c r="O295" s="42"/>
      <c r="P295" s="42"/>
      <c r="Q295" s="42"/>
      <c r="R295" s="42"/>
      <c r="S295" s="42"/>
    </row>
    <row r="296" spans="1:19" ht="12.75">
      <c r="A296" s="42"/>
      <c r="B296" s="42"/>
      <c r="C296" s="42"/>
      <c r="D296" s="42"/>
      <c r="E296" s="42"/>
      <c r="F296" s="42"/>
      <c r="G296" s="42"/>
      <c r="H296" s="42"/>
      <c r="I296" s="42"/>
      <c r="J296" s="42"/>
      <c r="K296" s="42"/>
      <c r="L296" s="42"/>
      <c r="M296" s="42"/>
      <c r="N296" s="42"/>
      <c r="O296" s="42"/>
      <c r="P296" s="42"/>
      <c r="Q296" s="42"/>
      <c r="R296" s="42"/>
      <c r="S296" s="42"/>
    </row>
    <row r="297" spans="1:19" ht="12.75">
      <c r="A297" s="42"/>
      <c r="B297" s="42"/>
      <c r="C297" s="42"/>
      <c r="D297" s="42"/>
      <c r="E297" s="42"/>
      <c r="F297" s="42"/>
      <c r="G297" s="42"/>
      <c r="H297" s="42"/>
      <c r="I297" s="42"/>
      <c r="J297" s="42"/>
      <c r="K297" s="42"/>
      <c r="L297" s="42"/>
      <c r="M297" s="42"/>
      <c r="N297" s="42"/>
      <c r="O297" s="42"/>
      <c r="P297" s="42"/>
      <c r="Q297" s="42"/>
      <c r="R297" s="42"/>
      <c r="S297" s="42"/>
    </row>
    <row r="298" spans="1:19" ht="12.75">
      <c r="A298" s="42"/>
      <c r="B298" s="42"/>
      <c r="C298" s="42"/>
      <c r="D298" s="42"/>
      <c r="E298" s="42"/>
      <c r="F298" s="42"/>
      <c r="G298" s="42"/>
      <c r="H298" s="42"/>
      <c r="I298" s="42"/>
      <c r="J298" s="42"/>
      <c r="K298" s="42"/>
      <c r="L298" s="42"/>
      <c r="M298" s="42"/>
      <c r="N298" s="42"/>
      <c r="O298" s="42"/>
      <c r="P298" s="42"/>
      <c r="Q298" s="42"/>
      <c r="R298" s="42"/>
      <c r="S298" s="42"/>
    </row>
    <row r="299" spans="1:19" ht="12.75">
      <c r="A299" s="42"/>
      <c r="B299" s="42"/>
      <c r="C299" s="42"/>
      <c r="D299" s="42"/>
      <c r="E299" s="42"/>
      <c r="F299" s="42"/>
      <c r="G299" s="42"/>
      <c r="H299" s="42"/>
      <c r="I299" s="42"/>
      <c r="J299" s="42"/>
      <c r="K299" s="42"/>
      <c r="L299" s="42"/>
      <c r="M299" s="42"/>
      <c r="N299" s="42"/>
      <c r="O299" s="42"/>
      <c r="P299" s="42"/>
      <c r="Q299" s="42"/>
      <c r="R299" s="42"/>
      <c r="S299" s="42"/>
    </row>
    <row r="300" spans="1:19" ht="12.75">
      <c r="A300" s="42"/>
      <c r="B300" s="42"/>
      <c r="C300" s="42"/>
      <c r="D300" s="42"/>
      <c r="E300" s="42"/>
      <c r="F300" s="42"/>
      <c r="G300" s="42"/>
      <c r="H300" s="42"/>
      <c r="I300" s="42"/>
      <c r="J300" s="42"/>
      <c r="K300" s="42"/>
      <c r="L300" s="42"/>
      <c r="M300" s="42"/>
      <c r="N300" s="42"/>
      <c r="O300" s="42"/>
      <c r="P300" s="42"/>
      <c r="Q300" s="42"/>
      <c r="R300" s="42"/>
      <c r="S300" s="42"/>
    </row>
    <row r="301" spans="1:19" ht="12.75">
      <c r="A301" s="42"/>
      <c r="B301" s="42"/>
      <c r="C301" s="42"/>
      <c r="D301" s="42"/>
      <c r="E301" s="42"/>
      <c r="F301" s="42"/>
      <c r="G301" s="42"/>
      <c r="H301" s="42"/>
      <c r="I301" s="42"/>
      <c r="J301" s="42"/>
      <c r="K301" s="42"/>
      <c r="L301" s="42"/>
      <c r="M301" s="42"/>
      <c r="N301" s="42"/>
      <c r="O301" s="42"/>
      <c r="P301" s="42"/>
      <c r="Q301" s="42"/>
      <c r="R301" s="42"/>
      <c r="S301" s="42"/>
    </row>
    <row r="302" spans="1:19" ht="12.75">
      <c r="A302" s="42"/>
      <c r="B302" s="42"/>
      <c r="C302" s="42"/>
      <c r="D302" s="42"/>
      <c r="E302" s="42"/>
      <c r="F302" s="42"/>
      <c r="G302" s="42"/>
      <c r="H302" s="42"/>
      <c r="I302" s="42"/>
      <c r="J302" s="42"/>
      <c r="K302" s="42"/>
      <c r="L302" s="42"/>
      <c r="M302" s="42"/>
      <c r="N302" s="42"/>
      <c r="O302" s="42"/>
      <c r="P302" s="42"/>
      <c r="Q302" s="42"/>
      <c r="R302" s="42"/>
      <c r="S302" s="42"/>
    </row>
    <row r="303" spans="1:19" ht="12.75">
      <c r="A303" s="42"/>
      <c r="B303" s="42"/>
      <c r="C303" s="42"/>
      <c r="D303" s="42"/>
      <c r="E303" s="42"/>
      <c r="F303" s="42"/>
      <c r="G303" s="42"/>
      <c r="H303" s="42"/>
      <c r="I303" s="42"/>
      <c r="J303" s="42"/>
      <c r="K303" s="42"/>
      <c r="L303" s="42"/>
      <c r="M303" s="42"/>
      <c r="N303" s="42"/>
      <c r="O303" s="42"/>
      <c r="P303" s="42"/>
      <c r="Q303" s="42"/>
      <c r="R303" s="42"/>
      <c r="S303" s="42"/>
    </row>
    <row r="304" spans="1:19" ht="12.75">
      <c r="A304" s="42"/>
      <c r="B304" s="42"/>
      <c r="C304" s="42"/>
      <c r="D304" s="42"/>
      <c r="E304" s="42"/>
      <c r="F304" s="42"/>
      <c r="G304" s="42"/>
      <c r="H304" s="42"/>
      <c r="I304" s="42"/>
      <c r="J304" s="42"/>
      <c r="K304" s="42"/>
      <c r="L304" s="42"/>
      <c r="M304" s="42"/>
      <c r="N304" s="42"/>
      <c r="O304" s="42"/>
      <c r="P304" s="42"/>
      <c r="Q304" s="42"/>
      <c r="R304" s="42"/>
      <c r="S304" s="42"/>
    </row>
    <row r="305" spans="1:19" ht="12.75">
      <c r="A305" s="42"/>
      <c r="B305" s="42"/>
      <c r="C305" s="42"/>
      <c r="D305" s="42"/>
      <c r="E305" s="42"/>
      <c r="F305" s="42"/>
      <c r="G305" s="42"/>
      <c r="H305" s="42"/>
      <c r="I305" s="42"/>
      <c r="J305" s="42"/>
      <c r="K305" s="42"/>
      <c r="L305" s="42"/>
      <c r="M305" s="42"/>
      <c r="N305" s="42"/>
      <c r="O305" s="42"/>
      <c r="P305" s="42"/>
      <c r="Q305" s="42"/>
      <c r="R305" s="42"/>
      <c r="S305" s="42"/>
    </row>
    <row r="306" spans="1:19" ht="12.75">
      <c r="A306" s="42"/>
      <c r="B306" s="42"/>
      <c r="C306" s="42"/>
      <c r="D306" s="42"/>
      <c r="E306" s="42"/>
      <c r="F306" s="42"/>
      <c r="G306" s="42"/>
      <c r="H306" s="42"/>
      <c r="I306" s="42"/>
      <c r="J306" s="42"/>
      <c r="K306" s="42"/>
      <c r="L306" s="42"/>
      <c r="M306" s="42"/>
      <c r="N306" s="42"/>
      <c r="O306" s="42"/>
      <c r="P306" s="42"/>
      <c r="Q306" s="42"/>
      <c r="R306" s="42"/>
      <c r="S306" s="42"/>
    </row>
    <row r="307" spans="1:19" ht="12.75">
      <c r="A307" s="42"/>
      <c r="B307" s="42"/>
      <c r="C307" s="42"/>
      <c r="D307" s="42"/>
      <c r="E307" s="42"/>
      <c r="F307" s="42"/>
      <c r="G307" s="42"/>
      <c r="H307" s="42"/>
      <c r="I307" s="42"/>
      <c r="J307" s="42"/>
      <c r="K307" s="42"/>
      <c r="L307" s="42"/>
      <c r="M307" s="42"/>
      <c r="N307" s="42"/>
      <c r="O307" s="42"/>
      <c r="P307" s="42"/>
      <c r="Q307" s="42"/>
      <c r="R307" s="42"/>
      <c r="S307" s="42"/>
    </row>
    <row r="308" spans="1:19" ht="12.75">
      <c r="A308" s="42"/>
      <c r="B308" s="42"/>
      <c r="C308" s="42"/>
      <c r="D308" s="42"/>
      <c r="E308" s="42"/>
      <c r="F308" s="42"/>
      <c r="G308" s="42"/>
      <c r="H308" s="42"/>
      <c r="I308" s="42"/>
      <c r="J308" s="42"/>
      <c r="K308" s="42"/>
      <c r="L308" s="42"/>
      <c r="M308" s="42"/>
      <c r="N308" s="42"/>
      <c r="O308" s="42"/>
      <c r="P308" s="42"/>
      <c r="Q308" s="42"/>
      <c r="R308" s="42"/>
      <c r="S308" s="42"/>
    </row>
    <row r="309" spans="1:19" ht="12.75">
      <c r="A309" s="42"/>
      <c r="B309" s="42"/>
      <c r="C309" s="42"/>
      <c r="D309" s="42"/>
      <c r="E309" s="42"/>
      <c r="F309" s="42"/>
      <c r="G309" s="42"/>
      <c r="H309" s="42"/>
      <c r="I309" s="42"/>
      <c r="J309" s="42"/>
      <c r="K309" s="42"/>
      <c r="L309" s="42"/>
      <c r="M309" s="42"/>
      <c r="N309" s="42"/>
      <c r="O309" s="42"/>
      <c r="P309" s="42"/>
      <c r="Q309" s="42"/>
      <c r="R309" s="42"/>
      <c r="S309" s="42"/>
    </row>
    <row r="310" spans="1:19" ht="12.75">
      <c r="A310" s="42"/>
      <c r="B310" s="42"/>
      <c r="C310" s="42"/>
      <c r="D310" s="42"/>
      <c r="E310" s="42"/>
      <c r="F310" s="42"/>
      <c r="G310" s="42"/>
      <c r="H310" s="42"/>
      <c r="I310" s="42"/>
      <c r="J310" s="42"/>
      <c r="K310" s="42"/>
      <c r="L310" s="42"/>
      <c r="M310" s="42"/>
      <c r="N310" s="42"/>
      <c r="O310" s="42"/>
      <c r="P310" s="42"/>
      <c r="Q310" s="42"/>
      <c r="R310" s="42"/>
      <c r="S310" s="42"/>
    </row>
    <row r="311" spans="1:19" ht="12.75">
      <c r="A311" s="42"/>
      <c r="B311" s="42"/>
      <c r="C311" s="42"/>
      <c r="D311" s="42"/>
      <c r="E311" s="42"/>
      <c r="F311" s="42"/>
      <c r="G311" s="42"/>
      <c r="H311" s="42"/>
      <c r="I311" s="42"/>
      <c r="J311" s="42"/>
      <c r="K311" s="42"/>
      <c r="L311" s="42"/>
      <c r="M311" s="42"/>
      <c r="N311" s="42"/>
      <c r="O311" s="42"/>
      <c r="P311" s="42"/>
      <c r="Q311" s="42"/>
      <c r="R311" s="42"/>
      <c r="S311" s="42"/>
    </row>
    <row r="312" spans="1:19" ht="12.75">
      <c r="A312" s="42"/>
      <c r="B312" s="42"/>
      <c r="C312" s="42"/>
      <c r="D312" s="42"/>
      <c r="E312" s="42"/>
      <c r="F312" s="42"/>
      <c r="G312" s="42"/>
      <c r="H312" s="42"/>
      <c r="I312" s="42"/>
      <c r="J312" s="42"/>
      <c r="K312" s="42"/>
      <c r="L312" s="42"/>
      <c r="M312" s="42"/>
      <c r="N312" s="42"/>
      <c r="O312" s="42"/>
      <c r="P312" s="42"/>
      <c r="Q312" s="42"/>
      <c r="R312" s="42"/>
      <c r="S312" s="42"/>
    </row>
    <row r="313" spans="1:19" ht="12.75">
      <c r="A313" s="42"/>
      <c r="B313" s="42"/>
      <c r="C313" s="42"/>
      <c r="D313" s="42"/>
      <c r="E313" s="42"/>
      <c r="F313" s="42"/>
      <c r="G313" s="42"/>
      <c r="H313" s="42"/>
      <c r="I313" s="42"/>
      <c r="J313" s="42"/>
      <c r="K313" s="42"/>
      <c r="L313" s="42"/>
      <c r="M313" s="42"/>
      <c r="N313" s="42"/>
      <c r="O313" s="42"/>
      <c r="P313" s="42"/>
      <c r="Q313" s="42"/>
      <c r="R313" s="42"/>
      <c r="S313" s="42"/>
    </row>
    <row r="314" spans="1:19" ht="12.75">
      <c r="A314" s="42"/>
      <c r="B314" s="42"/>
      <c r="C314" s="42"/>
      <c r="D314" s="42"/>
      <c r="E314" s="42"/>
      <c r="F314" s="42"/>
      <c r="G314" s="42"/>
      <c r="H314" s="42"/>
      <c r="I314" s="42"/>
      <c r="J314" s="42"/>
      <c r="K314" s="42"/>
      <c r="L314" s="42"/>
      <c r="M314" s="42"/>
      <c r="N314" s="42"/>
      <c r="O314" s="42"/>
      <c r="P314" s="42"/>
      <c r="Q314" s="42"/>
      <c r="R314" s="42"/>
      <c r="S314" s="42"/>
    </row>
    <row r="315" spans="1:19" ht="12.75">
      <c r="A315" s="42"/>
      <c r="B315" s="42"/>
      <c r="C315" s="42"/>
      <c r="D315" s="42"/>
      <c r="E315" s="42"/>
      <c r="F315" s="42"/>
      <c r="G315" s="42"/>
      <c r="H315" s="42"/>
      <c r="I315" s="42"/>
      <c r="J315" s="42"/>
      <c r="K315" s="42"/>
      <c r="L315" s="42"/>
      <c r="M315" s="42"/>
      <c r="N315" s="42"/>
      <c r="O315" s="42"/>
      <c r="P315" s="42"/>
      <c r="Q315" s="42"/>
      <c r="R315" s="42"/>
      <c r="S315" s="42"/>
    </row>
    <row r="316" spans="1:19" ht="12.75">
      <c r="A316" s="42"/>
      <c r="B316" s="42"/>
      <c r="C316" s="42"/>
      <c r="D316" s="42"/>
      <c r="E316" s="42"/>
      <c r="F316" s="42"/>
      <c r="G316" s="42"/>
      <c r="H316" s="42"/>
      <c r="I316" s="42"/>
      <c r="J316" s="42"/>
      <c r="K316" s="42"/>
      <c r="L316" s="42"/>
      <c r="M316" s="42"/>
      <c r="N316" s="42"/>
      <c r="O316" s="42"/>
      <c r="P316" s="42"/>
      <c r="Q316" s="42"/>
      <c r="R316" s="42"/>
      <c r="S316" s="42"/>
    </row>
    <row r="317" spans="1:19" ht="12.75">
      <c r="A317" s="42"/>
      <c r="B317" s="42"/>
      <c r="C317" s="42"/>
      <c r="D317" s="42"/>
      <c r="E317" s="42"/>
      <c r="F317" s="42"/>
      <c r="G317" s="42"/>
      <c r="H317" s="42"/>
      <c r="I317" s="42"/>
      <c r="J317" s="42"/>
      <c r="K317" s="42"/>
      <c r="L317" s="42"/>
      <c r="M317" s="42"/>
      <c r="N317" s="42"/>
      <c r="O317" s="42"/>
      <c r="P317" s="42"/>
      <c r="Q317" s="42"/>
      <c r="R317" s="42"/>
      <c r="S317" s="42"/>
    </row>
    <row r="318" spans="1:19" ht="12.75">
      <c r="A318" s="42"/>
      <c r="B318" s="42"/>
      <c r="C318" s="42"/>
      <c r="D318" s="42"/>
      <c r="E318" s="42"/>
      <c r="F318" s="42"/>
      <c r="G318" s="42"/>
      <c r="H318" s="42"/>
      <c r="I318" s="42"/>
      <c r="J318" s="42"/>
      <c r="K318" s="42"/>
      <c r="L318" s="42"/>
      <c r="M318" s="42"/>
      <c r="N318" s="42"/>
      <c r="O318" s="42"/>
      <c r="P318" s="42"/>
      <c r="Q318" s="42"/>
      <c r="R318" s="42"/>
      <c r="S318" s="42"/>
    </row>
    <row r="319" spans="1:19" ht="12.75">
      <c r="A319" s="42"/>
      <c r="B319" s="42"/>
      <c r="C319" s="42"/>
      <c r="D319" s="42"/>
      <c r="E319" s="42"/>
      <c r="F319" s="42"/>
      <c r="G319" s="42"/>
      <c r="H319" s="42"/>
      <c r="I319" s="42"/>
      <c r="J319" s="42"/>
      <c r="K319" s="42"/>
      <c r="L319" s="42"/>
      <c r="M319" s="42"/>
      <c r="N319" s="42"/>
      <c r="O319" s="42"/>
      <c r="P319" s="42"/>
      <c r="Q319" s="42"/>
      <c r="R319" s="42"/>
      <c r="S319" s="42"/>
    </row>
    <row r="320" spans="1:19" ht="12.75">
      <c r="A320" s="42"/>
      <c r="B320" s="42"/>
      <c r="C320" s="42"/>
      <c r="D320" s="42"/>
      <c r="E320" s="42"/>
      <c r="F320" s="42"/>
      <c r="G320" s="42"/>
      <c r="H320" s="42"/>
      <c r="I320" s="42"/>
      <c r="J320" s="42"/>
      <c r="K320" s="42"/>
      <c r="L320" s="42"/>
      <c r="M320" s="42"/>
      <c r="N320" s="42"/>
      <c r="O320" s="42"/>
      <c r="P320" s="42"/>
      <c r="Q320" s="42"/>
      <c r="R320" s="42"/>
      <c r="S320" s="42"/>
    </row>
    <row r="321" spans="1:19" ht="12.75">
      <c r="A321" s="42"/>
      <c r="B321" s="42"/>
      <c r="C321" s="42"/>
      <c r="D321" s="42"/>
      <c r="E321" s="42"/>
      <c r="F321" s="42"/>
      <c r="G321" s="42"/>
      <c r="H321" s="42"/>
      <c r="I321" s="42"/>
      <c r="J321" s="42"/>
      <c r="K321" s="42"/>
      <c r="L321" s="42"/>
      <c r="M321" s="42"/>
      <c r="N321" s="42"/>
      <c r="O321" s="42"/>
      <c r="P321" s="42"/>
      <c r="Q321" s="42"/>
      <c r="R321" s="42"/>
      <c r="S321" s="42"/>
    </row>
    <row r="322" spans="1:19" ht="12.75">
      <c r="A322" s="42"/>
      <c r="B322" s="42"/>
      <c r="C322" s="42"/>
      <c r="D322" s="42"/>
      <c r="E322" s="42"/>
      <c r="F322" s="42"/>
      <c r="G322" s="42"/>
      <c r="H322" s="42"/>
      <c r="I322" s="42"/>
      <c r="J322" s="42"/>
      <c r="K322" s="42"/>
      <c r="L322" s="42"/>
      <c r="M322" s="42"/>
      <c r="N322" s="42"/>
      <c r="O322" s="42"/>
      <c r="P322" s="42"/>
      <c r="Q322" s="42"/>
      <c r="R322" s="42"/>
      <c r="S322" s="42"/>
    </row>
    <row r="323" spans="1:19" ht="12.75">
      <c r="A323" s="42"/>
      <c r="B323" s="42"/>
      <c r="C323" s="42"/>
      <c r="D323" s="42"/>
      <c r="E323" s="42"/>
      <c r="F323" s="42"/>
      <c r="G323" s="42"/>
      <c r="H323" s="42"/>
      <c r="I323" s="42"/>
      <c r="J323" s="42"/>
      <c r="K323" s="42"/>
      <c r="L323" s="42"/>
      <c r="M323" s="42"/>
      <c r="N323" s="42"/>
      <c r="O323" s="42"/>
      <c r="P323" s="42"/>
      <c r="Q323" s="42"/>
      <c r="R323" s="42"/>
      <c r="S323" s="42"/>
    </row>
    <row r="324" spans="1:19" ht="12.75">
      <c r="A324" s="42"/>
      <c r="B324" s="42"/>
      <c r="C324" s="42"/>
      <c r="D324" s="42"/>
      <c r="E324" s="42"/>
      <c r="F324" s="42"/>
      <c r="G324" s="42"/>
      <c r="H324" s="42"/>
      <c r="I324" s="42"/>
      <c r="J324" s="42"/>
      <c r="K324" s="42"/>
      <c r="L324" s="42"/>
      <c r="M324" s="42"/>
      <c r="N324" s="42"/>
      <c r="O324" s="42"/>
      <c r="P324" s="42"/>
      <c r="Q324" s="42"/>
      <c r="R324" s="42"/>
      <c r="S324" s="42"/>
    </row>
    <row r="325" spans="1:19" ht="12.75">
      <c r="A325" s="42"/>
      <c r="B325" s="42"/>
      <c r="C325" s="42"/>
      <c r="D325" s="42"/>
      <c r="E325" s="42"/>
      <c r="F325" s="42"/>
      <c r="G325" s="42"/>
      <c r="H325" s="42"/>
      <c r="I325" s="42"/>
      <c r="J325" s="42"/>
      <c r="K325" s="42"/>
      <c r="L325" s="42"/>
      <c r="M325" s="42"/>
      <c r="N325" s="42"/>
      <c r="O325" s="42"/>
      <c r="P325" s="42"/>
      <c r="Q325" s="42"/>
      <c r="R325" s="42"/>
      <c r="S325" s="42"/>
    </row>
    <row r="326" spans="1:19" ht="12.75">
      <c r="A326" s="42"/>
      <c r="B326" s="42"/>
      <c r="C326" s="42"/>
      <c r="D326" s="42"/>
      <c r="E326" s="42"/>
      <c r="F326" s="42"/>
      <c r="G326" s="42"/>
      <c r="H326" s="42"/>
      <c r="I326" s="42"/>
      <c r="J326" s="42"/>
      <c r="K326" s="42"/>
      <c r="L326" s="42"/>
      <c r="M326" s="42"/>
      <c r="N326" s="42"/>
      <c r="O326" s="42"/>
      <c r="P326" s="42"/>
      <c r="Q326" s="42"/>
      <c r="R326" s="42"/>
      <c r="S326" s="42"/>
    </row>
    <row r="327" spans="1:19" ht="12.75">
      <c r="A327" s="42"/>
      <c r="B327" s="42"/>
      <c r="C327" s="42"/>
      <c r="D327" s="42"/>
      <c r="E327" s="42"/>
      <c r="F327" s="42"/>
      <c r="G327" s="42"/>
      <c r="H327" s="42"/>
      <c r="I327" s="42"/>
      <c r="J327" s="42"/>
      <c r="K327" s="42"/>
      <c r="L327" s="42"/>
      <c r="M327" s="42"/>
      <c r="N327" s="42"/>
      <c r="O327" s="42"/>
      <c r="P327" s="42"/>
      <c r="Q327" s="42"/>
      <c r="R327" s="42"/>
      <c r="S327" s="42"/>
    </row>
    <row r="328" spans="1:19" ht="12.75">
      <c r="A328" s="42"/>
      <c r="B328" s="42"/>
      <c r="C328" s="42"/>
      <c r="D328" s="42"/>
      <c r="E328" s="42"/>
      <c r="F328" s="42"/>
      <c r="G328" s="42"/>
      <c r="H328" s="42"/>
      <c r="I328" s="42"/>
      <c r="J328" s="42"/>
      <c r="K328" s="42"/>
      <c r="L328" s="42"/>
      <c r="M328" s="42"/>
      <c r="N328" s="42"/>
      <c r="O328" s="42"/>
      <c r="P328" s="42"/>
      <c r="Q328" s="42"/>
      <c r="R328" s="42"/>
      <c r="S328" s="42"/>
    </row>
    <row r="329" spans="1:19" ht="12.75">
      <c r="A329" s="42"/>
      <c r="B329" s="42"/>
      <c r="C329" s="42"/>
      <c r="D329" s="42"/>
      <c r="E329" s="42"/>
      <c r="F329" s="42"/>
      <c r="G329" s="42"/>
      <c r="H329" s="42"/>
      <c r="I329" s="42"/>
      <c r="J329" s="42"/>
      <c r="K329" s="42"/>
      <c r="L329" s="42"/>
      <c r="M329" s="42"/>
      <c r="N329" s="42"/>
      <c r="O329" s="42"/>
      <c r="P329" s="42"/>
      <c r="Q329" s="42"/>
      <c r="R329" s="42"/>
      <c r="S329" s="42"/>
    </row>
    <row r="330" spans="1:19" ht="12.75">
      <c r="A330" s="42"/>
      <c r="B330" s="42"/>
      <c r="C330" s="42"/>
      <c r="D330" s="42"/>
      <c r="E330" s="42"/>
      <c r="F330" s="42"/>
      <c r="G330" s="42"/>
      <c r="H330" s="42"/>
      <c r="I330" s="42"/>
      <c r="J330" s="42"/>
      <c r="K330" s="42"/>
      <c r="L330" s="42"/>
      <c r="M330" s="42"/>
      <c r="N330" s="42"/>
      <c r="O330" s="42"/>
      <c r="P330" s="42"/>
      <c r="Q330" s="42"/>
      <c r="R330" s="42"/>
      <c r="S330" s="42"/>
    </row>
    <row r="331" spans="1:19" ht="12.75">
      <c r="A331" s="42"/>
      <c r="B331" s="42"/>
      <c r="C331" s="42"/>
      <c r="D331" s="42"/>
      <c r="E331" s="42"/>
      <c r="F331" s="42"/>
      <c r="G331" s="42"/>
      <c r="H331" s="42"/>
      <c r="I331" s="42"/>
      <c r="J331" s="42"/>
      <c r="K331" s="42"/>
      <c r="L331" s="42"/>
      <c r="M331" s="42"/>
      <c r="N331" s="42"/>
      <c r="O331" s="42"/>
      <c r="P331" s="42"/>
      <c r="Q331" s="42"/>
      <c r="R331" s="42"/>
      <c r="S331" s="42"/>
    </row>
    <row r="332" spans="1:19" ht="12.75">
      <c r="A332" s="42"/>
      <c r="B332" s="42"/>
      <c r="C332" s="42"/>
      <c r="D332" s="42"/>
      <c r="E332" s="42"/>
      <c r="F332" s="42"/>
      <c r="G332" s="42"/>
      <c r="H332" s="42"/>
      <c r="I332" s="42"/>
      <c r="J332" s="42"/>
      <c r="K332" s="42"/>
      <c r="L332" s="42"/>
      <c r="M332" s="42"/>
      <c r="N332" s="42"/>
      <c r="O332" s="42"/>
      <c r="P332" s="42"/>
      <c r="Q332" s="42"/>
      <c r="R332" s="42"/>
      <c r="S332" s="42"/>
    </row>
    <row r="333" spans="1:19" ht="12.75">
      <c r="A333" s="42"/>
      <c r="B333" s="42"/>
      <c r="C333" s="42"/>
      <c r="D333" s="42"/>
      <c r="E333" s="42"/>
      <c r="F333" s="42"/>
      <c r="G333" s="42"/>
      <c r="H333" s="42"/>
      <c r="I333" s="42"/>
      <c r="J333" s="42"/>
      <c r="K333" s="42"/>
      <c r="L333" s="42"/>
      <c r="M333" s="42"/>
      <c r="N333" s="42"/>
      <c r="O333" s="42"/>
      <c r="P333" s="42"/>
      <c r="Q333" s="42"/>
      <c r="R333" s="42"/>
      <c r="S333" s="42"/>
    </row>
    <row r="334" spans="1:19" ht="12.75">
      <c r="A334" s="42"/>
      <c r="B334" s="42"/>
      <c r="C334" s="42"/>
      <c r="D334" s="42"/>
      <c r="E334" s="42"/>
      <c r="F334" s="42"/>
      <c r="G334" s="42"/>
      <c r="H334" s="42"/>
      <c r="I334" s="42"/>
      <c r="J334" s="42"/>
      <c r="K334" s="42"/>
      <c r="L334" s="42"/>
      <c r="M334" s="42"/>
      <c r="N334" s="42"/>
      <c r="O334" s="42"/>
      <c r="P334" s="42"/>
      <c r="Q334" s="42"/>
      <c r="R334" s="42"/>
      <c r="S334" s="42"/>
    </row>
    <row r="335" spans="1:19" ht="12.75">
      <c r="A335" s="42"/>
      <c r="B335" s="42"/>
      <c r="C335" s="42"/>
      <c r="D335" s="42"/>
      <c r="E335" s="42"/>
      <c r="F335" s="42"/>
      <c r="G335" s="42"/>
      <c r="H335" s="42"/>
      <c r="I335" s="42"/>
      <c r="J335" s="42"/>
      <c r="K335" s="42"/>
      <c r="L335" s="42"/>
      <c r="M335" s="42"/>
      <c r="N335" s="42"/>
      <c r="O335" s="42"/>
      <c r="P335" s="42"/>
      <c r="Q335" s="42"/>
      <c r="R335" s="42"/>
      <c r="S335" s="42"/>
    </row>
    <row r="336" spans="1:19" ht="12.75">
      <c r="A336" s="42"/>
      <c r="B336" s="42"/>
      <c r="C336" s="42"/>
      <c r="D336" s="42"/>
      <c r="E336" s="42"/>
      <c r="F336" s="42"/>
      <c r="G336" s="42"/>
      <c r="H336" s="42"/>
      <c r="I336" s="42"/>
      <c r="J336" s="42"/>
      <c r="K336" s="42"/>
      <c r="L336" s="42"/>
      <c r="M336" s="42"/>
      <c r="N336" s="42"/>
      <c r="O336" s="42"/>
      <c r="P336" s="42"/>
      <c r="Q336" s="42"/>
      <c r="R336" s="42"/>
      <c r="S336" s="42"/>
    </row>
  </sheetData>
  <mergeCells count="117">
    <mergeCell ref="A15:S15"/>
    <mergeCell ref="A66:K67"/>
    <mergeCell ref="O21:R23"/>
    <mergeCell ref="B63:L63"/>
    <mergeCell ref="A17:S17"/>
    <mergeCell ref="N36:P36"/>
    <mergeCell ref="C40:S40"/>
    <mergeCell ref="L37:Q37"/>
    <mergeCell ref="R39:S39"/>
    <mergeCell ref="O63:P64"/>
    <mergeCell ref="B10:Q10"/>
    <mergeCell ref="A12:R12"/>
    <mergeCell ref="A9:S9"/>
    <mergeCell ref="C8:I8"/>
    <mergeCell ref="A14:R14"/>
    <mergeCell ref="J4:N4"/>
    <mergeCell ref="Q4:R4"/>
    <mergeCell ref="A4:B5"/>
    <mergeCell ref="C4:I5"/>
    <mergeCell ref="R5:S5"/>
    <mergeCell ref="P6:Q7"/>
    <mergeCell ref="R6:S7"/>
    <mergeCell ref="A8:B8"/>
    <mergeCell ref="B11:Q11"/>
    <mergeCell ref="A1:S1"/>
    <mergeCell ref="A2:B3"/>
    <mergeCell ref="C2:I3"/>
    <mergeCell ref="J2:L2"/>
    <mergeCell ref="J3:L3"/>
    <mergeCell ref="A7:B7"/>
    <mergeCell ref="C7:F7"/>
    <mergeCell ref="H7:I7"/>
    <mergeCell ref="A6:B6"/>
    <mergeCell ref="C6:I6"/>
    <mergeCell ref="J6:M7"/>
    <mergeCell ref="N6:O7"/>
    <mergeCell ref="R67:S67"/>
    <mergeCell ref="N43:O43"/>
    <mergeCell ref="L44:M44"/>
    <mergeCell ref="N47:O47"/>
    <mergeCell ref="N31:Q33"/>
    <mergeCell ref="H18:K20"/>
    <mergeCell ref="C16:S16"/>
    <mergeCell ref="B13:Q13"/>
    <mergeCell ref="A68:S68"/>
    <mergeCell ref="C50:S50"/>
    <mergeCell ref="C56:Q56"/>
    <mergeCell ref="C54:Q54"/>
    <mergeCell ref="C59:S59"/>
    <mergeCell ref="R58:S58"/>
    <mergeCell ref="A61:L62"/>
    <mergeCell ref="C55:Q55"/>
    <mergeCell ref="A60:S60"/>
    <mergeCell ref="M87:S88"/>
    <mergeCell ref="A88:D88"/>
    <mergeCell ref="B104:J104"/>
    <mergeCell ref="I106:J106"/>
    <mergeCell ref="I100:J100"/>
    <mergeCell ref="B103:J103"/>
    <mergeCell ref="E165:J165"/>
    <mergeCell ref="C155:J155"/>
    <mergeCell ref="C156:J156"/>
    <mergeCell ref="D86:L86"/>
    <mergeCell ref="A87:L87"/>
    <mergeCell ref="I112:J112"/>
    <mergeCell ref="A114:H115"/>
    <mergeCell ref="I115:J115"/>
    <mergeCell ref="D142:L143"/>
    <mergeCell ref="A144:L144"/>
    <mergeCell ref="K169:L169"/>
    <mergeCell ref="C157:J157"/>
    <mergeCell ref="I147:J147"/>
    <mergeCell ref="B148:H148"/>
    <mergeCell ref="I148:J148"/>
    <mergeCell ref="I150:J150"/>
    <mergeCell ref="E167:J167"/>
    <mergeCell ref="C158:J158"/>
    <mergeCell ref="C159:J159"/>
    <mergeCell ref="H161:I161"/>
    <mergeCell ref="A18:E19"/>
    <mergeCell ref="B20:G22"/>
    <mergeCell ref="C28:S28"/>
    <mergeCell ref="R49:S49"/>
    <mergeCell ref="A29:S29"/>
    <mergeCell ref="R27:S27"/>
    <mergeCell ref="O138:P138"/>
    <mergeCell ref="R140:S140"/>
    <mergeCell ref="K117:L117"/>
    <mergeCell ref="D118:S118"/>
    <mergeCell ref="A119:S119"/>
    <mergeCell ref="A120:K120"/>
    <mergeCell ref="M89:S117"/>
    <mergeCell ref="O127:P127"/>
    <mergeCell ref="B102:J102"/>
    <mergeCell ref="A116:E117"/>
    <mergeCell ref="A152:G153"/>
    <mergeCell ref="D69:L70"/>
    <mergeCell ref="A71:L72"/>
    <mergeCell ref="I77:K77"/>
    <mergeCell ref="H153:I153"/>
    <mergeCell ref="B146:H147"/>
    <mergeCell ref="M69:P69"/>
    <mergeCell ref="I73:J73"/>
    <mergeCell ref="I74:J74"/>
    <mergeCell ref="M70:S71"/>
    <mergeCell ref="M72:S85"/>
    <mergeCell ref="K85:L85"/>
    <mergeCell ref="M143:S144"/>
    <mergeCell ref="M145:S169"/>
    <mergeCell ref="C31:D32"/>
    <mergeCell ref="C33:D34"/>
    <mergeCell ref="C35:D36"/>
    <mergeCell ref="E31:L32"/>
    <mergeCell ref="E33:L34"/>
    <mergeCell ref="E35:L36"/>
    <mergeCell ref="A141:S141"/>
    <mergeCell ref="B82:K82"/>
  </mergeCells>
  <dataValidations count="7">
    <dataValidation type="list" allowBlank="1" showInputMessage="1" showErrorMessage="1" sqref="C6:I6">
      <formula1>$A$171:$A$187</formula1>
    </dataValidation>
    <dataValidation type="list" allowBlank="1" showInputMessage="1" showErrorMessage="1" sqref="R13">
      <formula1>$N$2:$N$3</formula1>
    </dataValidation>
    <dataValidation type="list" allowBlank="1" showInputMessage="1" showErrorMessage="1" sqref="E166:I166">
      <formula1>$A$243:$A$244</formula1>
    </dataValidation>
    <dataValidation type="list" allowBlank="1" showInputMessage="1" showErrorMessage="1" sqref="C4">
      <formula1>$A$191:$A$201</formula1>
    </dataValidation>
    <dataValidation type="list" allowBlank="1" showInputMessage="1" showErrorMessage="1" sqref="C7:F7">
      <formula1>$H$171:$H$225</formula1>
    </dataValidation>
    <dataValidation type="list" allowBlank="1" showInputMessage="1" showErrorMessage="1" sqref="E165:J165">
      <formula1>$A$204:$A$210</formula1>
    </dataValidation>
    <dataValidation type="list" allowBlank="1" showInputMessage="1" showErrorMessage="1" sqref="R10 R11">
      <formula1>$N$2:$N$3</formula1>
    </dataValidation>
  </dataValidations>
  <printOptions/>
  <pageMargins left="0.57" right="0.33" top="0.82" bottom="0.45" header="0.36" footer="0.25"/>
  <pageSetup horizontalDpi="600" verticalDpi="600" orientation="portrait" scale="83" r:id="rId3"/>
  <headerFooter alignWithMargins="0">
    <oddHeader>&amp;C&amp;"Comic Sans MS,Regular"&amp;14Environmental Quality Incentive Program (EQIP)
Upper Arkansas River Watershed-Forest Lands Ranking Worksheet (C5)</oddHeader>
    <oddFooter>&amp;L&amp;12October 07, 2003&amp;C&amp;12Page &amp;P of &amp;N&amp;R&amp;12USDA-NRCS, Area 3,  La Junta, CO</oddFooter>
  </headerFooter>
  <rowBreaks count="3" manualBreakCount="3">
    <brk id="49" max="18" man="1"/>
    <brk id="85" max="18" man="1"/>
    <brk id="117" max="18" man="1"/>
  </rowBreaks>
  <legacyDrawing r:id="rId2"/>
</worksheet>
</file>

<file path=xl/worksheets/sheet6.xml><?xml version="1.0" encoding="utf-8"?>
<worksheet xmlns="http://schemas.openxmlformats.org/spreadsheetml/2006/main" xmlns:r="http://schemas.openxmlformats.org/officeDocument/2006/relationships">
  <dimension ref="A1:O87"/>
  <sheetViews>
    <sheetView workbookViewId="0" topLeftCell="A22">
      <selection activeCell="H48" sqref="H48"/>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612</v>
      </c>
      <c r="E1" t="s">
        <v>613</v>
      </c>
      <c r="H1" t="s">
        <v>305</v>
      </c>
      <c r="L1" t="s">
        <v>261</v>
      </c>
      <c r="O1" t="s">
        <v>783</v>
      </c>
    </row>
    <row r="2" spans="1:15" ht="12.75">
      <c r="A2" t="s">
        <v>614</v>
      </c>
      <c r="E2" t="s">
        <v>812</v>
      </c>
      <c r="H2" t="s">
        <v>306</v>
      </c>
      <c r="L2" t="s">
        <v>745</v>
      </c>
      <c r="O2" t="s">
        <v>784</v>
      </c>
    </row>
    <row r="3" spans="1:15" ht="12.75">
      <c r="A3" t="s">
        <v>616</v>
      </c>
      <c r="E3" t="s">
        <v>615</v>
      </c>
      <c r="H3" t="s">
        <v>693</v>
      </c>
      <c r="L3" t="s">
        <v>746</v>
      </c>
      <c r="O3" t="s">
        <v>785</v>
      </c>
    </row>
    <row r="4" spans="1:15" ht="12.75">
      <c r="A4" t="s">
        <v>618</v>
      </c>
      <c r="E4" t="s">
        <v>617</v>
      </c>
      <c r="H4" t="s">
        <v>694</v>
      </c>
      <c r="L4" t="s">
        <v>747</v>
      </c>
      <c r="O4" t="s">
        <v>786</v>
      </c>
    </row>
    <row r="5" spans="1:15" ht="12.75">
      <c r="A5" t="s">
        <v>302</v>
      </c>
      <c r="E5" t="s">
        <v>327</v>
      </c>
      <c r="H5" t="s">
        <v>695</v>
      </c>
      <c r="L5" t="s">
        <v>748</v>
      </c>
      <c r="O5" t="s">
        <v>787</v>
      </c>
    </row>
    <row r="6" spans="1:15" ht="12.75">
      <c r="A6" t="s">
        <v>620</v>
      </c>
      <c r="E6" t="s">
        <v>619</v>
      </c>
      <c r="H6" t="s">
        <v>696</v>
      </c>
      <c r="L6" t="s">
        <v>749</v>
      </c>
      <c r="O6" t="s">
        <v>322</v>
      </c>
    </row>
    <row r="7" spans="1:15" ht="12.75">
      <c r="A7" t="s">
        <v>622</v>
      </c>
      <c r="E7" t="s">
        <v>621</v>
      </c>
      <c r="H7" t="s">
        <v>697</v>
      </c>
      <c r="L7" t="s">
        <v>750</v>
      </c>
      <c r="O7" t="s">
        <v>788</v>
      </c>
    </row>
    <row r="8" spans="1:15" ht="12.75">
      <c r="A8" t="s">
        <v>624</v>
      </c>
      <c r="E8" t="s">
        <v>623</v>
      </c>
      <c r="H8" t="s">
        <v>698</v>
      </c>
      <c r="L8" t="s">
        <v>751</v>
      </c>
      <c r="O8" t="s">
        <v>789</v>
      </c>
    </row>
    <row r="9" spans="1:15" ht="12.75">
      <c r="A9" t="s">
        <v>626</v>
      </c>
      <c r="E9" t="s">
        <v>625</v>
      </c>
      <c r="H9" t="s">
        <v>729</v>
      </c>
      <c r="L9" t="s">
        <v>752</v>
      </c>
      <c r="O9" t="s">
        <v>790</v>
      </c>
    </row>
    <row r="10" spans="1:15" ht="12.75">
      <c r="A10" t="s">
        <v>628</v>
      </c>
      <c r="E10" t="s">
        <v>627</v>
      </c>
      <c r="H10" t="s">
        <v>730</v>
      </c>
      <c r="L10" t="s">
        <v>753</v>
      </c>
      <c r="O10" t="s">
        <v>791</v>
      </c>
    </row>
    <row r="11" spans="1:15" ht="12.75">
      <c r="A11" t="s">
        <v>333</v>
      </c>
      <c r="E11" t="s">
        <v>629</v>
      </c>
      <c r="H11" t="s">
        <v>731</v>
      </c>
      <c r="L11" t="s">
        <v>754</v>
      </c>
      <c r="O11" t="s">
        <v>792</v>
      </c>
    </row>
    <row r="12" spans="1:15" ht="12.75">
      <c r="A12" t="s">
        <v>334</v>
      </c>
      <c r="E12" t="s">
        <v>630</v>
      </c>
      <c r="H12" t="s">
        <v>732</v>
      </c>
      <c r="L12" t="s">
        <v>755</v>
      </c>
      <c r="O12" t="s">
        <v>793</v>
      </c>
    </row>
    <row r="13" spans="1:15" ht="12.75">
      <c r="A13" t="s">
        <v>632</v>
      </c>
      <c r="E13" t="s">
        <v>631</v>
      </c>
      <c r="H13" t="s">
        <v>733</v>
      </c>
      <c r="L13" t="s">
        <v>756</v>
      </c>
      <c r="O13" t="s">
        <v>794</v>
      </c>
    </row>
    <row r="14" spans="1:15" ht="12.75">
      <c r="A14" t="s">
        <v>634</v>
      </c>
      <c r="E14" t="s">
        <v>397</v>
      </c>
      <c r="H14" t="s">
        <v>734</v>
      </c>
      <c r="L14" t="s">
        <v>757</v>
      </c>
      <c r="O14">
        <v>0</v>
      </c>
    </row>
    <row r="15" spans="1:15" ht="12.75">
      <c r="A15" t="s">
        <v>636</v>
      </c>
      <c r="E15" t="s">
        <v>633</v>
      </c>
      <c r="H15" t="s">
        <v>735</v>
      </c>
      <c r="L15" t="s">
        <v>758</v>
      </c>
      <c r="O15" t="s">
        <v>795</v>
      </c>
    </row>
    <row r="16" spans="1:15" ht="12.75">
      <c r="A16" t="s">
        <v>638</v>
      </c>
      <c r="E16" t="s">
        <v>635</v>
      </c>
      <c r="H16" t="s">
        <v>736</v>
      </c>
      <c r="L16" t="s">
        <v>759</v>
      </c>
      <c r="O16" t="s">
        <v>796</v>
      </c>
    </row>
    <row r="17" spans="1:15" ht="12.75">
      <c r="A17" t="s">
        <v>303</v>
      </c>
      <c r="E17" t="s">
        <v>637</v>
      </c>
      <c r="H17" t="s">
        <v>737</v>
      </c>
      <c r="L17" t="s">
        <v>760</v>
      </c>
      <c r="O17" t="s">
        <v>797</v>
      </c>
    </row>
    <row r="18" spans="5:15" ht="12.75">
      <c r="E18" t="s">
        <v>639</v>
      </c>
      <c r="H18" t="s">
        <v>738</v>
      </c>
      <c r="L18" t="s">
        <v>761</v>
      </c>
      <c r="O18" t="s">
        <v>798</v>
      </c>
    </row>
    <row r="19" spans="5:15" ht="12.75">
      <c r="E19" t="s">
        <v>640</v>
      </c>
      <c r="H19" t="s">
        <v>739</v>
      </c>
      <c r="L19" t="s">
        <v>762</v>
      </c>
      <c r="O19" t="s">
        <v>278</v>
      </c>
    </row>
    <row r="20" spans="5:12" ht="12.75">
      <c r="E20" t="s">
        <v>398</v>
      </c>
      <c r="H20" t="s">
        <v>740</v>
      </c>
      <c r="L20" t="s">
        <v>763</v>
      </c>
    </row>
    <row r="21" spans="1:12" ht="12.75">
      <c r="A21" t="s">
        <v>417</v>
      </c>
      <c r="E21" t="s">
        <v>641</v>
      </c>
      <c r="H21" t="s">
        <v>741</v>
      </c>
      <c r="L21" t="s">
        <v>764</v>
      </c>
    </row>
    <row r="22" spans="1:12" ht="12.75">
      <c r="A22" t="s">
        <v>658</v>
      </c>
      <c r="E22" t="s">
        <v>642</v>
      </c>
      <c r="H22" t="s">
        <v>742</v>
      </c>
      <c r="L22" t="s">
        <v>765</v>
      </c>
    </row>
    <row r="23" spans="1:12" ht="12.75">
      <c r="A23" t="s">
        <v>659</v>
      </c>
      <c r="E23" t="s">
        <v>643</v>
      </c>
      <c r="H23" t="s">
        <v>650</v>
      </c>
      <c r="L23" t="s">
        <v>766</v>
      </c>
    </row>
    <row r="24" spans="1:12" ht="12.75">
      <c r="A24" t="s">
        <v>661</v>
      </c>
      <c r="E24" t="s">
        <v>657</v>
      </c>
      <c r="H24" t="s">
        <v>453</v>
      </c>
      <c r="L24" t="s">
        <v>767</v>
      </c>
    </row>
    <row r="25" spans="1:12" ht="12.75">
      <c r="A25" t="s">
        <v>418</v>
      </c>
      <c r="E25" t="s">
        <v>406</v>
      </c>
      <c r="H25" t="s">
        <v>378</v>
      </c>
      <c r="L25" t="s">
        <v>768</v>
      </c>
    </row>
    <row r="26" spans="1:12" ht="12.75">
      <c r="A26" t="s">
        <v>666</v>
      </c>
      <c r="E26" t="s">
        <v>660</v>
      </c>
      <c r="H26" t="s">
        <v>379</v>
      </c>
      <c r="L26" t="s">
        <v>769</v>
      </c>
    </row>
    <row r="27" spans="1:12" ht="12.75">
      <c r="A27" t="s">
        <v>668</v>
      </c>
      <c r="E27" t="s">
        <v>399</v>
      </c>
      <c r="H27" t="s">
        <v>380</v>
      </c>
      <c r="L27" t="s">
        <v>770</v>
      </c>
    </row>
    <row r="28" spans="1:12" ht="12.75">
      <c r="A28" t="s">
        <v>670</v>
      </c>
      <c r="E28" t="s">
        <v>400</v>
      </c>
      <c r="H28" t="s">
        <v>382</v>
      </c>
      <c r="L28" t="s">
        <v>771</v>
      </c>
    </row>
    <row r="29" spans="1:12" ht="12.75">
      <c r="A29" t="s">
        <v>672</v>
      </c>
      <c r="E29" t="s">
        <v>662</v>
      </c>
      <c r="L29" t="s">
        <v>772</v>
      </c>
    </row>
    <row r="30" spans="1:12" ht="12.75">
      <c r="A30" t="s">
        <v>674</v>
      </c>
      <c r="E30" t="s">
        <v>663</v>
      </c>
      <c r="L30" t="s">
        <v>773</v>
      </c>
    </row>
    <row r="31" spans="1:5" ht="12.75">
      <c r="A31" t="s">
        <v>676</v>
      </c>
      <c r="E31" t="s">
        <v>667</v>
      </c>
    </row>
    <row r="32" spans="5:8" ht="12.75">
      <c r="E32" t="s">
        <v>669</v>
      </c>
      <c r="H32" t="s">
        <v>743</v>
      </c>
    </row>
    <row r="33" spans="5:8" ht="12.75">
      <c r="E33" t="s">
        <v>671</v>
      </c>
      <c r="H33" t="s">
        <v>744</v>
      </c>
    </row>
    <row r="34" spans="1:12" ht="12.75">
      <c r="A34" t="s">
        <v>413</v>
      </c>
      <c r="E34" t="s">
        <v>673</v>
      </c>
      <c r="L34" t="s">
        <v>261</v>
      </c>
    </row>
    <row r="35" spans="1:12" ht="12.75">
      <c r="A35" t="s">
        <v>414</v>
      </c>
      <c r="E35" t="s">
        <v>675</v>
      </c>
      <c r="L35" t="s">
        <v>206</v>
      </c>
    </row>
    <row r="36" spans="1:12" ht="12.75">
      <c r="A36" t="s">
        <v>707</v>
      </c>
      <c r="E36" t="s">
        <v>677</v>
      </c>
      <c r="H36" t="s">
        <v>774</v>
      </c>
      <c r="L36" t="s">
        <v>207</v>
      </c>
    </row>
    <row r="37" spans="1:12" ht="12.75">
      <c r="A37" t="s">
        <v>708</v>
      </c>
      <c r="E37" t="s">
        <v>401</v>
      </c>
      <c r="H37" t="s">
        <v>775</v>
      </c>
      <c r="L37" t="s">
        <v>208</v>
      </c>
    </row>
    <row r="38" spans="1:12" ht="12.75">
      <c r="A38" t="s">
        <v>521</v>
      </c>
      <c r="E38" t="s">
        <v>678</v>
      </c>
      <c r="H38" t="s">
        <v>776</v>
      </c>
      <c r="L38" t="s">
        <v>209</v>
      </c>
    </row>
    <row r="39" spans="1:12" ht="12.75">
      <c r="A39" t="s">
        <v>794</v>
      </c>
      <c r="E39" t="s">
        <v>679</v>
      </c>
      <c r="H39" t="s">
        <v>780</v>
      </c>
      <c r="L39" t="s">
        <v>210</v>
      </c>
    </row>
    <row r="40" spans="1:12" ht="12.75">
      <c r="A40" t="s">
        <v>261</v>
      </c>
      <c r="E40" t="s">
        <v>471</v>
      </c>
      <c r="H40" t="s">
        <v>781</v>
      </c>
      <c r="L40" t="s">
        <v>211</v>
      </c>
    </row>
    <row r="41" spans="5:8" ht="12.75">
      <c r="E41" t="s">
        <v>680</v>
      </c>
      <c r="H41" t="s">
        <v>782</v>
      </c>
    </row>
    <row r="42" spans="5:8" ht="12.75">
      <c r="E42" t="s">
        <v>681</v>
      </c>
      <c r="H42" t="s">
        <v>441</v>
      </c>
    </row>
    <row r="43" ht="12.75">
      <c r="E43" t="s">
        <v>682</v>
      </c>
    </row>
    <row r="44" ht="12.75">
      <c r="E44" t="s">
        <v>683</v>
      </c>
    </row>
    <row r="45" ht="12.75">
      <c r="E45" t="s">
        <v>684</v>
      </c>
    </row>
    <row r="46" spans="1:5" ht="12.75">
      <c r="A46" t="s">
        <v>522</v>
      </c>
      <c r="E46" t="s">
        <v>685</v>
      </c>
    </row>
    <row r="47" spans="1:5" ht="12.75">
      <c r="A47" t="s">
        <v>518</v>
      </c>
      <c r="E47" t="s">
        <v>686</v>
      </c>
    </row>
    <row r="48" spans="1:5" ht="12.75">
      <c r="A48" t="s">
        <v>519</v>
      </c>
      <c r="E48" t="s">
        <v>687</v>
      </c>
    </row>
    <row r="49" spans="1:5" ht="12.75">
      <c r="A49" t="s">
        <v>520</v>
      </c>
      <c r="E49" t="s">
        <v>402</v>
      </c>
    </row>
    <row r="50" spans="1:5" ht="12.75">
      <c r="A50" t="s">
        <v>548</v>
      </c>
      <c r="E50" t="s">
        <v>688</v>
      </c>
    </row>
    <row r="51" ht="12.75">
      <c r="E51" t="s">
        <v>689</v>
      </c>
    </row>
    <row r="52" ht="12.75">
      <c r="E52" t="s">
        <v>690</v>
      </c>
    </row>
    <row r="53" ht="12.75">
      <c r="E53" t="s">
        <v>304</v>
      </c>
    </row>
    <row r="54" ht="12.75">
      <c r="E54" t="s">
        <v>691</v>
      </c>
    </row>
    <row r="55" ht="12.75">
      <c r="E55" t="s">
        <v>692</v>
      </c>
    </row>
    <row r="57" spans="1:11" ht="12.75">
      <c r="A57" s="230" t="s">
        <v>472</v>
      </c>
      <c r="D57" s="230" t="s">
        <v>473</v>
      </c>
      <c r="H57" s="230" t="s">
        <v>474</v>
      </c>
      <c r="K57" s="230" t="s">
        <v>475</v>
      </c>
    </row>
    <row r="58" spans="1:11" ht="12.75">
      <c r="A58" s="231" t="s">
        <v>278</v>
      </c>
      <c r="D58" s="231" t="s">
        <v>278</v>
      </c>
      <c r="E58" s="231"/>
      <c r="F58" s="231"/>
      <c r="G58" s="231"/>
      <c r="H58" s="231" t="s">
        <v>278</v>
      </c>
      <c r="I58" s="231"/>
      <c r="J58" s="231"/>
      <c r="K58" s="231" t="s">
        <v>278</v>
      </c>
    </row>
    <row r="59" spans="1:11" ht="12.75">
      <c r="A59" t="s">
        <v>550</v>
      </c>
      <c r="D59" t="s">
        <v>564</v>
      </c>
      <c r="H59" t="s">
        <v>578</v>
      </c>
      <c r="K59" t="s">
        <v>587</v>
      </c>
    </row>
    <row r="60" spans="1:11" ht="12.75">
      <c r="A60" t="s">
        <v>551</v>
      </c>
      <c r="D60" t="s">
        <v>565</v>
      </c>
      <c r="H60" t="s">
        <v>589</v>
      </c>
      <c r="K60" t="s">
        <v>584</v>
      </c>
    </row>
    <row r="61" spans="1:11" ht="12.75">
      <c r="A61" t="s">
        <v>799</v>
      </c>
      <c r="D61" t="s">
        <v>571</v>
      </c>
      <c r="H61" t="s">
        <v>582</v>
      </c>
      <c r="K61" t="s">
        <v>585</v>
      </c>
    </row>
    <row r="62" spans="1:11" ht="12.75">
      <c r="A62" t="s">
        <v>552</v>
      </c>
      <c r="D62" t="s">
        <v>476</v>
      </c>
      <c r="H62" t="s">
        <v>583</v>
      </c>
      <c r="K62" t="s">
        <v>588</v>
      </c>
    </row>
    <row r="63" spans="1:11" ht="12.75">
      <c r="A63" t="s">
        <v>553</v>
      </c>
      <c r="D63" t="s">
        <v>477</v>
      </c>
      <c r="H63" t="s">
        <v>591</v>
      </c>
      <c r="K63" t="s">
        <v>586</v>
      </c>
    </row>
    <row r="64" spans="1:11" ht="12.75">
      <c r="A64" t="s">
        <v>554</v>
      </c>
      <c r="D64">
        <v>0</v>
      </c>
      <c r="H64">
        <v>0</v>
      </c>
      <c r="K64" t="s">
        <v>590</v>
      </c>
    </row>
    <row r="65" spans="1:11" ht="12.75">
      <c r="A65" t="s">
        <v>555</v>
      </c>
      <c r="D65" t="s">
        <v>278</v>
      </c>
      <c r="H65" t="s">
        <v>278</v>
      </c>
      <c r="K65">
        <v>0</v>
      </c>
    </row>
    <row r="66" spans="1:11" ht="12.75">
      <c r="A66" t="s">
        <v>800</v>
      </c>
      <c r="D66" t="s">
        <v>566</v>
      </c>
      <c r="H66" t="s">
        <v>579</v>
      </c>
      <c r="K66" t="s">
        <v>278</v>
      </c>
    </row>
    <row r="67" spans="1:11" ht="12.75">
      <c r="A67" t="s">
        <v>801</v>
      </c>
      <c r="D67" t="s">
        <v>326</v>
      </c>
      <c r="H67" t="s">
        <v>436</v>
      </c>
      <c r="K67" t="s">
        <v>434</v>
      </c>
    </row>
    <row r="68" spans="1:11" ht="12.75">
      <c r="A68" t="s">
        <v>556</v>
      </c>
      <c r="D68">
        <v>0</v>
      </c>
      <c r="H68" t="s">
        <v>580</v>
      </c>
      <c r="K68">
        <v>0</v>
      </c>
    </row>
    <row r="69" spans="1:11" ht="12.75">
      <c r="A69" t="s">
        <v>557</v>
      </c>
      <c r="D69" t="s">
        <v>278</v>
      </c>
      <c r="H69" t="s">
        <v>561</v>
      </c>
      <c r="K69" t="s">
        <v>278</v>
      </c>
    </row>
    <row r="70" spans="1:11" ht="12.75">
      <c r="A70" t="s">
        <v>558</v>
      </c>
      <c r="D70" t="s">
        <v>807</v>
      </c>
      <c r="H70" t="s">
        <v>581</v>
      </c>
      <c r="K70" t="s">
        <v>434</v>
      </c>
    </row>
    <row r="71" spans="1:4" ht="12.75">
      <c r="A71">
        <v>0</v>
      </c>
      <c r="D71" t="s">
        <v>567</v>
      </c>
    </row>
    <row r="72" spans="1:8" ht="12.75">
      <c r="A72" t="s">
        <v>278</v>
      </c>
      <c r="D72" t="s">
        <v>808</v>
      </c>
      <c r="H72" t="s">
        <v>278</v>
      </c>
    </row>
    <row r="73" spans="1:8" ht="12.75">
      <c r="A73" t="s">
        <v>559</v>
      </c>
      <c r="D73" t="s">
        <v>568</v>
      </c>
      <c r="H73" t="s">
        <v>592</v>
      </c>
    </row>
    <row r="74" spans="1:4" ht="12.75">
      <c r="A74" t="s">
        <v>560</v>
      </c>
      <c r="D74" t="s">
        <v>572</v>
      </c>
    </row>
    <row r="75" spans="1:4" ht="12.75">
      <c r="A75" t="s">
        <v>561</v>
      </c>
      <c r="D75" t="s">
        <v>569</v>
      </c>
    </row>
    <row r="76" spans="1:4" ht="12.75">
      <c r="A76">
        <v>0</v>
      </c>
      <c r="D76" t="s">
        <v>570</v>
      </c>
    </row>
    <row r="77" spans="1:4" ht="12.75">
      <c r="A77" t="s">
        <v>278</v>
      </c>
      <c r="D77" t="s">
        <v>576</v>
      </c>
    </row>
    <row r="78" spans="1:4" ht="12.75">
      <c r="A78" t="s">
        <v>802</v>
      </c>
      <c r="D78" t="s">
        <v>577</v>
      </c>
    </row>
    <row r="79" ht="12.75">
      <c r="A79" t="s">
        <v>803</v>
      </c>
    </row>
    <row r="80" ht="12.75">
      <c r="A80" t="s">
        <v>804</v>
      </c>
    </row>
    <row r="81" ht="12.75">
      <c r="A81" t="s">
        <v>805</v>
      </c>
    </row>
    <row r="82" ht="12.75">
      <c r="A82" t="s">
        <v>562</v>
      </c>
    </row>
    <row r="83" ht="12.75">
      <c r="A83" t="s">
        <v>563</v>
      </c>
    </row>
    <row r="84" ht="12.75">
      <c r="A84" t="s">
        <v>573</v>
      </c>
    </row>
    <row r="85" ht="12.75">
      <c r="A85" t="s">
        <v>574</v>
      </c>
    </row>
    <row r="86" ht="12.75">
      <c r="A86" t="s">
        <v>575</v>
      </c>
    </row>
    <row r="87" ht="12.75">
      <c r="A87" t="s">
        <v>806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anthony.puga</cp:lastModifiedBy>
  <cp:lastPrinted>2004-02-19T22:04:38Z</cp:lastPrinted>
  <dcterms:created xsi:type="dcterms:W3CDTF">2002-07-26T15:14:10Z</dcterms:created>
  <dcterms:modified xsi:type="dcterms:W3CDTF">2004-03-01T18:25:42Z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-462602768</vt:i4>
  </property>
  <property fmtid="{D5CDD505-2E9C-101B-9397-08002B2CF9AE}" pid="3" name="_EmailSubject">
    <vt:lpwstr>EQIP Rankings</vt:lpwstr>
  </property>
  <property fmtid="{D5CDD505-2E9C-101B-9397-08002B2CF9AE}" pid="4" name="_AuthorEmail">
    <vt:lpwstr>Anthony.Puga@co.usda.gov</vt:lpwstr>
  </property>
  <property fmtid="{D5CDD505-2E9C-101B-9397-08002B2CF9AE}" pid="5" name="_AuthorEmailDisplayName">
    <vt:lpwstr>Tony Puga</vt:lpwstr>
  </property>
  <property fmtid="{D5CDD505-2E9C-101B-9397-08002B2CF9AE}" pid="6" name="_PreviousAdHocReviewCycleID">
    <vt:i4>877735496</vt:i4>
  </property>
</Properties>
</file>