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690" windowWidth="11340" windowHeight="6795" activeTab="0"/>
  </bookViews>
  <sheets>
    <sheet name="Sheet1" sheetId="1" r:id="rId1"/>
    <sheet name="Sheet2" sheetId="2" r:id="rId2"/>
    <sheet name="Sheet3" sheetId="3" r:id="rId3"/>
  </sheets>
  <definedNames>
    <definedName name="_xlnm.Print_Area" localSheetId="0">'Sheet1'!$A$1:$G$105</definedName>
  </definedNames>
  <calcPr fullCalcOnLoad="1"/>
</workbook>
</file>

<file path=xl/sharedStrings.xml><?xml version="1.0" encoding="utf-8"?>
<sst xmlns="http://schemas.openxmlformats.org/spreadsheetml/2006/main" count="148" uniqueCount="118">
  <si>
    <t>Cryogenic Inst and Ctrls</t>
  </si>
  <si>
    <t>Item #</t>
  </si>
  <si>
    <t>Task Description</t>
  </si>
  <si>
    <t>I</t>
  </si>
  <si>
    <t>II</t>
  </si>
  <si>
    <t>III</t>
  </si>
  <si>
    <t>IV</t>
  </si>
  <si>
    <t>V</t>
  </si>
  <si>
    <t>VI</t>
  </si>
  <si>
    <t>VII</t>
  </si>
  <si>
    <t>VIII</t>
  </si>
  <si>
    <t>Concrete Footings</t>
  </si>
  <si>
    <t>IX</t>
  </si>
  <si>
    <t>X</t>
  </si>
  <si>
    <t>I-A</t>
  </si>
  <si>
    <t>I-B</t>
  </si>
  <si>
    <t>I-C</t>
  </si>
  <si>
    <t>I-E</t>
  </si>
  <si>
    <t>II-A</t>
  </si>
  <si>
    <t>II-B</t>
  </si>
  <si>
    <t>II-C</t>
  </si>
  <si>
    <t>III-A</t>
  </si>
  <si>
    <t>III-B</t>
  </si>
  <si>
    <t>IV-A</t>
  </si>
  <si>
    <t>IV-B</t>
  </si>
  <si>
    <t>IV-C</t>
  </si>
  <si>
    <t>IV-D</t>
  </si>
  <si>
    <t>IV-F</t>
  </si>
  <si>
    <t>VI-A</t>
  </si>
  <si>
    <t>VI-B</t>
  </si>
  <si>
    <t>VI-C</t>
  </si>
  <si>
    <t>VI-E</t>
  </si>
  <si>
    <t>VIII-A</t>
  </si>
  <si>
    <t>VIII-B</t>
  </si>
  <si>
    <t>X-A</t>
  </si>
  <si>
    <t>X-B</t>
  </si>
  <si>
    <t>Resident Helium (initial charge) for normal ops</t>
  </si>
  <si>
    <t>Cost K$'s</t>
  </si>
  <si>
    <t>Cable Tray and Installation</t>
  </si>
  <si>
    <t>IV-E</t>
  </si>
  <si>
    <t>V-A</t>
  </si>
  <si>
    <t>Outside AC Receptacles &amp; Lighting</t>
  </si>
  <si>
    <t>VII-A</t>
  </si>
  <si>
    <t>IV-G</t>
  </si>
  <si>
    <t>IV-H</t>
  </si>
  <si>
    <t>III-C</t>
  </si>
  <si>
    <t>Misc. Equip., Vac Pump, Air Compressor, Air Drier, etc.</t>
  </si>
  <si>
    <t>Total Unburdened Labor=</t>
  </si>
  <si>
    <t>Total Unburdened Materials=</t>
  </si>
  <si>
    <t>Total Unburdened Operation=</t>
  </si>
  <si>
    <t>Total Burdened Materials=</t>
  </si>
  <si>
    <t>Total Burdened Labor=</t>
  </si>
  <si>
    <t>Total Burdened Operation=</t>
  </si>
  <si>
    <t>Total Unburdened DTS=</t>
  </si>
  <si>
    <t>Total Burdened DTS=</t>
  </si>
  <si>
    <t>Summary:</t>
  </si>
  <si>
    <t>Supports for Transfer Lines</t>
  </si>
  <si>
    <t>Cryogenic Supply, Return, and CD Return Lines</t>
  </si>
  <si>
    <t>III-D</t>
  </si>
  <si>
    <t>III-E</t>
  </si>
  <si>
    <t>Refrigerator</t>
  </si>
  <si>
    <t>VI-D</t>
  </si>
  <si>
    <t>AC Power to Cryogenic Equipment</t>
  </si>
  <si>
    <t xml:space="preserve">Project Management for Conceptual Hardware Definition, Scheduling, Cost Estimates, Etc., and Cryogenic Engineering Support </t>
  </si>
  <si>
    <t xml:space="preserve">Engineering Yr.. 3-5 (1/3 FTE) </t>
  </si>
  <si>
    <t>Transformer</t>
  </si>
  <si>
    <t>Low Voltage Eq. &amp; Feeds</t>
  </si>
  <si>
    <t>High Voltage Eq. &amp; Feeds</t>
  </si>
  <si>
    <t>Misc Lighting, Grounding, Power</t>
  </si>
  <si>
    <t>Slabs for AC Equip.</t>
  </si>
  <si>
    <t xml:space="preserve">Note 2- The spreadsheet shows burdened and unburdened costs for labor, materials, and DTS.  The BNL labor is based upon the employees salary marked up by 187%  Material burden for purchases &gt;$25K is marked up by 117.5% and &lt;25K by 147%.  PE rates are assumed at $70/hr (burden included).  BNL technical, engineering, and scientific unburdened hourly wages are assumed at $25, $33, and $42 per hour respectively. </t>
  </si>
  <si>
    <t>*FY 2002 $'s</t>
  </si>
  <si>
    <t>Unburdened</t>
  </si>
  <si>
    <t>Capital *</t>
  </si>
  <si>
    <t>Labor *</t>
  </si>
  <si>
    <t>Burdened *,1</t>
  </si>
  <si>
    <t>Note 1- See rate assumptions below</t>
  </si>
  <si>
    <t>Burdened Subtotal</t>
  </si>
  <si>
    <t>PE Labor *</t>
  </si>
  <si>
    <t>Item Total</t>
  </si>
  <si>
    <t>Cost Estimate for the Installation of the HFBR Refrigerator for E951</t>
  </si>
  <si>
    <t>M. Iarocci</t>
  </si>
  <si>
    <t>Modify and Install Supply, Return, Return Transfer Lines, Mag to Ref.</t>
  </si>
  <si>
    <t>Labor for X-fer removal at HFBR</t>
  </si>
  <si>
    <t>Refrigerator and Interface Valve Box</t>
  </si>
  <si>
    <t>Modify Interface Box for continuous transient cooldown mode</t>
  </si>
  <si>
    <t>Transient Mode Controls</t>
  </si>
  <si>
    <t>Disconnect at HFBR</t>
  </si>
  <si>
    <t>Rigging and Position at AGS</t>
  </si>
  <si>
    <t xml:space="preserve">Helium Compression, Storage, Recovery.  </t>
  </si>
  <si>
    <t>Helium Compressor</t>
  </si>
  <si>
    <t>Misc. Process Piping and installation</t>
  </si>
  <si>
    <t xml:space="preserve">Footings/ Oil Containment for Helium Compressor </t>
  </si>
  <si>
    <t xml:space="preserve">Remove (Tech+Elect), Transport (rigging), and Relocate Compressor Skid </t>
  </si>
  <si>
    <t>Warm Compressor Piping to Refrigerator (welding, supports, tech, leakcheck)</t>
  </si>
  <si>
    <t>Helium Storage Tank Footing</t>
  </si>
  <si>
    <t>VII-B</t>
  </si>
  <si>
    <t xml:space="preserve">Enhance Equipment Building (for compressor) </t>
  </si>
  <si>
    <t>Clean and refurbish building area for compressor installation</t>
  </si>
  <si>
    <t xml:space="preserve">Misc. Equip. Bldg.,ODH alarm, fans, etc. </t>
  </si>
  <si>
    <t>Operation (1 month-24 hrs/day)</t>
  </si>
  <si>
    <t xml:space="preserve">Technician </t>
  </si>
  <si>
    <t>Elec Pwr 30 days (600 HP @ $ .06/ kW-hr.)</t>
  </si>
  <si>
    <t>IX-A</t>
  </si>
  <si>
    <t>IX-B</t>
  </si>
  <si>
    <t>IX-D</t>
  </si>
  <si>
    <t xml:space="preserve">Helium Inventory </t>
  </si>
  <si>
    <t xml:space="preserve">Helium Loss Replacement </t>
  </si>
  <si>
    <t>Replace missing refrigerator temperature controls</t>
  </si>
  <si>
    <t>Remove and reconnect all component control wiring</t>
  </si>
  <si>
    <t>Unburdened Total Installation Cost=</t>
  </si>
  <si>
    <t>Burdened Total Installation Cost=</t>
  </si>
  <si>
    <t>Project Leader/ engineer                      ( 8 months.)(Part Time)</t>
  </si>
  <si>
    <t>Reconnect Basic Components at AGS</t>
  </si>
  <si>
    <t>GHe Storage (1 tank), disconnect, move, and reinstall</t>
  </si>
  <si>
    <t>Cooling Water Piping/ Closed Loop Exchanger (disconnect, relocated at AGS, reconnect)</t>
  </si>
  <si>
    <t>Revision "A" 10/23/02</t>
  </si>
  <si>
    <t xml:space="preserve">** "This cost estimate represents a best judgement based upon laboratory experience in FY 2002 dollars.  Appropriate Laboratory burdens and overheads have been applied based upon FY 2002 prevailing rates.  Escalation factors, burden and overheads are established each fiscal year and charged.  These rates are subject to change."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</si>
</sst>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s>
  <fonts count="14">
    <font>
      <sz val="10"/>
      <name val="Arial"/>
      <family val="0"/>
    </font>
    <font>
      <b/>
      <sz val="16"/>
      <name val="Arial"/>
      <family val="2"/>
    </font>
    <font>
      <b/>
      <sz val="10"/>
      <name val="Arial"/>
      <family val="2"/>
    </font>
    <font>
      <b/>
      <sz val="12"/>
      <name val="Arial"/>
      <family val="2"/>
    </font>
    <font>
      <b/>
      <u val="single"/>
      <sz val="10"/>
      <name val="Arial"/>
      <family val="2"/>
    </font>
    <font>
      <b/>
      <u val="single"/>
      <sz val="12"/>
      <name val="Arial"/>
      <family val="2"/>
    </font>
    <font>
      <b/>
      <i/>
      <u val="single"/>
      <sz val="16"/>
      <name val="Arial"/>
      <family val="2"/>
    </font>
    <font>
      <b/>
      <i/>
      <sz val="16"/>
      <name val="Arial"/>
      <family val="2"/>
    </font>
    <font>
      <b/>
      <u val="single"/>
      <sz val="16"/>
      <name val="Arial"/>
      <family val="2"/>
    </font>
    <font>
      <sz val="12"/>
      <name val="Arial"/>
      <family val="2"/>
    </font>
    <font>
      <b/>
      <sz val="14"/>
      <name val="Arial"/>
      <family val="2"/>
    </font>
    <font>
      <b/>
      <u val="single"/>
      <sz val="14"/>
      <name val="Arial"/>
      <family val="2"/>
    </font>
    <font>
      <b/>
      <sz val="14"/>
      <color indexed="10"/>
      <name val="Arial"/>
      <family val="2"/>
    </font>
    <font>
      <b/>
      <u val="single"/>
      <sz val="14"/>
      <color indexed="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ck"/>
    </border>
    <border>
      <left style="thick"/>
      <right>
        <color indexed="63"/>
      </right>
      <top>
        <color indexed="63"/>
      </top>
      <bottom>
        <color indexed="63"/>
      </bottom>
    </border>
    <border>
      <left style="thick"/>
      <right style="thick"/>
      <top>
        <color indexed="63"/>
      </top>
      <bottom style="thick"/>
    </border>
    <border>
      <left style="thick"/>
      <right style="thick"/>
      <top>
        <color indexed="63"/>
      </top>
      <bottom>
        <color indexed="63"/>
      </bottom>
    </border>
    <border>
      <left style="thick"/>
      <right style="thick"/>
      <top style="thick"/>
      <bottom>
        <color indexed="63"/>
      </bottom>
    </border>
  </borders>
  <cellStyleXfs count="20">
    <xf numFmtId="0" fontId="0" fillId="0" borderId="0">
      <alignment horizontal="left" vertical="center"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wrapText="1"/>
    </xf>
    <xf numFmtId="165" fontId="0" fillId="0" borderId="0" xfId="0" applyNumberFormat="1" applyAlignment="1">
      <alignment horizontal="left" vertical="center" wrapText="1"/>
    </xf>
    <xf numFmtId="0" fontId="4" fillId="0" borderId="0" xfId="0" applyFont="1" applyAlignment="1">
      <alignment horizontal="left" vertical="center" wrapText="1"/>
    </xf>
    <xf numFmtId="165" fontId="4" fillId="0" borderId="0" xfId="0" applyNumberFormat="1" applyFont="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164" fontId="4" fillId="0" borderId="0" xfId="0" applyNumberFormat="1" applyFont="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165" fontId="4" fillId="0" borderId="0" xfId="0" applyNumberFormat="1" applyFont="1" applyBorder="1" applyAlignment="1">
      <alignment horizontal="left" vertical="center" wrapText="1"/>
    </xf>
    <xf numFmtId="165" fontId="0" fillId="0" borderId="0" xfId="0" applyNumberForma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Alignment="1">
      <alignment horizontal="left" vertical="center"/>
    </xf>
    <xf numFmtId="165" fontId="2" fillId="0" borderId="0" xfId="0" applyNumberFormat="1" applyFont="1" applyAlignment="1">
      <alignment horizontal="left" vertical="center" wrapText="1"/>
    </xf>
    <xf numFmtId="0" fontId="2" fillId="0" borderId="0" xfId="0" applyFont="1" applyAlignment="1" quotePrefix="1">
      <alignment horizontal="left" vertical="center" wrapText="1"/>
    </xf>
    <xf numFmtId="0" fontId="2" fillId="0" borderId="0" xfId="0" applyFont="1" applyAlignment="1" quotePrefix="1">
      <alignment horizontal="left" vertical="center"/>
    </xf>
    <xf numFmtId="165" fontId="2" fillId="0" borderId="0" xfId="0" applyNumberFormat="1" applyFont="1" applyAlignment="1" quotePrefix="1">
      <alignment horizontal="left" vertical="center" wrapText="1"/>
    </xf>
    <xf numFmtId="0" fontId="4" fillId="0" borderId="0" xfId="0" applyFont="1" applyAlignment="1" quotePrefix="1">
      <alignment horizontal="left" vertical="center" wrapText="1"/>
    </xf>
    <xf numFmtId="0" fontId="7" fillId="0" borderId="0" xfId="0" applyFont="1" applyAlignment="1" quotePrefix="1">
      <alignment horizontal="left" vertical="center"/>
    </xf>
    <xf numFmtId="0" fontId="7" fillId="0" borderId="0" xfId="0" applyFont="1" applyAlignment="1">
      <alignment horizontal="left" vertical="center"/>
    </xf>
    <xf numFmtId="0" fontId="8" fillId="0" borderId="0" xfId="0" applyFont="1" applyAlignment="1" quotePrefix="1">
      <alignment horizontal="left" vertical="center"/>
    </xf>
    <xf numFmtId="165" fontId="0" fillId="0" borderId="2" xfId="0" applyNumberFormat="1" applyBorder="1" applyAlignment="1">
      <alignment horizontal="left" vertical="center" wrapText="1"/>
    </xf>
    <xf numFmtId="0" fontId="0" fillId="0" borderId="0" xfId="0" applyAlignment="1" quotePrefix="1">
      <alignment horizontal="left" vertical="center" wrapText="1"/>
    </xf>
    <xf numFmtId="0" fontId="2" fillId="0" borderId="0" xfId="0" applyFont="1" applyAlignment="1">
      <alignment horizontal="left" vertical="center" wrapText="1"/>
    </xf>
    <xf numFmtId="4" fontId="0" fillId="0" borderId="0" xfId="0" applyNumberFormat="1" applyAlignment="1">
      <alignment horizontal="left" vertical="center" wrapText="1"/>
    </xf>
    <xf numFmtId="4" fontId="4" fillId="0" borderId="0" xfId="0" applyNumberFormat="1" applyFont="1" applyAlignment="1">
      <alignment horizontal="left" vertical="center" wrapText="1"/>
    </xf>
    <xf numFmtId="4" fontId="2" fillId="0" borderId="0" xfId="0" applyNumberFormat="1" applyFont="1" applyAlignment="1">
      <alignment horizontal="left" vertical="center" wrapText="1"/>
    </xf>
    <xf numFmtId="4" fontId="2" fillId="0" borderId="0" xfId="0" applyNumberFormat="1" applyFont="1" applyAlignment="1">
      <alignment horizontal="left" vertical="center"/>
    </xf>
    <xf numFmtId="4" fontId="2" fillId="0" borderId="0" xfId="0" applyNumberFormat="1" applyFont="1" applyAlignment="1" quotePrefix="1">
      <alignment horizontal="left" vertical="center"/>
    </xf>
    <xf numFmtId="4" fontId="4" fillId="0" borderId="1"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Font="1" applyAlignment="1" quotePrefix="1">
      <alignment horizontal="left" vertical="center" wrapText="1"/>
    </xf>
    <xf numFmtId="4" fontId="2" fillId="0" borderId="3" xfId="0" applyNumberFormat="1" applyFont="1" applyBorder="1" applyAlignment="1">
      <alignment horizontal="left" vertical="center" wrapText="1"/>
    </xf>
    <xf numFmtId="165" fontId="0" fillId="0" borderId="4" xfId="0" applyNumberFormat="1" applyBorder="1" applyAlignment="1">
      <alignment horizontal="left" vertical="center" wrapText="1"/>
    </xf>
    <xf numFmtId="4" fontId="0" fillId="0" borderId="4" xfId="0" applyNumberFormat="1" applyBorder="1" applyAlignment="1">
      <alignment horizontal="left" vertical="center" wrapText="1"/>
    </xf>
    <xf numFmtId="4" fontId="4" fillId="0" borderId="4" xfId="0" applyNumberFormat="1" applyFont="1" applyBorder="1" applyAlignment="1">
      <alignment horizontal="left" vertical="center" wrapText="1"/>
    </xf>
    <xf numFmtId="4" fontId="3" fillId="0" borderId="4" xfId="0" applyNumberFormat="1" applyFont="1" applyBorder="1" applyAlignment="1">
      <alignment horizontal="left" vertical="center" wrapText="1"/>
    </xf>
    <xf numFmtId="4" fontId="5" fillId="0" borderId="4" xfId="0" applyNumberFormat="1" applyFont="1" applyBorder="1" applyAlignment="1">
      <alignment horizontal="left" vertical="center" wrapText="1"/>
    </xf>
    <xf numFmtId="0" fontId="5" fillId="0" borderId="0" xfId="0" applyFont="1" applyAlignment="1" quotePrefix="1">
      <alignment horizontal="left" vertical="center" wrapText="1"/>
    </xf>
    <xf numFmtId="165" fontId="5" fillId="0" borderId="0" xfId="0" applyNumberFormat="1" applyFont="1" applyAlignment="1">
      <alignment horizontal="left" vertical="center" wrapText="1"/>
    </xf>
    <xf numFmtId="0" fontId="9" fillId="0" borderId="0" xfId="0" applyFont="1" applyAlignment="1" quotePrefix="1">
      <alignment horizontal="left" vertical="center" wrapText="1"/>
    </xf>
    <xf numFmtId="165" fontId="3" fillId="0" borderId="0" xfId="0" applyNumberFormat="1"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164" fontId="11" fillId="0" borderId="0" xfId="0" applyNumberFormat="1" applyFont="1" applyAlignment="1">
      <alignment horizontal="left" vertical="center" wrapText="1"/>
    </xf>
    <xf numFmtId="164" fontId="10" fillId="0" borderId="0" xfId="0" applyNumberFormat="1" applyFont="1" applyAlignment="1">
      <alignment horizontal="left" vertical="center" wrapText="1"/>
    </xf>
    <xf numFmtId="4" fontId="3" fillId="0" borderId="0" xfId="0" applyNumberFormat="1" applyFont="1" applyAlignment="1">
      <alignment horizontal="left" vertical="center" wrapText="1"/>
    </xf>
    <xf numFmtId="4" fontId="5" fillId="0" borderId="0" xfId="0" applyNumberFormat="1" applyFont="1" applyAlignment="1">
      <alignment horizontal="left" vertical="center" wrapText="1"/>
    </xf>
    <xf numFmtId="0" fontId="3" fillId="0" borderId="5" xfId="0" applyFont="1" applyBorder="1" applyAlignment="1" quotePrefix="1">
      <alignment horizontal="left" vertical="center"/>
    </xf>
    <xf numFmtId="0" fontId="3" fillId="0" borderId="4" xfId="0" applyFont="1" applyBorder="1" applyAlignment="1" quotePrefix="1">
      <alignment horizontal="left" vertical="center"/>
    </xf>
    <xf numFmtId="0" fontId="3" fillId="0" borderId="4" xfId="0" applyFont="1" applyBorder="1" applyAlignment="1">
      <alignment horizontal="left" vertical="center"/>
    </xf>
    <xf numFmtId="4" fontId="3" fillId="0" borderId="4" xfId="0" applyNumberFormat="1" applyFont="1" applyBorder="1" applyAlignment="1" quotePrefix="1">
      <alignment horizontal="left" vertical="center"/>
    </xf>
    <xf numFmtId="4" fontId="3" fillId="0" borderId="4" xfId="0" applyNumberFormat="1" applyFont="1" applyBorder="1" applyAlignment="1">
      <alignment horizontal="left" vertical="center"/>
    </xf>
    <xf numFmtId="165" fontId="12" fillId="0" borderId="0" xfId="0" applyNumberFormat="1" applyFont="1" applyAlignment="1">
      <alignment horizontal="left" vertical="center" wrapText="1"/>
    </xf>
    <xf numFmtId="164" fontId="13" fillId="0" borderId="0" xfId="0" applyNumberFormat="1"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00"/>
  <sheetViews>
    <sheetView tabSelected="1" workbookViewId="0" topLeftCell="A1">
      <selection activeCell="F96" sqref="F96"/>
    </sheetView>
  </sheetViews>
  <sheetFormatPr defaultColWidth="9.140625" defaultRowHeight="12.75"/>
  <cols>
    <col min="2" max="2" width="32.57421875" style="0" customWidth="1"/>
    <col min="3" max="4" width="12.57421875" style="0" customWidth="1"/>
    <col min="5" max="5" width="12.421875" style="0" customWidth="1"/>
    <col min="6" max="6" width="17.8515625" style="0" customWidth="1"/>
    <col min="7" max="7" width="35.8515625" style="0" customWidth="1"/>
    <col min="8" max="8" width="27.421875" style="0" customWidth="1"/>
  </cols>
  <sheetData>
    <row r="2" s="1" customFormat="1" ht="29.25" customHeight="1">
      <c r="B2" s="26" t="s">
        <v>80</v>
      </c>
    </row>
    <row r="3" s="1" customFormat="1" ht="21" customHeight="1">
      <c r="B3" s="24" t="s">
        <v>116</v>
      </c>
    </row>
    <row r="4" s="1" customFormat="1" ht="20.25" customHeight="1" thickBot="1">
      <c r="B4" s="25" t="s">
        <v>81</v>
      </c>
    </row>
    <row r="5" spans="2:7" s="1" customFormat="1" ht="17.25" customHeight="1" thickTop="1">
      <c r="B5" s="18"/>
      <c r="C5" s="4" t="s">
        <v>72</v>
      </c>
      <c r="D5" s="4" t="s">
        <v>72</v>
      </c>
      <c r="E5" s="4" t="s">
        <v>72</v>
      </c>
      <c r="F5" s="54" t="s">
        <v>79</v>
      </c>
      <c r="G5" s="21" t="s">
        <v>71</v>
      </c>
    </row>
    <row r="6" spans="2:7" s="1" customFormat="1" ht="15.75" customHeight="1">
      <c r="B6" s="2"/>
      <c r="C6" s="21" t="s">
        <v>73</v>
      </c>
      <c r="D6" s="21" t="s">
        <v>78</v>
      </c>
      <c r="E6" s="21" t="s">
        <v>74</v>
      </c>
      <c r="F6" s="55" t="s">
        <v>75</v>
      </c>
      <c r="G6" s="22" t="s">
        <v>76</v>
      </c>
    </row>
    <row r="7" spans="1:6" s="1" customFormat="1" ht="22.5" customHeight="1">
      <c r="A7" s="5" t="s">
        <v>1</v>
      </c>
      <c r="B7" s="5" t="s">
        <v>2</v>
      </c>
      <c r="C7" s="4" t="s">
        <v>37</v>
      </c>
      <c r="D7" s="4" t="s">
        <v>37</v>
      </c>
      <c r="E7" s="4" t="s">
        <v>37</v>
      </c>
      <c r="F7" s="56" t="s">
        <v>37</v>
      </c>
    </row>
    <row r="8" spans="1:11" ht="27" customHeight="1">
      <c r="A8" s="3" t="s">
        <v>3</v>
      </c>
      <c r="B8" s="3" t="s">
        <v>0</v>
      </c>
      <c r="C8" s="7"/>
      <c r="D8" s="7"/>
      <c r="E8" s="7"/>
      <c r="F8" s="39"/>
      <c r="H8" s="7"/>
      <c r="I8" s="7"/>
      <c r="J8" s="7"/>
      <c r="K8" s="7"/>
    </row>
    <row r="9" spans="1:11" ht="12.75">
      <c r="A9" s="3" t="s">
        <v>14</v>
      </c>
      <c r="B9" s="6" t="s">
        <v>86</v>
      </c>
      <c r="C9" s="30">
        <f>12</f>
        <v>12</v>
      </c>
      <c r="D9" s="30"/>
      <c r="E9" s="30">
        <f>2</f>
        <v>2</v>
      </c>
      <c r="F9" s="40"/>
      <c r="H9" s="7"/>
      <c r="I9" s="7"/>
      <c r="J9" s="7"/>
      <c r="K9" s="7"/>
    </row>
    <row r="10" spans="1:11" ht="25.5">
      <c r="A10" s="3" t="s">
        <v>15</v>
      </c>
      <c r="B10" s="6" t="s">
        <v>108</v>
      </c>
      <c r="C10" s="30">
        <f>5</f>
        <v>5</v>
      </c>
      <c r="D10" s="30"/>
      <c r="E10" s="30"/>
      <c r="F10" s="40"/>
      <c r="G10" s="7"/>
      <c r="H10" s="7"/>
      <c r="I10" s="7"/>
      <c r="J10" s="7"/>
      <c r="K10" s="7"/>
    </row>
    <row r="11" spans="1:11" ht="25.5">
      <c r="A11" s="3" t="s">
        <v>16</v>
      </c>
      <c r="B11" s="6" t="s">
        <v>109</v>
      </c>
      <c r="C11" s="30"/>
      <c r="D11" s="30"/>
      <c r="E11" s="30">
        <f>3</f>
        <v>3</v>
      </c>
      <c r="F11" s="40"/>
      <c r="G11" s="7"/>
      <c r="H11" s="7"/>
      <c r="I11" s="7"/>
      <c r="J11" s="7"/>
      <c r="K11" s="7"/>
    </row>
    <row r="12" spans="1:11" ht="12.75">
      <c r="A12" s="3" t="s">
        <v>17</v>
      </c>
      <c r="B12" s="6" t="s">
        <v>38</v>
      </c>
      <c r="C12" s="30"/>
      <c r="D12" s="30">
        <f>3</f>
        <v>3</v>
      </c>
      <c r="E12" s="30"/>
      <c r="F12" s="40"/>
      <c r="G12" s="7"/>
      <c r="H12" s="7"/>
      <c r="I12" s="7"/>
      <c r="J12" s="7"/>
      <c r="K12" s="7"/>
    </row>
    <row r="13" spans="1:11" ht="12.75">
      <c r="A13" s="3"/>
      <c r="B13" s="23" t="s">
        <v>77</v>
      </c>
      <c r="C13" s="32">
        <f>SUM(C9:C12)*1.47</f>
        <v>24.99</v>
      </c>
      <c r="D13" s="32">
        <f>SUM(D9:D12)*1.38</f>
        <v>4.14</v>
      </c>
      <c r="E13" s="32">
        <f>SUM(E9:E12)*1.87</f>
        <v>9.350000000000001</v>
      </c>
      <c r="F13" s="41"/>
      <c r="G13" s="7"/>
      <c r="H13" s="7"/>
      <c r="I13" s="7"/>
      <c r="J13" s="7"/>
      <c r="K13" s="7"/>
    </row>
    <row r="14" spans="1:11" ht="15.75">
      <c r="A14" s="3"/>
      <c r="B14" s="8"/>
      <c r="C14" s="31"/>
      <c r="D14" s="31"/>
      <c r="E14" s="30"/>
      <c r="F14" s="43">
        <f>SUM(C13,D13,E13)</f>
        <v>38.480000000000004</v>
      </c>
      <c r="G14" s="7"/>
      <c r="H14" s="7"/>
      <c r="I14" s="7"/>
      <c r="J14" s="7"/>
      <c r="K14" s="7"/>
    </row>
    <row r="15" spans="1:11" ht="26.25" customHeight="1">
      <c r="A15" s="3" t="s">
        <v>4</v>
      </c>
      <c r="B15" s="3" t="s">
        <v>57</v>
      </c>
      <c r="C15" s="30"/>
      <c r="D15" s="30"/>
      <c r="E15" s="30"/>
      <c r="F15" s="40"/>
      <c r="G15" s="7"/>
      <c r="H15" s="7"/>
      <c r="I15" s="7"/>
      <c r="J15" s="7"/>
      <c r="K15" s="7"/>
    </row>
    <row r="16" spans="1:11" ht="25.5">
      <c r="A16" s="3" t="s">
        <v>18</v>
      </c>
      <c r="B16" s="28" t="s">
        <v>82</v>
      </c>
      <c r="C16" s="30">
        <f>6</f>
        <v>6</v>
      </c>
      <c r="D16" s="30">
        <f>3</f>
        <v>3</v>
      </c>
      <c r="E16" s="30">
        <f>3</f>
        <v>3</v>
      </c>
      <c r="F16" s="40"/>
      <c r="G16" s="7"/>
      <c r="H16" s="7"/>
      <c r="I16" s="7"/>
      <c r="J16" s="7"/>
      <c r="K16" s="7"/>
    </row>
    <row r="17" spans="1:11" ht="12.75">
      <c r="A17" s="3" t="s">
        <v>19</v>
      </c>
      <c r="B17" t="s">
        <v>56</v>
      </c>
      <c r="C17" s="30">
        <f>4</f>
        <v>4</v>
      </c>
      <c r="D17" s="30"/>
      <c r="E17" s="30"/>
      <c r="F17" s="40"/>
      <c r="G17" s="7"/>
      <c r="H17" s="7"/>
      <c r="I17" s="7"/>
      <c r="J17" s="7"/>
      <c r="K17" s="7"/>
    </row>
    <row r="18" spans="1:11" ht="12.75">
      <c r="A18" s="3" t="s">
        <v>20</v>
      </c>
      <c r="B18" s="28" t="s">
        <v>83</v>
      </c>
      <c r="C18" s="30">
        <f>1</f>
        <v>1</v>
      </c>
      <c r="D18" s="30"/>
      <c r="E18" s="30"/>
      <c r="F18" s="40"/>
      <c r="G18" s="7"/>
      <c r="H18" s="7"/>
      <c r="I18" s="7"/>
      <c r="J18" s="7"/>
      <c r="K18" s="7"/>
    </row>
    <row r="19" spans="1:11" ht="12.75">
      <c r="A19" s="3"/>
      <c r="B19" s="23" t="s">
        <v>77</v>
      </c>
      <c r="C19" s="32">
        <f>SUM(C16:C18)*1.47</f>
        <v>16.169999999999998</v>
      </c>
      <c r="D19" s="32">
        <f>SUM(D16:D18)*1.38</f>
        <v>4.14</v>
      </c>
      <c r="E19" s="32">
        <f>SUM(E16:E18)*1.87</f>
        <v>5.61</v>
      </c>
      <c r="F19" s="41"/>
      <c r="G19" s="7"/>
      <c r="H19" s="7"/>
      <c r="I19" s="7"/>
      <c r="J19" s="7"/>
      <c r="K19" s="7"/>
    </row>
    <row r="20" spans="1:11" ht="15.75">
      <c r="A20" s="3"/>
      <c r="B20" s="8"/>
      <c r="C20" s="31"/>
      <c r="D20" s="31"/>
      <c r="E20" s="30"/>
      <c r="F20" s="43">
        <f>SUM(C19,D19,E19)</f>
        <v>25.919999999999998</v>
      </c>
      <c r="G20" s="7"/>
      <c r="H20" s="7"/>
      <c r="I20" s="7"/>
      <c r="J20" s="7"/>
      <c r="K20" s="7"/>
    </row>
    <row r="21" spans="1:11" ht="24" customHeight="1">
      <c r="A21" s="3" t="s">
        <v>5</v>
      </c>
      <c r="B21" s="20" t="s">
        <v>84</v>
      </c>
      <c r="C21" s="30"/>
      <c r="D21" s="30"/>
      <c r="E21" s="30"/>
      <c r="F21" s="40"/>
      <c r="G21" s="7"/>
      <c r="H21" s="7"/>
      <c r="I21" s="7"/>
      <c r="J21" s="7"/>
      <c r="K21" s="7"/>
    </row>
    <row r="22" spans="1:11" ht="25.5">
      <c r="A22" s="3" t="s">
        <v>21</v>
      </c>
      <c r="B22" s="28" t="s">
        <v>85</v>
      </c>
      <c r="C22" s="30">
        <f>30</f>
        <v>30</v>
      </c>
      <c r="D22" s="30">
        <f>2</f>
        <v>2</v>
      </c>
      <c r="E22" s="30">
        <f>4</f>
        <v>4</v>
      </c>
      <c r="F22" s="40"/>
      <c r="G22" s="7"/>
      <c r="H22" s="7"/>
      <c r="I22" s="7"/>
      <c r="J22" s="7"/>
      <c r="K22" s="7"/>
    </row>
    <row r="23" spans="1:11" ht="12.75">
      <c r="A23" s="20" t="s">
        <v>22</v>
      </c>
      <c r="B23" t="s">
        <v>60</v>
      </c>
      <c r="C23" s="30">
        <v>0</v>
      </c>
      <c r="D23" s="30"/>
      <c r="E23" s="30"/>
      <c r="F23" s="40"/>
      <c r="G23" s="7"/>
      <c r="H23" s="7"/>
      <c r="I23" s="7"/>
      <c r="J23" s="7"/>
      <c r="K23" s="7"/>
    </row>
    <row r="24" spans="1:11" ht="12.75">
      <c r="A24" s="20" t="s">
        <v>45</v>
      </c>
      <c r="B24" t="s">
        <v>87</v>
      </c>
      <c r="D24" s="30">
        <f>0.5</f>
        <v>0.5</v>
      </c>
      <c r="E24" s="30">
        <f>1</f>
        <v>1</v>
      </c>
      <c r="F24" s="40"/>
      <c r="G24" s="7"/>
      <c r="H24" s="7"/>
      <c r="I24" s="7"/>
      <c r="J24" s="7"/>
      <c r="K24" s="7"/>
    </row>
    <row r="25" spans="1:11" ht="12.75">
      <c r="A25" s="29" t="s">
        <v>58</v>
      </c>
      <c r="B25" t="s">
        <v>88</v>
      </c>
      <c r="C25" s="30">
        <f>1</f>
        <v>1</v>
      </c>
      <c r="D25" s="30">
        <f>2.2</f>
        <v>2.2</v>
      </c>
      <c r="E25" s="30"/>
      <c r="F25" s="40"/>
      <c r="G25" s="7"/>
      <c r="H25" s="7"/>
      <c r="I25" s="7"/>
      <c r="J25" s="7"/>
      <c r="K25" s="7"/>
    </row>
    <row r="26" spans="1:11" ht="16.5" customHeight="1">
      <c r="A26" s="20" t="s">
        <v>59</v>
      </c>
      <c r="B26" s="36" t="s">
        <v>113</v>
      </c>
      <c r="D26" s="30"/>
      <c r="E26" s="30">
        <f>3</f>
        <v>3</v>
      </c>
      <c r="F26" s="40"/>
      <c r="G26" s="7"/>
      <c r="H26" s="7"/>
      <c r="I26" s="7"/>
      <c r="J26" s="7"/>
      <c r="K26" s="7"/>
    </row>
    <row r="27" spans="1:11" ht="12.75">
      <c r="A27" s="3"/>
      <c r="C27" s="30"/>
      <c r="D27" s="30"/>
      <c r="E27" s="30"/>
      <c r="F27" s="40"/>
      <c r="G27" s="7"/>
      <c r="H27" s="7"/>
      <c r="I27" s="7"/>
      <c r="J27" s="7"/>
      <c r="K27" s="7"/>
    </row>
    <row r="28" spans="1:11" ht="12.75">
      <c r="A28" s="3"/>
      <c r="B28" s="23" t="s">
        <v>77</v>
      </c>
      <c r="C28" s="32">
        <f>SUM(C22:C27)*1.47</f>
        <v>45.57</v>
      </c>
      <c r="D28" s="32">
        <f>SUM(D22:D27)*1.38</f>
        <v>6.486</v>
      </c>
      <c r="E28" s="32">
        <f>SUM(E22:E27)*1.87</f>
        <v>14.96</v>
      </c>
      <c r="F28" s="41"/>
      <c r="G28" s="7"/>
      <c r="H28" s="7"/>
      <c r="I28" s="7"/>
      <c r="J28" s="7"/>
      <c r="K28" s="7"/>
    </row>
    <row r="29" spans="1:11" ht="15.75">
      <c r="A29" s="3"/>
      <c r="B29" s="8"/>
      <c r="C29" s="31"/>
      <c r="D29" s="31"/>
      <c r="E29" s="30"/>
      <c r="F29" s="43">
        <f>SUM(C28,D28,E28)</f>
        <v>67.01599999999999</v>
      </c>
      <c r="G29" s="7"/>
      <c r="H29" s="7"/>
      <c r="I29" s="7"/>
      <c r="J29" s="7"/>
      <c r="K29" s="7"/>
    </row>
    <row r="30" spans="1:11" ht="37.5" customHeight="1">
      <c r="A30" s="3" t="s">
        <v>6</v>
      </c>
      <c r="B30" s="20" t="s">
        <v>89</v>
      </c>
      <c r="C30" s="30"/>
      <c r="D30" s="30"/>
      <c r="E30" s="30"/>
      <c r="F30" s="40"/>
      <c r="H30" s="7"/>
      <c r="I30" s="7"/>
      <c r="J30" s="7"/>
      <c r="K30" s="7"/>
    </row>
    <row r="31" spans="1:11" ht="25.5">
      <c r="A31" s="3" t="s">
        <v>23</v>
      </c>
      <c r="B31" s="36" t="s">
        <v>114</v>
      </c>
      <c r="C31" s="30">
        <f>0</f>
        <v>0</v>
      </c>
      <c r="D31" s="30">
        <f>3</f>
        <v>3</v>
      </c>
      <c r="E31" s="30">
        <f>0.25</f>
        <v>0.25</v>
      </c>
      <c r="F31" s="40"/>
      <c r="G31" s="19"/>
      <c r="H31" s="7"/>
      <c r="I31" s="7"/>
      <c r="J31" s="7"/>
      <c r="K31" s="7"/>
    </row>
    <row r="32" spans="1:11" ht="12.75">
      <c r="A32" s="3" t="s">
        <v>24</v>
      </c>
      <c r="B32" s="28" t="s">
        <v>91</v>
      </c>
      <c r="C32" s="30">
        <f>0</f>
        <v>0</v>
      </c>
      <c r="D32" s="30"/>
      <c r="E32" s="30">
        <f>1</f>
        <v>1</v>
      </c>
      <c r="F32" s="40"/>
      <c r="G32" s="7"/>
      <c r="H32" s="7"/>
      <c r="I32" s="7"/>
      <c r="J32" s="7"/>
      <c r="K32" s="7"/>
    </row>
    <row r="33" spans="1:11" ht="25.5">
      <c r="A33" s="3" t="s">
        <v>25</v>
      </c>
      <c r="B33" t="s">
        <v>46</v>
      </c>
      <c r="C33" s="30">
        <f>2</f>
        <v>2</v>
      </c>
      <c r="D33" s="30">
        <f>1</f>
        <v>1</v>
      </c>
      <c r="E33" s="30">
        <f>0.5</f>
        <v>0.5</v>
      </c>
      <c r="F33" s="40"/>
      <c r="G33" s="7"/>
      <c r="H33" s="7"/>
      <c r="I33" s="7"/>
      <c r="J33" s="7"/>
      <c r="K33" s="7"/>
    </row>
    <row r="34" spans="1:11" ht="12.75">
      <c r="A34" s="3" t="s">
        <v>26</v>
      </c>
      <c r="B34" s="28" t="s">
        <v>90</v>
      </c>
      <c r="C34" s="30">
        <f>0</f>
        <v>0</v>
      </c>
      <c r="D34" s="30"/>
      <c r="E34" s="30"/>
      <c r="F34" s="40"/>
      <c r="G34" s="7"/>
      <c r="H34" s="7"/>
      <c r="I34" s="7"/>
      <c r="J34" s="7"/>
      <c r="K34" s="7"/>
    </row>
    <row r="35" spans="1:11" ht="25.5">
      <c r="A35" s="3" t="s">
        <v>39</v>
      </c>
      <c r="B35" s="28" t="s">
        <v>92</v>
      </c>
      <c r="C35" s="30">
        <f>0.5</f>
        <v>0.5</v>
      </c>
      <c r="D35" s="30">
        <f>5</f>
        <v>5</v>
      </c>
      <c r="E35" s="30"/>
      <c r="F35" s="40"/>
      <c r="G35" s="7"/>
      <c r="H35" s="7"/>
      <c r="I35" s="7"/>
      <c r="J35" s="7"/>
      <c r="K35" s="7"/>
    </row>
    <row r="36" spans="1:11" ht="38.25">
      <c r="A36" s="3" t="s">
        <v>27</v>
      </c>
      <c r="B36" s="28" t="s">
        <v>93</v>
      </c>
      <c r="C36" s="30"/>
      <c r="D36" s="30">
        <f>3</f>
        <v>3</v>
      </c>
      <c r="E36" s="30">
        <f>1</f>
        <v>1</v>
      </c>
      <c r="F36" s="40"/>
      <c r="G36" s="7"/>
      <c r="H36" s="7"/>
      <c r="I36" s="7"/>
      <c r="J36" s="7"/>
      <c r="K36" s="7"/>
    </row>
    <row r="37" spans="1:11" ht="38.25">
      <c r="A37" s="3" t="s">
        <v>43</v>
      </c>
      <c r="B37" s="28" t="s">
        <v>94</v>
      </c>
      <c r="C37" s="30">
        <f>1</f>
        <v>1</v>
      </c>
      <c r="D37" s="30">
        <f>6.5</f>
        <v>6.5</v>
      </c>
      <c r="E37" s="30">
        <f>2</f>
        <v>2</v>
      </c>
      <c r="F37" s="40"/>
      <c r="G37" s="7"/>
      <c r="H37" s="7"/>
      <c r="I37" s="7"/>
      <c r="J37" s="7"/>
      <c r="K37" s="7"/>
    </row>
    <row r="38" spans="1:11" ht="38.25">
      <c r="A38" s="3" t="s">
        <v>44</v>
      </c>
      <c r="B38" s="36" t="s">
        <v>115</v>
      </c>
      <c r="C38" s="30">
        <f>2</f>
        <v>2</v>
      </c>
      <c r="D38" s="30">
        <f>1</f>
        <v>1</v>
      </c>
      <c r="E38" s="30">
        <f>2</f>
        <v>2</v>
      </c>
      <c r="F38" s="40"/>
      <c r="G38" s="7"/>
      <c r="H38" s="7"/>
      <c r="I38" s="7"/>
      <c r="J38" s="7"/>
      <c r="K38" s="7"/>
    </row>
    <row r="39" spans="1:11" ht="12.75">
      <c r="A39" s="3"/>
      <c r="B39" s="23" t="s">
        <v>77</v>
      </c>
      <c r="C39" s="32">
        <f>SUM(C30:C38)*1.47</f>
        <v>8.084999999999999</v>
      </c>
      <c r="D39" s="32">
        <f>SUM(D30:D38)*1.38</f>
        <v>26.909999999999997</v>
      </c>
      <c r="E39" s="32">
        <f>SUM(E30:E38)*1.87</f>
        <v>12.6225</v>
      </c>
      <c r="F39" s="41"/>
      <c r="G39" s="7"/>
      <c r="H39" s="7"/>
      <c r="I39" s="7"/>
      <c r="J39" s="7"/>
      <c r="K39" s="7"/>
    </row>
    <row r="40" spans="1:11" ht="15.75">
      <c r="A40" s="3"/>
      <c r="B40" s="8"/>
      <c r="C40" s="31"/>
      <c r="D40" s="31"/>
      <c r="E40" s="30"/>
      <c r="F40" s="43">
        <f>SUM(C39,D39,E39)</f>
        <v>47.6175</v>
      </c>
      <c r="G40" s="7"/>
      <c r="H40" s="7"/>
      <c r="I40" s="7"/>
      <c r="J40" s="7"/>
      <c r="K40" s="7"/>
    </row>
    <row r="41" spans="1:11" ht="68.25" customHeight="1">
      <c r="A41" s="3" t="s">
        <v>7</v>
      </c>
      <c r="B41" s="3" t="s">
        <v>63</v>
      </c>
      <c r="C41" s="30"/>
      <c r="D41" s="30"/>
      <c r="E41" s="30"/>
      <c r="F41" s="40"/>
      <c r="G41" s="7"/>
      <c r="H41" s="7"/>
      <c r="I41" s="7"/>
      <c r="J41" s="7"/>
      <c r="K41" s="7"/>
    </row>
    <row r="42" spans="1:11" ht="24.75" customHeight="1">
      <c r="A42" s="3" t="s">
        <v>40</v>
      </c>
      <c r="B42" s="37" t="s">
        <v>112</v>
      </c>
      <c r="C42" s="30"/>
      <c r="D42" s="30"/>
      <c r="E42" s="30">
        <f>16</f>
        <v>16</v>
      </c>
      <c r="F42" s="40"/>
      <c r="G42" s="7"/>
      <c r="H42" s="7"/>
      <c r="I42" s="7"/>
      <c r="J42" s="7"/>
      <c r="K42" s="7"/>
    </row>
    <row r="43" spans="1:11" ht="12.75">
      <c r="A43" s="3"/>
      <c r="B43" s="23" t="s">
        <v>77</v>
      </c>
      <c r="C43" s="32">
        <f>SUM(C42:C42)*1.47</f>
        <v>0</v>
      </c>
      <c r="D43" s="32">
        <f>SUM(D42:D42)*1.38</f>
        <v>0</v>
      </c>
      <c r="E43" s="32">
        <f>SUM(E42:E42)*1.87</f>
        <v>29.92</v>
      </c>
      <c r="F43" s="41"/>
      <c r="G43" s="7"/>
      <c r="H43" s="7"/>
      <c r="I43" s="7"/>
      <c r="J43" s="7"/>
      <c r="K43" s="7"/>
    </row>
    <row r="44" spans="1:11" ht="15.75">
      <c r="A44" s="3"/>
      <c r="B44" s="8"/>
      <c r="C44" s="31"/>
      <c r="D44" s="31"/>
      <c r="E44" s="31"/>
      <c r="F44" s="43">
        <f>SUM(C43,D43,E43)</f>
        <v>29.92</v>
      </c>
      <c r="G44" s="7"/>
      <c r="H44" s="7"/>
      <c r="I44" s="7"/>
      <c r="J44" s="7"/>
      <c r="K44" s="7"/>
    </row>
    <row r="45" spans="1:11" ht="25.5" customHeight="1">
      <c r="A45" s="3" t="s">
        <v>8</v>
      </c>
      <c r="B45" s="3" t="s">
        <v>62</v>
      </c>
      <c r="C45" s="30"/>
      <c r="D45" s="30"/>
      <c r="E45" s="30"/>
      <c r="F45" s="40"/>
      <c r="G45" s="7"/>
      <c r="H45" s="7"/>
      <c r="I45" s="7"/>
      <c r="J45" s="7"/>
      <c r="K45" s="7"/>
    </row>
    <row r="46" spans="1:11" ht="12.75">
      <c r="A46" s="3" t="s">
        <v>28</v>
      </c>
      <c r="B46" t="s">
        <v>67</v>
      </c>
      <c r="C46" s="30">
        <f>50</f>
        <v>50</v>
      </c>
      <c r="D46" s="30"/>
      <c r="E46" s="30"/>
      <c r="F46" s="40"/>
      <c r="G46" s="7"/>
      <c r="H46" s="7"/>
      <c r="I46" s="7"/>
      <c r="J46" s="7"/>
      <c r="K46" s="7"/>
    </row>
    <row r="47" spans="1:11" ht="12.75">
      <c r="A47" s="3" t="s">
        <v>29</v>
      </c>
      <c r="B47" t="s">
        <v>65</v>
      </c>
      <c r="C47" s="30">
        <f>40</f>
        <v>40</v>
      </c>
      <c r="D47" s="30"/>
      <c r="E47" s="30"/>
      <c r="F47" s="40"/>
      <c r="G47" s="7"/>
      <c r="H47" s="7"/>
      <c r="I47" s="7"/>
      <c r="J47" s="7"/>
      <c r="K47" s="7"/>
    </row>
    <row r="48" spans="1:11" ht="12.75">
      <c r="A48" s="3" t="s">
        <v>30</v>
      </c>
      <c r="B48" t="s">
        <v>66</v>
      </c>
      <c r="C48" s="30">
        <f>35</f>
        <v>35</v>
      </c>
      <c r="D48" s="30"/>
      <c r="E48" s="30"/>
      <c r="F48" s="40"/>
      <c r="G48" s="7"/>
      <c r="H48" s="7"/>
      <c r="I48" s="7"/>
      <c r="J48" s="7"/>
      <c r="K48" s="7"/>
    </row>
    <row r="49" spans="1:11" ht="12.75">
      <c r="A49" s="3" t="s">
        <v>61</v>
      </c>
      <c r="B49" t="s">
        <v>68</v>
      </c>
      <c r="C49" s="30">
        <f>30</f>
        <v>30</v>
      </c>
      <c r="D49" s="30"/>
      <c r="E49" s="30"/>
      <c r="F49" s="40"/>
      <c r="G49" s="7"/>
      <c r="H49" s="7"/>
      <c r="I49" s="7"/>
      <c r="J49" s="7"/>
      <c r="K49" s="7"/>
    </row>
    <row r="50" spans="1:11" ht="12.75">
      <c r="A50" s="3" t="s">
        <v>31</v>
      </c>
      <c r="B50" t="s">
        <v>41</v>
      </c>
      <c r="C50" s="30">
        <f>10</f>
        <v>10</v>
      </c>
      <c r="D50" s="30"/>
      <c r="E50" s="30"/>
      <c r="F50" s="40"/>
      <c r="G50" s="7"/>
      <c r="H50" s="7"/>
      <c r="I50" s="7"/>
      <c r="J50" s="7"/>
      <c r="K50" s="7"/>
    </row>
    <row r="51" spans="1:11" ht="12.75">
      <c r="A51" s="3"/>
      <c r="B51" s="23" t="s">
        <v>77</v>
      </c>
      <c r="C51" s="32">
        <f>SUM(C46:C50)*1.47</f>
        <v>242.54999999999998</v>
      </c>
      <c r="D51" s="32">
        <f>SUM(D46:D50)*1.38</f>
        <v>0</v>
      </c>
      <c r="E51" s="32">
        <f>SUM(E46:E50)*1.87</f>
        <v>0</v>
      </c>
      <c r="F51" s="41"/>
      <c r="H51" s="7"/>
      <c r="I51" s="7"/>
      <c r="J51" s="7"/>
      <c r="K51" s="7"/>
    </row>
    <row r="52" spans="3:6" ht="15.75">
      <c r="C52" s="30"/>
      <c r="D52" s="30"/>
      <c r="E52" s="30"/>
      <c r="F52" s="43">
        <f>SUM(C51,D51,E51)</f>
        <v>242.54999999999998</v>
      </c>
    </row>
    <row r="53" spans="3:6" ht="12.75">
      <c r="C53" s="30"/>
      <c r="D53" s="30"/>
      <c r="E53" s="30"/>
      <c r="F53" s="40"/>
    </row>
    <row r="54" spans="1:11" ht="15.75">
      <c r="A54" s="3"/>
      <c r="B54" s="8"/>
      <c r="C54" s="33" t="s">
        <v>72</v>
      </c>
      <c r="D54" s="33" t="s">
        <v>72</v>
      </c>
      <c r="E54" s="33" t="s">
        <v>72</v>
      </c>
      <c r="F54" s="57" t="s">
        <v>79</v>
      </c>
      <c r="G54" s="7"/>
      <c r="H54" s="7"/>
      <c r="I54" s="7"/>
      <c r="J54" s="7"/>
      <c r="K54" s="7"/>
    </row>
    <row r="55" spans="1:11" ht="20.25">
      <c r="A55" s="1"/>
      <c r="B55" s="2"/>
      <c r="C55" s="34" t="s">
        <v>73</v>
      </c>
      <c r="D55" s="34" t="s">
        <v>78</v>
      </c>
      <c r="E55" s="34" t="s">
        <v>74</v>
      </c>
      <c r="F55" s="57" t="s">
        <v>75</v>
      </c>
      <c r="G55" s="4"/>
      <c r="H55" s="7"/>
      <c r="I55" s="7"/>
      <c r="J55" s="7"/>
      <c r="K55" s="7"/>
    </row>
    <row r="56" spans="1:11" ht="15.75">
      <c r="A56" s="5" t="s">
        <v>1</v>
      </c>
      <c r="B56" s="5" t="s">
        <v>2</v>
      </c>
      <c r="C56" s="33" t="s">
        <v>37</v>
      </c>
      <c r="D56" s="33" t="s">
        <v>37</v>
      </c>
      <c r="E56" s="33" t="s">
        <v>37</v>
      </c>
      <c r="F56" s="58" t="s">
        <v>37</v>
      </c>
      <c r="G56" s="21"/>
      <c r="H56" s="7"/>
      <c r="I56" s="7"/>
      <c r="J56" s="7"/>
      <c r="K56" s="7"/>
    </row>
    <row r="57" spans="1:11" ht="12.75">
      <c r="A57" s="3"/>
      <c r="B57" s="8"/>
      <c r="C57" s="31"/>
      <c r="D57" s="31"/>
      <c r="E57" s="30"/>
      <c r="F57" s="40"/>
      <c r="G57" s="7"/>
      <c r="H57" s="7"/>
      <c r="I57" s="7"/>
      <c r="J57" s="7"/>
      <c r="K57" s="7"/>
    </row>
    <row r="58" spans="1:11" ht="12.75">
      <c r="A58" s="20" t="s">
        <v>9</v>
      </c>
      <c r="B58" s="3" t="s">
        <v>11</v>
      </c>
      <c r="C58" s="30"/>
      <c r="D58" s="30"/>
      <c r="E58" s="30"/>
      <c r="F58" s="40"/>
      <c r="G58" s="7"/>
      <c r="H58" s="7"/>
      <c r="I58" s="7"/>
      <c r="J58" s="7"/>
      <c r="K58" s="7"/>
    </row>
    <row r="59" spans="1:11" ht="12.75">
      <c r="A59" s="20" t="s">
        <v>42</v>
      </c>
      <c r="B59" s="28" t="s">
        <v>95</v>
      </c>
      <c r="C59" s="30">
        <f>8</f>
        <v>8</v>
      </c>
      <c r="D59" s="30"/>
      <c r="E59" s="30"/>
      <c r="F59" s="40"/>
      <c r="G59" s="7"/>
      <c r="H59" s="7"/>
      <c r="I59" s="7"/>
      <c r="J59" s="7"/>
      <c r="K59" s="7"/>
    </row>
    <row r="60" spans="1:11" ht="12.75">
      <c r="A60" s="20" t="s">
        <v>96</v>
      </c>
      <c r="B60" t="s">
        <v>69</v>
      </c>
      <c r="C60" s="30">
        <f>40</f>
        <v>40</v>
      </c>
      <c r="D60" s="30"/>
      <c r="E60" s="30"/>
      <c r="F60" s="40"/>
      <c r="G60" s="7"/>
      <c r="H60" s="7"/>
      <c r="I60" s="7"/>
      <c r="J60" s="7"/>
      <c r="K60" s="7"/>
    </row>
    <row r="61" spans="1:11" ht="12.75">
      <c r="A61" s="3"/>
      <c r="B61" s="23" t="s">
        <v>77</v>
      </c>
      <c r="C61" s="32">
        <f>SUM(C58:C60)*1.47</f>
        <v>70.56</v>
      </c>
      <c r="D61" s="32">
        <f>SUM(D58:D60)*1.38</f>
        <v>0</v>
      </c>
      <c r="E61" s="32">
        <f>SUM(E58:E60)*1.87</f>
        <v>0</v>
      </c>
      <c r="F61" s="41"/>
      <c r="H61" s="7"/>
      <c r="I61" s="7"/>
      <c r="J61" s="7"/>
      <c r="K61" s="7"/>
    </row>
    <row r="62" spans="1:11" ht="15.75">
      <c r="A62" s="3"/>
      <c r="B62" s="8"/>
      <c r="C62" s="31"/>
      <c r="D62" s="31"/>
      <c r="E62" s="30"/>
      <c r="F62" s="43">
        <f>SUM(C61,D61,E61)</f>
        <v>70.56</v>
      </c>
      <c r="G62" s="7"/>
      <c r="H62" s="7"/>
      <c r="I62" s="7"/>
      <c r="J62" s="7"/>
      <c r="K62" s="7"/>
    </row>
    <row r="63" spans="1:11" ht="29.25" customHeight="1">
      <c r="A63" s="3" t="s">
        <v>10</v>
      </c>
      <c r="B63" s="20" t="s">
        <v>97</v>
      </c>
      <c r="C63" s="30"/>
      <c r="D63" s="30"/>
      <c r="E63" s="30"/>
      <c r="F63" s="40"/>
      <c r="G63" s="7"/>
      <c r="H63" s="7"/>
      <c r="I63" s="7"/>
      <c r="J63" s="7"/>
      <c r="K63" s="7"/>
    </row>
    <row r="64" spans="1:11" ht="24.75" customHeight="1">
      <c r="A64" s="20" t="s">
        <v>32</v>
      </c>
      <c r="B64" s="6" t="s">
        <v>98</v>
      </c>
      <c r="C64" s="30">
        <f>25</f>
        <v>25</v>
      </c>
      <c r="D64" s="30"/>
      <c r="E64" s="30"/>
      <c r="F64" s="40"/>
      <c r="G64" s="7"/>
      <c r="H64" s="7"/>
      <c r="I64" s="7"/>
      <c r="J64" s="7"/>
      <c r="K64" s="7"/>
    </row>
    <row r="65" spans="1:11" ht="27" customHeight="1">
      <c r="A65" s="20" t="s">
        <v>33</v>
      </c>
      <c r="B65" s="28" t="s">
        <v>99</v>
      </c>
      <c r="C65" s="30">
        <f>25*1.2</f>
        <v>30</v>
      </c>
      <c r="D65" s="30"/>
      <c r="E65" s="30"/>
      <c r="F65" s="40"/>
      <c r="G65" s="7"/>
      <c r="H65" s="7"/>
      <c r="I65" s="7"/>
      <c r="J65" s="7"/>
      <c r="K65" s="7"/>
    </row>
    <row r="66" spans="2:11" ht="12.75">
      <c r="B66" s="23" t="s">
        <v>77</v>
      </c>
      <c r="C66" s="32">
        <f>SUM(C63:C65)*1.47</f>
        <v>80.85</v>
      </c>
      <c r="D66" s="32">
        <f>SUM(D63:D65)*1.38</f>
        <v>0</v>
      </c>
      <c r="E66" s="32">
        <f>SUM(E63:E65)*1.87</f>
        <v>0</v>
      </c>
      <c r="F66" s="41"/>
      <c r="G66" s="7"/>
      <c r="H66" s="7"/>
      <c r="I66" s="7"/>
      <c r="J66" s="7"/>
      <c r="K66" s="7"/>
    </row>
    <row r="67" spans="3:11" ht="15.75">
      <c r="C67" s="30"/>
      <c r="D67" s="30"/>
      <c r="E67" s="30"/>
      <c r="F67" s="43">
        <f>SUM(C66,D66,E66)</f>
        <v>80.85</v>
      </c>
      <c r="G67" s="7"/>
      <c r="H67" s="7"/>
      <c r="I67" s="7"/>
      <c r="J67" s="7"/>
      <c r="K67" s="7"/>
    </row>
    <row r="68" spans="1:11" ht="12.75">
      <c r="A68" s="20" t="s">
        <v>12</v>
      </c>
      <c r="B68" s="20" t="s">
        <v>100</v>
      </c>
      <c r="C68" s="30"/>
      <c r="D68" s="30"/>
      <c r="E68" s="30"/>
      <c r="F68" s="40"/>
      <c r="G68" s="7"/>
      <c r="H68" s="7"/>
      <c r="I68" s="7"/>
      <c r="J68" s="7"/>
      <c r="K68" s="7"/>
    </row>
    <row r="69" spans="1:11" ht="12.75">
      <c r="A69" s="3" t="s">
        <v>103</v>
      </c>
      <c r="B69" s="28" t="s">
        <v>101</v>
      </c>
      <c r="C69" s="30"/>
      <c r="D69" s="30"/>
      <c r="E69" s="30">
        <f>15</f>
        <v>15</v>
      </c>
      <c r="F69" s="40"/>
      <c r="G69" s="7"/>
      <c r="H69" s="7"/>
      <c r="I69" s="7"/>
      <c r="J69" s="7"/>
      <c r="K69" s="7"/>
    </row>
    <row r="70" spans="1:11" ht="12.75">
      <c r="A70" s="3" t="s">
        <v>104</v>
      </c>
      <c r="B70" t="s">
        <v>64</v>
      </c>
      <c r="C70" s="30"/>
      <c r="D70" s="30"/>
      <c r="E70" s="30">
        <f>1</f>
        <v>1</v>
      </c>
      <c r="F70" s="40"/>
      <c r="G70" s="7"/>
      <c r="H70" s="7"/>
      <c r="I70" s="7"/>
      <c r="J70" s="7"/>
      <c r="K70" s="7"/>
    </row>
    <row r="71" spans="1:11" ht="25.5">
      <c r="A71" s="3" t="s">
        <v>105</v>
      </c>
      <c r="B71" s="28" t="s">
        <v>102</v>
      </c>
      <c r="C71" s="30">
        <f>19.3</f>
        <v>19.3</v>
      </c>
      <c r="D71" s="30"/>
      <c r="E71" s="30"/>
      <c r="F71" s="40"/>
      <c r="G71" s="7"/>
      <c r="H71" s="7"/>
      <c r="I71" s="7"/>
      <c r="J71" s="7"/>
      <c r="K71" s="7"/>
    </row>
    <row r="72" spans="1:11" ht="12.75">
      <c r="A72" s="3"/>
      <c r="B72" s="23" t="s">
        <v>77</v>
      </c>
      <c r="C72" s="32">
        <f>SUM(C68:C71)*1.47</f>
        <v>28.371000000000002</v>
      </c>
      <c r="D72" s="32">
        <f>SUM(D68:D71)*1.38</f>
        <v>0</v>
      </c>
      <c r="E72" s="32">
        <f>SUM(E68:E71)*1.87</f>
        <v>29.92</v>
      </c>
      <c r="F72" s="41"/>
      <c r="G72" s="7"/>
      <c r="H72" s="7"/>
      <c r="I72" s="7"/>
      <c r="J72" s="7"/>
      <c r="K72" s="7"/>
    </row>
    <row r="73" spans="1:11" ht="15.75">
      <c r="A73" s="3"/>
      <c r="B73" s="8"/>
      <c r="C73" s="31"/>
      <c r="D73" s="31"/>
      <c r="E73" s="31"/>
      <c r="F73" s="43">
        <f>SUM(C72,D72,E72)</f>
        <v>58.291000000000004</v>
      </c>
      <c r="G73" s="7"/>
      <c r="H73" s="7"/>
      <c r="I73" s="7"/>
      <c r="J73" s="7"/>
      <c r="K73" s="7"/>
    </row>
    <row r="74" spans="1:11" ht="15.75">
      <c r="A74" s="20" t="s">
        <v>13</v>
      </c>
      <c r="B74" s="20" t="s">
        <v>106</v>
      </c>
      <c r="C74" s="30"/>
      <c r="D74" s="30"/>
      <c r="E74" s="30"/>
      <c r="F74" s="42"/>
      <c r="G74" s="7"/>
      <c r="H74" s="7"/>
      <c r="I74" s="7"/>
      <c r="J74" s="7"/>
      <c r="K74" s="7"/>
    </row>
    <row r="75" spans="1:11" ht="25.5">
      <c r="A75" s="20" t="s">
        <v>34</v>
      </c>
      <c r="B75" t="s">
        <v>36</v>
      </c>
      <c r="C75" s="30">
        <f>0.5</f>
        <v>0.5</v>
      </c>
      <c r="D75" s="30"/>
      <c r="E75" s="30"/>
      <c r="F75" s="40"/>
      <c r="G75" s="7"/>
      <c r="H75" s="7"/>
      <c r="I75" s="7"/>
      <c r="J75" s="7"/>
      <c r="K75" s="7"/>
    </row>
    <row r="76" spans="1:11" ht="12.75">
      <c r="A76" s="20" t="s">
        <v>35</v>
      </c>
      <c r="B76" s="28" t="s">
        <v>107</v>
      </c>
      <c r="C76" s="30">
        <f>0.5</f>
        <v>0.5</v>
      </c>
      <c r="D76" s="30"/>
      <c r="E76" s="30"/>
      <c r="F76" s="40"/>
      <c r="G76" s="7"/>
      <c r="H76" s="7"/>
      <c r="I76" s="7"/>
      <c r="J76" s="7"/>
      <c r="K76" s="7"/>
    </row>
    <row r="77" spans="2:11" ht="12.75">
      <c r="B77" s="23" t="s">
        <v>77</v>
      </c>
      <c r="C77" s="32">
        <f>SUM(C74:C76)*1.47</f>
        <v>1.47</v>
      </c>
      <c r="D77" s="32">
        <f>SUM(D74:D76)*1.38</f>
        <v>0</v>
      </c>
      <c r="E77" s="32">
        <f>SUM(E74:E76)*1.87</f>
        <v>0</v>
      </c>
      <c r="F77" s="41"/>
      <c r="G77" s="7"/>
      <c r="H77" s="7"/>
      <c r="I77" s="7"/>
      <c r="J77" s="7"/>
      <c r="K77" s="7"/>
    </row>
    <row r="78" spans="2:11" ht="15.75">
      <c r="B78" s="23"/>
      <c r="C78" s="31"/>
      <c r="D78" s="31"/>
      <c r="E78" s="31"/>
      <c r="F78" s="43">
        <f>SUM(C77,D77,E77)</f>
        <v>1.47</v>
      </c>
      <c r="G78" s="7"/>
      <c r="H78" s="7"/>
      <c r="I78" s="7"/>
      <c r="J78" s="7"/>
      <c r="K78" s="7"/>
    </row>
    <row r="79" spans="1:12" ht="13.5" thickBot="1">
      <c r="A79" s="10"/>
      <c r="B79" s="11"/>
      <c r="C79" s="35"/>
      <c r="D79" s="35"/>
      <c r="E79" s="35"/>
      <c r="F79" s="38"/>
      <c r="G79" s="27"/>
      <c r="H79" s="16"/>
      <c r="I79" s="16"/>
      <c r="J79" s="16"/>
      <c r="K79" s="16"/>
      <c r="L79" s="13"/>
    </row>
    <row r="80" spans="1:12" ht="13.5" thickTop="1">
      <c r="A80" s="13"/>
      <c r="B80" s="14"/>
      <c r="C80" s="15"/>
      <c r="D80" s="15"/>
      <c r="E80" s="15"/>
      <c r="F80" s="19"/>
      <c r="G80" s="16"/>
      <c r="H80" s="16"/>
      <c r="I80" s="16"/>
      <c r="J80" s="16"/>
      <c r="K80" s="16"/>
      <c r="L80" s="13"/>
    </row>
    <row r="81" spans="1:12" ht="12.75">
      <c r="A81" s="13"/>
      <c r="B81" s="14"/>
      <c r="C81" s="15"/>
      <c r="D81" s="15"/>
      <c r="E81" s="15"/>
      <c r="F81" s="16"/>
      <c r="G81" s="16"/>
      <c r="H81" s="16"/>
      <c r="I81" s="16"/>
      <c r="J81" s="16"/>
      <c r="K81" s="16"/>
      <c r="L81" s="13"/>
    </row>
    <row r="82" spans="1:12" ht="12.75">
      <c r="A82" s="13"/>
      <c r="B82" s="14"/>
      <c r="C82" s="15"/>
      <c r="D82" s="15"/>
      <c r="E82" s="15"/>
      <c r="F82" s="16"/>
      <c r="G82" s="16"/>
      <c r="H82" s="16"/>
      <c r="I82" s="16"/>
      <c r="J82" s="16"/>
      <c r="K82" s="16"/>
      <c r="L82" s="13"/>
    </row>
    <row r="83" spans="1:12" ht="15.75">
      <c r="A83" s="13"/>
      <c r="B83" s="17" t="s">
        <v>55</v>
      </c>
      <c r="C83" s="15"/>
      <c r="D83" s="15"/>
      <c r="E83" s="15"/>
      <c r="F83" s="16"/>
      <c r="G83" s="16"/>
      <c r="H83" s="16"/>
      <c r="I83" s="16"/>
      <c r="J83" s="16"/>
      <c r="K83" s="16"/>
      <c r="L83" s="13"/>
    </row>
    <row r="84" spans="1:12" ht="12.75">
      <c r="A84" s="13"/>
      <c r="B84" s="14"/>
      <c r="C84" s="15"/>
      <c r="D84" s="15"/>
      <c r="E84" s="15"/>
      <c r="F84" s="16"/>
      <c r="G84" s="16"/>
      <c r="H84" s="16"/>
      <c r="I84" s="16"/>
      <c r="J84" s="16"/>
      <c r="K84" s="16"/>
      <c r="L84" s="13"/>
    </row>
    <row r="85" spans="2:6" ht="18" customHeight="1">
      <c r="B85" s="6" t="s">
        <v>48</v>
      </c>
      <c r="C85" s="47">
        <f>SUM(C9:C12,C16:C18,C22:C26,C31:C38,C46:C50,C59:C60,C64:C65,C69:C71,C75:C76)</f>
        <v>352.8</v>
      </c>
      <c r="E85" s="8"/>
      <c r="F85" s="8"/>
    </row>
    <row r="86" spans="2:6" ht="18" customHeight="1">
      <c r="B86" s="8" t="s">
        <v>50</v>
      </c>
      <c r="C86" s="45">
        <f>SUM(C13,C19,C28,C39,C43,C51,C61,C66,C72,C77)</f>
        <v>518.616</v>
      </c>
      <c r="E86" s="8"/>
      <c r="F86" s="8"/>
    </row>
    <row r="87" spans="2:6" ht="15.75" customHeight="1">
      <c r="B87" s="6" t="s">
        <v>53</v>
      </c>
      <c r="C87" s="9"/>
      <c r="D87" s="47">
        <f>SUM(D9:D12,D16:D18,D22:D26,D31:D38,D46:D50,D59:D60,D64:D65,D69:D71,D75:D76)</f>
        <v>30.2</v>
      </c>
      <c r="F87" s="8"/>
    </row>
    <row r="88" spans="2:6" ht="18" customHeight="1">
      <c r="B88" s="8" t="s">
        <v>54</v>
      </c>
      <c r="C88" s="9"/>
      <c r="D88" s="45">
        <f>SUM(D13,D19,D28,D39,D43,D51,D61,D66,D72,D77)</f>
        <v>41.675999999999995</v>
      </c>
      <c r="F88" s="8"/>
    </row>
    <row r="89" spans="2:6" ht="15.75">
      <c r="B89" s="6" t="s">
        <v>47</v>
      </c>
      <c r="E89" s="47">
        <f>SUM(E9:E12,E16:E18,E22:E26,E31:E38,E46:E50,E59:E60,E64:E65)</f>
        <v>22.75</v>
      </c>
      <c r="F89" s="8"/>
    </row>
    <row r="90" spans="2:6" ht="15.75">
      <c r="B90" s="8" t="s">
        <v>51</v>
      </c>
      <c r="E90" s="45">
        <f>SUM(E13,E19,E28,E39,E43,E51,E61,E66)</f>
        <v>72.4625</v>
      </c>
      <c r="F90" s="8"/>
    </row>
    <row r="91" spans="2:6" ht="15.75">
      <c r="B91" s="6" t="s">
        <v>49</v>
      </c>
      <c r="F91" s="52">
        <f>SUM(C71,E69,E70,C75,C76)</f>
        <v>36.3</v>
      </c>
    </row>
    <row r="92" spans="2:6" ht="15.75">
      <c r="B92" s="8" t="s">
        <v>52</v>
      </c>
      <c r="F92" s="53">
        <f>SUM(C72,E72,C77)</f>
        <v>59.761</v>
      </c>
    </row>
    <row r="93" spans="2:6" ht="12.75">
      <c r="B93" s="8"/>
      <c r="F93" s="31"/>
    </row>
    <row r="94" spans="2:6" ht="12.75">
      <c r="B94" s="8"/>
      <c r="F94" s="31"/>
    </row>
    <row r="95" spans="2:5" ht="30">
      <c r="B95" s="46" t="s">
        <v>110</v>
      </c>
      <c r="C95" s="59">
        <f>SUM(C94,C85,D87,E89)</f>
        <v>405.75</v>
      </c>
      <c r="D95" s="9"/>
      <c r="E95" s="8"/>
    </row>
    <row r="96" spans="2:4" ht="31.5">
      <c r="B96" s="44" t="s">
        <v>111</v>
      </c>
      <c r="C96" s="60">
        <f>SUM(C86,D88,E90)</f>
        <v>632.7545</v>
      </c>
      <c r="D96" s="12"/>
    </row>
    <row r="97" spans="2:6" ht="18">
      <c r="B97" s="48" t="s">
        <v>49</v>
      </c>
      <c r="C97" s="51">
        <f>F91</f>
        <v>36.3</v>
      </c>
      <c r="D97" s="12"/>
      <c r="F97" s="32"/>
    </row>
    <row r="98" spans="2:6" ht="18">
      <c r="B98" s="49" t="s">
        <v>52</v>
      </c>
      <c r="C98" s="50">
        <f>F92</f>
        <v>59.761</v>
      </c>
      <c r="D98" s="12"/>
      <c r="F98" s="31"/>
    </row>
    <row r="100" spans="2:7" ht="175.5" customHeight="1">
      <c r="B100" s="20" t="s">
        <v>117</v>
      </c>
      <c r="G100" s="20" t="s">
        <v>70</v>
      </c>
    </row>
  </sheetData>
  <printOptions gridLines="1"/>
  <pageMargins left="0.5" right="0.5" top="1" bottom="1" header="0.5" footer="0.5"/>
  <pageSetup horizontalDpi="300" verticalDpi="300" orientation="portrait" scale="58" r:id="rId1"/>
  <headerFooter alignWithMargins="0">
    <oddHeader>&amp;CE951_estimate_HFBR_Frig_installation_revA&amp;RPage &amp;P</oddHeader>
    <oddFooter>&amp;LM. Iarocci&amp;C&amp;F&amp;R&amp;D</oddFooter>
  </headerFooter>
  <rowBreaks count="1" manualBreakCount="1">
    <brk id="53"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Iarocci</dc:creator>
  <cp:keywords/>
  <dc:description/>
  <cp:lastModifiedBy>Michael Iarocci</cp:lastModifiedBy>
  <cp:lastPrinted>2002-10-23T20:02:35Z</cp:lastPrinted>
  <dcterms:created xsi:type="dcterms:W3CDTF">2000-09-08T20:08:54Z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