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5285" windowHeight="8970" tabRatio="849" firstSheet="7" activeTab="33"/>
  </bookViews>
  <sheets>
    <sheet name="31" sheetId="1" r:id="rId1"/>
    <sheet name="32" sheetId="2" r:id="rId2"/>
    <sheet name="33" sheetId="3" r:id="rId3"/>
    <sheet name="34" sheetId="4" r:id="rId4"/>
    <sheet name="35" sheetId="5" r:id="rId5"/>
    <sheet name="36" sheetId="6" r:id="rId6"/>
    <sheet name="37" sheetId="7" r:id="rId7"/>
    <sheet name="38" sheetId="8" r:id="rId8"/>
    <sheet name="39" sheetId="9" r:id="rId9"/>
    <sheet name="40" sheetId="10" r:id="rId10"/>
    <sheet name="41" sheetId="11" r:id="rId11"/>
    <sheet name="42" sheetId="12" r:id="rId12"/>
    <sheet name="43" sheetId="13" r:id="rId13"/>
    <sheet name="44" sheetId="14" r:id="rId14"/>
    <sheet name="45" sheetId="15" r:id="rId15"/>
    <sheet name="46" sheetId="16" r:id="rId16"/>
    <sheet name="47" sheetId="17" r:id="rId17"/>
    <sheet name="48" sheetId="18" r:id="rId18"/>
    <sheet name="49" sheetId="19" r:id="rId19"/>
    <sheet name="50" sheetId="20" r:id="rId20"/>
    <sheet name="51" sheetId="21" r:id="rId21"/>
    <sheet name="52" sheetId="22" r:id="rId22"/>
    <sheet name="53" sheetId="23" r:id="rId23"/>
    <sheet name="54" sheetId="24" r:id="rId24"/>
    <sheet name="55" sheetId="25" r:id="rId25"/>
    <sheet name="56" sheetId="26" r:id="rId26"/>
    <sheet name="57" sheetId="27" r:id="rId27"/>
    <sheet name="58" sheetId="28" r:id="rId28"/>
    <sheet name="59" sheetId="29" r:id="rId29"/>
    <sheet name="60" sheetId="30" r:id="rId30"/>
    <sheet name="61" sheetId="31" r:id="rId31"/>
    <sheet name="62" sheetId="32" r:id="rId32"/>
    <sheet name="63" sheetId="33" r:id="rId33"/>
    <sheet name="64" sheetId="34" r:id="rId34"/>
  </sheets>
  <definedNames>
    <definedName name="_xlnm.Print_Area" localSheetId="1">'32'!$A$1:$F$17</definedName>
    <definedName name="_xlnm.Print_Area" localSheetId="20">'51'!$A$1:$F$17</definedName>
    <definedName name="_xlnm.Print_Area" localSheetId="21">'52'!$A$1:$F$17</definedName>
    <definedName name="_xlnm.Print_Area" localSheetId="24">'55'!$A$1:$F$17</definedName>
    <definedName name="_xlnm.Print_Area" localSheetId="29">'60'!$A$1:$F$17</definedName>
    <definedName name="_xlnm.Print_Area" localSheetId="30">'61'!$A$1:$F$17</definedName>
    <definedName name="_xlnm.Print_Area" localSheetId="31">'62'!$A$1:$F$17</definedName>
    <definedName name="_xlnm.Print_Area" localSheetId="32">'63'!$A$1:$F$17</definedName>
    <definedName name="_xlnm.Print_Area" localSheetId="33">'64'!$A$1:$F$17</definedName>
  </definedNames>
  <calcPr fullCalcOnLoad="1"/>
</workbook>
</file>

<file path=xl/sharedStrings.xml><?xml version="1.0" encoding="utf-8"?>
<sst xmlns="http://schemas.openxmlformats.org/spreadsheetml/2006/main" count="1961" uniqueCount="88">
  <si>
    <t>MICROMERITICS ANALYSIS FORM</t>
  </si>
  <si>
    <t>Pipette Sample</t>
  </si>
  <si>
    <t>Beaker No.</t>
  </si>
  <si>
    <t>Beaker +Sed. Wt.</t>
  </si>
  <si>
    <t>Beaker Wt.</t>
  </si>
  <si>
    <t>Sed+Defloc.</t>
  </si>
  <si>
    <t>Wt.Retained</t>
  </si>
  <si>
    <t>* (Volume/20)</t>
  </si>
  <si>
    <t>Wt.Retained/Lit.</t>
  </si>
  <si>
    <t>Sedimentation Wt.</t>
  </si>
  <si>
    <t>Total</t>
  </si>
  <si>
    <t>Supernatant</t>
  </si>
  <si>
    <t>MM</t>
  </si>
  <si>
    <t>PHI</t>
  </si>
  <si>
    <t>(-5 to -4</t>
  </si>
  <si>
    <t>(-4 to -3</t>
  </si>
  <si>
    <t>(-3 to -2</t>
  </si>
  <si>
    <t>(-2 to -1</t>
  </si>
  <si>
    <t>(-1 to 0</t>
  </si>
  <si>
    <t>0 to 1</t>
  </si>
  <si>
    <t>1 to 2</t>
  </si>
  <si>
    <t>2 to 3</t>
  </si>
  <si>
    <t>4 to 5 +pan=</t>
  </si>
  <si>
    <t>3 to 4 +high=</t>
  </si>
  <si>
    <t>5 to 6</t>
  </si>
  <si>
    <t>6 to 7</t>
  </si>
  <si>
    <t>7 to 8</t>
  </si>
  <si>
    <t>8 to 9</t>
  </si>
  <si>
    <t>9 to 10</t>
  </si>
  <si>
    <t>&gt;10+supernatant=</t>
  </si>
  <si>
    <t>(32-16</t>
  </si>
  <si>
    <t>(16-8</t>
  </si>
  <si>
    <t>(8-4</t>
  </si>
  <si>
    <t>(4-2</t>
  </si>
  <si>
    <t>(2-1</t>
  </si>
  <si>
    <t>(1-.5</t>
  </si>
  <si>
    <t>(.5 - .250</t>
  </si>
  <si>
    <t>(.250 - .125</t>
  </si>
  <si>
    <t>(.125 - .062</t>
  </si>
  <si>
    <t>(.062 - .031</t>
  </si>
  <si>
    <t>(.031 - .016</t>
  </si>
  <si>
    <t>(.016 - .008</t>
  </si>
  <si>
    <t>(.008 - .004</t>
  </si>
  <si>
    <t>(.004 - .002</t>
  </si>
  <si>
    <t>(.002 - .001</t>
  </si>
  <si>
    <t xml:space="preserve">  &lt; .001</t>
  </si>
  <si>
    <t>Total Wt. (gm)</t>
  </si>
  <si>
    <t>Raw Cum. %</t>
  </si>
  <si>
    <t>Adjusted Cum. %</t>
  </si>
  <si>
    <t>Percent</t>
  </si>
  <si>
    <t>Weight</t>
  </si>
  <si>
    <t>Phi Interval</t>
  </si>
  <si>
    <t>4 to 5</t>
  </si>
  <si>
    <t xml:space="preserve">Microns           </t>
  </si>
  <si>
    <t xml:space="preserve"> &gt;10</t>
  </si>
  <si>
    <t>Deflocculant wt.</t>
  </si>
  <si>
    <t>%</t>
  </si>
  <si>
    <t>70 micron=</t>
  </si>
  <si>
    <t xml:space="preserve">                High=</t>
  </si>
  <si>
    <t>WT. RETAINED (gm)</t>
  </si>
  <si>
    <t>Initial Wt.&gt;.062mm (gm)=</t>
  </si>
  <si>
    <t>Supernatant Vol=</t>
  </si>
  <si>
    <t>Grab:</t>
  </si>
  <si>
    <t>UPPER PHI-SCALE ANALYSIS</t>
  </si>
  <si>
    <t>Initial Sample Weight  (g)=</t>
  </si>
  <si>
    <t>mm</t>
  </si>
  <si>
    <t>Phi</t>
  </si>
  <si>
    <t>Weight Retained</t>
  </si>
  <si>
    <t>Gravel</t>
  </si>
  <si>
    <t>32-16</t>
  </si>
  <si>
    <t>-5 to -4</t>
  </si>
  <si>
    <t>16-8</t>
  </si>
  <si>
    <t>-4 to -3</t>
  </si>
  <si>
    <t>8-4</t>
  </si>
  <si>
    <t>-3 to -2</t>
  </si>
  <si>
    <t>4-2</t>
  </si>
  <si>
    <t>-2 to -1</t>
  </si>
  <si>
    <t>Sand</t>
  </si>
  <si>
    <t>2-1</t>
  </si>
  <si>
    <t>-1 to 0</t>
  </si>
  <si>
    <t>1-.5</t>
  </si>
  <si>
    <t>.5-.250</t>
  </si>
  <si>
    <t>.250-.125</t>
  </si>
  <si>
    <t>.125-.062</t>
  </si>
  <si>
    <t>3 to 4</t>
  </si>
  <si>
    <t>Silt</t>
  </si>
  <si>
    <t>&lt;.062</t>
  </si>
  <si>
    <t>pan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</si>
</sst>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00E+00"/>
    <numFmt numFmtId="167" formatCode="_(&quot;$&quot;* #,##0.00000_);_(&quot;$&quot;* \(#,##0.00000\);_(&quot;$&quot;* &quot;-&quot;?????_);_(@_)"/>
    <numFmt numFmtId="168" formatCode="#,##0.00000_);\(#,##0.00000\)"/>
  </numFmts>
  <fonts count="8">
    <font>
      <sz val="10"/>
      <name val="Arial"/>
      <family val="0"/>
    </font>
    <font>
      <sz val="16"/>
      <name val="Arial"/>
      <family val="2"/>
    </font>
    <font>
      <sz val="12"/>
      <name val="Arial"/>
      <family val="2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165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workbookViewId="0" topLeftCell="A1">
      <selection activeCell="F15" sqref="F15"/>
    </sheetView>
  </sheetViews>
  <sheetFormatPr defaultColWidth="9.140625" defaultRowHeight="12.75"/>
  <cols>
    <col min="1" max="1" width="15.57421875" style="0" customWidth="1"/>
    <col min="3" max="3" width="10.57421875" style="0" customWidth="1"/>
    <col min="4" max="4" width="6.8515625" style="0" customWidth="1"/>
    <col min="5" max="5" width="8.57421875" style="0" customWidth="1"/>
    <col min="6" max="7" width="6.8515625" style="0" customWidth="1"/>
    <col min="8" max="8" width="6.7109375" style="0" customWidth="1"/>
    <col min="9" max="9" width="4.421875" style="0" customWidth="1"/>
    <col min="10" max="10" width="12.421875" style="0" customWidth="1"/>
    <col min="11" max="11" width="15.8515625" style="0" customWidth="1"/>
    <col min="12" max="12" width="14.00390625" style="0" customWidth="1"/>
  </cols>
  <sheetData>
    <row r="1" spans="1:3" ht="20.25">
      <c r="A1" s="2" t="s">
        <v>0</v>
      </c>
      <c r="B1" s="2"/>
      <c r="C1" s="2"/>
    </row>
    <row r="2" spans="1:4" ht="15">
      <c r="A2" s="3" t="s">
        <v>62</v>
      </c>
      <c r="B2" s="3">
        <v>100131</v>
      </c>
      <c r="C2" s="3"/>
      <c r="D2" s="3"/>
    </row>
    <row r="3" spans="1:3" ht="20.25">
      <c r="A3" s="2"/>
      <c r="B3" s="2"/>
      <c r="C3" s="2"/>
    </row>
    <row r="4" spans="5:12" ht="12.75">
      <c r="E4" t="s">
        <v>60</v>
      </c>
      <c r="H4">
        <v>8.8649</v>
      </c>
      <c r="J4" t="s">
        <v>12</v>
      </c>
      <c r="K4" t="s">
        <v>13</v>
      </c>
      <c r="L4" t="s">
        <v>59</v>
      </c>
    </row>
    <row r="5" spans="10:12" ht="12.75">
      <c r="J5" t="s">
        <v>30</v>
      </c>
      <c r="K5" t="s">
        <v>14</v>
      </c>
      <c r="L5">
        <v>0</v>
      </c>
    </row>
    <row r="6" spans="1:12" ht="12.75">
      <c r="A6" t="s">
        <v>1</v>
      </c>
      <c r="B6" t="s">
        <v>10</v>
      </c>
      <c r="C6" t="s">
        <v>11</v>
      </c>
      <c r="D6" t="s">
        <v>61</v>
      </c>
      <c r="F6">
        <v>900</v>
      </c>
      <c r="J6" t="s">
        <v>31</v>
      </c>
      <c r="K6" t="s">
        <v>15</v>
      </c>
      <c r="L6">
        <v>0</v>
      </c>
    </row>
    <row r="7" spans="1:12" ht="12.75">
      <c r="A7" t="s">
        <v>2</v>
      </c>
      <c r="J7" s="1" t="s">
        <v>32</v>
      </c>
      <c r="K7" t="s">
        <v>16</v>
      </c>
      <c r="L7">
        <v>0</v>
      </c>
    </row>
    <row r="8" spans="1:12" ht="12.75">
      <c r="A8" t="s">
        <v>3</v>
      </c>
      <c r="B8">
        <v>30.8318</v>
      </c>
      <c r="C8">
        <v>30.828</v>
      </c>
      <c r="J8" s="1" t="s">
        <v>33</v>
      </c>
      <c r="K8" t="s">
        <v>17</v>
      </c>
      <c r="L8">
        <v>0</v>
      </c>
    </row>
    <row r="9" spans="1:12" ht="12.75">
      <c r="A9" t="s">
        <v>4</v>
      </c>
      <c r="B9">
        <v>30.6381</v>
      </c>
      <c r="C9">
        <v>30.6847</v>
      </c>
      <c r="J9" t="s">
        <v>34</v>
      </c>
      <c r="K9" t="s">
        <v>18</v>
      </c>
      <c r="L9">
        <v>0.00786</v>
      </c>
    </row>
    <row r="10" spans="1:12" ht="12.75">
      <c r="A10" t="s">
        <v>5</v>
      </c>
      <c r="B10">
        <f>B8-B9</f>
        <v>0.19369999999999976</v>
      </c>
      <c r="C10">
        <f>C8-C9</f>
        <v>0.14329999999999998</v>
      </c>
      <c r="J10" t="s">
        <v>35</v>
      </c>
      <c r="K10" t="s">
        <v>19</v>
      </c>
      <c r="L10">
        <v>0.00343</v>
      </c>
    </row>
    <row r="11" spans="1:12" ht="12.75">
      <c r="A11" t="s">
        <v>55</v>
      </c>
      <c r="B11">
        <v>0.1181</v>
      </c>
      <c r="C11">
        <v>0.1181</v>
      </c>
      <c r="J11" t="s">
        <v>36</v>
      </c>
      <c r="K11" t="s">
        <v>20</v>
      </c>
      <c r="L11">
        <v>0.01475</v>
      </c>
    </row>
    <row r="12" spans="1:12" ht="12.75">
      <c r="A12" t="s">
        <v>6</v>
      </c>
      <c r="B12">
        <f>B10-B11</f>
        <v>0.07559999999999976</v>
      </c>
      <c r="C12">
        <f>C10-C11</f>
        <v>0.025199999999999986</v>
      </c>
      <c r="J12" t="s">
        <v>37</v>
      </c>
      <c r="K12" t="s">
        <v>21</v>
      </c>
      <c r="L12">
        <v>0.77811</v>
      </c>
    </row>
    <row r="13" spans="1:12" ht="12.75">
      <c r="A13" t="s">
        <v>7</v>
      </c>
      <c r="B13">
        <v>50</v>
      </c>
      <c r="C13">
        <f>(F6/20)</f>
        <v>45</v>
      </c>
      <c r="J13" t="s">
        <v>38</v>
      </c>
      <c r="K13" t="s">
        <v>23</v>
      </c>
      <c r="L13">
        <f>B18+6.53746</f>
        <v>6.6015407265388495</v>
      </c>
    </row>
    <row r="14" spans="1:12" ht="12.75">
      <c r="A14" t="s">
        <v>8</v>
      </c>
      <c r="B14">
        <f>B12*B13</f>
        <v>3.7799999999999883</v>
      </c>
      <c r="C14">
        <f>C12*C13</f>
        <v>1.1339999999999995</v>
      </c>
      <c r="J14" t="s">
        <v>39</v>
      </c>
      <c r="K14" t="s">
        <v>22</v>
      </c>
      <c r="L14">
        <f>B31+1.49574</f>
        <v>2.2807289001009052</v>
      </c>
    </row>
    <row r="15" spans="1:12" ht="12.75">
      <c r="A15" t="s">
        <v>9</v>
      </c>
      <c r="B15">
        <f>B14-C14</f>
        <v>2.645999999999989</v>
      </c>
      <c r="J15" t="s">
        <v>40</v>
      </c>
      <c r="K15" t="s">
        <v>24</v>
      </c>
      <c r="L15">
        <f>C31</f>
        <v>0.3070534813319865</v>
      </c>
    </row>
    <row r="16" spans="10:12" ht="12.75">
      <c r="J16" t="s">
        <v>41</v>
      </c>
      <c r="K16" t="s">
        <v>25</v>
      </c>
      <c r="L16">
        <f>D31</f>
        <v>0.2403027245206852</v>
      </c>
    </row>
    <row r="17" spans="10:12" ht="12.75">
      <c r="J17" t="s">
        <v>42</v>
      </c>
      <c r="K17" t="s">
        <v>26</v>
      </c>
      <c r="L17">
        <f>E31</f>
        <v>0.22428254288597266</v>
      </c>
    </row>
    <row r="18" spans="1:12" ht="12.75">
      <c r="A18" t="s">
        <v>58</v>
      </c>
      <c r="B18">
        <f>((G20-B28)/G20)*B15</f>
        <v>0.06408072653884915</v>
      </c>
      <c r="J18" t="s">
        <v>43</v>
      </c>
      <c r="K18" t="s">
        <v>27</v>
      </c>
      <c r="L18">
        <f>F31</f>
        <v>0.21627245206861667</v>
      </c>
    </row>
    <row r="19" spans="7:12" ht="12.75">
      <c r="G19" t="s">
        <v>57</v>
      </c>
      <c r="J19" t="s">
        <v>44</v>
      </c>
      <c r="K19" t="s">
        <v>28</v>
      </c>
      <c r="L19">
        <f>G31</f>
        <v>0.1441816347124112</v>
      </c>
    </row>
    <row r="20" spans="7:12" ht="12.75">
      <c r="G20">
        <v>99.1</v>
      </c>
      <c r="H20" t="s">
        <v>56</v>
      </c>
      <c r="J20" t="s">
        <v>45</v>
      </c>
      <c r="K20" t="s">
        <v>29</v>
      </c>
      <c r="L20">
        <f>H31+C14</f>
        <v>1.7988375378405617</v>
      </c>
    </row>
    <row r="22" spans="10:12" ht="15">
      <c r="J22" s="3" t="s">
        <v>46</v>
      </c>
      <c r="K22" s="3"/>
      <c r="L22" s="3">
        <f>SUM(L5:L20)</f>
        <v>12.617349999999991</v>
      </c>
    </row>
    <row r="26" spans="1:8" ht="12.75">
      <c r="A26" t="s">
        <v>53</v>
      </c>
      <c r="B26">
        <v>62</v>
      </c>
      <c r="C26">
        <v>31</v>
      </c>
      <c r="D26">
        <v>16</v>
      </c>
      <c r="E26">
        <v>8</v>
      </c>
      <c r="F26">
        <v>4</v>
      </c>
      <c r="G26">
        <v>2</v>
      </c>
      <c r="H26">
        <v>1</v>
      </c>
    </row>
    <row r="28" spans="1:8" ht="12.75">
      <c r="A28" t="s">
        <v>47</v>
      </c>
      <c r="B28">
        <v>96.7</v>
      </c>
      <c r="C28">
        <v>67.3</v>
      </c>
      <c r="D28">
        <v>55.8</v>
      </c>
      <c r="E28">
        <v>46.8</v>
      </c>
      <c r="F28">
        <v>38.4</v>
      </c>
      <c r="G28">
        <v>30.3</v>
      </c>
      <c r="H28">
        <v>24.9</v>
      </c>
    </row>
    <row r="29" spans="1:8" ht="12.75">
      <c r="A29" t="s">
        <v>48</v>
      </c>
      <c r="B29">
        <f>(B28/G20)*100</f>
        <v>97.5782038345106</v>
      </c>
      <c r="C29">
        <f>(C28/G20)*100</f>
        <v>67.91120080726539</v>
      </c>
      <c r="D29">
        <f>(D28/G20)*100</f>
        <v>56.30676084762866</v>
      </c>
      <c r="E29">
        <f>(E28/G20)*100</f>
        <v>47.22502522704339</v>
      </c>
      <c r="F29">
        <f>(F28/G20)*100</f>
        <v>38.74873864783048</v>
      </c>
      <c r="G29">
        <f>(G28/G20)*100</f>
        <v>30.575176589303737</v>
      </c>
      <c r="H29">
        <f>(H28/G20)*100</f>
        <v>25.126135216952573</v>
      </c>
    </row>
    <row r="30" spans="1:8" ht="12.75">
      <c r="A30" t="s">
        <v>49</v>
      </c>
      <c r="B30">
        <f aca="true" t="shared" si="0" ref="B30:G30">B29-C29</f>
        <v>29.667003027245215</v>
      </c>
      <c r="C30">
        <f t="shared" si="0"/>
        <v>11.604439959636728</v>
      </c>
      <c r="D30">
        <f t="shared" si="0"/>
        <v>9.08173562058527</v>
      </c>
      <c r="E30">
        <f t="shared" si="0"/>
        <v>8.47628657921291</v>
      </c>
      <c r="F30">
        <f t="shared" si="0"/>
        <v>8.173562058526741</v>
      </c>
      <c r="G30">
        <f t="shared" si="0"/>
        <v>5.449041372351164</v>
      </c>
      <c r="H30">
        <f>H29</f>
        <v>25.126135216952573</v>
      </c>
    </row>
    <row r="31" spans="1:8" ht="12.75">
      <c r="A31" t="s">
        <v>50</v>
      </c>
      <c r="B31">
        <f>B15*(B30/100)</f>
        <v>0.784988900100905</v>
      </c>
      <c r="C31">
        <f>B15*(C30/100)</f>
        <v>0.3070534813319865</v>
      </c>
      <c r="D31">
        <f>B15*(D30/100)</f>
        <v>0.2403027245206852</v>
      </c>
      <c r="E31">
        <f>B15*(E30/100)</f>
        <v>0.22428254288597266</v>
      </c>
      <c r="F31">
        <f>B15*(F30/100)</f>
        <v>0.21627245206861667</v>
      </c>
      <c r="G31">
        <f>B15*(G30/100)</f>
        <v>0.1441816347124112</v>
      </c>
      <c r="H31">
        <f>B15*(H30/100)</f>
        <v>0.6648375378405622</v>
      </c>
    </row>
    <row r="33" spans="1:8" ht="12.75">
      <c r="A33" t="s">
        <v>51</v>
      </c>
      <c r="B33" t="s">
        <v>52</v>
      </c>
      <c r="C33" t="s">
        <v>24</v>
      </c>
      <c r="D33" t="s">
        <v>25</v>
      </c>
      <c r="E33" t="s">
        <v>26</v>
      </c>
      <c r="F33" t="s">
        <v>27</v>
      </c>
      <c r="G33" t="s">
        <v>28</v>
      </c>
      <c r="H33" t="s">
        <v>54</v>
      </c>
    </row>
  </sheetData>
  <printOptions gridLines="1" horizontalCentered="1"/>
  <pageMargins left="0.5" right="0.5" top="0.5" bottom="0.5" header="0.5" footer="0.5"/>
  <pageSetup fitToHeight="1" fitToWidth="1"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workbookViewId="0" topLeftCell="A1">
      <selection activeCell="F15" sqref="F15"/>
    </sheetView>
  </sheetViews>
  <sheetFormatPr defaultColWidth="9.140625" defaultRowHeight="12.75"/>
  <cols>
    <col min="1" max="1" width="15.57421875" style="0" customWidth="1"/>
    <col min="3" max="3" width="10.57421875" style="0" customWidth="1"/>
    <col min="4" max="4" width="6.8515625" style="0" customWidth="1"/>
    <col min="5" max="5" width="8.57421875" style="0" customWidth="1"/>
    <col min="6" max="7" width="6.8515625" style="0" customWidth="1"/>
    <col min="8" max="8" width="6.7109375" style="0" customWidth="1"/>
    <col min="9" max="9" width="4.421875" style="0" customWidth="1"/>
    <col min="10" max="10" width="12.421875" style="0" customWidth="1"/>
    <col min="11" max="11" width="15.8515625" style="0" customWidth="1"/>
    <col min="12" max="12" width="14.00390625" style="0" customWidth="1"/>
  </cols>
  <sheetData>
    <row r="1" spans="1:3" ht="20.25">
      <c r="A1" s="2" t="s">
        <v>0</v>
      </c>
      <c r="B1" s="2"/>
      <c r="C1" s="2"/>
    </row>
    <row r="2" spans="1:4" ht="15">
      <c r="A2" s="3" t="s">
        <v>62</v>
      </c>
      <c r="B2" s="3">
        <v>100140</v>
      </c>
      <c r="C2" s="3"/>
      <c r="D2" s="3"/>
    </row>
    <row r="3" spans="1:3" ht="20.25">
      <c r="A3" s="2"/>
      <c r="B3" s="2"/>
      <c r="C3" s="2"/>
    </row>
    <row r="4" spans="5:12" ht="12.75">
      <c r="E4" t="s">
        <v>60</v>
      </c>
      <c r="H4">
        <v>0.84036</v>
      </c>
      <c r="J4" t="s">
        <v>12</v>
      </c>
      <c r="K4" t="s">
        <v>13</v>
      </c>
      <c r="L4" t="s">
        <v>59</v>
      </c>
    </row>
    <row r="5" spans="10:12" ht="12.75">
      <c r="J5" t="s">
        <v>30</v>
      </c>
      <c r="K5" t="s">
        <v>14</v>
      </c>
      <c r="L5">
        <v>0</v>
      </c>
    </row>
    <row r="6" spans="1:12" ht="12.75">
      <c r="A6" t="s">
        <v>1</v>
      </c>
      <c r="B6" t="s">
        <v>10</v>
      </c>
      <c r="C6" t="s">
        <v>11</v>
      </c>
      <c r="D6" t="s">
        <v>61</v>
      </c>
      <c r="F6">
        <v>920</v>
      </c>
      <c r="J6" t="s">
        <v>31</v>
      </c>
      <c r="K6" t="s">
        <v>15</v>
      </c>
      <c r="L6">
        <v>0</v>
      </c>
    </row>
    <row r="7" spans="1:12" ht="12.75">
      <c r="A7" t="s">
        <v>2</v>
      </c>
      <c r="J7" s="1" t="s">
        <v>32</v>
      </c>
      <c r="K7" t="s">
        <v>16</v>
      </c>
      <c r="L7">
        <v>0</v>
      </c>
    </row>
    <row r="8" spans="1:12" ht="12.75">
      <c r="A8" t="s">
        <v>3</v>
      </c>
      <c r="B8">
        <v>30.0335</v>
      </c>
      <c r="C8">
        <v>30.7305</v>
      </c>
      <c r="J8" s="1" t="s">
        <v>33</v>
      </c>
      <c r="K8" t="s">
        <v>17</v>
      </c>
      <c r="L8">
        <v>0</v>
      </c>
    </row>
    <row r="9" spans="1:12" ht="12.75">
      <c r="A9" t="s">
        <v>4</v>
      </c>
      <c r="B9">
        <v>29.7772</v>
      </c>
      <c r="C9">
        <v>30.5608</v>
      </c>
      <c r="J9" t="s">
        <v>34</v>
      </c>
      <c r="K9" t="s">
        <v>18</v>
      </c>
      <c r="L9">
        <v>0.00016</v>
      </c>
    </row>
    <row r="10" spans="1:12" ht="12.75">
      <c r="A10" t="s">
        <v>5</v>
      </c>
      <c r="B10">
        <f>B8-B9</f>
        <v>0.25629999999999953</v>
      </c>
      <c r="C10">
        <f>C8-C9</f>
        <v>0.16969999999999885</v>
      </c>
      <c r="J10" t="s">
        <v>35</v>
      </c>
      <c r="K10" t="s">
        <v>19</v>
      </c>
      <c r="L10">
        <v>0.0016</v>
      </c>
    </row>
    <row r="11" spans="1:12" ht="12.75">
      <c r="A11" t="s">
        <v>55</v>
      </c>
      <c r="B11">
        <v>0.1181</v>
      </c>
      <c r="C11">
        <v>0.1181</v>
      </c>
      <c r="J11" t="s">
        <v>36</v>
      </c>
      <c r="K11" t="s">
        <v>20</v>
      </c>
      <c r="L11">
        <v>0.01819</v>
      </c>
    </row>
    <row r="12" spans="1:12" ht="12.75">
      <c r="A12" t="s">
        <v>6</v>
      </c>
      <c r="B12">
        <f>B10-B11</f>
        <v>0.13819999999999955</v>
      </c>
      <c r="C12">
        <f>C10-C11</f>
        <v>0.051599999999998855</v>
      </c>
      <c r="J12" t="s">
        <v>37</v>
      </c>
      <c r="K12" t="s">
        <v>21</v>
      </c>
      <c r="L12">
        <v>0.40664</v>
      </c>
    </row>
    <row r="13" spans="1:12" ht="12.75">
      <c r="A13" t="s">
        <v>7</v>
      </c>
      <c r="B13">
        <v>50</v>
      </c>
      <c r="C13">
        <f>(F6/20)</f>
        <v>46</v>
      </c>
      <c r="J13" t="s">
        <v>38</v>
      </c>
      <c r="K13" t="s">
        <v>23</v>
      </c>
      <c r="L13">
        <f>B18+0.37898</f>
        <v>0.40695368961973266</v>
      </c>
    </row>
    <row r="14" spans="1:12" ht="12.75">
      <c r="A14" t="s">
        <v>8</v>
      </c>
      <c r="B14">
        <f>B12*B13</f>
        <v>6.909999999999977</v>
      </c>
      <c r="C14">
        <f>C12*C13</f>
        <v>2.3735999999999473</v>
      </c>
      <c r="J14" t="s">
        <v>39</v>
      </c>
      <c r="K14" t="s">
        <v>22</v>
      </c>
      <c r="L14">
        <f>B31+0.02089</f>
        <v>0.9020612230215886</v>
      </c>
    </row>
    <row r="15" spans="1:12" ht="12.75">
      <c r="A15" t="s">
        <v>9</v>
      </c>
      <c r="B15">
        <f>B14-C14</f>
        <v>4.53640000000003</v>
      </c>
      <c r="J15" t="s">
        <v>40</v>
      </c>
      <c r="K15" t="s">
        <v>24</v>
      </c>
      <c r="L15">
        <f>C31</f>
        <v>0.8811712230215887</v>
      </c>
    </row>
    <row r="16" spans="10:12" ht="12.75">
      <c r="J16" t="s">
        <v>41</v>
      </c>
      <c r="K16" t="s">
        <v>25</v>
      </c>
      <c r="L16">
        <f>D31</f>
        <v>0.5641360739979482</v>
      </c>
    </row>
    <row r="17" spans="10:12" ht="12.75">
      <c r="J17" t="s">
        <v>42</v>
      </c>
      <c r="K17" t="s">
        <v>26</v>
      </c>
      <c r="L17">
        <f>E31</f>
        <v>0.44757903391572723</v>
      </c>
    </row>
    <row r="18" spans="1:12" ht="12.75">
      <c r="A18" t="s">
        <v>58</v>
      </c>
      <c r="B18">
        <f>((G20-B28)/G20)*B15</f>
        <v>0.027973689619732702</v>
      </c>
      <c r="J18" t="s">
        <v>43</v>
      </c>
      <c r="K18" t="s">
        <v>27</v>
      </c>
      <c r="L18">
        <f>F31</f>
        <v>0.4149430626927059</v>
      </c>
    </row>
    <row r="19" spans="7:12" ht="12.75">
      <c r="G19" t="s">
        <v>57</v>
      </c>
      <c r="J19" t="s">
        <v>44</v>
      </c>
      <c r="K19" t="s">
        <v>28</v>
      </c>
      <c r="L19">
        <f>G31</f>
        <v>0.40095621788283925</v>
      </c>
    </row>
    <row r="20" spans="7:12" ht="12.75">
      <c r="G20">
        <v>97.3</v>
      </c>
      <c r="H20" t="s">
        <v>56</v>
      </c>
      <c r="J20" t="s">
        <v>45</v>
      </c>
      <c r="K20" t="s">
        <v>29</v>
      </c>
      <c r="L20">
        <f>H31+C14</f>
        <v>3.2920694758478466</v>
      </c>
    </row>
    <row r="22" spans="10:12" ht="15">
      <c r="J22" s="3" t="s">
        <v>46</v>
      </c>
      <c r="K22" s="3"/>
      <c r="L22" s="3">
        <f>SUM(L5:L20)</f>
        <v>7.736459999999978</v>
      </c>
    </row>
    <row r="26" spans="1:8" ht="12.75">
      <c r="A26" t="s">
        <v>53</v>
      </c>
      <c r="B26">
        <v>62</v>
      </c>
      <c r="C26">
        <v>31</v>
      </c>
      <c r="D26">
        <v>16</v>
      </c>
      <c r="E26">
        <v>8</v>
      </c>
      <c r="F26">
        <v>4</v>
      </c>
      <c r="G26">
        <v>2</v>
      </c>
      <c r="H26">
        <v>1</v>
      </c>
    </row>
    <row r="28" spans="1:8" ht="12.75">
      <c r="A28" t="s">
        <v>47</v>
      </c>
      <c r="B28">
        <v>96.7</v>
      </c>
      <c r="C28">
        <v>77.8</v>
      </c>
      <c r="D28">
        <v>58.9</v>
      </c>
      <c r="E28">
        <v>46.8</v>
      </c>
      <c r="F28">
        <v>37.2</v>
      </c>
      <c r="G28">
        <v>28.3</v>
      </c>
      <c r="H28">
        <v>19.7</v>
      </c>
    </row>
    <row r="29" spans="1:8" ht="12.75">
      <c r="A29" t="s">
        <v>48</v>
      </c>
      <c r="B29">
        <f>(B28/G20)*100</f>
        <v>99.38335046248716</v>
      </c>
      <c r="C29">
        <f>(C28/G20)*100</f>
        <v>79.95889003083248</v>
      </c>
      <c r="D29">
        <f>(D28/G20)*100</f>
        <v>60.5344295991778</v>
      </c>
      <c r="E29">
        <f>(E28/G20)*100</f>
        <v>48.098663926002054</v>
      </c>
      <c r="F29">
        <f>(F28/G20)*100</f>
        <v>38.23227132579651</v>
      </c>
      <c r="G29">
        <f>(G28/G20)*100</f>
        <v>29.08530318602261</v>
      </c>
      <c r="H29">
        <f>(H28/G20)*100</f>
        <v>20.24665981500514</v>
      </c>
    </row>
    <row r="30" spans="1:8" ht="12.75">
      <c r="A30" t="s">
        <v>49</v>
      </c>
      <c r="B30">
        <f aca="true" t="shared" si="0" ref="B30:G30">B29-C29</f>
        <v>19.42446043165468</v>
      </c>
      <c r="C30">
        <f t="shared" si="0"/>
        <v>19.42446043165468</v>
      </c>
      <c r="D30">
        <f t="shared" si="0"/>
        <v>12.435765673175744</v>
      </c>
      <c r="E30">
        <f t="shared" si="0"/>
        <v>9.866392600205543</v>
      </c>
      <c r="F30">
        <f t="shared" si="0"/>
        <v>9.1469681397739</v>
      </c>
      <c r="G30">
        <f t="shared" si="0"/>
        <v>8.838643371017472</v>
      </c>
      <c r="H30">
        <f>H29</f>
        <v>20.24665981500514</v>
      </c>
    </row>
    <row r="31" spans="1:8" ht="12.75">
      <c r="A31" t="s">
        <v>50</v>
      </c>
      <c r="B31">
        <f>B15*(B30/100)</f>
        <v>0.8811712230215887</v>
      </c>
      <c r="C31">
        <f>B15*(C30/100)</f>
        <v>0.8811712230215887</v>
      </c>
      <c r="D31">
        <f>B15*(D30/100)</f>
        <v>0.5641360739979482</v>
      </c>
      <c r="E31">
        <f>B15*(E30/100)</f>
        <v>0.44757903391572723</v>
      </c>
      <c r="F31">
        <f>B15*(F30/100)</f>
        <v>0.4149430626927059</v>
      </c>
      <c r="G31">
        <f>B15*(G30/100)</f>
        <v>0.40095621788283925</v>
      </c>
      <c r="H31">
        <f>B15*(H30/100)</f>
        <v>0.9184694758478992</v>
      </c>
    </row>
    <row r="33" spans="1:8" ht="12.75">
      <c r="A33" t="s">
        <v>51</v>
      </c>
      <c r="B33" t="s">
        <v>52</v>
      </c>
      <c r="C33" t="s">
        <v>24</v>
      </c>
      <c r="D33" t="s">
        <v>25</v>
      </c>
      <c r="E33" t="s">
        <v>26</v>
      </c>
      <c r="F33" t="s">
        <v>27</v>
      </c>
      <c r="G33" t="s">
        <v>28</v>
      </c>
      <c r="H33" t="s">
        <v>54</v>
      </c>
    </row>
  </sheetData>
  <printOptions gridLines="1" horizontalCentered="1"/>
  <pageMargins left="0.5" right="0.5" top="0.5" bottom="0.5" header="0.5" footer="0.5"/>
  <pageSetup fitToHeight="1" fitToWidth="1"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workbookViewId="0" topLeftCell="A1">
      <selection activeCell="F15" sqref="F15"/>
    </sheetView>
  </sheetViews>
  <sheetFormatPr defaultColWidth="9.140625" defaultRowHeight="12.75"/>
  <cols>
    <col min="1" max="1" width="15.57421875" style="0" customWidth="1"/>
    <col min="3" max="3" width="10.57421875" style="0" customWidth="1"/>
    <col min="4" max="4" width="6.8515625" style="0" customWidth="1"/>
    <col min="5" max="5" width="8.57421875" style="0" customWidth="1"/>
    <col min="6" max="7" width="6.8515625" style="0" customWidth="1"/>
    <col min="8" max="8" width="6.7109375" style="0" customWidth="1"/>
    <col min="9" max="9" width="4.421875" style="0" customWidth="1"/>
    <col min="10" max="10" width="12.421875" style="0" customWidth="1"/>
    <col min="11" max="11" width="15.8515625" style="0" customWidth="1"/>
    <col min="12" max="12" width="14.00390625" style="0" customWidth="1"/>
  </cols>
  <sheetData>
    <row r="1" spans="1:3" ht="20.25">
      <c r="A1" s="2" t="s">
        <v>0</v>
      </c>
      <c r="B1" s="2"/>
      <c r="C1" s="2"/>
    </row>
    <row r="2" spans="1:4" ht="15">
      <c r="A2" s="3" t="s">
        <v>62</v>
      </c>
      <c r="B2" s="3">
        <v>100141</v>
      </c>
      <c r="C2" s="3"/>
      <c r="D2" s="3"/>
    </row>
    <row r="3" spans="1:3" ht="20.25">
      <c r="A3" s="2"/>
      <c r="B3" s="2"/>
      <c r="C3" s="2"/>
    </row>
    <row r="4" spans="5:12" ht="12.75">
      <c r="E4" t="s">
        <v>60</v>
      </c>
      <c r="H4">
        <v>0.14464</v>
      </c>
      <c r="J4" t="s">
        <v>12</v>
      </c>
      <c r="K4" t="s">
        <v>13</v>
      </c>
      <c r="L4" t="s">
        <v>59</v>
      </c>
    </row>
    <row r="5" spans="10:12" ht="12.75">
      <c r="J5" t="s">
        <v>30</v>
      </c>
      <c r="K5" t="s">
        <v>14</v>
      </c>
      <c r="L5">
        <v>0</v>
      </c>
    </row>
    <row r="6" spans="1:12" ht="12.75">
      <c r="A6" t="s">
        <v>1</v>
      </c>
      <c r="B6" t="s">
        <v>10</v>
      </c>
      <c r="C6" t="s">
        <v>11</v>
      </c>
      <c r="D6" t="s">
        <v>61</v>
      </c>
      <c r="F6">
        <v>910</v>
      </c>
      <c r="J6" t="s">
        <v>31</v>
      </c>
      <c r="K6" t="s">
        <v>15</v>
      </c>
      <c r="L6">
        <v>0</v>
      </c>
    </row>
    <row r="7" spans="1:12" ht="12.75">
      <c r="A7" t="s">
        <v>2</v>
      </c>
      <c r="J7" s="1" t="s">
        <v>32</v>
      </c>
      <c r="K7" t="s">
        <v>16</v>
      </c>
      <c r="L7">
        <v>0</v>
      </c>
    </row>
    <row r="8" spans="1:12" ht="12.75">
      <c r="A8" t="s">
        <v>3</v>
      </c>
      <c r="B8">
        <v>30.8813</v>
      </c>
      <c r="C8">
        <v>31.1023</v>
      </c>
      <c r="J8" s="1" t="s">
        <v>33</v>
      </c>
      <c r="K8" t="s">
        <v>17</v>
      </c>
      <c r="L8">
        <v>0</v>
      </c>
    </row>
    <row r="9" spans="1:12" ht="12.75">
      <c r="A9" t="s">
        <v>4</v>
      </c>
      <c r="B9">
        <v>30.6034</v>
      </c>
      <c r="C9">
        <v>30.9163</v>
      </c>
      <c r="J9" t="s">
        <v>34</v>
      </c>
      <c r="K9" t="s">
        <v>18</v>
      </c>
      <c r="L9">
        <v>0</v>
      </c>
    </row>
    <row r="10" spans="1:12" ht="12.75">
      <c r="A10" t="s">
        <v>5</v>
      </c>
      <c r="B10">
        <f>B8-B9</f>
        <v>0.2778999999999989</v>
      </c>
      <c r="C10">
        <f>C8-C9</f>
        <v>0.18599999999999994</v>
      </c>
      <c r="J10" t="s">
        <v>35</v>
      </c>
      <c r="K10" t="s">
        <v>19</v>
      </c>
      <c r="L10">
        <v>0</v>
      </c>
    </row>
    <row r="11" spans="1:12" ht="12.75">
      <c r="A11" t="s">
        <v>55</v>
      </c>
      <c r="B11">
        <v>0.1181</v>
      </c>
      <c r="C11">
        <v>0.1181</v>
      </c>
      <c r="J11" t="s">
        <v>36</v>
      </c>
      <c r="K11" t="s">
        <v>20</v>
      </c>
      <c r="L11">
        <v>0.00135</v>
      </c>
    </row>
    <row r="12" spans="1:12" ht="12.75">
      <c r="A12" t="s">
        <v>6</v>
      </c>
      <c r="B12">
        <f>B10-B11</f>
        <v>0.15979999999999894</v>
      </c>
      <c r="C12">
        <f>C10-C11</f>
        <v>0.06789999999999995</v>
      </c>
      <c r="J12" t="s">
        <v>37</v>
      </c>
      <c r="K12" t="s">
        <v>21</v>
      </c>
      <c r="L12">
        <v>0.01236</v>
      </c>
    </row>
    <row r="13" spans="1:12" ht="12.75">
      <c r="A13" t="s">
        <v>7</v>
      </c>
      <c r="B13">
        <v>50</v>
      </c>
      <c r="C13">
        <f>(F6/20)</f>
        <v>45.5</v>
      </c>
      <c r="J13" t="s">
        <v>38</v>
      </c>
      <c r="K13" t="s">
        <v>23</v>
      </c>
      <c r="L13">
        <f>B18+0.0924</f>
        <v>0.11208092369477848</v>
      </c>
    </row>
    <row r="14" spans="1:12" ht="12.75">
      <c r="A14" t="s">
        <v>8</v>
      </c>
      <c r="B14">
        <f>B12*B13</f>
        <v>7.989999999999947</v>
      </c>
      <c r="C14">
        <f>C12*C13</f>
        <v>3.0894499999999976</v>
      </c>
      <c r="J14" t="s">
        <v>39</v>
      </c>
      <c r="K14" t="s">
        <v>22</v>
      </c>
      <c r="L14">
        <f>B31+0.03574</f>
        <v>0.4687203212851359</v>
      </c>
    </row>
    <row r="15" spans="1:12" ht="12.75">
      <c r="A15" t="s">
        <v>9</v>
      </c>
      <c r="B15">
        <f>B14-C14</f>
        <v>4.900549999999949</v>
      </c>
      <c r="J15" t="s">
        <v>40</v>
      </c>
      <c r="K15" t="s">
        <v>24</v>
      </c>
      <c r="L15">
        <f>C31</f>
        <v>0.6593109437750932</v>
      </c>
    </row>
    <row r="16" spans="10:12" ht="12.75">
      <c r="J16" t="s">
        <v>41</v>
      </c>
      <c r="K16" t="s">
        <v>25</v>
      </c>
      <c r="L16">
        <f>D31</f>
        <v>0.7035930220883465</v>
      </c>
    </row>
    <row r="17" spans="10:12" ht="12.75">
      <c r="J17" t="s">
        <v>42</v>
      </c>
      <c r="K17" t="s">
        <v>26</v>
      </c>
      <c r="L17">
        <f>E31</f>
        <v>0.5658265562248938</v>
      </c>
    </row>
    <row r="18" spans="1:12" ht="12.75">
      <c r="A18" t="s">
        <v>58</v>
      </c>
      <c r="B18">
        <f>((G20-B28)/G20)*B15</f>
        <v>0.019680923694778495</v>
      </c>
      <c r="J18" t="s">
        <v>43</v>
      </c>
      <c r="K18" t="s">
        <v>27</v>
      </c>
      <c r="L18">
        <f>F31</f>
        <v>0.5067837851405573</v>
      </c>
    </row>
    <row r="19" spans="7:12" ht="12.75">
      <c r="G19" t="s">
        <v>57</v>
      </c>
      <c r="J19" t="s">
        <v>44</v>
      </c>
      <c r="K19" t="s">
        <v>28</v>
      </c>
      <c r="L19">
        <f>G31</f>
        <v>0.47234216867469386</v>
      </c>
    </row>
    <row r="20" spans="7:12" ht="12.75">
      <c r="G20">
        <v>99.6</v>
      </c>
      <c r="H20" t="s">
        <v>56</v>
      </c>
      <c r="J20" t="s">
        <v>45</v>
      </c>
      <c r="K20" t="s">
        <v>29</v>
      </c>
      <c r="L20">
        <f>H31+C14</f>
        <v>4.629482279116448</v>
      </c>
    </row>
    <row r="22" spans="10:12" ht="15">
      <c r="J22" s="3" t="s">
        <v>46</v>
      </c>
      <c r="K22" s="3"/>
      <c r="L22" s="3">
        <f>SUM(L5:L20)</f>
        <v>8.131849999999947</v>
      </c>
    </row>
    <row r="26" spans="1:8" ht="12.75">
      <c r="A26" t="s">
        <v>53</v>
      </c>
      <c r="B26">
        <v>62</v>
      </c>
      <c r="C26">
        <v>31</v>
      </c>
      <c r="D26">
        <v>16</v>
      </c>
      <c r="E26">
        <v>8</v>
      </c>
      <c r="F26">
        <v>4</v>
      </c>
      <c r="G26">
        <v>2</v>
      </c>
      <c r="H26">
        <v>1</v>
      </c>
    </row>
    <row r="28" spans="1:8" ht="12.75">
      <c r="A28" t="s">
        <v>47</v>
      </c>
      <c r="B28">
        <v>99.2</v>
      </c>
      <c r="C28">
        <v>90.4</v>
      </c>
      <c r="D28">
        <v>77</v>
      </c>
      <c r="E28">
        <v>62.7</v>
      </c>
      <c r="F28">
        <v>51.2</v>
      </c>
      <c r="G28">
        <v>40.9</v>
      </c>
      <c r="H28">
        <v>31.3</v>
      </c>
    </row>
    <row r="29" spans="1:8" ht="12.75">
      <c r="A29" t="s">
        <v>48</v>
      </c>
      <c r="B29">
        <f>(B28/G20)*100</f>
        <v>99.59839357429719</v>
      </c>
      <c r="C29">
        <f>(C28/G20)*100</f>
        <v>90.76305220883535</v>
      </c>
      <c r="D29">
        <f>(D28/G20)*100</f>
        <v>77.30923694779118</v>
      </c>
      <c r="E29">
        <f>(E28/G20)*100</f>
        <v>62.95180722891567</v>
      </c>
      <c r="F29">
        <f>(F28/G20)*100</f>
        <v>51.405622489959846</v>
      </c>
      <c r="G29">
        <f>(G28/G20)*100</f>
        <v>41.06425702811245</v>
      </c>
      <c r="H29">
        <f>(H28/G20)*100</f>
        <v>31.42570281124498</v>
      </c>
    </row>
    <row r="30" spans="1:8" ht="12.75">
      <c r="A30" t="s">
        <v>49</v>
      </c>
      <c r="B30">
        <f aca="true" t="shared" si="0" ref="B30:G30">B29-C29</f>
        <v>8.835341365461844</v>
      </c>
      <c r="C30">
        <f t="shared" si="0"/>
        <v>13.45381526104417</v>
      </c>
      <c r="D30">
        <f t="shared" si="0"/>
        <v>14.357429718875508</v>
      </c>
      <c r="E30">
        <f t="shared" si="0"/>
        <v>11.546184738955823</v>
      </c>
      <c r="F30">
        <f t="shared" si="0"/>
        <v>10.341365461847396</v>
      </c>
      <c r="G30">
        <f t="shared" si="0"/>
        <v>9.638554216867469</v>
      </c>
      <c r="H30">
        <f>H29</f>
        <v>31.42570281124498</v>
      </c>
    </row>
    <row r="31" spans="1:8" ht="12.75">
      <c r="A31" t="s">
        <v>50</v>
      </c>
      <c r="B31">
        <f>B15*(B30/100)</f>
        <v>0.4329803212851359</v>
      </c>
      <c r="C31">
        <f>B15*(C30/100)</f>
        <v>0.6593109437750932</v>
      </c>
      <c r="D31">
        <f>B15*(D30/100)</f>
        <v>0.7035930220883465</v>
      </c>
      <c r="E31">
        <f>B15*(E30/100)</f>
        <v>0.5658265562248938</v>
      </c>
      <c r="F31">
        <f>B15*(F30/100)</f>
        <v>0.5067837851405573</v>
      </c>
      <c r="G31">
        <f>B15*(G30/100)</f>
        <v>0.47234216867469386</v>
      </c>
      <c r="H31">
        <f>B15*(H30/100)</f>
        <v>1.54003227911645</v>
      </c>
    </row>
    <row r="33" spans="1:8" ht="12.75">
      <c r="A33" t="s">
        <v>51</v>
      </c>
      <c r="B33" t="s">
        <v>52</v>
      </c>
      <c r="C33" t="s">
        <v>24</v>
      </c>
      <c r="D33" t="s">
        <v>25</v>
      </c>
      <c r="E33" t="s">
        <v>26</v>
      </c>
      <c r="F33" t="s">
        <v>27</v>
      </c>
      <c r="G33" t="s">
        <v>28</v>
      </c>
      <c r="H33" t="s">
        <v>54</v>
      </c>
    </row>
  </sheetData>
  <printOptions gridLines="1" horizontalCentered="1"/>
  <pageMargins left="0.5" right="0.5" top="0.5" bottom="0.5" header="0.5" footer="0.5"/>
  <pageSetup fitToHeight="1" fitToWidth="1" horizontalDpi="300" verticalDpi="3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workbookViewId="0" topLeftCell="A1">
      <selection activeCell="F15" sqref="F15"/>
    </sheetView>
  </sheetViews>
  <sheetFormatPr defaultColWidth="9.140625" defaultRowHeight="12.75"/>
  <cols>
    <col min="1" max="1" width="15.57421875" style="0" customWidth="1"/>
    <col min="3" max="3" width="10.57421875" style="0" customWidth="1"/>
    <col min="4" max="4" width="6.8515625" style="0" customWidth="1"/>
    <col min="5" max="5" width="8.57421875" style="0" customWidth="1"/>
    <col min="6" max="7" width="6.8515625" style="0" customWidth="1"/>
    <col min="8" max="8" width="6.7109375" style="0" customWidth="1"/>
    <col min="9" max="9" width="4.421875" style="0" customWidth="1"/>
    <col min="10" max="10" width="12.421875" style="0" customWidth="1"/>
    <col min="11" max="11" width="15.8515625" style="0" customWidth="1"/>
    <col min="12" max="12" width="14.00390625" style="0" customWidth="1"/>
  </cols>
  <sheetData>
    <row r="1" spans="1:3" ht="20.25">
      <c r="A1" s="2" t="s">
        <v>0</v>
      </c>
      <c r="B1" s="2"/>
      <c r="C1" s="2"/>
    </row>
    <row r="2" spans="1:4" ht="15">
      <c r="A2" s="3" t="s">
        <v>62</v>
      </c>
      <c r="B2" s="3">
        <v>100142</v>
      </c>
      <c r="C2" s="3"/>
      <c r="D2" s="3"/>
    </row>
    <row r="3" spans="1:3" ht="20.25">
      <c r="A3" s="2"/>
      <c r="B3" s="2"/>
      <c r="C3" s="2"/>
    </row>
    <row r="4" spans="5:12" ht="12.75">
      <c r="E4" t="s">
        <v>60</v>
      </c>
      <c r="H4">
        <v>0.27592</v>
      </c>
      <c r="J4" t="s">
        <v>12</v>
      </c>
      <c r="K4" t="s">
        <v>13</v>
      </c>
      <c r="L4" t="s">
        <v>59</v>
      </c>
    </row>
    <row r="5" spans="10:12" ht="12.75">
      <c r="J5" t="s">
        <v>30</v>
      </c>
      <c r="K5" t="s">
        <v>14</v>
      </c>
      <c r="L5">
        <v>0</v>
      </c>
    </row>
    <row r="6" spans="1:12" ht="12.75">
      <c r="A6" t="s">
        <v>1</v>
      </c>
      <c r="B6" t="s">
        <v>10</v>
      </c>
      <c r="C6" t="s">
        <v>11</v>
      </c>
      <c r="D6" t="s">
        <v>61</v>
      </c>
      <c r="F6">
        <v>910</v>
      </c>
      <c r="J6" t="s">
        <v>31</v>
      </c>
      <c r="K6" t="s">
        <v>15</v>
      </c>
      <c r="L6">
        <v>0</v>
      </c>
    </row>
    <row r="7" spans="1:12" ht="12.75">
      <c r="A7" t="s">
        <v>2</v>
      </c>
      <c r="J7" s="1" t="s">
        <v>32</v>
      </c>
      <c r="K7" t="s">
        <v>16</v>
      </c>
      <c r="L7">
        <v>0</v>
      </c>
    </row>
    <row r="8" spans="1:12" ht="12.75">
      <c r="A8" t="s">
        <v>3</v>
      </c>
      <c r="B8">
        <v>29.8146</v>
      </c>
      <c r="C8">
        <v>30.7892</v>
      </c>
      <c r="J8" s="1" t="s">
        <v>33</v>
      </c>
      <c r="K8" t="s">
        <v>17</v>
      </c>
      <c r="L8">
        <v>0</v>
      </c>
    </row>
    <row r="9" spans="1:12" ht="12.75">
      <c r="A9" t="s">
        <v>4</v>
      </c>
      <c r="B9">
        <v>29.5105</v>
      </c>
      <c r="C9">
        <v>30.5941</v>
      </c>
      <c r="J9" t="s">
        <v>34</v>
      </c>
      <c r="K9" t="s">
        <v>18</v>
      </c>
      <c r="L9">
        <v>0</v>
      </c>
    </row>
    <row r="10" spans="1:12" ht="12.75">
      <c r="A10" t="s">
        <v>5</v>
      </c>
      <c r="B10">
        <f>B8-B9</f>
        <v>0.30409999999999826</v>
      </c>
      <c r="C10">
        <f>C8-C9</f>
        <v>0.19510000000000005</v>
      </c>
      <c r="J10" t="s">
        <v>35</v>
      </c>
      <c r="K10" t="s">
        <v>19</v>
      </c>
      <c r="L10">
        <v>0.00379</v>
      </c>
    </row>
    <row r="11" spans="1:12" ht="12.75">
      <c r="A11" t="s">
        <v>55</v>
      </c>
      <c r="B11">
        <v>0.1181</v>
      </c>
      <c r="C11">
        <v>0.1181</v>
      </c>
      <c r="J11" t="s">
        <v>36</v>
      </c>
      <c r="K11" t="s">
        <v>20</v>
      </c>
      <c r="L11">
        <v>0.0095</v>
      </c>
    </row>
    <row r="12" spans="1:12" ht="12.75">
      <c r="A12" t="s">
        <v>6</v>
      </c>
      <c r="B12">
        <f>B10-B11</f>
        <v>0.18599999999999828</v>
      </c>
      <c r="C12">
        <f>C10-C11</f>
        <v>0.07700000000000005</v>
      </c>
      <c r="J12" t="s">
        <v>37</v>
      </c>
      <c r="K12" t="s">
        <v>21</v>
      </c>
      <c r="L12">
        <v>0.02987</v>
      </c>
    </row>
    <row r="13" spans="1:12" ht="12.75">
      <c r="A13" t="s">
        <v>7</v>
      </c>
      <c r="B13">
        <v>50</v>
      </c>
      <c r="C13">
        <f>(F6/20)</f>
        <v>45.5</v>
      </c>
      <c r="J13" t="s">
        <v>38</v>
      </c>
      <c r="K13" t="s">
        <v>23</v>
      </c>
      <c r="L13">
        <f>B18+0.14074</f>
        <v>0.1583051515151511</v>
      </c>
    </row>
    <row r="14" spans="1:12" ht="12.75">
      <c r="A14" t="s">
        <v>8</v>
      </c>
      <c r="B14">
        <f>B12*B13</f>
        <v>9.299999999999914</v>
      </c>
      <c r="C14">
        <f>C12*C13</f>
        <v>3.5035000000000025</v>
      </c>
      <c r="J14" t="s">
        <v>39</v>
      </c>
      <c r="K14" t="s">
        <v>22</v>
      </c>
      <c r="L14">
        <f>B31+0.08732</f>
        <v>0.5440139393939314</v>
      </c>
    </row>
    <row r="15" spans="1:12" ht="12.75">
      <c r="A15" t="s">
        <v>9</v>
      </c>
      <c r="B15">
        <f>B14-C14</f>
        <v>5.796499999999911</v>
      </c>
      <c r="J15" t="s">
        <v>40</v>
      </c>
      <c r="K15" t="s">
        <v>24</v>
      </c>
      <c r="L15">
        <f>C31</f>
        <v>0.6733308080807979</v>
      </c>
    </row>
    <row r="16" spans="10:12" ht="12.75">
      <c r="J16" t="s">
        <v>41</v>
      </c>
      <c r="K16" t="s">
        <v>25</v>
      </c>
      <c r="L16">
        <f>D31</f>
        <v>0.7377363636363528</v>
      </c>
    </row>
    <row r="17" spans="10:12" ht="12.75">
      <c r="J17" t="s">
        <v>42</v>
      </c>
      <c r="K17" t="s">
        <v>26</v>
      </c>
      <c r="L17">
        <f>E31</f>
        <v>0.7026060606060496</v>
      </c>
    </row>
    <row r="18" spans="1:12" ht="12.75">
      <c r="A18" t="s">
        <v>58</v>
      </c>
      <c r="B18">
        <f>((G20-B28)/G20)*B15</f>
        <v>0.01756515151515108</v>
      </c>
      <c r="J18" t="s">
        <v>43</v>
      </c>
      <c r="K18" t="s">
        <v>27</v>
      </c>
      <c r="L18">
        <f>F31</f>
        <v>0.5679398989898904</v>
      </c>
    </row>
    <row r="19" spans="7:12" ht="12.75">
      <c r="G19" t="s">
        <v>57</v>
      </c>
      <c r="J19" t="s">
        <v>44</v>
      </c>
      <c r="K19" t="s">
        <v>28</v>
      </c>
      <c r="L19">
        <f>G31</f>
        <v>0.5855050505050416</v>
      </c>
    </row>
    <row r="20" spans="7:12" ht="12.75">
      <c r="G20">
        <v>99</v>
      </c>
      <c r="H20" t="s">
        <v>56</v>
      </c>
      <c r="J20" t="s">
        <v>45</v>
      </c>
      <c r="K20" t="s">
        <v>29</v>
      </c>
      <c r="L20">
        <f>H31+C14</f>
        <v>5.558622727272699</v>
      </c>
    </row>
    <row r="22" spans="10:12" ht="15">
      <c r="J22" s="3" t="s">
        <v>46</v>
      </c>
      <c r="K22" s="3"/>
      <c r="L22" s="3">
        <f>SUM(L5:L20)</f>
        <v>9.571219999999913</v>
      </c>
    </row>
    <row r="26" spans="1:8" ht="12.75">
      <c r="A26" t="s">
        <v>53</v>
      </c>
      <c r="B26">
        <v>62</v>
      </c>
      <c r="C26">
        <v>31</v>
      </c>
      <c r="D26">
        <v>16</v>
      </c>
      <c r="E26">
        <v>8</v>
      </c>
      <c r="F26">
        <v>4</v>
      </c>
      <c r="G26">
        <v>2</v>
      </c>
      <c r="H26">
        <v>1</v>
      </c>
    </row>
    <row r="28" spans="1:8" ht="12.75">
      <c r="A28" t="s">
        <v>47</v>
      </c>
      <c r="B28">
        <v>98.7</v>
      </c>
      <c r="C28">
        <v>90.9</v>
      </c>
      <c r="D28">
        <v>79.4</v>
      </c>
      <c r="E28">
        <v>66.8</v>
      </c>
      <c r="F28">
        <v>54.8</v>
      </c>
      <c r="G28">
        <v>45.1</v>
      </c>
      <c r="H28">
        <v>35.1</v>
      </c>
    </row>
    <row r="29" spans="1:8" ht="12.75">
      <c r="A29" t="s">
        <v>48</v>
      </c>
      <c r="B29">
        <f>(B28/G20)*100</f>
        <v>99.69696969696969</v>
      </c>
      <c r="C29">
        <f>(C28/G20)*100</f>
        <v>91.81818181818183</v>
      </c>
      <c r="D29">
        <f>(D28/G20)*100</f>
        <v>80.20202020202021</v>
      </c>
      <c r="E29">
        <f>(E28/G20)*100</f>
        <v>67.47474747474747</v>
      </c>
      <c r="F29">
        <f>(F28/G20)*100</f>
        <v>55.35353535353536</v>
      </c>
      <c r="G29">
        <f>(G28/G20)*100</f>
        <v>45.55555555555556</v>
      </c>
      <c r="H29">
        <f>(H28/G20)*100</f>
        <v>35.45454545454545</v>
      </c>
    </row>
    <row r="30" spans="1:8" ht="12.75">
      <c r="A30" t="s">
        <v>49</v>
      </c>
      <c r="B30">
        <f aca="true" t="shared" si="0" ref="B30:G30">B29-C29</f>
        <v>7.878787878787861</v>
      </c>
      <c r="C30">
        <f t="shared" si="0"/>
        <v>11.61616161616162</v>
      </c>
      <c r="D30">
        <f t="shared" si="0"/>
        <v>12.727272727272734</v>
      </c>
      <c r="E30">
        <f t="shared" si="0"/>
        <v>12.121212121212118</v>
      </c>
      <c r="F30">
        <f t="shared" si="0"/>
        <v>9.7979797979798</v>
      </c>
      <c r="G30">
        <f t="shared" si="0"/>
        <v>10.101010101010104</v>
      </c>
      <c r="H30">
        <f>H29</f>
        <v>35.45454545454545</v>
      </c>
    </row>
    <row r="31" spans="1:8" ht="12.75">
      <c r="A31" t="s">
        <v>50</v>
      </c>
      <c r="B31">
        <f>B15*(B30/100)</f>
        <v>0.4566939393939314</v>
      </c>
      <c r="C31">
        <f>B15*(C30/100)</f>
        <v>0.6733308080807979</v>
      </c>
      <c r="D31">
        <f>B15*(D30/100)</f>
        <v>0.7377363636363528</v>
      </c>
      <c r="E31">
        <f>B15*(E30/100)</f>
        <v>0.7026060606060496</v>
      </c>
      <c r="F31">
        <f>B15*(F30/100)</f>
        <v>0.5679398989898904</v>
      </c>
      <c r="G31">
        <f>B15*(G30/100)</f>
        <v>0.5855050505050416</v>
      </c>
      <c r="H31">
        <f>B15*(H30/100)</f>
        <v>2.0551227272726957</v>
      </c>
    </row>
    <row r="33" spans="1:8" ht="12.75">
      <c r="A33" t="s">
        <v>51</v>
      </c>
      <c r="B33" t="s">
        <v>52</v>
      </c>
      <c r="C33" t="s">
        <v>24</v>
      </c>
      <c r="D33" t="s">
        <v>25</v>
      </c>
      <c r="E33" t="s">
        <v>26</v>
      </c>
      <c r="F33" t="s">
        <v>27</v>
      </c>
      <c r="G33" t="s">
        <v>28</v>
      </c>
      <c r="H33" t="s">
        <v>54</v>
      </c>
    </row>
  </sheetData>
  <printOptions gridLines="1" horizontalCentered="1"/>
  <pageMargins left="0.5" right="0.5" top="0.5" bottom="0.5" header="0.5" footer="0.5"/>
  <pageSetup fitToHeight="1" fitToWidth="1"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workbookViewId="0" topLeftCell="A1">
      <selection activeCell="F15" sqref="F15"/>
    </sheetView>
  </sheetViews>
  <sheetFormatPr defaultColWidth="9.140625" defaultRowHeight="12.75"/>
  <cols>
    <col min="1" max="1" width="15.57421875" style="0" customWidth="1"/>
    <col min="3" max="3" width="10.57421875" style="0" customWidth="1"/>
    <col min="4" max="4" width="6.8515625" style="0" customWidth="1"/>
    <col min="5" max="5" width="8.57421875" style="0" customWidth="1"/>
    <col min="6" max="7" width="6.8515625" style="0" customWidth="1"/>
    <col min="8" max="8" width="6.7109375" style="0" customWidth="1"/>
    <col min="9" max="9" width="4.421875" style="0" customWidth="1"/>
    <col min="10" max="10" width="12.421875" style="0" customWidth="1"/>
    <col min="11" max="11" width="15.8515625" style="0" customWidth="1"/>
    <col min="12" max="12" width="14.00390625" style="0" customWidth="1"/>
  </cols>
  <sheetData>
    <row r="1" spans="1:3" ht="20.25">
      <c r="A1" s="2" t="s">
        <v>0</v>
      </c>
      <c r="B1" s="2"/>
      <c r="C1" s="2"/>
    </row>
    <row r="2" spans="1:4" ht="15">
      <c r="A2" s="3" t="s">
        <v>62</v>
      </c>
      <c r="B2" s="3">
        <v>100143</v>
      </c>
      <c r="C2" s="3"/>
      <c r="D2" s="3"/>
    </row>
    <row r="3" spans="1:3" ht="20.25">
      <c r="A3" s="2"/>
      <c r="B3" s="2"/>
      <c r="C3" s="2"/>
    </row>
    <row r="4" spans="5:12" ht="12.75">
      <c r="E4" t="s">
        <v>60</v>
      </c>
      <c r="H4">
        <v>1.49959</v>
      </c>
      <c r="J4" t="s">
        <v>12</v>
      </c>
      <c r="K4" t="s">
        <v>13</v>
      </c>
      <c r="L4" t="s">
        <v>59</v>
      </c>
    </row>
    <row r="5" spans="10:12" ht="12.75">
      <c r="J5" t="s">
        <v>30</v>
      </c>
      <c r="K5" t="s">
        <v>14</v>
      </c>
      <c r="L5">
        <v>0</v>
      </c>
    </row>
    <row r="6" spans="1:12" ht="12.75">
      <c r="A6" t="s">
        <v>1</v>
      </c>
      <c r="B6" t="s">
        <v>10</v>
      </c>
      <c r="C6" t="s">
        <v>11</v>
      </c>
      <c r="D6" t="s">
        <v>61</v>
      </c>
      <c r="F6">
        <v>910</v>
      </c>
      <c r="J6" t="s">
        <v>31</v>
      </c>
      <c r="K6" t="s">
        <v>15</v>
      </c>
      <c r="L6">
        <v>0</v>
      </c>
    </row>
    <row r="7" spans="1:12" ht="12.75">
      <c r="A7" t="s">
        <v>2</v>
      </c>
      <c r="J7" s="1" t="s">
        <v>32</v>
      </c>
      <c r="K7" t="s">
        <v>16</v>
      </c>
      <c r="L7">
        <v>0</v>
      </c>
    </row>
    <row r="8" spans="1:12" ht="12.75">
      <c r="A8" t="s">
        <v>3</v>
      </c>
      <c r="B8">
        <v>31.0847</v>
      </c>
      <c r="C8">
        <v>30.8011</v>
      </c>
      <c r="J8" s="1" t="s">
        <v>33</v>
      </c>
      <c r="K8" t="s">
        <v>17</v>
      </c>
      <c r="L8">
        <v>0</v>
      </c>
    </row>
    <row r="9" spans="1:12" ht="12.75">
      <c r="A9" t="s">
        <v>4</v>
      </c>
      <c r="B9">
        <v>30.7751</v>
      </c>
      <c r="C9">
        <v>30.6158</v>
      </c>
      <c r="J9" t="s">
        <v>34</v>
      </c>
      <c r="K9" t="s">
        <v>18</v>
      </c>
      <c r="L9">
        <v>0.00959</v>
      </c>
    </row>
    <row r="10" spans="1:12" ht="12.75">
      <c r="A10" t="s">
        <v>5</v>
      </c>
      <c r="B10">
        <f>B8-B9</f>
        <v>0.3096000000000032</v>
      </c>
      <c r="C10">
        <f>C8-C9</f>
        <v>0.18530000000000157</v>
      </c>
      <c r="J10" t="s">
        <v>35</v>
      </c>
      <c r="K10" t="s">
        <v>19</v>
      </c>
      <c r="L10">
        <v>0.00099</v>
      </c>
    </row>
    <row r="11" spans="1:12" ht="12.75">
      <c r="A11" t="s">
        <v>55</v>
      </c>
      <c r="B11">
        <v>0.1181</v>
      </c>
      <c r="C11">
        <v>0.1181</v>
      </c>
      <c r="J11" t="s">
        <v>36</v>
      </c>
      <c r="K11" t="s">
        <v>20</v>
      </c>
      <c r="L11">
        <v>0.064</v>
      </c>
    </row>
    <row r="12" spans="1:12" ht="12.75">
      <c r="A12" t="s">
        <v>6</v>
      </c>
      <c r="B12">
        <f>B10-B11</f>
        <v>0.19150000000000322</v>
      </c>
      <c r="C12">
        <f>C10-C11</f>
        <v>0.06720000000000158</v>
      </c>
      <c r="J12" t="s">
        <v>37</v>
      </c>
      <c r="K12" t="s">
        <v>21</v>
      </c>
      <c r="L12">
        <v>0.1555</v>
      </c>
    </row>
    <row r="13" spans="1:12" ht="12.75">
      <c r="A13" t="s">
        <v>7</v>
      </c>
      <c r="B13">
        <v>50</v>
      </c>
      <c r="C13">
        <f>(F6/20)</f>
        <v>45.5</v>
      </c>
      <c r="J13" t="s">
        <v>38</v>
      </c>
      <c r="K13" t="s">
        <v>23</v>
      </c>
      <c r="L13">
        <f>B18+0.78944</f>
        <v>0.8362315897435906</v>
      </c>
    </row>
    <row r="14" spans="1:12" ht="12.75">
      <c r="A14" t="s">
        <v>8</v>
      </c>
      <c r="B14">
        <f>B12*B13</f>
        <v>9.575000000000161</v>
      </c>
      <c r="C14">
        <f>C12*C13</f>
        <v>3.057600000000072</v>
      </c>
      <c r="J14" t="s">
        <v>39</v>
      </c>
      <c r="K14" t="s">
        <v>22</v>
      </c>
      <c r="L14">
        <f>B31+0.45349</f>
        <v>1.8171306153846327</v>
      </c>
    </row>
    <row r="15" spans="1:12" ht="12.75">
      <c r="A15" t="s">
        <v>9</v>
      </c>
      <c r="B15">
        <f>B14-C14</f>
        <v>6.517400000000089</v>
      </c>
      <c r="J15" t="s">
        <v>40</v>
      </c>
      <c r="K15" t="s">
        <v>24</v>
      </c>
      <c r="L15">
        <f>C31</f>
        <v>1.1898432820512987</v>
      </c>
    </row>
    <row r="16" spans="10:12" ht="12.75">
      <c r="J16" t="s">
        <v>41</v>
      </c>
      <c r="K16" t="s">
        <v>25</v>
      </c>
      <c r="L16">
        <f>D31</f>
        <v>0.7018738461538556</v>
      </c>
    </row>
    <row r="17" spans="10:12" ht="12.75">
      <c r="J17" t="s">
        <v>42</v>
      </c>
      <c r="K17" t="s">
        <v>26</v>
      </c>
      <c r="L17">
        <f>E31</f>
        <v>0.6283442051282139</v>
      </c>
    </row>
    <row r="18" spans="1:12" ht="12.75">
      <c r="A18" t="s">
        <v>58</v>
      </c>
      <c r="B18">
        <f>((G20-B28)/G20)*B15</f>
        <v>0.04679158974359057</v>
      </c>
      <c r="J18" t="s">
        <v>43</v>
      </c>
      <c r="K18" t="s">
        <v>27</v>
      </c>
      <c r="L18">
        <f>F31</f>
        <v>0.5481300512820589</v>
      </c>
    </row>
    <row r="19" spans="7:12" ht="12.75">
      <c r="G19" t="s">
        <v>57</v>
      </c>
      <c r="J19" t="s">
        <v>44</v>
      </c>
      <c r="K19" t="s">
        <v>28</v>
      </c>
      <c r="L19">
        <f>G31</f>
        <v>0.5013384615384684</v>
      </c>
    </row>
    <row r="20" spans="7:12" ht="12.75">
      <c r="G20">
        <v>97.5</v>
      </c>
      <c r="H20" t="s">
        <v>56</v>
      </c>
      <c r="J20" t="s">
        <v>45</v>
      </c>
      <c r="K20" t="s">
        <v>29</v>
      </c>
      <c r="L20">
        <f>H31+C14</f>
        <v>4.5950379487180415</v>
      </c>
    </row>
    <row r="22" spans="10:12" ht="15">
      <c r="J22" s="3" t="s">
        <v>46</v>
      </c>
      <c r="K22" s="3"/>
      <c r="L22" s="3">
        <f>SUM(L5:L20)</f>
        <v>11.048010000000161</v>
      </c>
    </row>
    <row r="26" spans="1:8" ht="12.75">
      <c r="A26" t="s">
        <v>53</v>
      </c>
      <c r="B26">
        <v>62</v>
      </c>
      <c r="C26">
        <v>31</v>
      </c>
      <c r="D26">
        <v>16</v>
      </c>
      <c r="E26">
        <v>8</v>
      </c>
      <c r="F26">
        <v>4</v>
      </c>
      <c r="G26">
        <v>2</v>
      </c>
      <c r="H26">
        <v>1</v>
      </c>
    </row>
    <row r="28" spans="1:8" ht="12.75">
      <c r="A28" t="s">
        <v>47</v>
      </c>
      <c r="B28">
        <v>96.8</v>
      </c>
      <c r="C28">
        <v>76.4</v>
      </c>
      <c r="D28">
        <v>58.6</v>
      </c>
      <c r="E28">
        <v>48.1</v>
      </c>
      <c r="F28">
        <v>38.7</v>
      </c>
      <c r="G28">
        <v>30.5</v>
      </c>
      <c r="H28">
        <v>23</v>
      </c>
    </row>
    <row r="29" spans="1:8" ht="12.75">
      <c r="A29" t="s">
        <v>48</v>
      </c>
      <c r="B29">
        <f>(B28/G20)*100</f>
        <v>99.28205128205127</v>
      </c>
      <c r="C29">
        <f>(C28/G20)*100</f>
        <v>78.35897435897436</v>
      </c>
      <c r="D29">
        <f>(D28/G20)*100</f>
        <v>60.1025641025641</v>
      </c>
      <c r="E29">
        <f>(E28/G20)*100</f>
        <v>49.333333333333336</v>
      </c>
      <c r="F29">
        <f>(F28/G20)*100</f>
        <v>39.69230769230769</v>
      </c>
      <c r="G29">
        <f>(G28/G20)*100</f>
        <v>31.28205128205128</v>
      </c>
      <c r="H29">
        <f>(H28/G20)*100</f>
        <v>23.589743589743588</v>
      </c>
    </row>
    <row r="30" spans="1:8" ht="12.75">
      <c r="A30" t="s">
        <v>49</v>
      </c>
      <c r="B30">
        <f aca="true" t="shared" si="0" ref="B30:G30">B29-C29</f>
        <v>20.923076923076906</v>
      </c>
      <c r="C30">
        <f t="shared" si="0"/>
        <v>18.256410256410263</v>
      </c>
      <c r="D30">
        <f t="shared" si="0"/>
        <v>10.769230769230766</v>
      </c>
      <c r="E30">
        <f t="shared" si="0"/>
        <v>9.641025641025642</v>
      </c>
      <c r="F30">
        <f t="shared" si="0"/>
        <v>8.410256410256412</v>
      </c>
      <c r="G30">
        <f t="shared" si="0"/>
        <v>7.692307692307693</v>
      </c>
      <c r="H30">
        <f>H29</f>
        <v>23.589743589743588</v>
      </c>
    </row>
    <row r="31" spans="1:8" ht="12.75">
      <c r="A31" t="s">
        <v>50</v>
      </c>
      <c r="B31">
        <f>B15*(B30/100)</f>
        <v>1.3636406153846328</v>
      </c>
      <c r="C31">
        <f>B15*(C30/100)</f>
        <v>1.1898432820512987</v>
      </c>
      <c r="D31">
        <f>B15*(D30/100)</f>
        <v>0.7018738461538556</v>
      </c>
      <c r="E31">
        <f>B15*(E30/100)</f>
        <v>0.6283442051282139</v>
      </c>
      <c r="F31">
        <f>B15*(F30/100)</f>
        <v>0.5481300512820589</v>
      </c>
      <c r="G31">
        <f>B15*(G30/100)</f>
        <v>0.5013384615384684</v>
      </c>
      <c r="H31">
        <f>B15*(H30/100)</f>
        <v>1.5374379487179695</v>
      </c>
    </row>
    <row r="33" spans="1:8" ht="12.75">
      <c r="A33" t="s">
        <v>51</v>
      </c>
      <c r="B33" t="s">
        <v>52</v>
      </c>
      <c r="C33" t="s">
        <v>24</v>
      </c>
      <c r="D33" t="s">
        <v>25</v>
      </c>
      <c r="E33" t="s">
        <v>26</v>
      </c>
      <c r="F33" t="s">
        <v>27</v>
      </c>
      <c r="G33" t="s">
        <v>28</v>
      </c>
      <c r="H33" t="s">
        <v>54</v>
      </c>
    </row>
  </sheetData>
  <printOptions gridLines="1" horizontalCentered="1"/>
  <pageMargins left="0.5" right="0.5" top="0.5" bottom="0.5" header="0.5" footer="0.5"/>
  <pageSetup fitToHeight="1" fitToWidth="1" horizontalDpi="300" verticalDpi="3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workbookViewId="0" topLeftCell="A1">
      <selection activeCell="F15" sqref="F15"/>
    </sheetView>
  </sheetViews>
  <sheetFormatPr defaultColWidth="9.140625" defaultRowHeight="12.75"/>
  <cols>
    <col min="1" max="1" width="15.57421875" style="0" customWidth="1"/>
    <col min="3" max="3" width="10.57421875" style="0" customWidth="1"/>
    <col min="4" max="4" width="6.8515625" style="0" customWidth="1"/>
    <col min="5" max="5" width="8.57421875" style="0" customWidth="1"/>
    <col min="6" max="7" width="6.8515625" style="0" customWidth="1"/>
    <col min="8" max="8" width="6.7109375" style="0" customWidth="1"/>
    <col min="9" max="9" width="4.421875" style="0" customWidth="1"/>
    <col min="10" max="10" width="12.421875" style="0" customWidth="1"/>
    <col min="11" max="11" width="15.8515625" style="0" customWidth="1"/>
    <col min="12" max="12" width="14.00390625" style="0" customWidth="1"/>
  </cols>
  <sheetData>
    <row r="1" spans="1:3" ht="20.25">
      <c r="A1" s="2" t="s">
        <v>0</v>
      </c>
      <c r="B1" s="2"/>
      <c r="C1" s="2"/>
    </row>
    <row r="2" spans="1:4" ht="15">
      <c r="A2" s="3" t="s">
        <v>62</v>
      </c>
      <c r="B2" s="3">
        <v>100144</v>
      </c>
      <c r="C2" s="3"/>
      <c r="D2" s="3"/>
    </row>
    <row r="3" spans="1:3" ht="20.25">
      <c r="A3" s="2"/>
      <c r="B3" s="2"/>
      <c r="C3" s="2"/>
    </row>
    <row r="4" spans="5:12" ht="12.75">
      <c r="E4" t="s">
        <v>60</v>
      </c>
      <c r="H4">
        <v>0.35951</v>
      </c>
      <c r="J4" t="s">
        <v>12</v>
      </c>
      <c r="K4" t="s">
        <v>13</v>
      </c>
      <c r="L4" t="s">
        <v>59</v>
      </c>
    </row>
    <row r="5" spans="10:12" ht="12.75">
      <c r="J5" t="s">
        <v>30</v>
      </c>
      <c r="K5" t="s">
        <v>14</v>
      </c>
      <c r="L5">
        <v>0</v>
      </c>
    </row>
    <row r="6" spans="1:12" ht="12.75">
      <c r="A6" t="s">
        <v>1</v>
      </c>
      <c r="B6" t="s">
        <v>10</v>
      </c>
      <c r="C6" t="s">
        <v>11</v>
      </c>
      <c r="D6" t="s">
        <v>61</v>
      </c>
      <c r="F6">
        <v>900</v>
      </c>
      <c r="J6" t="s">
        <v>31</v>
      </c>
      <c r="K6" t="s">
        <v>15</v>
      </c>
      <c r="L6">
        <v>0</v>
      </c>
    </row>
    <row r="7" spans="1:12" ht="12.75">
      <c r="A7" t="s">
        <v>2</v>
      </c>
      <c r="J7" s="1" t="s">
        <v>32</v>
      </c>
      <c r="K7" t="s">
        <v>16</v>
      </c>
      <c r="L7">
        <v>0</v>
      </c>
    </row>
    <row r="8" spans="1:12" ht="12.75">
      <c r="A8" t="s">
        <v>3</v>
      </c>
      <c r="B8">
        <v>29.7792</v>
      </c>
      <c r="C8">
        <v>29.5149</v>
      </c>
      <c r="J8" s="1" t="s">
        <v>33</v>
      </c>
      <c r="K8" t="s">
        <v>17</v>
      </c>
      <c r="L8">
        <v>0</v>
      </c>
    </row>
    <row r="9" spans="1:12" ht="12.75">
      <c r="A9" t="s">
        <v>4</v>
      </c>
      <c r="B9">
        <v>29.5009</v>
      </c>
      <c r="C9">
        <v>29.3523</v>
      </c>
      <c r="J9" t="s">
        <v>34</v>
      </c>
      <c r="K9" t="s">
        <v>18</v>
      </c>
      <c r="L9">
        <v>0</v>
      </c>
    </row>
    <row r="10" spans="1:12" ht="12.75">
      <c r="A10" t="s">
        <v>5</v>
      </c>
      <c r="B10">
        <f>B8-B9</f>
        <v>0.278299999999998</v>
      </c>
      <c r="C10">
        <f>C8-C9</f>
        <v>0.1626000000000012</v>
      </c>
      <c r="J10" t="s">
        <v>35</v>
      </c>
      <c r="K10" t="s">
        <v>19</v>
      </c>
      <c r="L10">
        <v>0.00031</v>
      </c>
    </row>
    <row r="11" spans="1:12" ht="12.75">
      <c r="A11" t="s">
        <v>55</v>
      </c>
      <c r="B11">
        <v>0.1084</v>
      </c>
      <c r="C11">
        <v>0.1084</v>
      </c>
      <c r="J11" t="s">
        <v>36</v>
      </c>
      <c r="K11" t="s">
        <v>20</v>
      </c>
      <c r="L11">
        <v>0.00138</v>
      </c>
    </row>
    <row r="12" spans="1:12" ht="12.75">
      <c r="A12" t="s">
        <v>6</v>
      </c>
      <c r="B12">
        <f>B10-B11</f>
        <v>0.169899999999998</v>
      </c>
      <c r="C12">
        <f>C10-C11</f>
        <v>0.05420000000000119</v>
      </c>
      <c r="J12" t="s">
        <v>37</v>
      </c>
      <c r="K12" t="s">
        <v>21</v>
      </c>
      <c r="L12">
        <v>0.0413</v>
      </c>
    </row>
    <row r="13" spans="1:12" ht="12.75">
      <c r="A13" t="s">
        <v>7</v>
      </c>
      <c r="B13">
        <v>50</v>
      </c>
      <c r="C13">
        <f>(F6/20)</f>
        <v>45</v>
      </c>
      <c r="J13" t="s">
        <v>38</v>
      </c>
      <c r="K13" t="s">
        <v>23</v>
      </c>
      <c r="L13">
        <f>B18+0.1997</f>
        <v>0.20580483870967778</v>
      </c>
    </row>
    <row r="14" spans="1:12" ht="12.75">
      <c r="A14" t="s">
        <v>8</v>
      </c>
      <c r="B14">
        <f>B12*B13</f>
        <v>8.4949999999999</v>
      </c>
      <c r="C14">
        <f>C12*C13</f>
        <v>2.439000000000054</v>
      </c>
      <c r="J14" t="s">
        <v>39</v>
      </c>
      <c r="K14" t="s">
        <v>22</v>
      </c>
      <c r="L14">
        <f>B31+0.10694</f>
        <v>0.6868996774193402</v>
      </c>
    </row>
    <row r="15" spans="1:12" ht="12.75">
      <c r="A15" t="s">
        <v>9</v>
      </c>
      <c r="B15">
        <f>B14-C14</f>
        <v>6.055999999999846</v>
      </c>
      <c r="J15" t="s">
        <v>40</v>
      </c>
      <c r="K15" t="s">
        <v>24</v>
      </c>
      <c r="L15">
        <f>C31</f>
        <v>0.7020564516128854</v>
      </c>
    </row>
    <row r="16" spans="10:12" ht="12.75">
      <c r="J16" t="s">
        <v>41</v>
      </c>
      <c r="K16" t="s">
        <v>25</v>
      </c>
      <c r="L16">
        <f>D31</f>
        <v>0.6837419354838531</v>
      </c>
    </row>
    <row r="17" spans="10:12" ht="12.75">
      <c r="J17" t="s">
        <v>42</v>
      </c>
      <c r="K17" t="s">
        <v>26</v>
      </c>
      <c r="L17">
        <f>E31</f>
        <v>0.6287983870967582</v>
      </c>
    </row>
    <row r="18" spans="1:12" ht="12.75">
      <c r="A18" t="s">
        <v>58</v>
      </c>
      <c r="B18">
        <f>((G20-B28)/G20)*B15</f>
        <v>0.006104838709677784</v>
      </c>
      <c r="J18" t="s">
        <v>43</v>
      </c>
      <c r="K18" t="s">
        <v>27</v>
      </c>
      <c r="L18">
        <f>F31</f>
        <v>0.567749999999986</v>
      </c>
    </row>
    <row r="19" spans="7:12" ht="12.75">
      <c r="G19" t="s">
        <v>57</v>
      </c>
      <c r="J19" t="s">
        <v>44</v>
      </c>
      <c r="K19" t="s">
        <v>28</v>
      </c>
      <c r="L19">
        <f>G31</f>
        <v>0.4944919354838575</v>
      </c>
    </row>
    <row r="20" spans="7:12" ht="12.75">
      <c r="G20">
        <v>99.2</v>
      </c>
      <c r="H20" t="s">
        <v>56</v>
      </c>
      <c r="J20" t="s">
        <v>45</v>
      </c>
      <c r="K20" t="s">
        <v>29</v>
      </c>
      <c r="L20">
        <f>H31+C14</f>
        <v>4.832096774193542</v>
      </c>
    </row>
    <row r="22" spans="10:12" ht="15">
      <c r="J22" s="3" t="s">
        <v>46</v>
      </c>
      <c r="K22" s="3"/>
      <c r="L22" s="3">
        <f>SUM(L5:L20)</f>
        <v>8.8446299999999</v>
      </c>
    </row>
    <row r="26" spans="1:8" ht="12.75">
      <c r="A26" t="s">
        <v>53</v>
      </c>
      <c r="B26">
        <v>62</v>
      </c>
      <c r="C26">
        <v>31</v>
      </c>
      <c r="D26">
        <v>16</v>
      </c>
      <c r="E26">
        <v>8</v>
      </c>
      <c r="F26">
        <v>4</v>
      </c>
      <c r="G26">
        <v>2</v>
      </c>
      <c r="H26">
        <v>1</v>
      </c>
    </row>
    <row r="28" spans="1:8" ht="12.75">
      <c r="A28" t="s">
        <v>47</v>
      </c>
      <c r="B28">
        <v>99.1</v>
      </c>
      <c r="C28">
        <v>89.6</v>
      </c>
      <c r="D28">
        <v>78.1</v>
      </c>
      <c r="E28">
        <v>66.9</v>
      </c>
      <c r="F28">
        <v>56.6</v>
      </c>
      <c r="G28">
        <v>47.3</v>
      </c>
      <c r="H28">
        <v>39.2</v>
      </c>
    </row>
    <row r="29" spans="1:8" ht="12.75">
      <c r="A29" t="s">
        <v>48</v>
      </c>
      <c r="B29">
        <f>(B28/G20)*100</f>
        <v>99.89919354838709</v>
      </c>
      <c r="C29">
        <f>(C28/G20)*100</f>
        <v>90.32258064516128</v>
      </c>
      <c r="D29">
        <f>(D28/G20)*100</f>
        <v>78.72983870967741</v>
      </c>
      <c r="E29">
        <f>(E28/G20)*100</f>
        <v>67.43951612903226</v>
      </c>
      <c r="F29">
        <f>(F28/G20)*100</f>
        <v>57.056451612903224</v>
      </c>
      <c r="G29">
        <f>(G28/G20)*100</f>
        <v>47.68145161290322</v>
      </c>
      <c r="H29">
        <f>(H28/G20)*100</f>
        <v>39.51612903225807</v>
      </c>
    </row>
    <row r="30" spans="1:8" ht="12.75">
      <c r="A30" t="s">
        <v>49</v>
      </c>
      <c r="B30">
        <f aca="true" t="shared" si="0" ref="B30:G30">B29-C29</f>
        <v>9.576612903225808</v>
      </c>
      <c r="C30">
        <f t="shared" si="0"/>
        <v>11.592741935483872</v>
      </c>
      <c r="D30">
        <f t="shared" si="0"/>
        <v>11.290322580645153</v>
      </c>
      <c r="E30">
        <f t="shared" si="0"/>
        <v>10.383064516129032</v>
      </c>
      <c r="F30">
        <f t="shared" si="0"/>
        <v>9.375000000000007</v>
      </c>
      <c r="G30">
        <f t="shared" si="0"/>
        <v>8.165322580645146</v>
      </c>
      <c r="H30">
        <f>H29</f>
        <v>39.51612903225807</v>
      </c>
    </row>
    <row r="31" spans="1:8" ht="12.75">
      <c r="A31" t="s">
        <v>50</v>
      </c>
      <c r="B31">
        <f>B15*(B30/100)</f>
        <v>0.5799596774193402</v>
      </c>
      <c r="C31">
        <f>B15*(C30/100)</f>
        <v>0.7020564516128854</v>
      </c>
      <c r="D31">
        <f>B15*(D30/100)</f>
        <v>0.6837419354838531</v>
      </c>
      <c r="E31">
        <f>B15*(E30/100)</f>
        <v>0.6287983870967582</v>
      </c>
      <c r="F31">
        <f>B15*(F30/100)</f>
        <v>0.567749999999986</v>
      </c>
      <c r="G31">
        <f>B15*(G30/100)</f>
        <v>0.4944919354838575</v>
      </c>
      <c r="H31">
        <f>B15*(H30/100)</f>
        <v>2.3930967741934883</v>
      </c>
    </row>
    <row r="33" spans="1:8" ht="12.75">
      <c r="A33" t="s">
        <v>51</v>
      </c>
      <c r="B33" t="s">
        <v>52</v>
      </c>
      <c r="C33" t="s">
        <v>24</v>
      </c>
      <c r="D33" t="s">
        <v>25</v>
      </c>
      <c r="E33" t="s">
        <v>26</v>
      </c>
      <c r="F33" t="s">
        <v>27</v>
      </c>
      <c r="G33" t="s">
        <v>28</v>
      </c>
      <c r="H33" t="s">
        <v>54</v>
      </c>
    </row>
  </sheetData>
  <printOptions gridLines="1" horizontalCentered="1"/>
  <pageMargins left="0.5" right="0.5" top="0.5" bottom="0.5" header="0.5" footer="0.5"/>
  <pageSetup fitToHeight="1" fitToWidth="1" horizontalDpi="300" verticalDpi="3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workbookViewId="0" topLeftCell="A1">
      <selection activeCell="A31" sqref="A31"/>
    </sheetView>
  </sheetViews>
  <sheetFormatPr defaultColWidth="9.140625" defaultRowHeight="12.75"/>
  <cols>
    <col min="1" max="1" width="15.57421875" style="0" customWidth="1"/>
    <col min="3" max="3" width="10.57421875" style="0" customWidth="1"/>
    <col min="4" max="4" width="6.8515625" style="0" customWidth="1"/>
    <col min="5" max="5" width="8.57421875" style="0" customWidth="1"/>
    <col min="6" max="7" width="6.8515625" style="0" customWidth="1"/>
    <col min="8" max="8" width="6.7109375" style="0" customWidth="1"/>
    <col min="9" max="9" width="4.421875" style="0" customWidth="1"/>
    <col min="10" max="10" width="12.421875" style="0" customWidth="1"/>
    <col min="11" max="11" width="15.8515625" style="0" customWidth="1"/>
    <col min="12" max="12" width="14.00390625" style="0" customWidth="1"/>
  </cols>
  <sheetData>
    <row r="1" spans="1:3" ht="20.25">
      <c r="A1" s="2" t="s">
        <v>0</v>
      </c>
      <c r="B1" s="2"/>
      <c r="C1" s="2"/>
    </row>
    <row r="2" spans="1:4" ht="15">
      <c r="A2" s="3" t="s">
        <v>62</v>
      </c>
      <c r="B2" s="3">
        <v>100145</v>
      </c>
      <c r="C2" s="3"/>
      <c r="D2" s="3"/>
    </row>
    <row r="3" spans="1:3" ht="20.25">
      <c r="A3" s="2"/>
      <c r="B3" s="2"/>
      <c r="C3" s="2"/>
    </row>
    <row r="4" spans="5:12" ht="12.75">
      <c r="E4" t="s">
        <v>60</v>
      </c>
      <c r="H4">
        <v>0.08762</v>
      </c>
      <c r="J4" t="s">
        <v>12</v>
      </c>
      <c r="K4" t="s">
        <v>13</v>
      </c>
      <c r="L4" t="s">
        <v>59</v>
      </c>
    </row>
    <row r="5" spans="10:12" ht="12.75">
      <c r="J5" t="s">
        <v>30</v>
      </c>
      <c r="K5" t="s">
        <v>14</v>
      </c>
      <c r="L5">
        <v>0</v>
      </c>
    </row>
    <row r="6" spans="1:12" ht="12.75">
      <c r="A6" t="s">
        <v>1</v>
      </c>
      <c r="B6" t="s">
        <v>10</v>
      </c>
      <c r="C6" t="s">
        <v>11</v>
      </c>
      <c r="D6" t="s">
        <v>61</v>
      </c>
      <c r="F6">
        <v>910</v>
      </c>
      <c r="J6" t="s">
        <v>31</v>
      </c>
      <c r="K6" t="s">
        <v>15</v>
      </c>
      <c r="L6">
        <v>0</v>
      </c>
    </row>
    <row r="7" spans="1:12" ht="12.75">
      <c r="A7" t="s">
        <v>2</v>
      </c>
      <c r="J7" s="1" t="s">
        <v>32</v>
      </c>
      <c r="K7" t="s">
        <v>16</v>
      </c>
      <c r="L7">
        <v>0</v>
      </c>
    </row>
    <row r="8" spans="1:12" ht="12.75">
      <c r="A8" t="s">
        <v>3</v>
      </c>
      <c r="B8">
        <v>29.8399</v>
      </c>
      <c r="C8">
        <v>29.8559</v>
      </c>
      <c r="J8" s="1" t="s">
        <v>33</v>
      </c>
      <c r="K8" t="s">
        <v>17</v>
      </c>
      <c r="L8">
        <v>0</v>
      </c>
    </row>
    <row r="9" spans="1:12" ht="12.75">
      <c r="A9" t="s">
        <v>4</v>
      </c>
      <c r="B9">
        <v>29.5864</v>
      </c>
      <c r="C9">
        <v>29.6934</v>
      </c>
      <c r="J9" t="s">
        <v>34</v>
      </c>
      <c r="K9" t="s">
        <v>18</v>
      </c>
      <c r="L9">
        <v>0</v>
      </c>
    </row>
    <row r="10" spans="1:12" ht="12.75">
      <c r="A10" t="s">
        <v>5</v>
      </c>
      <c r="B10">
        <f>B8-B9</f>
        <v>0.25349999999999895</v>
      </c>
      <c r="C10">
        <f>C8-C9</f>
        <v>0.16249999999999787</v>
      </c>
      <c r="J10" t="s">
        <v>35</v>
      </c>
      <c r="K10" t="s">
        <v>19</v>
      </c>
      <c r="L10">
        <v>0.00021</v>
      </c>
    </row>
    <row r="11" spans="1:12" ht="12.75">
      <c r="A11" t="s">
        <v>55</v>
      </c>
      <c r="B11">
        <v>0.1084</v>
      </c>
      <c r="C11">
        <v>0.1084</v>
      </c>
      <c r="J11" t="s">
        <v>36</v>
      </c>
      <c r="K11" t="s">
        <v>20</v>
      </c>
      <c r="L11">
        <v>0.00106</v>
      </c>
    </row>
    <row r="12" spans="1:12" ht="12.75">
      <c r="A12" t="s">
        <v>6</v>
      </c>
      <c r="B12">
        <f>B10-B11</f>
        <v>0.14509999999999895</v>
      </c>
      <c r="C12">
        <f>C10-C11</f>
        <v>0.05409999999999787</v>
      </c>
      <c r="J12" t="s">
        <v>37</v>
      </c>
      <c r="K12" t="s">
        <v>21</v>
      </c>
      <c r="L12">
        <v>0.00664</v>
      </c>
    </row>
    <row r="13" spans="1:12" ht="12.75">
      <c r="A13" t="s">
        <v>7</v>
      </c>
      <c r="B13">
        <v>50</v>
      </c>
      <c r="C13">
        <f>(F6/20)</f>
        <v>45.5</v>
      </c>
      <c r="J13" t="s">
        <v>38</v>
      </c>
      <c r="K13" t="s">
        <v>23</v>
      </c>
      <c r="L13">
        <f>B18+0.05524</f>
        <v>0.06010151115618638</v>
      </c>
    </row>
    <row r="14" spans="1:12" ht="12.75">
      <c r="A14" t="s">
        <v>8</v>
      </c>
      <c r="B14">
        <f>B12*B13</f>
        <v>7.2549999999999475</v>
      </c>
      <c r="C14">
        <f>C12*C13</f>
        <v>2.461549999999903</v>
      </c>
      <c r="J14" t="s">
        <v>39</v>
      </c>
      <c r="K14" t="s">
        <v>22</v>
      </c>
      <c r="L14">
        <f>B31+0.02265</f>
        <v>0.21224893509128004</v>
      </c>
    </row>
    <row r="15" spans="1:12" ht="12.75">
      <c r="A15" t="s">
        <v>9</v>
      </c>
      <c r="B15">
        <f>B14-C14</f>
        <v>4.793450000000044</v>
      </c>
      <c r="J15" t="s">
        <v>40</v>
      </c>
      <c r="K15" t="s">
        <v>24</v>
      </c>
      <c r="L15">
        <f>C31</f>
        <v>0.24307555780933293</v>
      </c>
    </row>
    <row r="16" spans="10:12" ht="12.75">
      <c r="J16" t="s">
        <v>41</v>
      </c>
      <c r="K16" t="s">
        <v>25</v>
      </c>
      <c r="L16">
        <f>D31</f>
        <v>0.5201816937119716</v>
      </c>
    </row>
    <row r="17" spans="10:12" ht="12.75">
      <c r="J17" t="s">
        <v>42</v>
      </c>
      <c r="K17" t="s">
        <v>26</v>
      </c>
      <c r="L17">
        <f>E31</f>
        <v>0.5931043610547724</v>
      </c>
    </row>
    <row r="18" spans="1:12" ht="12.75">
      <c r="A18" t="s">
        <v>58</v>
      </c>
      <c r="B18">
        <f>((G20-B28)/G20)*B15</f>
        <v>0.004861511156186381</v>
      </c>
      <c r="J18" t="s">
        <v>43</v>
      </c>
      <c r="K18" t="s">
        <v>27</v>
      </c>
      <c r="L18">
        <f>F31</f>
        <v>0.5882428498985856</v>
      </c>
    </row>
    <row r="19" spans="7:12" ht="12.75">
      <c r="G19" t="s">
        <v>57</v>
      </c>
      <c r="J19" t="s">
        <v>44</v>
      </c>
      <c r="K19" t="s">
        <v>28</v>
      </c>
      <c r="L19">
        <f>G31</f>
        <v>0.5153201825557859</v>
      </c>
    </row>
    <row r="20" spans="7:12" ht="12.75">
      <c r="G20">
        <v>98.6</v>
      </c>
      <c r="H20" t="s">
        <v>56</v>
      </c>
      <c r="J20" t="s">
        <v>45</v>
      </c>
      <c r="K20" t="s">
        <v>29</v>
      </c>
      <c r="L20">
        <f>H31+C14</f>
        <v>4.600614908722033</v>
      </c>
    </row>
    <row r="22" spans="10:12" ht="15">
      <c r="J22" s="3" t="s">
        <v>46</v>
      </c>
      <c r="K22" s="3"/>
      <c r="L22" s="3">
        <f>SUM(L5:L20)</f>
        <v>7.340799999999948</v>
      </c>
    </row>
    <row r="26" spans="1:8" ht="12.75">
      <c r="A26" t="s">
        <v>53</v>
      </c>
      <c r="B26">
        <v>62</v>
      </c>
      <c r="C26">
        <v>31</v>
      </c>
      <c r="D26">
        <v>16</v>
      </c>
      <c r="E26">
        <v>8</v>
      </c>
      <c r="F26">
        <v>4</v>
      </c>
      <c r="G26">
        <v>2</v>
      </c>
      <c r="H26">
        <v>1</v>
      </c>
    </row>
    <row r="28" spans="1:8" ht="12.75">
      <c r="A28" t="s">
        <v>47</v>
      </c>
      <c r="B28">
        <v>98.5</v>
      </c>
      <c r="C28">
        <v>94.6</v>
      </c>
      <c r="D28">
        <v>89.6</v>
      </c>
      <c r="E28">
        <v>78.9</v>
      </c>
      <c r="F28">
        <v>66.7</v>
      </c>
      <c r="G28">
        <v>54.6</v>
      </c>
      <c r="H28">
        <v>44</v>
      </c>
    </row>
    <row r="29" spans="1:8" ht="12.75">
      <c r="A29" t="s">
        <v>48</v>
      </c>
      <c r="B29">
        <f>(B28/G20)*100</f>
        <v>99.89858012170386</v>
      </c>
      <c r="C29">
        <f>(C28/G20)*100</f>
        <v>95.94320486815415</v>
      </c>
      <c r="D29">
        <f>(D28/G20)*100</f>
        <v>90.87221095334685</v>
      </c>
      <c r="E29">
        <f>(E28/G20)*100</f>
        <v>80.02028397565924</v>
      </c>
      <c r="F29">
        <f>(F28/G20)*100</f>
        <v>67.64705882352942</v>
      </c>
      <c r="G29">
        <f>(G28/G20)*100</f>
        <v>55.37525354969575</v>
      </c>
      <c r="H29">
        <f>(H28/G20)*100</f>
        <v>44.624746450304265</v>
      </c>
    </row>
    <row r="30" spans="1:8" ht="12.75">
      <c r="A30" t="s">
        <v>49</v>
      </c>
      <c r="B30">
        <f aca="true" t="shared" si="0" ref="B30:G30">B29-C29</f>
        <v>3.955375253549704</v>
      </c>
      <c r="C30">
        <f t="shared" si="0"/>
        <v>5.070993914807303</v>
      </c>
      <c r="D30">
        <f t="shared" si="0"/>
        <v>10.851926977687611</v>
      </c>
      <c r="E30">
        <f t="shared" si="0"/>
        <v>12.37322515212982</v>
      </c>
      <c r="F30">
        <f t="shared" si="0"/>
        <v>12.271805273833671</v>
      </c>
      <c r="G30">
        <f t="shared" si="0"/>
        <v>10.750507099391484</v>
      </c>
      <c r="H30">
        <f>H29</f>
        <v>44.624746450304265</v>
      </c>
    </row>
    <row r="31" spans="1:8" ht="12.75">
      <c r="A31" t="s">
        <v>50</v>
      </c>
      <c r="B31">
        <f>B15*(B30/100)</f>
        <v>0.18959893509128004</v>
      </c>
      <c r="C31">
        <f>B15*(C30/100)</f>
        <v>0.24307555780933293</v>
      </c>
      <c r="D31">
        <f>B15*(D30/100)</f>
        <v>0.5201816937119716</v>
      </c>
      <c r="E31">
        <f>B15*(E30/100)</f>
        <v>0.5931043610547724</v>
      </c>
      <c r="F31">
        <f>B15*(F30/100)</f>
        <v>0.5882428498985856</v>
      </c>
      <c r="G31">
        <f>B15*(G30/100)</f>
        <v>0.5153201825557859</v>
      </c>
      <c r="H31">
        <f>B15*(H30/100)</f>
        <v>2.1390649087221294</v>
      </c>
    </row>
    <row r="33" spans="1:8" ht="12.75">
      <c r="A33" t="s">
        <v>51</v>
      </c>
      <c r="B33" t="s">
        <v>52</v>
      </c>
      <c r="C33" t="s">
        <v>24</v>
      </c>
      <c r="D33" t="s">
        <v>25</v>
      </c>
      <c r="E33" t="s">
        <v>26</v>
      </c>
      <c r="F33" t="s">
        <v>27</v>
      </c>
      <c r="G33" t="s">
        <v>28</v>
      </c>
      <c r="H33" t="s">
        <v>54</v>
      </c>
    </row>
  </sheetData>
  <printOptions gridLines="1" horizontalCentered="1"/>
  <pageMargins left="0.5" right="0.5" top="0.5" bottom="0.5" header="0.5" footer="0.5"/>
  <pageSetup fitToHeight="1" fitToWidth="1" horizontalDpi="300" verticalDpi="3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workbookViewId="0" topLeftCell="A1">
      <selection activeCell="F15" sqref="F15"/>
    </sheetView>
  </sheetViews>
  <sheetFormatPr defaultColWidth="9.140625" defaultRowHeight="12.75"/>
  <cols>
    <col min="1" max="1" width="15.57421875" style="0" customWidth="1"/>
    <col min="3" max="3" width="10.57421875" style="0" customWidth="1"/>
    <col min="4" max="4" width="6.8515625" style="0" customWidth="1"/>
    <col min="5" max="5" width="8.57421875" style="0" customWidth="1"/>
    <col min="6" max="7" width="6.8515625" style="0" customWidth="1"/>
    <col min="8" max="8" width="6.7109375" style="0" customWidth="1"/>
    <col min="9" max="9" width="4.421875" style="0" customWidth="1"/>
    <col min="10" max="10" width="12.421875" style="0" customWidth="1"/>
    <col min="11" max="11" width="15.8515625" style="0" customWidth="1"/>
    <col min="12" max="12" width="14.00390625" style="0" customWidth="1"/>
  </cols>
  <sheetData>
    <row r="1" spans="1:3" ht="20.25">
      <c r="A1" s="2" t="s">
        <v>0</v>
      </c>
      <c r="B1" s="2"/>
      <c r="C1" s="2"/>
    </row>
    <row r="2" spans="1:4" ht="15">
      <c r="A2" s="3" t="s">
        <v>62</v>
      </c>
      <c r="B2" s="3">
        <v>100146</v>
      </c>
      <c r="C2" s="3"/>
      <c r="D2" s="3"/>
    </row>
    <row r="3" spans="1:3" ht="20.25">
      <c r="A3" s="2"/>
      <c r="B3" s="2"/>
      <c r="C3" s="2"/>
    </row>
    <row r="4" spans="5:12" ht="12.75">
      <c r="E4" t="s">
        <v>60</v>
      </c>
      <c r="H4">
        <v>0.23692</v>
      </c>
      <c r="J4" t="s">
        <v>12</v>
      </c>
      <c r="K4" t="s">
        <v>13</v>
      </c>
      <c r="L4" t="s">
        <v>59</v>
      </c>
    </row>
    <row r="5" spans="10:12" ht="12.75">
      <c r="J5" t="s">
        <v>30</v>
      </c>
      <c r="K5" t="s">
        <v>14</v>
      </c>
      <c r="L5">
        <v>0</v>
      </c>
    </row>
    <row r="6" spans="1:12" ht="12.75">
      <c r="A6" t="s">
        <v>1</v>
      </c>
      <c r="B6" t="s">
        <v>10</v>
      </c>
      <c r="C6" t="s">
        <v>11</v>
      </c>
      <c r="D6" t="s">
        <v>61</v>
      </c>
      <c r="F6">
        <v>900</v>
      </c>
      <c r="J6" t="s">
        <v>31</v>
      </c>
      <c r="K6" t="s">
        <v>15</v>
      </c>
      <c r="L6">
        <v>0</v>
      </c>
    </row>
    <row r="7" spans="1:12" ht="12.75">
      <c r="A7" t="s">
        <v>2</v>
      </c>
      <c r="J7" s="1" t="s">
        <v>32</v>
      </c>
      <c r="K7" t="s">
        <v>16</v>
      </c>
      <c r="L7">
        <v>0</v>
      </c>
    </row>
    <row r="8" spans="1:12" ht="12.75">
      <c r="A8" t="s">
        <v>3</v>
      </c>
      <c r="B8">
        <v>29.9748</v>
      </c>
      <c r="C8">
        <v>31.0496</v>
      </c>
      <c r="J8" s="1" t="s">
        <v>33</v>
      </c>
      <c r="K8" t="s">
        <v>17</v>
      </c>
      <c r="L8">
        <v>0</v>
      </c>
    </row>
    <row r="9" spans="1:12" ht="12.75">
      <c r="A9" t="s">
        <v>4</v>
      </c>
      <c r="B9">
        <v>29.6977</v>
      </c>
      <c r="C9">
        <v>30.8856</v>
      </c>
      <c r="J9" t="s">
        <v>34</v>
      </c>
      <c r="K9" t="s">
        <v>18</v>
      </c>
      <c r="L9">
        <v>0</v>
      </c>
    </row>
    <row r="10" spans="1:12" ht="12.75">
      <c r="A10" t="s">
        <v>5</v>
      </c>
      <c r="B10">
        <f>B8-B9</f>
        <v>0.27709999999999724</v>
      </c>
      <c r="C10">
        <f>C8-C9</f>
        <v>0.16400000000000148</v>
      </c>
      <c r="J10" t="s">
        <v>35</v>
      </c>
      <c r="K10" t="s">
        <v>19</v>
      </c>
      <c r="L10">
        <v>0.00031</v>
      </c>
    </row>
    <row r="11" spans="1:12" ht="12.75">
      <c r="A11" t="s">
        <v>55</v>
      </c>
      <c r="B11">
        <v>0.1084</v>
      </c>
      <c r="C11">
        <v>0.1084</v>
      </c>
      <c r="J11" t="s">
        <v>36</v>
      </c>
      <c r="K11" t="s">
        <v>20</v>
      </c>
      <c r="L11">
        <v>0.00404</v>
      </c>
    </row>
    <row r="12" spans="1:12" ht="12.75">
      <c r="A12" t="s">
        <v>6</v>
      </c>
      <c r="B12">
        <f>B10-B11</f>
        <v>0.16869999999999724</v>
      </c>
      <c r="C12">
        <f>C10-C11</f>
        <v>0.05560000000000148</v>
      </c>
      <c r="J12" t="s">
        <v>37</v>
      </c>
      <c r="K12" t="s">
        <v>21</v>
      </c>
      <c r="L12">
        <v>0.02092</v>
      </c>
    </row>
    <row r="13" spans="1:12" ht="12.75">
      <c r="A13" t="s">
        <v>7</v>
      </c>
      <c r="B13">
        <v>50</v>
      </c>
      <c r="C13">
        <f>(F6/20)</f>
        <v>45</v>
      </c>
      <c r="J13" t="s">
        <v>38</v>
      </c>
      <c r="K13" t="s">
        <v>23</v>
      </c>
      <c r="L13">
        <f>B18+0.13999</f>
        <v>0.14607512820512766</v>
      </c>
    </row>
    <row r="14" spans="1:12" ht="12.75">
      <c r="A14" t="s">
        <v>8</v>
      </c>
      <c r="B14">
        <f>B12*B13</f>
        <v>8.434999999999862</v>
      </c>
      <c r="C14">
        <f>C12*C13</f>
        <v>2.502000000000067</v>
      </c>
      <c r="J14" t="s">
        <v>39</v>
      </c>
      <c r="K14" t="s">
        <v>22</v>
      </c>
      <c r="L14">
        <f>B31+0.06532</f>
        <v>0.35740615384614444</v>
      </c>
    </row>
    <row r="15" spans="1:12" ht="12.75">
      <c r="A15" t="s">
        <v>9</v>
      </c>
      <c r="B15">
        <f>B14-C14</f>
        <v>5.9329999999997955</v>
      </c>
      <c r="J15" t="s">
        <v>40</v>
      </c>
      <c r="K15" t="s">
        <v>24</v>
      </c>
      <c r="L15">
        <f>C31</f>
        <v>0.5598317948717745</v>
      </c>
    </row>
    <row r="16" spans="10:12" ht="12.75">
      <c r="J16" t="s">
        <v>41</v>
      </c>
      <c r="K16" t="s">
        <v>25</v>
      </c>
      <c r="L16">
        <f>D31</f>
        <v>0.7058748717948483</v>
      </c>
    </row>
    <row r="17" spans="10:12" ht="12.75">
      <c r="J17" t="s">
        <v>42</v>
      </c>
      <c r="K17" t="s">
        <v>26</v>
      </c>
      <c r="L17">
        <f>E31</f>
        <v>0.7119599999999754</v>
      </c>
    </row>
    <row r="18" spans="1:12" ht="12.75">
      <c r="A18" t="s">
        <v>58</v>
      </c>
      <c r="B18">
        <f>((G20-B28)/G20)*B15</f>
        <v>0.00608512820512765</v>
      </c>
      <c r="J18" t="s">
        <v>43</v>
      </c>
      <c r="K18" t="s">
        <v>27</v>
      </c>
      <c r="L18">
        <f>F31</f>
        <v>0.608512820512799</v>
      </c>
    </row>
    <row r="19" spans="7:12" ht="12.75">
      <c r="G19" t="s">
        <v>57</v>
      </c>
      <c r="J19" t="s">
        <v>44</v>
      </c>
      <c r="K19" t="s">
        <v>28</v>
      </c>
      <c r="L19">
        <f>G31</f>
        <v>0.5659169230769037</v>
      </c>
    </row>
    <row r="20" spans="7:12" ht="12.75">
      <c r="G20">
        <v>97.5</v>
      </c>
      <c r="H20" t="s">
        <v>56</v>
      </c>
      <c r="J20" t="s">
        <v>45</v>
      </c>
      <c r="K20" t="s">
        <v>29</v>
      </c>
      <c r="L20">
        <f>H31+C14</f>
        <v>4.984732307692289</v>
      </c>
    </row>
    <row r="22" spans="10:12" ht="15">
      <c r="J22" s="3" t="s">
        <v>46</v>
      </c>
      <c r="K22" s="3"/>
      <c r="L22" s="3">
        <f>SUM(L5:L20)</f>
        <v>8.665579999999862</v>
      </c>
    </row>
    <row r="26" spans="1:8" ht="12.75">
      <c r="A26" t="s">
        <v>53</v>
      </c>
      <c r="B26">
        <v>62</v>
      </c>
      <c r="C26">
        <v>31</v>
      </c>
      <c r="D26">
        <v>16</v>
      </c>
      <c r="E26">
        <v>8</v>
      </c>
      <c r="F26">
        <v>4</v>
      </c>
      <c r="G26">
        <v>2</v>
      </c>
      <c r="H26">
        <v>1</v>
      </c>
    </row>
    <row r="28" spans="1:8" ht="12.75">
      <c r="A28" t="s">
        <v>47</v>
      </c>
      <c r="B28">
        <v>97.4</v>
      </c>
      <c r="C28">
        <v>92.6</v>
      </c>
      <c r="D28">
        <v>83.4</v>
      </c>
      <c r="E28">
        <v>71.8</v>
      </c>
      <c r="F28">
        <v>60.1</v>
      </c>
      <c r="G28">
        <v>50.1</v>
      </c>
      <c r="H28">
        <v>40.8</v>
      </c>
    </row>
    <row r="29" spans="1:8" ht="12.75">
      <c r="A29" t="s">
        <v>48</v>
      </c>
      <c r="B29">
        <f>(B28/G20)*100</f>
        <v>99.8974358974359</v>
      </c>
      <c r="C29">
        <f>(C28/G20)*100</f>
        <v>94.97435897435896</v>
      </c>
      <c r="D29">
        <f>(D28/G20)*100</f>
        <v>85.53846153846155</v>
      </c>
      <c r="E29">
        <f>(E28/G20)*100</f>
        <v>73.64102564102564</v>
      </c>
      <c r="F29">
        <f>(F28/G20)*100</f>
        <v>61.641025641025635</v>
      </c>
      <c r="G29">
        <f>(G28/G20)*100</f>
        <v>51.38461538461539</v>
      </c>
      <c r="H29">
        <f>(H28/G20)*100</f>
        <v>41.84615384615385</v>
      </c>
    </row>
    <row r="30" spans="1:8" ht="12.75">
      <c r="A30" t="s">
        <v>49</v>
      </c>
      <c r="B30">
        <f aca="true" t="shared" si="0" ref="B30:G30">B29-C29</f>
        <v>4.923076923076934</v>
      </c>
      <c r="C30">
        <f t="shared" si="0"/>
        <v>9.435897435897417</v>
      </c>
      <c r="D30">
        <f t="shared" si="0"/>
        <v>11.897435897435912</v>
      </c>
      <c r="E30">
        <f t="shared" si="0"/>
        <v>12</v>
      </c>
      <c r="F30">
        <f t="shared" si="0"/>
        <v>10.256410256410248</v>
      </c>
      <c r="G30">
        <f t="shared" si="0"/>
        <v>9.53846153846154</v>
      </c>
      <c r="H30">
        <f>H29</f>
        <v>41.84615384615385</v>
      </c>
    </row>
    <row r="31" spans="1:8" ht="12.75">
      <c r="A31" t="s">
        <v>50</v>
      </c>
      <c r="B31">
        <f>B15*(B30/100)</f>
        <v>0.29208615384614445</v>
      </c>
      <c r="C31">
        <f>B15*(C30/100)</f>
        <v>0.5598317948717745</v>
      </c>
      <c r="D31">
        <f>B15*(D30/100)</f>
        <v>0.7058748717948483</v>
      </c>
      <c r="E31">
        <f>B15*(E30/100)</f>
        <v>0.7119599999999754</v>
      </c>
      <c r="F31">
        <f>B15*(F30/100)</f>
        <v>0.608512820512799</v>
      </c>
      <c r="G31">
        <f>B15*(G30/100)</f>
        <v>0.5659169230769037</v>
      </c>
      <c r="H31">
        <f>B15*(H30/100)</f>
        <v>2.482732307692222</v>
      </c>
    </row>
    <row r="33" spans="1:8" ht="12.75">
      <c r="A33" t="s">
        <v>51</v>
      </c>
      <c r="B33" t="s">
        <v>52</v>
      </c>
      <c r="C33" t="s">
        <v>24</v>
      </c>
      <c r="D33" t="s">
        <v>25</v>
      </c>
      <c r="E33" t="s">
        <v>26</v>
      </c>
      <c r="F33" t="s">
        <v>27</v>
      </c>
      <c r="G33" t="s">
        <v>28</v>
      </c>
      <c r="H33" t="s">
        <v>54</v>
      </c>
    </row>
  </sheetData>
  <printOptions gridLines="1" horizontalCentered="1"/>
  <pageMargins left="0.5" right="0.5" top="0.5" bottom="0.5" header="0.5" footer="0.5"/>
  <pageSetup fitToHeight="1" fitToWidth="1" horizontalDpi="300" verticalDpi="3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workbookViewId="0" topLeftCell="A1">
      <selection activeCell="F15" sqref="F15"/>
    </sheetView>
  </sheetViews>
  <sheetFormatPr defaultColWidth="9.140625" defaultRowHeight="12.75"/>
  <cols>
    <col min="1" max="1" width="15.57421875" style="0" customWidth="1"/>
    <col min="3" max="3" width="10.57421875" style="0" customWidth="1"/>
    <col min="4" max="4" width="6.8515625" style="0" customWidth="1"/>
    <col min="5" max="5" width="8.57421875" style="0" customWidth="1"/>
    <col min="6" max="7" width="6.8515625" style="0" customWidth="1"/>
    <col min="8" max="8" width="6.7109375" style="0" customWidth="1"/>
    <col min="9" max="9" width="4.421875" style="0" customWidth="1"/>
    <col min="10" max="10" width="12.421875" style="0" customWidth="1"/>
    <col min="11" max="11" width="15.8515625" style="0" customWidth="1"/>
    <col min="12" max="12" width="14.00390625" style="0" customWidth="1"/>
  </cols>
  <sheetData>
    <row r="1" spans="1:3" ht="20.25">
      <c r="A1" s="2" t="s">
        <v>0</v>
      </c>
      <c r="B1" s="2"/>
      <c r="C1" s="2"/>
    </row>
    <row r="2" spans="1:4" ht="15">
      <c r="A2" s="3" t="s">
        <v>62</v>
      </c>
      <c r="B2" s="3">
        <v>100147</v>
      </c>
      <c r="C2" s="3"/>
      <c r="D2" s="3"/>
    </row>
    <row r="3" spans="1:3" ht="20.25">
      <c r="A3" s="2"/>
      <c r="B3" s="2"/>
      <c r="C3" s="2"/>
    </row>
    <row r="4" spans="5:12" ht="12.75">
      <c r="E4" t="s">
        <v>60</v>
      </c>
      <c r="H4">
        <v>1.94757</v>
      </c>
      <c r="J4" t="s">
        <v>12</v>
      </c>
      <c r="K4" t="s">
        <v>13</v>
      </c>
      <c r="L4" t="s">
        <v>59</v>
      </c>
    </row>
    <row r="5" spans="10:12" ht="12.75">
      <c r="J5" t="s">
        <v>30</v>
      </c>
      <c r="K5" t="s">
        <v>14</v>
      </c>
      <c r="L5">
        <v>0</v>
      </c>
    </row>
    <row r="6" spans="1:12" ht="12.75">
      <c r="A6" t="s">
        <v>1</v>
      </c>
      <c r="B6" t="s">
        <v>10</v>
      </c>
      <c r="C6" t="s">
        <v>11</v>
      </c>
      <c r="D6" t="s">
        <v>61</v>
      </c>
      <c r="F6">
        <v>900</v>
      </c>
      <c r="J6" t="s">
        <v>31</v>
      </c>
      <c r="K6" t="s">
        <v>15</v>
      </c>
      <c r="L6">
        <v>0</v>
      </c>
    </row>
    <row r="7" spans="1:12" ht="12.75">
      <c r="A7" t="s">
        <v>2</v>
      </c>
      <c r="J7" s="1" t="s">
        <v>32</v>
      </c>
      <c r="K7" t="s">
        <v>16</v>
      </c>
      <c r="L7">
        <v>0</v>
      </c>
    </row>
    <row r="8" spans="1:12" ht="12.75">
      <c r="A8" t="s">
        <v>3</v>
      </c>
      <c r="B8">
        <v>29.589</v>
      </c>
      <c r="C8">
        <v>29.6724</v>
      </c>
      <c r="J8" s="1" t="s">
        <v>33</v>
      </c>
      <c r="K8" t="s">
        <v>17</v>
      </c>
      <c r="L8">
        <v>0</v>
      </c>
    </row>
    <row r="9" spans="1:12" ht="12.75">
      <c r="A9" t="s">
        <v>4</v>
      </c>
      <c r="B9">
        <v>29.3128</v>
      </c>
      <c r="C9">
        <v>29.512</v>
      </c>
      <c r="J9" t="s">
        <v>34</v>
      </c>
      <c r="K9" t="s">
        <v>18</v>
      </c>
      <c r="L9">
        <v>0.00105</v>
      </c>
    </row>
    <row r="10" spans="1:12" ht="12.75">
      <c r="A10" t="s">
        <v>5</v>
      </c>
      <c r="B10">
        <f>B8-B9</f>
        <v>0.27619999999999933</v>
      </c>
      <c r="C10">
        <f>C8-C9</f>
        <v>0.1603999999999992</v>
      </c>
      <c r="J10" t="s">
        <v>35</v>
      </c>
      <c r="K10" t="s">
        <v>19</v>
      </c>
      <c r="L10">
        <v>0.00694</v>
      </c>
    </row>
    <row r="11" spans="1:12" ht="12.75">
      <c r="A11" t="s">
        <v>55</v>
      </c>
      <c r="B11">
        <v>0.1084</v>
      </c>
      <c r="C11">
        <v>0.1084</v>
      </c>
      <c r="J11" t="s">
        <v>36</v>
      </c>
      <c r="K11" t="s">
        <v>20</v>
      </c>
      <c r="L11">
        <v>0.06707</v>
      </c>
    </row>
    <row r="12" spans="1:12" ht="12.75">
      <c r="A12" t="s">
        <v>6</v>
      </c>
      <c r="B12">
        <f>B10-B11</f>
        <v>0.16779999999999934</v>
      </c>
      <c r="C12">
        <f>C10-C11</f>
        <v>0.051999999999999214</v>
      </c>
      <c r="J12" t="s">
        <v>37</v>
      </c>
      <c r="K12" t="s">
        <v>21</v>
      </c>
      <c r="L12">
        <v>0.21704</v>
      </c>
    </row>
    <row r="13" spans="1:12" ht="12.75">
      <c r="A13" t="s">
        <v>7</v>
      </c>
      <c r="B13">
        <v>50</v>
      </c>
      <c r="C13">
        <f>(F6/20)</f>
        <v>45</v>
      </c>
      <c r="J13" t="s">
        <v>38</v>
      </c>
      <c r="K13" t="s">
        <v>23</v>
      </c>
      <c r="L13">
        <f>B18+1.3482</f>
        <v>1.3788795131845843</v>
      </c>
    </row>
    <row r="14" spans="1:12" ht="12.75">
      <c r="A14" t="s">
        <v>8</v>
      </c>
      <c r="B14">
        <f>B12*B13</f>
        <v>8.389999999999967</v>
      </c>
      <c r="C14">
        <f>C12*C13</f>
        <v>2.3399999999999648</v>
      </c>
      <c r="J14" t="s">
        <v>39</v>
      </c>
      <c r="K14" t="s">
        <v>22</v>
      </c>
      <c r="L14">
        <f>B31+0.28805</f>
        <v>0.9814069979716027</v>
      </c>
    </row>
    <row r="15" spans="1:12" ht="12.75">
      <c r="A15" t="s">
        <v>9</v>
      </c>
      <c r="B15">
        <f>B14-C14</f>
        <v>6.0500000000000025</v>
      </c>
      <c r="J15" t="s">
        <v>40</v>
      </c>
      <c r="K15" t="s">
        <v>24</v>
      </c>
      <c r="L15">
        <f>C31</f>
        <v>0.6872210953346862</v>
      </c>
    </row>
    <row r="16" spans="10:12" ht="12.75">
      <c r="J16" t="s">
        <v>41</v>
      </c>
      <c r="K16" t="s">
        <v>25</v>
      </c>
      <c r="L16">
        <f>D31</f>
        <v>0.7240365111561873</v>
      </c>
    </row>
    <row r="17" spans="10:12" ht="12.75">
      <c r="J17" t="s">
        <v>42</v>
      </c>
      <c r="K17" t="s">
        <v>26</v>
      </c>
      <c r="L17">
        <f>E31</f>
        <v>0.6810851926977683</v>
      </c>
    </row>
    <row r="18" spans="1:12" ht="12.75">
      <c r="A18" t="s">
        <v>58</v>
      </c>
      <c r="B18">
        <f>((G20-B28)/G20)*B15</f>
        <v>0.03067951318458419</v>
      </c>
      <c r="J18" t="s">
        <v>43</v>
      </c>
      <c r="K18" t="s">
        <v>27</v>
      </c>
      <c r="L18">
        <f>F31</f>
        <v>0.5706389452332663</v>
      </c>
    </row>
    <row r="19" spans="7:12" ht="12.75">
      <c r="G19" t="s">
        <v>57</v>
      </c>
      <c r="J19" t="s">
        <v>44</v>
      </c>
      <c r="K19" t="s">
        <v>28</v>
      </c>
      <c r="L19">
        <f>G31</f>
        <v>0.5215517241379316</v>
      </c>
    </row>
    <row r="20" spans="7:12" ht="12.75">
      <c r="G20">
        <v>98.6</v>
      </c>
      <c r="H20" t="s">
        <v>56</v>
      </c>
      <c r="J20" t="s">
        <v>45</v>
      </c>
      <c r="K20" t="s">
        <v>29</v>
      </c>
      <c r="L20">
        <f>H31+C14</f>
        <v>4.481430020283941</v>
      </c>
    </row>
    <row r="22" spans="10:12" ht="15">
      <c r="J22" s="3" t="s">
        <v>46</v>
      </c>
      <c r="K22" s="3"/>
      <c r="L22" s="3">
        <f>SUM(L5:L20)</f>
        <v>10.318349999999969</v>
      </c>
    </row>
    <row r="26" spans="1:8" ht="12.75">
      <c r="A26" t="s">
        <v>53</v>
      </c>
      <c r="B26">
        <v>62</v>
      </c>
      <c r="C26">
        <v>31</v>
      </c>
      <c r="D26">
        <v>16</v>
      </c>
      <c r="E26">
        <v>8</v>
      </c>
      <c r="F26">
        <v>4</v>
      </c>
      <c r="G26">
        <v>2</v>
      </c>
      <c r="H26">
        <v>1</v>
      </c>
    </row>
    <row r="28" spans="1:8" ht="12.75">
      <c r="A28" t="s">
        <v>47</v>
      </c>
      <c r="B28">
        <v>98.1</v>
      </c>
      <c r="C28">
        <v>86.8</v>
      </c>
      <c r="D28">
        <v>75.6</v>
      </c>
      <c r="E28">
        <v>63.8</v>
      </c>
      <c r="F28">
        <v>52.7</v>
      </c>
      <c r="G28">
        <v>43.4</v>
      </c>
      <c r="H28">
        <v>34.9</v>
      </c>
    </row>
    <row r="29" spans="1:8" ht="12.75">
      <c r="A29" t="s">
        <v>48</v>
      </c>
      <c r="B29">
        <f>(B28/G20)*100</f>
        <v>99.49290060851928</v>
      </c>
      <c r="C29">
        <f>(C28/G20)*100</f>
        <v>88.03245436105477</v>
      </c>
      <c r="D29">
        <f>(D28/G20)*100</f>
        <v>76.67342799188641</v>
      </c>
      <c r="E29">
        <f>(E28/G20)*100</f>
        <v>64.70588235294117</v>
      </c>
      <c r="F29">
        <f>(F28/G20)*100</f>
        <v>53.448275862068975</v>
      </c>
      <c r="G29">
        <f>(G28/G20)*100</f>
        <v>44.01622718052739</v>
      </c>
      <c r="H29">
        <f>(H28/G20)*100</f>
        <v>35.39553752535497</v>
      </c>
    </row>
    <row r="30" spans="1:8" ht="12.75">
      <c r="A30" t="s">
        <v>49</v>
      </c>
      <c r="B30">
        <f aca="true" t="shared" si="0" ref="B30:G30">B29-C29</f>
        <v>11.460446247464503</v>
      </c>
      <c r="C30">
        <f t="shared" si="0"/>
        <v>11.359026369168362</v>
      </c>
      <c r="D30">
        <f t="shared" si="0"/>
        <v>11.96754563894524</v>
      </c>
      <c r="E30">
        <f t="shared" si="0"/>
        <v>11.257606490872199</v>
      </c>
      <c r="F30">
        <f t="shared" si="0"/>
        <v>9.432048681541588</v>
      </c>
      <c r="G30">
        <f t="shared" si="0"/>
        <v>8.62068965517242</v>
      </c>
      <c r="H30">
        <f>H29</f>
        <v>35.39553752535497</v>
      </c>
    </row>
    <row r="31" spans="1:8" ht="12.75">
      <c r="A31" t="s">
        <v>50</v>
      </c>
      <c r="B31">
        <f>B15*(B30/100)</f>
        <v>0.6933569979716028</v>
      </c>
      <c r="C31">
        <f>B15*(C30/100)</f>
        <v>0.6872210953346862</v>
      </c>
      <c r="D31">
        <f>B15*(D30/100)</f>
        <v>0.7240365111561873</v>
      </c>
      <c r="E31">
        <f>B15*(E30/100)</f>
        <v>0.6810851926977683</v>
      </c>
      <c r="F31">
        <f>B15*(F30/100)</f>
        <v>0.5706389452332663</v>
      </c>
      <c r="G31">
        <f>B15*(G30/100)</f>
        <v>0.5215517241379316</v>
      </c>
      <c r="H31">
        <f>B15*(H30/100)</f>
        <v>2.1414300202839764</v>
      </c>
    </row>
    <row r="33" spans="1:8" ht="12.75">
      <c r="A33" t="s">
        <v>51</v>
      </c>
      <c r="B33" t="s">
        <v>52</v>
      </c>
      <c r="C33" t="s">
        <v>24</v>
      </c>
      <c r="D33" t="s">
        <v>25</v>
      </c>
      <c r="E33" t="s">
        <v>26</v>
      </c>
      <c r="F33" t="s">
        <v>27</v>
      </c>
      <c r="G33" t="s">
        <v>28</v>
      </c>
      <c r="H33" t="s">
        <v>54</v>
      </c>
    </row>
  </sheetData>
  <printOptions gridLines="1" horizontalCentered="1"/>
  <pageMargins left="0.5" right="0.5" top="0.5" bottom="0.5" header="0.5" footer="0.5"/>
  <pageSetup fitToHeight="1" fitToWidth="1" horizontalDpi="300" verticalDpi="3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workbookViewId="0" topLeftCell="A1">
      <selection activeCell="F15" sqref="F15"/>
    </sheetView>
  </sheetViews>
  <sheetFormatPr defaultColWidth="9.140625" defaultRowHeight="12.75"/>
  <cols>
    <col min="1" max="1" width="15.57421875" style="0" customWidth="1"/>
    <col min="3" max="3" width="10.57421875" style="0" customWidth="1"/>
    <col min="4" max="4" width="6.8515625" style="0" customWidth="1"/>
    <col min="5" max="5" width="8.57421875" style="0" customWidth="1"/>
    <col min="6" max="7" width="6.8515625" style="0" customWidth="1"/>
    <col min="8" max="8" width="6.7109375" style="0" customWidth="1"/>
    <col min="9" max="9" width="4.421875" style="0" customWidth="1"/>
    <col min="10" max="10" width="12.421875" style="0" customWidth="1"/>
    <col min="11" max="11" width="15.8515625" style="0" customWidth="1"/>
    <col min="12" max="12" width="14.00390625" style="0" customWidth="1"/>
  </cols>
  <sheetData>
    <row r="1" spans="1:3" ht="20.25">
      <c r="A1" s="2" t="s">
        <v>0</v>
      </c>
      <c r="B1" s="2"/>
      <c r="C1" s="2"/>
    </row>
    <row r="2" spans="1:4" ht="15">
      <c r="A2" s="3" t="s">
        <v>62</v>
      </c>
      <c r="B2" s="3">
        <v>100148</v>
      </c>
      <c r="C2" s="3"/>
      <c r="D2" s="3"/>
    </row>
    <row r="3" spans="1:3" ht="20.25">
      <c r="A3" s="2"/>
      <c r="B3" s="2"/>
      <c r="C3" s="2"/>
    </row>
    <row r="4" spans="5:12" ht="12.75">
      <c r="E4" t="s">
        <v>60</v>
      </c>
      <c r="H4">
        <v>0.36801</v>
      </c>
      <c r="J4" t="s">
        <v>12</v>
      </c>
      <c r="K4" t="s">
        <v>13</v>
      </c>
      <c r="L4" t="s">
        <v>59</v>
      </c>
    </row>
    <row r="5" spans="10:12" ht="12.75">
      <c r="J5" t="s">
        <v>30</v>
      </c>
      <c r="K5" t="s">
        <v>14</v>
      </c>
      <c r="L5">
        <v>0</v>
      </c>
    </row>
    <row r="6" spans="1:12" ht="12.75">
      <c r="A6" t="s">
        <v>1</v>
      </c>
      <c r="B6" t="s">
        <v>10</v>
      </c>
      <c r="C6" t="s">
        <v>11</v>
      </c>
      <c r="D6" t="s">
        <v>61</v>
      </c>
      <c r="F6">
        <v>910</v>
      </c>
      <c r="J6" t="s">
        <v>31</v>
      </c>
      <c r="K6" t="s">
        <v>15</v>
      </c>
      <c r="L6">
        <v>0</v>
      </c>
    </row>
    <row r="7" spans="1:12" ht="12.75">
      <c r="A7" t="s">
        <v>2</v>
      </c>
      <c r="J7" s="1" t="s">
        <v>32</v>
      </c>
      <c r="K7" t="s">
        <v>16</v>
      </c>
      <c r="L7">
        <v>0</v>
      </c>
    </row>
    <row r="8" spans="1:12" ht="12.75">
      <c r="A8" t="s">
        <v>3</v>
      </c>
      <c r="B8">
        <v>29.6083</v>
      </c>
      <c r="C8">
        <v>30.5912</v>
      </c>
      <c r="J8" s="1" t="s">
        <v>33</v>
      </c>
      <c r="K8" t="s">
        <v>17</v>
      </c>
      <c r="L8">
        <v>0</v>
      </c>
    </row>
    <row r="9" spans="1:12" ht="12.75">
      <c r="A9" t="s">
        <v>4</v>
      </c>
      <c r="B9">
        <v>29.3624</v>
      </c>
      <c r="C9">
        <v>30.4358</v>
      </c>
      <c r="J9" t="s">
        <v>34</v>
      </c>
      <c r="K9" t="s">
        <v>18</v>
      </c>
      <c r="L9">
        <v>0</v>
      </c>
    </row>
    <row r="10" spans="1:12" ht="12.75">
      <c r="A10" t="s">
        <v>5</v>
      </c>
      <c r="B10">
        <f>B8-B9</f>
        <v>0.2458999999999989</v>
      </c>
      <c r="C10">
        <f>C8-C9</f>
        <v>0.1554000000000002</v>
      </c>
      <c r="J10" t="s">
        <v>35</v>
      </c>
      <c r="K10" t="s">
        <v>19</v>
      </c>
      <c r="L10">
        <v>0.00364</v>
      </c>
    </row>
    <row r="11" spans="1:12" ht="12.75">
      <c r="A11" t="s">
        <v>55</v>
      </c>
      <c r="B11">
        <v>0.1084</v>
      </c>
      <c r="C11">
        <v>0.1084</v>
      </c>
      <c r="J11" t="s">
        <v>36</v>
      </c>
      <c r="K11" t="s">
        <v>20</v>
      </c>
      <c r="L11">
        <v>0.0148</v>
      </c>
    </row>
    <row r="12" spans="1:12" ht="12.75">
      <c r="A12" t="s">
        <v>6</v>
      </c>
      <c r="B12">
        <f>B10-B11</f>
        <v>0.1374999999999989</v>
      </c>
      <c r="C12">
        <f>C10-C11</f>
        <v>0.04700000000000021</v>
      </c>
      <c r="J12" t="s">
        <v>37</v>
      </c>
      <c r="K12" t="s">
        <v>21</v>
      </c>
      <c r="L12">
        <v>0.06361</v>
      </c>
    </row>
    <row r="13" spans="1:12" ht="12.75">
      <c r="A13" t="s">
        <v>7</v>
      </c>
      <c r="B13">
        <v>50</v>
      </c>
      <c r="C13">
        <f>(F6/20)</f>
        <v>45.5</v>
      </c>
      <c r="J13" t="s">
        <v>38</v>
      </c>
      <c r="K13" t="s">
        <v>23</v>
      </c>
      <c r="L13">
        <f>B18+0.25009</f>
        <v>0.2404039059304703</v>
      </c>
    </row>
    <row r="14" spans="1:12" ht="12.75">
      <c r="A14" t="s">
        <v>8</v>
      </c>
      <c r="B14">
        <f>B12*B13</f>
        <v>6.874999999999945</v>
      </c>
      <c r="C14">
        <f>C12*C13</f>
        <v>2.1385000000000094</v>
      </c>
      <c r="J14" t="s">
        <v>39</v>
      </c>
      <c r="K14" t="s">
        <v>22</v>
      </c>
      <c r="L14">
        <f>B31+0.03365</f>
        <v>0.188627505112473</v>
      </c>
    </row>
    <row r="15" spans="1:12" ht="12.75">
      <c r="A15" t="s">
        <v>9</v>
      </c>
      <c r="B15">
        <f>B14-C14</f>
        <v>4.7364999999999355</v>
      </c>
      <c r="J15" t="s">
        <v>40</v>
      </c>
      <c r="K15" t="s">
        <v>24</v>
      </c>
      <c r="L15">
        <f>C31</f>
        <v>0.2469953987730023</v>
      </c>
    </row>
    <row r="16" spans="10:12" ht="12.75">
      <c r="J16" t="s">
        <v>41</v>
      </c>
      <c r="K16" t="s">
        <v>25</v>
      </c>
      <c r="L16">
        <f>D31</f>
        <v>0.6441252556237133</v>
      </c>
    </row>
    <row r="17" spans="10:12" ht="12.75">
      <c r="J17" t="s">
        <v>42</v>
      </c>
      <c r="K17" t="s">
        <v>26</v>
      </c>
      <c r="L17">
        <f>E31</f>
        <v>0.6683404907975371</v>
      </c>
    </row>
    <row r="18" spans="1:12" ht="12.75">
      <c r="A18" t="s">
        <v>58</v>
      </c>
      <c r="B18">
        <f>((G20-B28)/G20)*B15</f>
        <v>-0.009686094069529659</v>
      </c>
      <c r="J18" t="s">
        <v>43</v>
      </c>
      <c r="K18" t="s">
        <v>27</v>
      </c>
      <c r="L18">
        <f>F31</f>
        <v>0.5617934560327124</v>
      </c>
    </row>
    <row r="19" spans="7:12" ht="12.75">
      <c r="G19" t="s">
        <v>57</v>
      </c>
      <c r="J19" t="s">
        <v>44</v>
      </c>
      <c r="K19" t="s">
        <v>28</v>
      </c>
      <c r="L19">
        <f>G31</f>
        <v>0.5666365030674771</v>
      </c>
    </row>
    <row r="20" spans="7:12" ht="12.75">
      <c r="G20">
        <v>97.8</v>
      </c>
      <c r="H20" t="s">
        <v>56</v>
      </c>
      <c r="J20" t="s">
        <v>45</v>
      </c>
      <c r="K20" t="s">
        <v>29</v>
      </c>
      <c r="L20">
        <f>H31+C14</f>
        <v>4.04181748466256</v>
      </c>
    </row>
    <row r="22" spans="10:12" ht="15">
      <c r="J22" s="3" t="s">
        <v>46</v>
      </c>
      <c r="K22" s="3"/>
      <c r="L22" s="3">
        <f>SUM(L5:L20)</f>
        <v>7.240789999999945</v>
      </c>
    </row>
    <row r="26" spans="1:8" ht="12.75">
      <c r="A26" t="s">
        <v>53</v>
      </c>
      <c r="B26">
        <v>62</v>
      </c>
      <c r="C26">
        <v>31</v>
      </c>
      <c r="D26">
        <v>16</v>
      </c>
      <c r="E26">
        <v>8</v>
      </c>
      <c r="F26">
        <v>4</v>
      </c>
      <c r="G26">
        <v>2</v>
      </c>
      <c r="H26">
        <v>1</v>
      </c>
    </row>
    <row r="28" spans="1:8" ht="12.75">
      <c r="A28" t="s">
        <v>47</v>
      </c>
      <c r="B28">
        <v>98</v>
      </c>
      <c r="C28">
        <v>94.8</v>
      </c>
      <c r="D28">
        <v>89.7</v>
      </c>
      <c r="E28">
        <v>76.4</v>
      </c>
      <c r="F28">
        <v>62.6</v>
      </c>
      <c r="G28">
        <v>51</v>
      </c>
      <c r="H28">
        <v>39.3</v>
      </c>
    </row>
    <row r="29" spans="1:8" ht="12.75">
      <c r="A29" t="s">
        <v>48</v>
      </c>
      <c r="B29">
        <f>(B28/G20)*100</f>
        <v>100.20449897750512</v>
      </c>
      <c r="C29">
        <f>(C28/G20)*100</f>
        <v>96.93251533742331</v>
      </c>
      <c r="D29">
        <f>(D28/G20)*100</f>
        <v>91.71779141104295</v>
      </c>
      <c r="E29">
        <f>(E28/G20)*100</f>
        <v>78.11860940695297</v>
      </c>
      <c r="F29">
        <f>(F28/G20)*100</f>
        <v>64.0081799591002</v>
      </c>
      <c r="G29">
        <f>(G28/G20)*100</f>
        <v>52.14723926380368</v>
      </c>
      <c r="H29">
        <f>(H28/G20)*100</f>
        <v>40.184049079754594</v>
      </c>
    </row>
    <row r="30" spans="1:8" ht="12.75">
      <c r="A30" t="s">
        <v>49</v>
      </c>
      <c r="B30">
        <f aca="true" t="shared" si="0" ref="B30:G30">B29-C29</f>
        <v>3.271983640081814</v>
      </c>
      <c r="C30">
        <f t="shared" si="0"/>
        <v>5.214723926380358</v>
      </c>
      <c r="D30">
        <f t="shared" si="0"/>
        <v>13.599182004089982</v>
      </c>
      <c r="E30">
        <f t="shared" si="0"/>
        <v>14.110429447852766</v>
      </c>
      <c r="F30">
        <f t="shared" si="0"/>
        <v>11.860940695296527</v>
      </c>
      <c r="G30">
        <f t="shared" si="0"/>
        <v>11.963190184049083</v>
      </c>
      <c r="H30">
        <f>H29</f>
        <v>40.184049079754594</v>
      </c>
    </row>
    <row r="31" spans="1:8" ht="12.75">
      <c r="A31" t="s">
        <v>50</v>
      </c>
      <c r="B31">
        <f>B15*(B30/100)</f>
        <v>0.154977505112473</v>
      </c>
      <c r="C31">
        <f>B15*(C30/100)</f>
        <v>0.2469953987730023</v>
      </c>
      <c r="D31">
        <f>B15*(D30/100)</f>
        <v>0.6441252556237133</v>
      </c>
      <c r="E31">
        <f>B15*(E30/100)</f>
        <v>0.6683404907975371</v>
      </c>
      <c r="F31">
        <f>B15*(F30/100)</f>
        <v>0.5617934560327124</v>
      </c>
      <c r="G31">
        <f>B15*(G30/100)</f>
        <v>0.5666365030674771</v>
      </c>
      <c r="H31">
        <f>B15*(H30/100)</f>
        <v>1.9033174846625502</v>
      </c>
    </row>
    <row r="33" spans="1:8" ht="12.75">
      <c r="A33" t="s">
        <v>51</v>
      </c>
      <c r="B33" t="s">
        <v>52</v>
      </c>
      <c r="C33" t="s">
        <v>24</v>
      </c>
      <c r="D33" t="s">
        <v>25</v>
      </c>
      <c r="E33" t="s">
        <v>26</v>
      </c>
      <c r="F33" t="s">
        <v>27</v>
      </c>
      <c r="G33" t="s">
        <v>28</v>
      </c>
      <c r="H33" t="s">
        <v>54</v>
      </c>
    </row>
  </sheetData>
  <printOptions gridLines="1" horizontalCentered="1"/>
  <pageMargins left="0.5" right="0.5" top="0.5" bottom="0.5" header="0.5" footer="0.5"/>
  <pageSetup fitToHeight="1" fitToWidth="1" horizontalDpi="300" verticalDpi="3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workbookViewId="0" topLeftCell="A1">
      <selection activeCell="F15" sqref="F15"/>
    </sheetView>
  </sheetViews>
  <sheetFormatPr defaultColWidth="9.140625" defaultRowHeight="12.75"/>
  <cols>
    <col min="1" max="1" width="15.57421875" style="0" customWidth="1"/>
    <col min="3" max="3" width="10.57421875" style="0" customWidth="1"/>
    <col min="4" max="4" width="6.8515625" style="0" customWidth="1"/>
    <col min="5" max="5" width="8.57421875" style="0" customWidth="1"/>
    <col min="6" max="7" width="6.8515625" style="0" customWidth="1"/>
    <col min="8" max="8" width="6.7109375" style="0" customWidth="1"/>
    <col min="9" max="9" width="4.421875" style="0" customWidth="1"/>
    <col min="10" max="10" width="12.421875" style="0" customWidth="1"/>
    <col min="11" max="11" width="15.8515625" style="0" customWidth="1"/>
    <col min="12" max="12" width="14.00390625" style="0" customWidth="1"/>
  </cols>
  <sheetData>
    <row r="1" spans="1:3" ht="20.25">
      <c r="A1" s="2" t="s">
        <v>0</v>
      </c>
      <c r="B1" s="2"/>
      <c r="C1" s="2"/>
    </row>
    <row r="2" spans="1:4" ht="15">
      <c r="A2" s="3" t="s">
        <v>62</v>
      </c>
      <c r="B2" s="3">
        <v>100149</v>
      </c>
      <c r="C2" s="3"/>
      <c r="D2" s="3"/>
    </row>
    <row r="3" spans="1:3" ht="20.25">
      <c r="A3" s="2"/>
      <c r="B3" s="2"/>
      <c r="C3" s="2"/>
    </row>
    <row r="4" spans="5:12" ht="12.75">
      <c r="E4" t="s">
        <v>60</v>
      </c>
      <c r="H4">
        <v>4.48204</v>
      </c>
      <c r="J4" t="s">
        <v>12</v>
      </c>
      <c r="K4" t="s">
        <v>13</v>
      </c>
      <c r="L4" t="s">
        <v>59</v>
      </c>
    </row>
    <row r="5" spans="10:12" ht="12.75">
      <c r="J5" t="s">
        <v>30</v>
      </c>
      <c r="K5" t="s">
        <v>14</v>
      </c>
      <c r="L5">
        <v>0</v>
      </c>
    </row>
    <row r="6" spans="1:12" ht="12.75">
      <c r="A6" t="s">
        <v>1</v>
      </c>
      <c r="B6" t="s">
        <v>10</v>
      </c>
      <c r="C6" t="s">
        <v>11</v>
      </c>
      <c r="D6" t="s">
        <v>61</v>
      </c>
      <c r="F6">
        <v>900</v>
      </c>
      <c r="J6" t="s">
        <v>31</v>
      </c>
      <c r="K6" t="s">
        <v>15</v>
      </c>
      <c r="L6">
        <v>0</v>
      </c>
    </row>
    <row r="7" spans="1:12" ht="12.75">
      <c r="A7" t="s">
        <v>2</v>
      </c>
      <c r="J7" s="1" t="s">
        <v>32</v>
      </c>
      <c r="K7" t="s">
        <v>16</v>
      </c>
      <c r="L7">
        <v>0</v>
      </c>
    </row>
    <row r="8" spans="1:12" ht="12.75">
      <c r="A8" t="s">
        <v>3</v>
      </c>
      <c r="B8">
        <v>29.3615</v>
      </c>
      <c r="C8">
        <v>31.0472</v>
      </c>
      <c r="J8" s="1" t="s">
        <v>33</v>
      </c>
      <c r="K8" t="s">
        <v>17</v>
      </c>
      <c r="L8">
        <v>0.00824</v>
      </c>
    </row>
    <row r="9" spans="1:12" ht="12.75">
      <c r="A9" t="s">
        <v>4</v>
      </c>
      <c r="B9">
        <v>29.0724</v>
      </c>
      <c r="C9">
        <v>30.8932</v>
      </c>
      <c r="J9" t="s">
        <v>34</v>
      </c>
      <c r="K9" t="s">
        <v>18</v>
      </c>
      <c r="L9">
        <v>0.0028</v>
      </c>
    </row>
    <row r="10" spans="1:12" ht="12.75">
      <c r="A10" t="s">
        <v>5</v>
      </c>
      <c r="B10">
        <f>B8-B9</f>
        <v>0.28910000000000124</v>
      </c>
      <c r="C10">
        <f>C8-C9</f>
        <v>0.15399999999999991</v>
      </c>
      <c r="J10" t="s">
        <v>35</v>
      </c>
      <c r="K10" t="s">
        <v>19</v>
      </c>
      <c r="L10">
        <v>0.00529</v>
      </c>
    </row>
    <row r="11" spans="1:12" ht="12.75">
      <c r="A11" t="s">
        <v>55</v>
      </c>
      <c r="B11">
        <v>0.1084</v>
      </c>
      <c r="C11">
        <v>0.1084</v>
      </c>
      <c r="J11" t="s">
        <v>36</v>
      </c>
      <c r="K11" t="s">
        <v>20</v>
      </c>
      <c r="L11">
        <v>0.10922</v>
      </c>
    </row>
    <row r="12" spans="1:12" ht="12.75">
      <c r="A12" t="s">
        <v>6</v>
      </c>
      <c r="B12">
        <f>B10-B11</f>
        <v>0.18070000000000125</v>
      </c>
      <c r="C12">
        <f>C10-C11</f>
        <v>0.04559999999999992</v>
      </c>
      <c r="J12" t="s">
        <v>37</v>
      </c>
      <c r="K12" t="s">
        <v>21</v>
      </c>
      <c r="L12">
        <v>0.36602</v>
      </c>
    </row>
    <row r="13" spans="1:12" ht="12.75">
      <c r="A13" t="s">
        <v>7</v>
      </c>
      <c r="B13">
        <v>50</v>
      </c>
      <c r="C13">
        <f>(F6/20)</f>
        <v>45</v>
      </c>
      <c r="J13" t="s">
        <v>38</v>
      </c>
      <c r="K13" t="s">
        <v>23</v>
      </c>
      <c r="L13">
        <f>B18+3.1987</f>
        <v>3.2413225839267548</v>
      </c>
    </row>
    <row r="14" spans="1:12" ht="12.75">
      <c r="A14" t="s">
        <v>8</v>
      </c>
      <c r="B14">
        <f>B12*B13</f>
        <v>9.035000000000062</v>
      </c>
      <c r="C14">
        <f>C12*C13</f>
        <v>2.0519999999999965</v>
      </c>
      <c r="J14" t="s">
        <v>39</v>
      </c>
      <c r="K14" t="s">
        <v>22</v>
      </c>
      <c r="L14">
        <f>B31+0.75671</f>
        <v>2.4047832451678692</v>
      </c>
    </row>
    <row r="15" spans="1:12" ht="12.75">
      <c r="A15" t="s">
        <v>9</v>
      </c>
      <c r="B15">
        <f>B14-C14</f>
        <v>6.983000000000066</v>
      </c>
      <c r="J15" t="s">
        <v>40</v>
      </c>
      <c r="K15" t="s">
        <v>24</v>
      </c>
      <c r="L15">
        <f>C31</f>
        <v>1.3213001017294126</v>
      </c>
    </row>
    <row r="16" spans="10:12" ht="12.75">
      <c r="J16" t="s">
        <v>41</v>
      </c>
      <c r="K16" t="s">
        <v>25</v>
      </c>
      <c r="L16">
        <f>D31</f>
        <v>0.8098290946083497</v>
      </c>
    </row>
    <row r="17" spans="10:12" ht="12.75">
      <c r="J17" t="s">
        <v>42</v>
      </c>
      <c r="K17" t="s">
        <v>26</v>
      </c>
      <c r="L17">
        <f>E31</f>
        <v>0.5540935910478184</v>
      </c>
    </row>
    <row r="18" spans="1:12" ht="12.75">
      <c r="A18" t="s">
        <v>58</v>
      </c>
      <c r="B18">
        <f>((G20-B28)/G20)*B15</f>
        <v>0.04262258392675484</v>
      </c>
      <c r="J18" t="s">
        <v>43</v>
      </c>
      <c r="K18" t="s">
        <v>27</v>
      </c>
      <c r="L18">
        <f>F31</f>
        <v>0.48305595116989253</v>
      </c>
    </row>
    <row r="19" spans="7:12" ht="12.75">
      <c r="G19" t="s">
        <v>57</v>
      </c>
      <c r="J19" t="s">
        <v>44</v>
      </c>
      <c r="K19" t="s">
        <v>28</v>
      </c>
      <c r="L19">
        <f>G31</f>
        <v>0.4688484231943074</v>
      </c>
    </row>
    <row r="20" spans="7:12" ht="12.75">
      <c r="G20">
        <v>98.3</v>
      </c>
      <c r="H20" t="s">
        <v>56</v>
      </c>
      <c r="J20" t="s">
        <v>45</v>
      </c>
      <c r="K20" t="s">
        <v>29</v>
      </c>
      <c r="L20">
        <f>H31+C14</f>
        <v>3.707177009155658</v>
      </c>
    </row>
    <row r="22" spans="10:12" ht="15">
      <c r="J22" s="3" t="s">
        <v>46</v>
      </c>
      <c r="K22" s="3"/>
      <c r="L22" s="3">
        <f>SUM(L5:L20)</f>
        <v>13.481980000000064</v>
      </c>
    </row>
    <row r="26" spans="1:8" ht="12.75">
      <c r="A26" t="s">
        <v>53</v>
      </c>
      <c r="B26">
        <v>62</v>
      </c>
      <c r="C26">
        <v>31</v>
      </c>
      <c r="D26">
        <v>16</v>
      </c>
      <c r="E26">
        <v>8</v>
      </c>
      <c r="F26">
        <v>4</v>
      </c>
      <c r="G26">
        <v>2</v>
      </c>
      <c r="H26">
        <v>1</v>
      </c>
    </row>
    <row r="28" spans="1:8" ht="12.75">
      <c r="A28" t="s">
        <v>47</v>
      </c>
      <c r="B28">
        <v>97.7</v>
      </c>
      <c r="C28">
        <v>74.5</v>
      </c>
      <c r="D28">
        <v>55.9</v>
      </c>
      <c r="E28">
        <v>44.5</v>
      </c>
      <c r="F28">
        <v>36.7</v>
      </c>
      <c r="G28">
        <v>29.9</v>
      </c>
      <c r="H28">
        <v>23.3</v>
      </c>
    </row>
    <row r="29" spans="1:8" ht="12.75">
      <c r="A29" t="s">
        <v>48</v>
      </c>
      <c r="B29">
        <f>(B28/G20)*100</f>
        <v>99.38962360122076</v>
      </c>
      <c r="C29">
        <f>(C28/G20)*100</f>
        <v>75.7884028484232</v>
      </c>
      <c r="D29">
        <f>(D28/G20)*100</f>
        <v>56.86673448626654</v>
      </c>
      <c r="E29">
        <f>(E28/G20)*100</f>
        <v>45.26958290946084</v>
      </c>
      <c r="F29">
        <f>(F28/G20)*100</f>
        <v>37.33468972533062</v>
      </c>
      <c r="G29">
        <f>(G28/G20)*100</f>
        <v>30.41709053916582</v>
      </c>
      <c r="H29">
        <f>(H28/G20)*100</f>
        <v>23.702950152594102</v>
      </c>
    </row>
    <row r="30" spans="1:8" ht="12.75">
      <c r="A30" t="s">
        <v>49</v>
      </c>
      <c r="B30">
        <f aca="true" t="shared" si="0" ref="B30:G30">B29-C29</f>
        <v>23.60122075279756</v>
      </c>
      <c r="C30">
        <f t="shared" si="0"/>
        <v>18.921668362156666</v>
      </c>
      <c r="D30">
        <f t="shared" si="0"/>
        <v>11.5971515768057</v>
      </c>
      <c r="E30">
        <f t="shared" si="0"/>
        <v>7.9348931841302175</v>
      </c>
      <c r="F30">
        <f t="shared" si="0"/>
        <v>6.9175991861648</v>
      </c>
      <c r="G30">
        <f t="shared" si="0"/>
        <v>6.714140386571717</v>
      </c>
      <c r="H30">
        <f>H29</f>
        <v>23.702950152594102</v>
      </c>
    </row>
    <row r="31" spans="1:8" ht="12.75">
      <c r="A31" t="s">
        <v>50</v>
      </c>
      <c r="B31">
        <f>B15*(B30/100)</f>
        <v>1.648073245167869</v>
      </c>
      <c r="C31">
        <f>B15*(C30/100)</f>
        <v>1.3213001017294126</v>
      </c>
      <c r="D31">
        <f>B15*(D30/100)</f>
        <v>0.8098290946083497</v>
      </c>
      <c r="E31">
        <f>B15*(E30/100)</f>
        <v>0.5540935910478184</v>
      </c>
      <c r="F31">
        <f>B15*(F30/100)</f>
        <v>0.48305595116989253</v>
      </c>
      <c r="G31">
        <f>B15*(G30/100)</f>
        <v>0.4688484231943074</v>
      </c>
      <c r="H31">
        <f>B15*(H30/100)</f>
        <v>1.655177009155662</v>
      </c>
    </row>
    <row r="33" spans="1:8" ht="12.75">
      <c r="A33" t="s">
        <v>51</v>
      </c>
      <c r="B33" t="s">
        <v>52</v>
      </c>
      <c r="C33" t="s">
        <v>24</v>
      </c>
      <c r="D33" t="s">
        <v>25</v>
      </c>
      <c r="E33" t="s">
        <v>26</v>
      </c>
      <c r="F33" t="s">
        <v>27</v>
      </c>
      <c r="G33" t="s">
        <v>28</v>
      </c>
      <c r="H33" t="s">
        <v>54</v>
      </c>
    </row>
  </sheetData>
  <printOptions gridLines="1" horizontalCentered="1"/>
  <pageMargins left="0.5" right="0.5" top="0.5" bottom="0.5" header="0.5" footer="0.5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workbookViewId="0" topLeftCell="A1">
      <selection activeCell="F15" sqref="F15"/>
    </sheetView>
  </sheetViews>
  <sheetFormatPr defaultColWidth="9.140625" defaultRowHeight="12.75"/>
  <cols>
    <col min="1" max="1" width="25.421875" style="0" customWidth="1"/>
  </cols>
  <sheetData>
    <row r="1" spans="1:6" ht="18">
      <c r="A1" s="4" t="s">
        <v>63</v>
      </c>
      <c r="B1" s="5"/>
      <c r="C1" s="6"/>
      <c r="D1" s="6"/>
      <c r="E1" s="6"/>
      <c r="F1" s="6"/>
    </row>
    <row r="2" spans="1:6" ht="18">
      <c r="A2" s="4"/>
      <c r="B2" s="5"/>
      <c r="C2" s="6"/>
      <c r="D2" s="6"/>
      <c r="E2" s="6"/>
      <c r="F2" s="6"/>
    </row>
    <row r="3" spans="1:6" ht="15">
      <c r="A3" s="7" t="s">
        <v>62</v>
      </c>
      <c r="B3" s="7">
        <v>100132</v>
      </c>
      <c r="C3" s="6"/>
      <c r="D3" s="6"/>
      <c r="E3" s="6"/>
      <c r="F3" s="6"/>
    </row>
    <row r="4" spans="1:6" ht="12.75">
      <c r="A4" s="6"/>
      <c r="B4" s="6"/>
      <c r="C4" s="6"/>
      <c r="D4" s="6"/>
      <c r="E4" s="6"/>
      <c r="F4" s="6"/>
    </row>
    <row r="5" spans="1:6" ht="12.75">
      <c r="A5" s="8" t="s">
        <v>64</v>
      </c>
      <c r="B5" s="9">
        <v>10.947</v>
      </c>
      <c r="C5" s="6"/>
      <c r="D5" s="6"/>
      <c r="E5" s="6"/>
      <c r="F5" s="6"/>
    </row>
    <row r="6" spans="1:6" ht="12.75">
      <c r="A6" s="6"/>
      <c r="B6" s="6"/>
      <c r="C6" s="6"/>
      <c r="D6" s="6"/>
      <c r="E6" s="6"/>
      <c r="F6" s="6"/>
    </row>
    <row r="7" spans="1:6" ht="12.75">
      <c r="A7" s="8"/>
      <c r="B7" s="6"/>
      <c r="C7" s="10" t="s">
        <v>65</v>
      </c>
      <c r="D7" s="10" t="s">
        <v>66</v>
      </c>
      <c r="E7" s="10" t="s">
        <v>67</v>
      </c>
      <c r="F7" s="10"/>
    </row>
    <row r="8" spans="1:6" ht="12.75">
      <c r="A8" s="6"/>
      <c r="B8" s="6" t="s">
        <v>68</v>
      </c>
      <c r="C8" s="6" t="s">
        <v>69</v>
      </c>
      <c r="D8" s="11" t="s">
        <v>70</v>
      </c>
      <c r="E8" s="12">
        <v>0</v>
      </c>
      <c r="F8" s="6"/>
    </row>
    <row r="9" spans="1:6" ht="12.75">
      <c r="A9" s="6"/>
      <c r="B9" s="6"/>
      <c r="C9" s="6" t="s">
        <v>71</v>
      </c>
      <c r="D9" s="11" t="s">
        <v>72</v>
      </c>
      <c r="E9" s="12">
        <v>0</v>
      </c>
      <c r="F9" s="6"/>
    </row>
    <row r="10" spans="1:6" ht="12.75">
      <c r="A10" s="6"/>
      <c r="B10" s="11"/>
      <c r="C10" s="11" t="s">
        <v>73</v>
      </c>
      <c r="D10" s="11" t="s">
        <v>74</v>
      </c>
      <c r="E10" s="12">
        <v>0</v>
      </c>
      <c r="F10" s="6"/>
    </row>
    <row r="11" spans="1:6" ht="12.75">
      <c r="A11" s="6"/>
      <c r="B11" s="11"/>
      <c r="C11" s="11" t="s">
        <v>75</v>
      </c>
      <c r="D11" s="11" t="s">
        <v>76</v>
      </c>
      <c r="E11" s="12">
        <v>0</v>
      </c>
      <c r="F11" s="6"/>
    </row>
    <row r="12" spans="1:6" ht="12.75">
      <c r="A12" s="6"/>
      <c r="B12" s="11" t="s">
        <v>77</v>
      </c>
      <c r="C12" s="11" t="s">
        <v>78</v>
      </c>
      <c r="D12" s="11" t="s">
        <v>79</v>
      </c>
      <c r="E12" s="12">
        <v>0</v>
      </c>
      <c r="F12" s="6"/>
    </row>
    <row r="13" spans="1:6" ht="12.75">
      <c r="A13" s="6"/>
      <c r="B13" s="6"/>
      <c r="C13" s="6" t="s">
        <v>80</v>
      </c>
      <c r="D13" s="11" t="s">
        <v>19</v>
      </c>
      <c r="E13" s="12">
        <v>0.0115</v>
      </c>
      <c r="F13" s="6"/>
    </row>
    <row r="14" spans="1:6" ht="12.75">
      <c r="A14" s="6"/>
      <c r="B14" s="6"/>
      <c r="C14" s="6" t="s">
        <v>81</v>
      </c>
      <c r="D14" s="11" t="s">
        <v>20</v>
      </c>
      <c r="E14" s="12">
        <v>0.01875</v>
      </c>
      <c r="F14" s="6"/>
    </row>
    <row r="15" spans="1:6" ht="12.75">
      <c r="A15" s="6"/>
      <c r="B15" s="6"/>
      <c r="C15" s="6" t="s">
        <v>82</v>
      </c>
      <c r="D15" s="11" t="s">
        <v>21</v>
      </c>
      <c r="E15" s="12">
        <v>1.04225</v>
      </c>
      <c r="F15" s="6"/>
    </row>
    <row r="16" spans="1:6" ht="12.75">
      <c r="A16" s="6"/>
      <c r="B16" s="6"/>
      <c r="C16" s="6" t="s">
        <v>83</v>
      </c>
      <c r="D16" s="6" t="s">
        <v>84</v>
      </c>
      <c r="E16" s="12">
        <v>9.2552</v>
      </c>
      <c r="F16" s="6"/>
    </row>
    <row r="17" spans="1:6" ht="12.75">
      <c r="A17" s="6"/>
      <c r="B17" s="6" t="s">
        <v>85</v>
      </c>
      <c r="C17" s="6" t="s">
        <v>86</v>
      </c>
      <c r="D17" s="6" t="s">
        <v>87</v>
      </c>
      <c r="E17" s="12">
        <v>0.55008</v>
      </c>
      <c r="F17" s="6"/>
    </row>
  </sheetData>
  <printOptions gridLines="1" horizontalCentered="1"/>
  <pageMargins left="0.5" right="0.5" top="0.5" bottom="0.5" header="0.5" footer="0.5"/>
  <pageSetup fitToHeight="1" fitToWidth="1" horizontalDpi="300" verticalDpi="3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workbookViewId="0" topLeftCell="A1">
      <selection activeCell="F15" sqref="F15"/>
    </sheetView>
  </sheetViews>
  <sheetFormatPr defaultColWidth="9.140625" defaultRowHeight="12.75"/>
  <cols>
    <col min="1" max="1" width="15.57421875" style="0" customWidth="1"/>
    <col min="3" max="3" width="10.57421875" style="0" customWidth="1"/>
    <col min="4" max="4" width="6.8515625" style="0" customWidth="1"/>
    <col min="5" max="5" width="8.57421875" style="0" customWidth="1"/>
    <col min="6" max="7" width="6.8515625" style="0" customWidth="1"/>
    <col min="8" max="8" width="6.7109375" style="0" customWidth="1"/>
    <col min="9" max="9" width="4.421875" style="0" customWidth="1"/>
    <col min="10" max="10" width="12.421875" style="0" customWidth="1"/>
    <col min="11" max="11" width="15.8515625" style="0" customWidth="1"/>
    <col min="12" max="12" width="14.00390625" style="0" customWidth="1"/>
  </cols>
  <sheetData>
    <row r="1" spans="1:3" ht="20.25">
      <c r="A1" s="2" t="s">
        <v>0</v>
      </c>
      <c r="B1" s="2"/>
      <c r="C1" s="2"/>
    </row>
    <row r="2" spans="1:4" ht="15">
      <c r="A2" s="3" t="s">
        <v>62</v>
      </c>
      <c r="B2" s="3">
        <v>100150</v>
      </c>
      <c r="C2" s="3"/>
      <c r="D2" s="3"/>
    </row>
    <row r="3" spans="1:3" ht="20.25">
      <c r="A3" s="2"/>
      <c r="B3" s="2"/>
      <c r="C3" s="2"/>
    </row>
    <row r="4" spans="5:12" ht="12.75">
      <c r="E4" t="s">
        <v>60</v>
      </c>
      <c r="H4">
        <v>0.30365</v>
      </c>
      <c r="J4" t="s">
        <v>12</v>
      </c>
      <c r="K4" t="s">
        <v>13</v>
      </c>
      <c r="L4" t="s">
        <v>59</v>
      </c>
    </row>
    <row r="5" spans="10:12" ht="12.75">
      <c r="J5" t="s">
        <v>30</v>
      </c>
      <c r="K5" t="s">
        <v>14</v>
      </c>
      <c r="L5">
        <v>0</v>
      </c>
    </row>
    <row r="6" spans="1:12" ht="12.75">
      <c r="A6" t="s">
        <v>1</v>
      </c>
      <c r="B6" t="s">
        <v>10</v>
      </c>
      <c r="C6" t="s">
        <v>11</v>
      </c>
      <c r="D6" t="s">
        <v>61</v>
      </c>
      <c r="F6">
        <v>900</v>
      </c>
      <c r="J6" t="s">
        <v>31</v>
      </c>
      <c r="K6" t="s">
        <v>15</v>
      </c>
      <c r="L6">
        <v>0</v>
      </c>
    </row>
    <row r="7" spans="1:12" ht="12.75">
      <c r="A7" t="s">
        <v>2</v>
      </c>
      <c r="J7" s="1" t="s">
        <v>32</v>
      </c>
      <c r="K7" t="s">
        <v>16</v>
      </c>
      <c r="L7">
        <v>0</v>
      </c>
    </row>
    <row r="8" spans="1:12" ht="12.75">
      <c r="A8" t="s">
        <v>3</v>
      </c>
      <c r="B8">
        <v>29.9413</v>
      </c>
      <c r="C8">
        <v>30.932</v>
      </c>
      <c r="J8" s="1" t="s">
        <v>33</v>
      </c>
      <c r="K8" t="s">
        <v>17</v>
      </c>
      <c r="L8">
        <v>0</v>
      </c>
    </row>
    <row r="9" spans="1:12" ht="12.75">
      <c r="A9" t="s">
        <v>4</v>
      </c>
      <c r="B9">
        <v>29.692</v>
      </c>
      <c r="C9">
        <v>30.7697</v>
      </c>
      <c r="J9" t="s">
        <v>34</v>
      </c>
      <c r="K9" t="s">
        <v>18</v>
      </c>
      <c r="L9">
        <v>0</v>
      </c>
    </row>
    <row r="10" spans="1:12" ht="12.75">
      <c r="A10" t="s">
        <v>5</v>
      </c>
      <c r="B10">
        <f>B8-B9</f>
        <v>0.24929999999999808</v>
      </c>
      <c r="C10">
        <f>C8-C9</f>
        <v>0.16229999999999833</v>
      </c>
      <c r="J10" t="s">
        <v>35</v>
      </c>
      <c r="K10" t="s">
        <v>19</v>
      </c>
      <c r="L10">
        <v>0.00099</v>
      </c>
    </row>
    <row r="11" spans="1:12" ht="12.75">
      <c r="A11" t="s">
        <v>55</v>
      </c>
      <c r="B11">
        <v>0.1084</v>
      </c>
      <c r="C11">
        <v>0.1084</v>
      </c>
      <c r="J11" t="s">
        <v>36</v>
      </c>
      <c r="K11" t="s">
        <v>20</v>
      </c>
      <c r="L11">
        <v>0.0125</v>
      </c>
    </row>
    <row r="12" spans="1:12" ht="12.75">
      <c r="A12" t="s">
        <v>6</v>
      </c>
      <c r="B12">
        <f>B10-B11</f>
        <v>0.14089999999999808</v>
      </c>
      <c r="C12">
        <f>C10-C11</f>
        <v>0.05389999999999834</v>
      </c>
      <c r="J12" t="s">
        <v>37</v>
      </c>
      <c r="K12" t="s">
        <v>21</v>
      </c>
      <c r="L12">
        <v>0.03882</v>
      </c>
    </row>
    <row r="13" spans="1:12" ht="12.75">
      <c r="A13" t="s">
        <v>7</v>
      </c>
      <c r="B13">
        <v>50</v>
      </c>
      <c r="C13">
        <f>(F6/20)</f>
        <v>45</v>
      </c>
      <c r="J13" t="s">
        <v>38</v>
      </c>
      <c r="K13" t="s">
        <v>23</v>
      </c>
      <c r="L13">
        <f>B18+0.20704</f>
        <v>0.21641018255578037</v>
      </c>
    </row>
    <row r="14" spans="1:12" ht="12.75">
      <c r="A14" t="s">
        <v>8</v>
      </c>
      <c r="B14">
        <f>B12*B13</f>
        <v>7.044999999999904</v>
      </c>
      <c r="C14">
        <f>C12*C13</f>
        <v>2.4254999999999254</v>
      </c>
      <c r="J14" t="s">
        <v>39</v>
      </c>
      <c r="K14" t="s">
        <v>22</v>
      </c>
      <c r="L14">
        <f>B31+0.04405</f>
        <v>0.26424929006085096</v>
      </c>
    </row>
    <row r="15" spans="1:12" ht="12.75">
      <c r="A15" t="s">
        <v>9</v>
      </c>
      <c r="B15">
        <f>B14-C14</f>
        <v>4.619499999999979</v>
      </c>
      <c r="J15" t="s">
        <v>40</v>
      </c>
      <c r="K15" t="s">
        <v>24</v>
      </c>
      <c r="L15">
        <f>C31</f>
        <v>0.40291784989857865</v>
      </c>
    </row>
    <row r="16" spans="10:12" ht="12.75">
      <c r="J16" t="s">
        <v>41</v>
      </c>
      <c r="K16" t="s">
        <v>25</v>
      </c>
      <c r="L16">
        <f>D31</f>
        <v>0.7308742393509097</v>
      </c>
    </row>
    <row r="17" spans="10:12" ht="12.75">
      <c r="J17" t="s">
        <v>42</v>
      </c>
      <c r="K17" t="s">
        <v>26</v>
      </c>
      <c r="L17">
        <f>E31</f>
        <v>0.6184320486815388</v>
      </c>
    </row>
    <row r="18" spans="1:12" ht="12.75">
      <c r="A18" t="s">
        <v>58</v>
      </c>
      <c r="B18">
        <f>((G20-B28)/G20)*B15</f>
        <v>0.009370182555780357</v>
      </c>
      <c r="J18" t="s">
        <v>43</v>
      </c>
      <c r="K18" t="s">
        <v>27</v>
      </c>
      <c r="L18">
        <f>F31</f>
        <v>0.5341004056795106</v>
      </c>
    </row>
    <row r="19" spans="7:12" ht="12.75">
      <c r="G19" t="s">
        <v>57</v>
      </c>
      <c r="J19" t="s">
        <v>44</v>
      </c>
      <c r="K19" t="s">
        <v>28</v>
      </c>
      <c r="L19">
        <f>G31</f>
        <v>0.4919345841784968</v>
      </c>
    </row>
    <row r="20" spans="7:12" ht="12.75">
      <c r="G20">
        <v>98.6</v>
      </c>
      <c r="H20" t="s">
        <v>56</v>
      </c>
      <c r="J20" t="s">
        <v>45</v>
      </c>
      <c r="K20" t="s">
        <v>29</v>
      </c>
      <c r="L20">
        <f>H31+C14</f>
        <v>4.037171399594238</v>
      </c>
    </row>
    <row r="22" spans="10:12" ht="15">
      <c r="J22" s="3" t="s">
        <v>46</v>
      </c>
      <c r="K22" s="3"/>
      <c r="L22" s="3">
        <f>SUM(L5:L20)</f>
        <v>7.348399999999904</v>
      </c>
    </row>
    <row r="26" spans="1:8" ht="12.75">
      <c r="A26" t="s">
        <v>53</v>
      </c>
      <c r="B26">
        <v>62</v>
      </c>
      <c r="C26">
        <v>31</v>
      </c>
      <c r="D26">
        <v>16</v>
      </c>
      <c r="E26">
        <v>8</v>
      </c>
      <c r="F26">
        <v>4</v>
      </c>
      <c r="G26">
        <v>2</v>
      </c>
      <c r="H26">
        <v>1</v>
      </c>
    </row>
    <row r="28" spans="1:8" ht="12.75">
      <c r="A28" t="s">
        <v>47</v>
      </c>
      <c r="B28">
        <v>98.4</v>
      </c>
      <c r="C28">
        <v>93.7</v>
      </c>
      <c r="D28">
        <v>85.1</v>
      </c>
      <c r="E28">
        <v>69.5</v>
      </c>
      <c r="F28">
        <v>56.3</v>
      </c>
      <c r="G28">
        <v>44.9</v>
      </c>
      <c r="H28">
        <v>34.4</v>
      </c>
    </row>
    <row r="29" spans="1:8" ht="12.75">
      <c r="A29" t="s">
        <v>48</v>
      </c>
      <c r="B29">
        <f>(B28/G20)*100</f>
        <v>99.79716024340772</v>
      </c>
      <c r="C29">
        <f>(C28/G20)*100</f>
        <v>95.03042596348885</v>
      </c>
      <c r="D29">
        <f>(D28/G20)*100</f>
        <v>86.30831643002028</v>
      </c>
      <c r="E29">
        <f>(E28/G20)*100</f>
        <v>70.4868154158215</v>
      </c>
      <c r="F29">
        <f>(F28/G20)*100</f>
        <v>57.09939148073022</v>
      </c>
      <c r="G29">
        <f>(G28/G20)*100</f>
        <v>45.537525354969574</v>
      </c>
      <c r="H29">
        <f>(H28/G20)*100</f>
        <v>34.88843813387424</v>
      </c>
    </row>
    <row r="30" spans="1:8" ht="12.75">
      <c r="A30" t="s">
        <v>49</v>
      </c>
      <c r="B30">
        <f aca="true" t="shared" si="0" ref="B30:G30">B29-C29</f>
        <v>4.766734279918865</v>
      </c>
      <c r="C30">
        <f t="shared" si="0"/>
        <v>8.722109533468569</v>
      </c>
      <c r="D30">
        <f t="shared" si="0"/>
        <v>15.821501014198788</v>
      </c>
      <c r="E30">
        <f t="shared" si="0"/>
        <v>13.387423935091277</v>
      </c>
      <c r="F30">
        <f t="shared" si="0"/>
        <v>11.561866125760645</v>
      </c>
      <c r="G30">
        <f t="shared" si="0"/>
        <v>10.649087221095336</v>
      </c>
      <c r="H30">
        <f>H29</f>
        <v>34.88843813387424</v>
      </c>
    </row>
    <row r="31" spans="1:8" ht="12.75">
      <c r="A31" t="s">
        <v>50</v>
      </c>
      <c r="B31">
        <f>B15*(B30/100)</f>
        <v>0.22019929006085096</v>
      </c>
      <c r="C31">
        <f>B15*(C30/100)</f>
        <v>0.40291784989857865</v>
      </c>
      <c r="D31">
        <f>B15*(D30/100)</f>
        <v>0.7308742393509097</v>
      </c>
      <c r="E31">
        <f>B15*(E30/100)</f>
        <v>0.6184320486815388</v>
      </c>
      <c r="F31">
        <f>B15*(F30/100)</f>
        <v>0.5341004056795106</v>
      </c>
      <c r="G31">
        <f>B15*(G30/100)</f>
        <v>0.4919345841784968</v>
      </c>
      <c r="H31">
        <f>B15*(H30/100)</f>
        <v>1.6116713995943133</v>
      </c>
    </row>
    <row r="33" spans="1:8" ht="12.75">
      <c r="A33" t="s">
        <v>51</v>
      </c>
      <c r="B33" t="s">
        <v>52</v>
      </c>
      <c r="C33" t="s">
        <v>24</v>
      </c>
      <c r="D33" t="s">
        <v>25</v>
      </c>
      <c r="E33" t="s">
        <v>26</v>
      </c>
      <c r="F33" t="s">
        <v>27</v>
      </c>
      <c r="G33" t="s">
        <v>28</v>
      </c>
      <c r="H33" t="s">
        <v>54</v>
      </c>
    </row>
  </sheetData>
  <printOptions gridLines="1" horizontalCentered="1"/>
  <pageMargins left="0.5" right="0.5" top="0.5" bottom="0.5" header="0.5" footer="0.5"/>
  <pageSetup fitToHeight="1" fitToWidth="1" horizontalDpi="300" verticalDpi="3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workbookViewId="0" topLeftCell="A1">
      <selection activeCell="F15" sqref="F15"/>
    </sheetView>
  </sheetViews>
  <sheetFormatPr defaultColWidth="9.140625" defaultRowHeight="12.75"/>
  <cols>
    <col min="1" max="1" width="25.421875" style="0" customWidth="1"/>
  </cols>
  <sheetData>
    <row r="1" spans="1:6" ht="18">
      <c r="A1" s="4" t="s">
        <v>63</v>
      </c>
      <c r="B1" s="5"/>
      <c r="C1" s="6"/>
      <c r="D1" s="6"/>
      <c r="E1" s="6"/>
      <c r="F1" s="6"/>
    </row>
    <row r="2" spans="1:6" ht="18">
      <c r="A2" s="4"/>
      <c r="B2" s="5"/>
      <c r="C2" s="6"/>
      <c r="D2" s="6"/>
      <c r="E2" s="6"/>
      <c r="F2" s="6"/>
    </row>
    <row r="3" spans="1:6" ht="15">
      <c r="A3" s="7" t="s">
        <v>62</v>
      </c>
      <c r="B3" s="7">
        <v>100151</v>
      </c>
      <c r="C3" s="6"/>
      <c r="D3" s="6"/>
      <c r="E3" s="6"/>
      <c r="F3" s="6"/>
    </row>
    <row r="4" spans="1:6" ht="12.75">
      <c r="A4" s="6"/>
      <c r="B4" s="6"/>
      <c r="C4" s="6"/>
      <c r="D4" s="6"/>
      <c r="E4" s="6"/>
      <c r="F4" s="6"/>
    </row>
    <row r="5" spans="1:6" ht="12.75">
      <c r="A5" s="8" t="s">
        <v>64</v>
      </c>
      <c r="B5" s="9">
        <v>8.2709</v>
      </c>
      <c r="C5" s="6"/>
      <c r="D5" s="6"/>
      <c r="E5" s="6"/>
      <c r="F5" s="6"/>
    </row>
    <row r="6" spans="1:6" ht="12.75">
      <c r="A6" s="6"/>
      <c r="B6" s="6"/>
      <c r="C6" s="6"/>
      <c r="D6" s="6"/>
      <c r="E6" s="6"/>
      <c r="F6" s="6"/>
    </row>
    <row r="7" spans="1:6" ht="12.75">
      <c r="A7" s="8"/>
      <c r="B7" s="6"/>
      <c r="C7" s="10" t="s">
        <v>65</v>
      </c>
      <c r="D7" s="10" t="s">
        <v>66</v>
      </c>
      <c r="E7" s="10" t="s">
        <v>67</v>
      </c>
      <c r="F7" s="10"/>
    </row>
    <row r="8" spans="1:6" ht="12.75">
      <c r="A8" s="6"/>
      <c r="B8" s="6" t="s">
        <v>68</v>
      </c>
      <c r="C8" s="6" t="s">
        <v>69</v>
      </c>
      <c r="D8" s="11" t="s">
        <v>70</v>
      </c>
      <c r="E8" s="12">
        <v>0</v>
      </c>
      <c r="F8" s="6"/>
    </row>
    <row r="9" spans="1:6" ht="12.75">
      <c r="A9" s="6"/>
      <c r="B9" s="6"/>
      <c r="C9" s="6" t="s">
        <v>71</v>
      </c>
      <c r="D9" s="11" t="s">
        <v>72</v>
      </c>
      <c r="E9" s="12">
        <v>0</v>
      </c>
      <c r="F9" s="6"/>
    </row>
    <row r="10" spans="1:6" ht="12.75">
      <c r="A10" s="6"/>
      <c r="B10" s="11"/>
      <c r="C10" s="11" t="s">
        <v>73</v>
      </c>
      <c r="D10" s="11" t="s">
        <v>74</v>
      </c>
      <c r="E10" s="12">
        <v>0</v>
      </c>
      <c r="F10" s="6"/>
    </row>
    <row r="11" spans="1:6" ht="12.75">
      <c r="A11" s="6"/>
      <c r="B11" s="11"/>
      <c r="C11" s="11" t="s">
        <v>75</v>
      </c>
      <c r="D11" s="11" t="s">
        <v>76</v>
      </c>
      <c r="E11" s="12">
        <v>0.00438</v>
      </c>
      <c r="F11" s="6"/>
    </row>
    <row r="12" spans="1:6" ht="12.75">
      <c r="A12" s="6"/>
      <c r="B12" s="11" t="s">
        <v>77</v>
      </c>
      <c r="C12" s="11" t="s">
        <v>78</v>
      </c>
      <c r="D12" s="11" t="s">
        <v>79</v>
      </c>
      <c r="E12" s="12">
        <v>0.00934</v>
      </c>
      <c r="F12" s="6"/>
    </row>
    <row r="13" spans="1:6" ht="12.75">
      <c r="A13" s="6"/>
      <c r="B13" s="6"/>
      <c r="C13" s="6" t="s">
        <v>80</v>
      </c>
      <c r="D13" s="11" t="s">
        <v>19</v>
      </c>
      <c r="E13" s="12">
        <v>0.0257</v>
      </c>
      <c r="F13" s="6"/>
    </row>
    <row r="14" spans="1:6" ht="12.75">
      <c r="A14" s="6"/>
      <c r="B14" s="6"/>
      <c r="C14" s="6" t="s">
        <v>81</v>
      </c>
      <c r="D14" s="11" t="s">
        <v>20</v>
      </c>
      <c r="E14" s="12">
        <v>0.14442</v>
      </c>
      <c r="F14" s="6"/>
    </row>
    <row r="15" spans="1:6" ht="12.75">
      <c r="A15" s="6"/>
      <c r="B15" s="6"/>
      <c r="C15" s="6" t="s">
        <v>82</v>
      </c>
      <c r="D15" s="11" t="s">
        <v>21</v>
      </c>
      <c r="E15" s="12">
        <v>1.77705</v>
      </c>
      <c r="F15" s="6"/>
    </row>
    <row r="16" spans="1:6" ht="12.75">
      <c r="A16" s="6"/>
      <c r="B16" s="6"/>
      <c r="C16" s="6" t="s">
        <v>83</v>
      </c>
      <c r="D16" s="6" t="s">
        <v>84</v>
      </c>
      <c r="E16" s="12">
        <v>5.9058</v>
      </c>
      <c r="F16" s="6"/>
    </row>
    <row r="17" spans="1:6" ht="12.75">
      <c r="A17" s="6"/>
      <c r="B17" s="6" t="s">
        <v>85</v>
      </c>
      <c r="C17" s="6" t="s">
        <v>86</v>
      </c>
      <c r="D17" s="6" t="s">
        <v>87</v>
      </c>
      <c r="E17" s="12">
        <v>0.30579</v>
      </c>
      <c r="F17" s="6"/>
    </row>
  </sheetData>
  <printOptions gridLines="1" horizontalCentered="1"/>
  <pageMargins left="0.5" right="0.5" top="0.5" bottom="0.5" header="0.5" footer="0.5"/>
  <pageSetup fitToHeight="1" fitToWidth="1" horizontalDpi="300" verticalDpi="3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workbookViewId="0" topLeftCell="A1">
      <selection activeCell="F15" sqref="F15"/>
    </sheetView>
  </sheetViews>
  <sheetFormatPr defaultColWidth="9.140625" defaultRowHeight="12.75"/>
  <cols>
    <col min="1" max="1" width="25.421875" style="0" customWidth="1"/>
  </cols>
  <sheetData>
    <row r="1" spans="1:6" ht="18">
      <c r="A1" s="4" t="s">
        <v>63</v>
      </c>
      <c r="B1" s="5"/>
      <c r="C1" s="6"/>
      <c r="D1" s="6"/>
      <c r="E1" s="6"/>
      <c r="F1" s="6"/>
    </row>
    <row r="2" spans="1:6" ht="18">
      <c r="A2" s="4"/>
      <c r="B2" s="5"/>
      <c r="C2" s="6"/>
      <c r="D2" s="6"/>
      <c r="E2" s="6"/>
      <c r="F2" s="6"/>
    </row>
    <row r="3" spans="1:6" ht="15">
      <c r="A3" s="7" t="s">
        <v>62</v>
      </c>
      <c r="B3" s="7">
        <v>100152</v>
      </c>
      <c r="C3" s="6"/>
      <c r="D3" s="6"/>
      <c r="E3" s="6"/>
      <c r="F3" s="6"/>
    </row>
    <row r="4" spans="1:6" ht="12.75">
      <c r="A4" s="6"/>
      <c r="B4" s="6"/>
      <c r="C4" s="6"/>
      <c r="D4" s="6"/>
      <c r="E4" s="6"/>
      <c r="F4" s="6"/>
    </row>
    <row r="5" spans="1:6" ht="12.75">
      <c r="A5" s="8" t="s">
        <v>64</v>
      </c>
      <c r="B5" s="9">
        <v>8.5094</v>
      </c>
      <c r="C5" s="6"/>
      <c r="D5" s="6"/>
      <c r="E5" s="6"/>
      <c r="F5" s="6"/>
    </row>
    <row r="6" spans="1:6" ht="12.75">
      <c r="A6" s="6"/>
      <c r="B6" s="6"/>
      <c r="C6" s="6"/>
      <c r="D6" s="6"/>
      <c r="E6" s="6"/>
      <c r="F6" s="6"/>
    </row>
    <row r="7" spans="1:6" ht="12.75">
      <c r="A7" s="8"/>
      <c r="B7" s="6"/>
      <c r="C7" s="10" t="s">
        <v>65</v>
      </c>
      <c r="D7" s="10" t="s">
        <v>66</v>
      </c>
      <c r="E7" s="10" t="s">
        <v>67</v>
      </c>
      <c r="F7" s="10"/>
    </row>
    <row r="8" spans="1:6" ht="12.75">
      <c r="A8" s="6"/>
      <c r="B8" s="6" t="s">
        <v>68</v>
      </c>
      <c r="C8" s="6" t="s">
        <v>69</v>
      </c>
      <c r="D8" s="11" t="s">
        <v>70</v>
      </c>
      <c r="E8" s="12">
        <v>0</v>
      </c>
      <c r="F8" s="6"/>
    </row>
    <row r="9" spans="1:6" ht="12.75">
      <c r="A9" s="6"/>
      <c r="B9" s="6"/>
      <c r="C9" s="6" t="s">
        <v>71</v>
      </c>
      <c r="D9" s="11" t="s">
        <v>72</v>
      </c>
      <c r="E9" s="12">
        <v>0</v>
      </c>
      <c r="F9" s="6"/>
    </row>
    <row r="10" spans="1:6" ht="12.75">
      <c r="A10" s="6"/>
      <c r="B10" s="11"/>
      <c r="C10" s="11" t="s">
        <v>73</v>
      </c>
      <c r="D10" s="11" t="s">
        <v>74</v>
      </c>
      <c r="E10" s="12">
        <v>0</v>
      </c>
      <c r="F10" s="6"/>
    </row>
    <row r="11" spans="1:6" ht="12.75">
      <c r="A11" s="6"/>
      <c r="B11" s="11"/>
      <c r="C11" s="11" t="s">
        <v>75</v>
      </c>
      <c r="D11" s="11" t="s">
        <v>76</v>
      </c>
      <c r="E11" s="12">
        <v>0</v>
      </c>
      <c r="F11" s="6"/>
    </row>
    <row r="12" spans="1:6" ht="12.75">
      <c r="A12" s="6"/>
      <c r="B12" s="11" t="s">
        <v>77</v>
      </c>
      <c r="C12" s="11" t="s">
        <v>78</v>
      </c>
      <c r="D12" s="11" t="s">
        <v>79</v>
      </c>
      <c r="E12" s="12">
        <v>0.04419</v>
      </c>
      <c r="F12" s="6"/>
    </row>
    <row r="13" spans="1:6" ht="12.75">
      <c r="A13" s="6"/>
      <c r="B13" s="6"/>
      <c r="C13" s="6" t="s">
        <v>80</v>
      </c>
      <c r="D13" s="11" t="s">
        <v>19</v>
      </c>
      <c r="E13" s="12">
        <v>0.0598</v>
      </c>
      <c r="F13" s="6"/>
    </row>
    <row r="14" spans="1:6" ht="12.75">
      <c r="A14" s="6"/>
      <c r="B14" s="6"/>
      <c r="C14" s="6" t="s">
        <v>81</v>
      </c>
      <c r="D14" s="11" t="s">
        <v>20</v>
      </c>
      <c r="E14" s="12">
        <v>0.09443</v>
      </c>
      <c r="F14" s="6"/>
    </row>
    <row r="15" spans="1:6" ht="12.75">
      <c r="A15" s="6"/>
      <c r="B15" s="6"/>
      <c r="C15" s="6" t="s">
        <v>82</v>
      </c>
      <c r="D15" s="11" t="s">
        <v>21</v>
      </c>
      <c r="E15" s="12">
        <v>1.3206</v>
      </c>
      <c r="F15" s="6"/>
    </row>
    <row r="16" spans="1:6" ht="12.75">
      <c r="A16" s="6"/>
      <c r="B16" s="6"/>
      <c r="C16" s="6" t="s">
        <v>83</v>
      </c>
      <c r="D16" s="6" t="s">
        <v>84</v>
      </c>
      <c r="E16" s="12">
        <v>6.66396</v>
      </c>
      <c r="F16" s="6"/>
    </row>
    <row r="17" spans="1:6" ht="12.75">
      <c r="A17" s="6"/>
      <c r="B17" s="6" t="s">
        <v>85</v>
      </c>
      <c r="C17" s="6" t="s">
        <v>86</v>
      </c>
      <c r="D17" s="6" t="s">
        <v>87</v>
      </c>
      <c r="E17" s="12">
        <v>0.2582</v>
      </c>
      <c r="F17" s="6"/>
    </row>
  </sheetData>
  <printOptions gridLines="1" horizontalCentered="1"/>
  <pageMargins left="0.5" right="0.5" top="0.5" bottom="0.5" header="0.5" footer="0.5"/>
  <pageSetup fitToHeight="1" fitToWidth="1" horizontalDpi="300" verticalDpi="3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workbookViewId="0" topLeftCell="A1">
      <selection activeCell="F15" sqref="F15"/>
    </sheetView>
  </sheetViews>
  <sheetFormatPr defaultColWidth="9.140625" defaultRowHeight="12.75"/>
  <cols>
    <col min="1" max="1" width="15.57421875" style="0" customWidth="1"/>
    <col min="3" max="3" width="10.57421875" style="0" customWidth="1"/>
    <col min="4" max="4" width="6.8515625" style="0" customWidth="1"/>
    <col min="5" max="5" width="8.57421875" style="0" customWidth="1"/>
    <col min="6" max="7" width="6.8515625" style="0" customWidth="1"/>
    <col min="8" max="8" width="6.7109375" style="0" customWidth="1"/>
    <col min="9" max="9" width="4.421875" style="0" customWidth="1"/>
    <col min="10" max="10" width="12.421875" style="0" customWidth="1"/>
    <col min="11" max="11" width="15.8515625" style="0" customWidth="1"/>
    <col min="12" max="12" width="14.00390625" style="0" customWidth="1"/>
  </cols>
  <sheetData>
    <row r="1" spans="1:3" ht="20.25">
      <c r="A1" s="2" t="s">
        <v>0</v>
      </c>
      <c r="B1" s="2"/>
      <c r="C1" s="2"/>
    </row>
    <row r="2" spans="1:4" ht="15">
      <c r="A2" s="3" t="s">
        <v>62</v>
      </c>
      <c r="B2" s="3">
        <v>100153</v>
      </c>
      <c r="C2" s="3"/>
      <c r="D2" s="3"/>
    </row>
    <row r="3" spans="1:3" ht="20.25">
      <c r="A3" s="2"/>
      <c r="B3" s="2"/>
      <c r="C3" s="2"/>
    </row>
    <row r="4" spans="5:12" ht="12.75">
      <c r="E4" t="s">
        <v>60</v>
      </c>
      <c r="H4">
        <v>0.22376</v>
      </c>
      <c r="J4" t="s">
        <v>12</v>
      </c>
      <c r="K4" t="s">
        <v>13</v>
      </c>
      <c r="L4" t="s">
        <v>59</v>
      </c>
    </row>
    <row r="5" spans="10:12" ht="12.75">
      <c r="J5" t="s">
        <v>30</v>
      </c>
      <c r="K5" t="s">
        <v>14</v>
      </c>
      <c r="L5">
        <v>0</v>
      </c>
    </row>
    <row r="6" spans="1:12" ht="12.75">
      <c r="A6" t="s">
        <v>1</v>
      </c>
      <c r="B6" t="s">
        <v>10</v>
      </c>
      <c r="C6" t="s">
        <v>11</v>
      </c>
      <c r="D6" t="s">
        <v>61</v>
      </c>
      <c r="F6">
        <v>910</v>
      </c>
      <c r="J6" t="s">
        <v>31</v>
      </c>
      <c r="K6" t="s">
        <v>15</v>
      </c>
      <c r="L6">
        <v>0</v>
      </c>
    </row>
    <row r="7" spans="1:12" ht="12.75">
      <c r="A7" t="s">
        <v>2</v>
      </c>
      <c r="J7" s="1" t="s">
        <v>32</v>
      </c>
      <c r="K7" t="s">
        <v>16</v>
      </c>
      <c r="L7">
        <v>0</v>
      </c>
    </row>
    <row r="8" spans="1:12" ht="12.75">
      <c r="A8" t="s">
        <v>3</v>
      </c>
      <c r="B8">
        <v>29.5139</v>
      </c>
      <c r="C8">
        <v>28.732</v>
      </c>
      <c r="J8" s="1" t="s">
        <v>33</v>
      </c>
      <c r="K8" t="s">
        <v>17</v>
      </c>
      <c r="L8">
        <v>0</v>
      </c>
    </row>
    <row r="9" spans="1:12" ht="12.75">
      <c r="A9" t="s">
        <v>4</v>
      </c>
      <c r="B9">
        <v>29.2983</v>
      </c>
      <c r="C9">
        <v>28.5848</v>
      </c>
      <c r="J9" t="s">
        <v>34</v>
      </c>
      <c r="K9" t="s">
        <v>18</v>
      </c>
      <c r="L9">
        <v>0.00173</v>
      </c>
    </row>
    <row r="10" spans="1:12" ht="12.75">
      <c r="A10" t="s">
        <v>5</v>
      </c>
      <c r="B10">
        <f>B8-B9</f>
        <v>0.21559999999999846</v>
      </c>
      <c r="C10">
        <f>C8-C9</f>
        <v>0.147199999999998</v>
      </c>
      <c r="J10" t="s">
        <v>35</v>
      </c>
      <c r="K10" t="s">
        <v>19</v>
      </c>
      <c r="L10">
        <v>0.00086</v>
      </c>
    </row>
    <row r="11" spans="1:12" ht="12.75">
      <c r="A11" t="s">
        <v>55</v>
      </c>
      <c r="B11">
        <v>0.1084</v>
      </c>
      <c r="C11">
        <v>0.1084</v>
      </c>
      <c r="J11" t="s">
        <v>36</v>
      </c>
      <c r="K11" t="s">
        <v>20</v>
      </c>
      <c r="L11">
        <v>0.004</v>
      </c>
    </row>
    <row r="12" spans="1:12" ht="12.75">
      <c r="A12" t="s">
        <v>6</v>
      </c>
      <c r="B12">
        <f>B10-B11</f>
        <v>0.10719999999999846</v>
      </c>
      <c r="C12">
        <f>C10-C11</f>
        <v>0.038799999999998</v>
      </c>
      <c r="J12" t="s">
        <v>37</v>
      </c>
      <c r="K12" t="s">
        <v>21</v>
      </c>
      <c r="L12">
        <v>0.0166</v>
      </c>
    </row>
    <row r="13" spans="1:12" ht="12.75">
      <c r="A13" t="s">
        <v>7</v>
      </c>
      <c r="B13">
        <v>50</v>
      </c>
      <c r="C13">
        <f>(F6/20)</f>
        <v>45.5</v>
      </c>
      <c r="J13" t="s">
        <v>38</v>
      </c>
      <c r="K13" t="s">
        <v>23</v>
      </c>
      <c r="L13">
        <v>0.1507</v>
      </c>
    </row>
    <row r="14" spans="1:12" ht="12.75">
      <c r="A14" t="s">
        <v>8</v>
      </c>
      <c r="B14">
        <f>B12*B13</f>
        <v>5.359999999999923</v>
      </c>
      <c r="C14">
        <f>C12*C13</f>
        <v>1.765399999999909</v>
      </c>
      <c r="J14" t="s">
        <v>39</v>
      </c>
      <c r="K14" t="s">
        <v>22</v>
      </c>
      <c r="L14">
        <f>B31+0.05435</f>
        <v>0.33226414038657254</v>
      </c>
    </row>
    <row r="15" spans="1:12" ht="12.75">
      <c r="A15" t="s">
        <v>9</v>
      </c>
      <c r="B15">
        <f>B14-C14</f>
        <v>3.594600000000014</v>
      </c>
      <c r="J15" t="s">
        <v>40</v>
      </c>
      <c r="K15" t="s">
        <v>24</v>
      </c>
      <c r="L15">
        <f>C31</f>
        <v>0.4095576805696865</v>
      </c>
    </row>
    <row r="16" spans="10:12" ht="12.75">
      <c r="J16" t="s">
        <v>41</v>
      </c>
      <c r="K16" t="s">
        <v>25</v>
      </c>
      <c r="L16">
        <f>D31</f>
        <v>0.3510494404883026</v>
      </c>
    </row>
    <row r="17" spans="10:12" ht="12.75">
      <c r="J17" t="s">
        <v>42</v>
      </c>
      <c r="K17" t="s">
        <v>26</v>
      </c>
      <c r="L17">
        <f>E31</f>
        <v>0.3876170905391674</v>
      </c>
    </row>
    <row r="18" spans="1:12" ht="12.75">
      <c r="A18" t="s">
        <v>58</v>
      </c>
      <c r="B18">
        <f>((G20-B28)/G20)*B15</f>
        <v>0.007313530010173073</v>
      </c>
      <c r="J18" t="s">
        <v>43</v>
      </c>
      <c r="K18" t="s">
        <v>27</v>
      </c>
      <c r="L18">
        <f>F31</f>
        <v>0.4205279755849455</v>
      </c>
    </row>
    <row r="19" spans="7:12" ht="12.75">
      <c r="G19" t="s">
        <v>57</v>
      </c>
      <c r="J19" t="s">
        <v>44</v>
      </c>
      <c r="K19" t="s">
        <v>28</v>
      </c>
      <c r="L19">
        <f>G31</f>
        <v>0.4168712105798591</v>
      </c>
    </row>
    <row r="20" spans="7:12" ht="12.75">
      <c r="G20">
        <v>98.3</v>
      </c>
      <c r="H20" t="s">
        <v>56</v>
      </c>
      <c r="J20" t="s">
        <v>45</v>
      </c>
      <c r="K20" t="s">
        <v>29</v>
      </c>
      <c r="L20">
        <f>H31+C14</f>
        <v>3.0891489318412164</v>
      </c>
    </row>
    <row r="22" spans="10:12" ht="15">
      <c r="J22" s="3" t="s">
        <v>46</v>
      </c>
      <c r="K22" s="3"/>
      <c r="L22" s="3">
        <f>SUM(L5:L20)</f>
        <v>5.58092646998975</v>
      </c>
    </row>
    <row r="26" spans="1:8" ht="12.75">
      <c r="A26" t="s">
        <v>53</v>
      </c>
      <c r="B26">
        <v>62</v>
      </c>
      <c r="C26">
        <v>31</v>
      </c>
      <c r="D26">
        <v>16</v>
      </c>
      <c r="E26">
        <v>8</v>
      </c>
      <c r="F26">
        <v>4</v>
      </c>
      <c r="G26">
        <v>2</v>
      </c>
      <c r="H26">
        <v>1</v>
      </c>
    </row>
    <row r="28" spans="1:8" ht="12.75">
      <c r="A28" t="s">
        <v>47</v>
      </c>
      <c r="B28">
        <v>98.1</v>
      </c>
      <c r="C28">
        <v>90.5</v>
      </c>
      <c r="D28">
        <v>79.3</v>
      </c>
      <c r="E28">
        <v>69.7</v>
      </c>
      <c r="F28">
        <v>59.1</v>
      </c>
      <c r="G28">
        <v>47.6</v>
      </c>
      <c r="H28">
        <v>36.2</v>
      </c>
    </row>
    <row r="29" spans="1:8" ht="12.75">
      <c r="A29" t="s">
        <v>48</v>
      </c>
      <c r="B29">
        <f>(B28/G20)*100</f>
        <v>99.79654120040692</v>
      </c>
      <c r="C29">
        <f>(C28/G20)*100</f>
        <v>92.0651068158698</v>
      </c>
      <c r="D29">
        <f>(D28/G20)*100</f>
        <v>80.67141403865718</v>
      </c>
      <c r="E29">
        <f>(E28/G20)*100</f>
        <v>70.90539165818922</v>
      </c>
      <c r="F29">
        <f>(F28/G20)*100</f>
        <v>60.12207527975585</v>
      </c>
      <c r="G29">
        <f>(G28/G20)*100</f>
        <v>48.423194303153615</v>
      </c>
      <c r="H29">
        <f>(H28/G20)*100</f>
        <v>36.82604272634792</v>
      </c>
    </row>
    <row r="30" spans="1:8" ht="12.75">
      <c r="A30" t="s">
        <v>49</v>
      </c>
      <c r="B30">
        <f aca="true" t="shared" si="0" ref="B30:G30">B29-C29</f>
        <v>7.731434384537124</v>
      </c>
      <c r="C30">
        <f t="shared" si="0"/>
        <v>11.393692777212621</v>
      </c>
      <c r="D30">
        <f t="shared" si="0"/>
        <v>9.766022380467959</v>
      </c>
      <c r="E30">
        <f t="shared" si="0"/>
        <v>10.78331637843337</v>
      </c>
      <c r="F30">
        <f t="shared" si="0"/>
        <v>11.698880976602233</v>
      </c>
      <c r="G30">
        <f t="shared" si="0"/>
        <v>11.597151576805693</v>
      </c>
      <c r="H30">
        <f>H29</f>
        <v>36.82604272634792</v>
      </c>
    </row>
    <row r="31" spans="1:8" ht="12.75">
      <c r="A31" t="s">
        <v>50</v>
      </c>
      <c r="B31">
        <f>B15*(B30/100)</f>
        <v>0.27791414038657253</v>
      </c>
      <c r="C31">
        <f>B15*(C30/100)</f>
        <v>0.4095576805696865</v>
      </c>
      <c r="D31">
        <f>B15*(D30/100)</f>
        <v>0.3510494404883026</v>
      </c>
      <c r="E31">
        <f>B15*(E30/100)</f>
        <v>0.3876170905391674</v>
      </c>
      <c r="F31">
        <f>B15*(F30/100)</f>
        <v>0.4205279755849455</v>
      </c>
      <c r="G31">
        <f>B15*(G30/100)</f>
        <v>0.4168712105798591</v>
      </c>
      <c r="H31">
        <f>B15*(H30/100)</f>
        <v>1.3237489318413076</v>
      </c>
    </row>
    <row r="33" spans="1:8" ht="12.75">
      <c r="A33" t="s">
        <v>51</v>
      </c>
      <c r="B33" t="s">
        <v>52</v>
      </c>
      <c r="C33" t="s">
        <v>24</v>
      </c>
      <c r="D33" t="s">
        <v>25</v>
      </c>
      <c r="E33" t="s">
        <v>26</v>
      </c>
      <c r="F33" t="s">
        <v>27</v>
      </c>
      <c r="G33" t="s">
        <v>28</v>
      </c>
      <c r="H33" t="s">
        <v>54</v>
      </c>
    </row>
  </sheetData>
  <printOptions gridLines="1" horizontalCentered="1"/>
  <pageMargins left="0.5" right="0.5" top="0.5" bottom="0.5" header="0.5" footer="0.5"/>
  <pageSetup fitToHeight="1" fitToWidth="1" horizontalDpi="300" verticalDpi="3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workbookViewId="0" topLeftCell="A1">
      <selection activeCell="F15" sqref="F15"/>
    </sheetView>
  </sheetViews>
  <sheetFormatPr defaultColWidth="9.140625" defaultRowHeight="12.75"/>
  <cols>
    <col min="1" max="1" width="15.57421875" style="0" customWidth="1"/>
    <col min="3" max="3" width="10.57421875" style="0" customWidth="1"/>
    <col min="4" max="4" width="6.8515625" style="0" customWidth="1"/>
    <col min="5" max="5" width="8.57421875" style="0" customWidth="1"/>
    <col min="6" max="7" width="6.8515625" style="0" customWidth="1"/>
    <col min="8" max="8" width="6.7109375" style="0" customWidth="1"/>
    <col min="9" max="9" width="4.421875" style="0" customWidth="1"/>
    <col min="10" max="10" width="12.421875" style="0" customWidth="1"/>
    <col min="11" max="11" width="15.8515625" style="0" customWidth="1"/>
    <col min="12" max="12" width="14.00390625" style="0" customWidth="1"/>
  </cols>
  <sheetData>
    <row r="1" spans="1:3" ht="20.25">
      <c r="A1" s="2" t="s">
        <v>0</v>
      </c>
      <c r="B1" s="2"/>
      <c r="C1" s="2"/>
    </row>
    <row r="2" spans="1:4" ht="15">
      <c r="A2" s="3" t="s">
        <v>62</v>
      </c>
      <c r="B2" s="3">
        <v>100154</v>
      </c>
      <c r="C2" s="3"/>
      <c r="D2" s="3"/>
    </row>
    <row r="3" spans="1:3" ht="20.25">
      <c r="A3" s="2"/>
      <c r="B3" s="2"/>
      <c r="C3" s="2"/>
    </row>
    <row r="4" spans="5:12" ht="12.75">
      <c r="E4" t="s">
        <v>60</v>
      </c>
      <c r="H4">
        <v>0.468</v>
      </c>
      <c r="J4" t="s">
        <v>12</v>
      </c>
      <c r="K4" t="s">
        <v>13</v>
      </c>
      <c r="L4" t="s">
        <v>59</v>
      </c>
    </row>
    <row r="5" spans="10:12" ht="12.75">
      <c r="J5" t="s">
        <v>30</v>
      </c>
      <c r="K5" t="s">
        <v>14</v>
      </c>
      <c r="L5">
        <v>0</v>
      </c>
    </row>
    <row r="6" spans="1:12" ht="12.75">
      <c r="A6" t="s">
        <v>1</v>
      </c>
      <c r="B6" t="s">
        <v>10</v>
      </c>
      <c r="C6" t="s">
        <v>11</v>
      </c>
      <c r="D6" t="s">
        <v>61</v>
      </c>
      <c r="F6">
        <v>900</v>
      </c>
      <c r="J6" t="s">
        <v>31</v>
      </c>
      <c r="K6" t="s">
        <v>15</v>
      </c>
      <c r="L6">
        <v>0</v>
      </c>
    </row>
    <row r="7" spans="1:12" ht="12.75">
      <c r="A7" t="s">
        <v>2</v>
      </c>
      <c r="J7" s="1" t="s">
        <v>32</v>
      </c>
      <c r="K7" t="s">
        <v>16</v>
      </c>
      <c r="L7">
        <v>0</v>
      </c>
    </row>
    <row r="8" spans="1:12" ht="12.75">
      <c r="A8" t="s">
        <v>3</v>
      </c>
      <c r="B8">
        <v>29.4288</v>
      </c>
      <c r="C8">
        <v>30.708</v>
      </c>
      <c r="J8" s="1" t="s">
        <v>33</v>
      </c>
      <c r="K8" t="s">
        <v>17</v>
      </c>
      <c r="L8">
        <v>0</v>
      </c>
    </row>
    <row r="9" spans="1:12" ht="12.75">
      <c r="A9" t="s">
        <v>4</v>
      </c>
      <c r="B9">
        <v>29.2251</v>
      </c>
      <c r="C9">
        <v>30.5663</v>
      </c>
      <c r="J9" t="s">
        <v>34</v>
      </c>
      <c r="K9" t="s">
        <v>18</v>
      </c>
      <c r="L9">
        <v>0</v>
      </c>
    </row>
    <row r="10" spans="1:12" ht="12.75">
      <c r="A10" t="s">
        <v>5</v>
      </c>
      <c r="B10">
        <f>B8-B9</f>
        <v>0.20369999999999777</v>
      </c>
      <c r="C10">
        <f>C8-C9</f>
        <v>0.14170000000000016</v>
      </c>
      <c r="J10" t="s">
        <v>35</v>
      </c>
      <c r="K10" t="s">
        <v>19</v>
      </c>
      <c r="L10">
        <v>0.00291</v>
      </c>
    </row>
    <row r="11" spans="1:12" ht="12.75">
      <c r="A11" t="s">
        <v>55</v>
      </c>
      <c r="B11">
        <v>0.1084</v>
      </c>
      <c r="C11">
        <v>0.1084</v>
      </c>
      <c r="J11" t="s">
        <v>36</v>
      </c>
      <c r="K11" t="s">
        <v>20</v>
      </c>
      <c r="L11">
        <v>0.02015</v>
      </c>
    </row>
    <row r="12" spans="1:12" ht="12.75">
      <c r="A12" t="s">
        <v>6</v>
      </c>
      <c r="B12">
        <f>B10-B11</f>
        <v>0.09529999999999778</v>
      </c>
      <c r="C12">
        <f>C10-C11</f>
        <v>0.03330000000000016</v>
      </c>
      <c r="J12" t="s">
        <v>37</v>
      </c>
      <c r="K12" t="s">
        <v>21</v>
      </c>
      <c r="L12">
        <v>0.04636</v>
      </c>
    </row>
    <row r="13" spans="1:12" ht="12.75">
      <c r="A13" t="s">
        <v>7</v>
      </c>
      <c r="B13">
        <v>50</v>
      </c>
      <c r="C13">
        <f>(F6/20)</f>
        <v>45</v>
      </c>
      <c r="J13" t="s">
        <v>38</v>
      </c>
      <c r="K13" t="s">
        <v>23</v>
      </c>
      <c r="L13">
        <f>B18+0.26343</f>
        <v>0.299147196819084</v>
      </c>
    </row>
    <row r="14" spans="1:12" ht="12.75">
      <c r="A14" t="s">
        <v>8</v>
      </c>
      <c r="B14">
        <f>B12*B13</f>
        <v>4.764999999999889</v>
      </c>
      <c r="C14">
        <f>C12*C13</f>
        <v>1.4985000000000073</v>
      </c>
      <c r="J14" t="s">
        <v>39</v>
      </c>
      <c r="K14" t="s">
        <v>22</v>
      </c>
      <c r="L14">
        <f>B31+0.13357</f>
        <v>0.7569974353876514</v>
      </c>
    </row>
    <row r="15" spans="1:12" ht="12.75">
      <c r="A15" t="s">
        <v>9</v>
      </c>
      <c r="B15">
        <f>B14-C14</f>
        <v>3.2664999999998816</v>
      </c>
      <c r="J15" t="s">
        <v>40</v>
      </c>
      <c r="K15" t="s">
        <v>24</v>
      </c>
      <c r="L15">
        <f>C31</f>
        <v>0.41237127236579013</v>
      </c>
    </row>
    <row r="16" spans="10:12" ht="12.75">
      <c r="J16" t="s">
        <v>41</v>
      </c>
      <c r="K16" t="s">
        <v>25</v>
      </c>
      <c r="L16">
        <f>D31</f>
        <v>0.38964214711728207</v>
      </c>
    </row>
    <row r="17" spans="10:12" ht="12.75">
      <c r="J17" t="s">
        <v>42</v>
      </c>
      <c r="K17" t="s">
        <v>26</v>
      </c>
      <c r="L17">
        <f>E31</f>
        <v>0.3571719681908419</v>
      </c>
    </row>
    <row r="18" spans="1:12" ht="12.75">
      <c r="A18" t="s">
        <v>58</v>
      </c>
      <c r="B18">
        <f>((G20-B28)/G20)*B15</f>
        <v>0.03571719681908401</v>
      </c>
      <c r="J18" t="s">
        <v>43</v>
      </c>
      <c r="K18" t="s">
        <v>27</v>
      </c>
      <c r="L18">
        <f>F31</f>
        <v>0.3474309145129099</v>
      </c>
    </row>
    <row r="19" spans="7:12" ht="12.75">
      <c r="G19" t="s">
        <v>57</v>
      </c>
      <c r="J19" t="s">
        <v>44</v>
      </c>
      <c r="K19" t="s">
        <v>28</v>
      </c>
      <c r="L19">
        <f>G31</f>
        <v>0.3117137176938257</v>
      </c>
    </row>
    <row r="20" spans="7:12" ht="12.75">
      <c r="G20">
        <v>100.6</v>
      </c>
      <c r="H20" t="s">
        <v>56</v>
      </c>
      <c r="J20" t="s">
        <v>45</v>
      </c>
      <c r="K20" t="s">
        <v>29</v>
      </c>
      <c r="L20">
        <f>H31+C14</f>
        <v>2.2875253479125037</v>
      </c>
    </row>
    <row r="22" spans="10:12" ht="15">
      <c r="J22" s="3" t="s">
        <v>46</v>
      </c>
      <c r="K22" s="3"/>
      <c r="L22" s="3">
        <f>SUM(L5:L20)</f>
        <v>5.231419999999889</v>
      </c>
    </row>
    <row r="26" spans="1:8" ht="12.75">
      <c r="A26" t="s">
        <v>53</v>
      </c>
      <c r="B26">
        <v>62</v>
      </c>
      <c r="C26">
        <v>31</v>
      </c>
      <c r="D26">
        <v>16</v>
      </c>
      <c r="E26">
        <v>8</v>
      </c>
      <c r="F26">
        <v>4</v>
      </c>
      <c r="G26">
        <v>2</v>
      </c>
      <c r="H26">
        <v>1</v>
      </c>
    </row>
    <row r="28" spans="1:8" ht="12.75">
      <c r="A28" t="s">
        <v>47</v>
      </c>
      <c r="B28">
        <v>99.5</v>
      </c>
      <c r="C28">
        <v>80.3</v>
      </c>
      <c r="D28">
        <v>67.6</v>
      </c>
      <c r="E28">
        <v>55.6</v>
      </c>
      <c r="F28">
        <v>44.6</v>
      </c>
      <c r="G28">
        <v>33.9</v>
      </c>
      <c r="H28">
        <v>24.3</v>
      </c>
    </row>
    <row r="29" spans="1:8" ht="12.75">
      <c r="A29" t="s">
        <v>48</v>
      </c>
      <c r="B29">
        <f>(B28/G20)*100</f>
        <v>98.9065606361829</v>
      </c>
      <c r="C29">
        <f>(C28/G20)*100</f>
        <v>79.82107355864811</v>
      </c>
      <c r="D29">
        <f>(D28/G20)*100</f>
        <v>67.19681908548708</v>
      </c>
      <c r="E29">
        <f>(E28/G20)*100</f>
        <v>55.268389662027836</v>
      </c>
      <c r="F29">
        <f>(F28/G20)*100</f>
        <v>44.33399602385686</v>
      </c>
      <c r="G29">
        <f>(G28/G20)*100</f>
        <v>33.69781312127237</v>
      </c>
      <c r="H29">
        <f>(H28/G20)*100</f>
        <v>24.15506958250497</v>
      </c>
    </row>
    <row r="30" spans="1:8" ht="12.75">
      <c r="A30" t="s">
        <v>49</v>
      </c>
      <c r="B30">
        <f aca="true" t="shared" si="0" ref="B30:G30">B29-C29</f>
        <v>19.085487077534793</v>
      </c>
      <c r="C30">
        <f t="shared" si="0"/>
        <v>12.62425447316103</v>
      </c>
      <c r="D30">
        <f t="shared" si="0"/>
        <v>11.928429423459242</v>
      </c>
      <c r="E30">
        <f t="shared" si="0"/>
        <v>10.934393638170974</v>
      </c>
      <c r="F30">
        <f t="shared" si="0"/>
        <v>10.636182902584494</v>
      </c>
      <c r="G30">
        <f t="shared" si="0"/>
        <v>9.542743538767397</v>
      </c>
      <c r="H30">
        <f>H29</f>
        <v>24.15506958250497</v>
      </c>
    </row>
    <row r="31" spans="1:8" ht="12.75">
      <c r="A31" t="s">
        <v>50</v>
      </c>
      <c r="B31">
        <f>B15*(B30/100)</f>
        <v>0.6234274353876514</v>
      </c>
      <c r="C31">
        <f>B15*(C30/100)</f>
        <v>0.41237127236579013</v>
      </c>
      <c r="D31">
        <f>B15*(D30/100)</f>
        <v>0.38964214711728207</v>
      </c>
      <c r="E31">
        <f>B15*(E30/100)</f>
        <v>0.3571719681908419</v>
      </c>
      <c r="F31">
        <f>B15*(F30/100)</f>
        <v>0.3474309145129099</v>
      </c>
      <c r="G31">
        <f>B15*(G30/100)</f>
        <v>0.3117137176938257</v>
      </c>
      <c r="H31">
        <f>B15*(H30/100)</f>
        <v>0.7890253479124962</v>
      </c>
    </row>
    <row r="33" spans="1:8" ht="12.75">
      <c r="A33" t="s">
        <v>51</v>
      </c>
      <c r="B33" t="s">
        <v>52</v>
      </c>
      <c r="C33" t="s">
        <v>24</v>
      </c>
      <c r="D33" t="s">
        <v>25</v>
      </c>
      <c r="E33" t="s">
        <v>26</v>
      </c>
      <c r="F33" t="s">
        <v>27</v>
      </c>
      <c r="G33" t="s">
        <v>28</v>
      </c>
      <c r="H33" t="s">
        <v>54</v>
      </c>
    </row>
  </sheetData>
  <printOptions gridLines="1" horizontalCentered="1"/>
  <pageMargins left="0.5" right="0.5" top="0.5" bottom="0.5" header="0.5" footer="0.5"/>
  <pageSetup fitToHeight="1" fitToWidth="1" horizontalDpi="300" verticalDpi="3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workbookViewId="0" topLeftCell="A1">
      <selection activeCell="F15" sqref="F15"/>
    </sheetView>
  </sheetViews>
  <sheetFormatPr defaultColWidth="9.140625" defaultRowHeight="12.75"/>
  <cols>
    <col min="1" max="1" width="25.421875" style="0" customWidth="1"/>
  </cols>
  <sheetData>
    <row r="1" spans="1:6" ht="18">
      <c r="A1" s="4" t="s">
        <v>63</v>
      </c>
      <c r="B1" s="5"/>
      <c r="C1" s="6"/>
      <c r="D1" s="6"/>
      <c r="E1" s="6"/>
      <c r="F1" s="6"/>
    </row>
    <row r="2" spans="1:6" ht="18">
      <c r="A2" s="4"/>
      <c r="B2" s="5"/>
      <c r="C2" s="6"/>
      <c r="D2" s="6"/>
      <c r="E2" s="6"/>
      <c r="F2" s="6"/>
    </row>
    <row r="3" spans="1:6" ht="15">
      <c r="A3" s="7" t="s">
        <v>62</v>
      </c>
      <c r="B3" s="7">
        <v>100155</v>
      </c>
      <c r="C3" s="6"/>
      <c r="D3" s="6"/>
      <c r="E3" s="6"/>
      <c r="F3" s="6"/>
    </row>
    <row r="4" spans="1:6" ht="12.75">
      <c r="A4" s="6"/>
      <c r="B4" s="6"/>
      <c r="C4" s="6"/>
      <c r="D4" s="6"/>
      <c r="E4" s="6"/>
      <c r="F4" s="6"/>
    </row>
    <row r="5" spans="1:6" ht="12.75">
      <c r="A5" s="8" t="s">
        <v>64</v>
      </c>
      <c r="B5" s="9">
        <v>4.66678</v>
      </c>
      <c r="C5" s="6"/>
      <c r="D5" s="6"/>
      <c r="E5" s="6"/>
      <c r="F5" s="6"/>
    </row>
    <row r="6" spans="1:6" ht="12.75">
      <c r="A6" s="6"/>
      <c r="B6" s="6"/>
      <c r="C6" s="6"/>
      <c r="D6" s="6"/>
      <c r="E6" s="6"/>
      <c r="F6" s="6"/>
    </row>
    <row r="7" spans="1:6" ht="12.75">
      <c r="A7" s="8"/>
      <c r="B7" s="6"/>
      <c r="C7" s="10" t="s">
        <v>65</v>
      </c>
      <c r="D7" s="10" t="s">
        <v>66</v>
      </c>
      <c r="E7" s="10" t="s">
        <v>67</v>
      </c>
      <c r="F7" s="10"/>
    </row>
    <row r="8" spans="1:6" ht="12.75">
      <c r="A8" s="6"/>
      <c r="B8" s="6" t="s">
        <v>68</v>
      </c>
      <c r="C8" s="6" t="s">
        <v>69</v>
      </c>
      <c r="D8" s="11" t="s">
        <v>70</v>
      </c>
      <c r="E8" s="12">
        <v>0</v>
      </c>
      <c r="F8" s="6"/>
    </row>
    <row r="9" spans="1:6" ht="12.75">
      <c r="A9" s="6"/>
      <c r="B9" s="6"/>
      <c r="C9" s="6" t="s">
        <v>71</v>
      </c>
      <c r="D9" s="11" t="s">
        <v>72</v>
      </c>
      <c r="E9" s="12">
        <v>0</v>
      </c>
      <c r="F9" s="6"/>
    </row>
    <row r="10" spans="1:6" ht="12.75">
      <c r="A10" s="6"/>
      <c r="B10" s="11"/>
      <c r="C10" s="11" t="s">
        <v>73</v>
      </c>
      <c r="D10" s="11" t="s">
        <v>74</v>
      </c>
      <c r="E10" s="12">
        <v>0</v>
      </c>
      <c r="F10" s="6"/>
    </row>
    <row r="11" spans="1:6" ht="12.75">
      <c r="A11" s="6"/>
      <c r="B11" s="11"/>
      <c r="C11" s="11" t="s">
        <v>75</v>
      </c>
      <c r="D11" s="11" t="s">
        <v>76</v>
      </c>
      <c r="E11" s="12">
        <v>0</v>
      </c>
      <c r="F11" s="6"/>
    </row>
    <row r="12" spans="1:6" ht="12.75">
      <c r="A12" s="6"/>
      <c r="B12" s="11" t="s">
        <v>77</v>
      </c>
      <c r="C12" s="11" t="s">
        <v>78</v>
      </c>
      <c r="D12" s="11" t="s">
        <v>79</v>
      </c>
      <c r="E12" s="12">
        <v>0</v>
      </c>
      <c r="F12" s="6"/>
    </row>
    <row r="13" spans="1:6" ht="12.75">
      <c r="A13" s="6"/>
      <c r="B13" s="6"/>
      <c r="C13" s="6" t="s">
        <v>80</v>
      </c>
      <c r="D13" s="11" t="s">
        <v>19</v>
      </c>
      <c r="E13" s="12">
        <v>0.00303</v>
      </c>
      <c r="F13" s="6"/>
    </row>
    <row r="14" spans="1:6" ht="12.75">
      <c r="A14" s="6"/>
      <c r="B14" s="6"/>
      <c r="C14" s="6" t="s">
        <v>81</v>
      </c>
      <c r="D14" s="11" t="s">
        <v>20</v>
      </c>
      <c r="E14" s="12">
        <v>0.01534</v>
      </c>
      <c r="F14" s="6"/>
    </row>
    <row r="15" spans="1:6" ht="12.75">
      <c r="A15" s="6"/>
      <c r="B15" s="6"/>
      <c r="C15" s="6" t="s">
        <v>82</v>
      </c>
      <c r="D15" s="11" t="s">
        <v>21</v>
      </c>
      <c r="E15" s="12">
        <v>1.4895</v>
      </c>
      <c r="F15" s="6"/>
    </row>
    <row r="16" spans="1:6" ht="12.75">
      <c r="A16" s="6"/>
      <c r="B16" s="6"/>
      <c r="C16" s="6" t="s">
        <v>83</v>
      </c>
      <c r="D16" s="6" t="s">
        <v>84</v>
      </c>
      <c r="E16" s="12">
        <v>2.38365</v>
      </c>
      <c r="F16" s="6"/>
    </row>
    <row r="17" spans="1:6" ht="12.75">
      <c r="A17" s="6"/>
      <c r="B17" s="6" t="s">
        <v>85</v>
      </c>
      <c r="C17" s="6" t="s">
        <v>86</v>
      </c>
      <c r="D17" s="6" t="s">
        <v>87</v>
      </c>
      <c r="E17" s="12">
        <v>0.69008</v>
      </c>
      <c r="F17" s="6"/>
    </row>
  </sheetData>
  <printOptions gridLines="1" horizontalCentered="1"/>
  <pageMargins left="0.5" right="0.5" top="0.5" bottom="0.5" header="0.5" footer="0.5"/>
  <pageSetup fitToHeight="1" fitToWidth="1" horizontalDpi="300" verticalDpi="3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workbookViewId="0" topLeftCell="A1">
      <selection activeCell="F15" sqref="F15"/>
    </sheetView>
  </sheetViews>
  <sheetFormatPr defaultColWidth="9.140625" defaultRowHeight="12.75"/>
  <cols>
    <col min="1" max="1" width="15.57421875" style="0" customWidth="1"/>
    <col min="3" max="3" width="10.57421875" style="0" customWidth="1"/>
    <col min="4" max="4" width="6.8515625" style="0" customWidth="1"/>
    <col min="5" max="5" width="8.57421875" style="0" customWidth="1"/>
    <col min="6" max="7" width="6.8515625" style="0" customWidth="1"/>
    <col min="8" max="8" width="6.7109375" style="0" customWidth="1"/>
    <col min="9" max="9" width="4.421875" style="0" customWidth="1"/>
    <col min="10" max="10" width="12.421875" style="0" customWidth="1"/>
    <col min="11" max="11" width="15.8515625" style="0" customWidth="1"/>
    <col min="12" max="12" width="14.00390625" style="0" customWidth="1"/>
  </cols>
  <sheetData>
    <row r="1" spans="1:3" ht="20.25">
      <c r="A1" s="2" t="s">
        <v>0</v>
      </c>
      <c r="B1" s="2"/>
      <c r="C1" s="2"/>
    </row>
    <row r="2" spans="1:4" ht="15">
      <c r="A2" s="3" t="s">
        <v>62</v>
      </c>
      <c r="B2" s="3">
        <v>100156</v>
      </c>
      <c r="C2" s="3"/>
      <c r="D2" s="3"/>
    </row>
    <row r="3" spans="1:3" ht="20.25">
      <c r="A3" s="2"/>
      <c r="B3" s="2"/>
      <c r="C3" s="2"/>
    </row>
    <row r="4" spans="5:12" ht="12.75">
      <c r="E4" t="s">
        <v>60</v>
      </c>
      <c r="H4">
        <v>4.26856</v>
      </c>
      <c r="J4" t="s">
        <v>12</v>
      </c>
      <c r="K4" t="s">
        <v>13</v>
      </c>
      <c r="L4" t="s">
        <v>59</v>
      </c>
    </row>
    <row r="5" spans="10:12" ht="12.75">
      <c r="J5" t="s">
        <v>30</v>
      </c>
      <c r="K5" t="s">
        <v>14</v>
      </c>
      <c r="L5">
        <v>0</v>
      </c>
    </row>
    <row r="6" spans="1:12" ht="12.75">
      <c r="A6" t="s">
        <v>1</v>
      </c>
      <c r="B6" t="s">
        <v>10</v>
      </c>
      <c r="C6" t="s">
        <v>11</v>
      </c>
      <c r="D6" t="s">
        <v>61</v>
      </c>
      <c r="F6">
        <v>900</v>
      </c>
      <c r="J6" t="s">
        <v>31</v>
      </c>
      <c r="K6" t="s">
        <v>15</v>
      </c>
      <c r="L6">
        <v>0</v>
      </c>
    </row>
    <row r="7" spans="1:12" ht="12.75">
      <c r="A7" t="s">
        <v>2</v>
      </c>
      <c r="J7" s="1" t="s">
        <v>32</v>
      </c>
      <c r="K7" t="s">
        <v>16</v>
      </c>
      <c r="L7">
        <v>0</v>
      </c>
    </row>
    <row r="8" spans="1:12" ht="12.75">
      <c r="A8" t="s">
        <v>3</v>
      </c>
      <c r="B8">
        <v>29.5789</v>
      </c>
      <c r="C8">
        <v>31.0595</v>
      </c>
      <c r="J8" s="1" t="s">
        <v>33</v>
      </c>
      <c r="K8" t="s">
        <v>17</v>
      </c>
      <c r="L8">
        <v>0</v>
      </c>
    </row>
    <row r="9" spans="1:12" ht="12.75">
      <c r="A9" t="s">
        <v>4</v>
      </c>
      <c r="B9">
        <v>29.3505</v>
      </c>
      <c r="C9">
        <v>30.9122</v>
      </c>
      <c r="J9" t="s">
        <v>34</v>
      </c>
      <c r="K9" t="s">
        <v>18</v>
      </c>
      <c r="L9">
        <v>0.00116</v>
      </c>
    </row>
    <row r="10" spans="1:12" ht="12.75">
      <c r="A10" t="s">
        <v>5</v>
      </c>
      <c r="B10">
        <f>B8-B9</f>
        <v>0.2284000000000006</v>
      </c>
      <c r="C10">
        <f>C8-C9</f>
        <v>0.14730000000000132</v>
      </c>
      <c r="J10" t="s">
        <v>35</v>
      </c>
      <c r="K10" t="s">
        <v>19</v>
      </c>
      <c r="L10">
        <v>0.00167</v>
      </c>
    </row>
    <row r="11" spans="1:12" ht="12.75">
      <c r="A11" t="s">
        <v>55</v>
      </c>
      <c r="B11">
        <v>0.1084</v>
      </c>
      <c r="C11">
        <v>0.1084</v>
      </c>
      <c r="J11" t="s">
        <v>36</v>
      </c>
      <c r="K11" t="s">
        <v>20</v>
      </c>
      <c r="L11">
        <v>0.20808</v>
      </c>
    </row>
    <row r="12" spans="1:12" ht="12.75">
      <c r="A12" t="s">
        <v>6</v>
      </c>
      <c r="B12">
        <f>B10-B11</f>
        <v>0.1200000000000006</v>
      </c>
      <c r="C12">
        <f>C10-C11</f>
        <v>0.03890000000000132</v>
      </c>
      <c r="J12" t="s">
        <v>37</v>
      </c>
      <c r="K12" t="s">
        <v>21</v>
      </c>
      <c r="L12">
        <v>0.70453</v>
      </c>
    </row>
    <row r="13" spans="1:12" ht="12.75">
      <c r="A13" t="s">
        <v>7</v>
      </c>
      <c r="B13">
        <v>50</v>
      </c>
      <c r="C13">
        <f>(F6/20)</f>
        <v>45</v>
      </c>
      <c r="J13" t="s">
        <v>38</v>
      </c>
      <c r="K13" t="s">
        <v>23</v>
      </c>
      <c r="L13">
        <f>B18+2.99888</f>
        <v>3.0407882840236686</v>
      </c>
    </row>
    <row r="14" spans="1:12" ht="12.75">
      <c r="A14" t="s">
        <v>8</v>
      </c>
      <c r="B14">
        <f>B12*B13</f>
        <v>6.00000000000003</v>
      </c>
      <c r="C14">
        <f>C12*C13</f>
        <v>1.7505000000000595</v>
      </c>
      <c r="J14" t="s">
        <v>39</v>
      </c>
      <c r="K14" t="s">
        <v>22</v>
      </c>
      <c r="L14">
        <f>B31+0.3358</f>
        <v>1.0356683431952614</v>
      </c>
    </row>
    <row r="15" spans="1:12" ht="12.75">
      <c r="A15" t="s">
        <v>9</v>
      </c>
      <c r="B15">
        <f>B14-C14</f>
        <v>4.249499999999971</v>
      </c>
      <c r="J15" t="s">
        <v>40</v>
      </c>
      <c r="K15" t="s">
        <v>24</v>
      </c>
      <c r="L15">
        <f>C31</f>
        <v>0.5448076923076884</v>
      </c>
    </row>
    <row r="16" spans="10:12" ht="12.75">
      <c r="J16" t="s">
        <v>41</v>
      </c>
      <c r="K16" t="s">
        <v>25</v>
      </c>
      <c r="L16">
        <f>D31</f>
        <v>0.4777544378698191</v>
      </c>
    </row>
    <row r="17" spans="10:12" ht="12.75">
      <c r="J17" t="s">
        <v>42</v>
      </c>
      <c r="K17" t="s">
        <v>26</v>
      </c>
      <c r="L17">
        <f>E31</f>
        <v>0.4861360946745529</v>
      </c>
    </row>
    <row r="18" spans="1:12" ht="12.75">
      <c r="A18" t="s">
        <v>58</v>
      </c>
      <c r="B18">
        <f>((G20-B28)/G20)*B15</f>
        <v>0.041908284023668356</v>
      </c>
      <c r="J18" t="s">
        <v>43</v>
      </c>
      <c r="K18" t="s">
        <v>27</v>
      </c>
      <c r="L18">
        <f>F31</f>
        <v>0.37298372781064865</v>
      </c>
    </row>
    <row r="19" spans="7:12" ht="12.75">
      <c r="G19" t="s">
        <v>57</v>
      </c>
      <c r="J19" t="s">
        <v>44</v>
      </c>
      <c r="K19" t="s">
        <v>28</v>
      </c>
      <c r="L19">
        <f>G31</f>
        <v>0.38136538461538183</v>
      </c>
    </row>
    <row r="20" spans="7:12" ht="12.75">
      <c r="G20">
        <v>101.4</v>
      </c>
      <c r="H20" t="s">
        <v>56</v>
      </c>
      <c r="J20" t="s">
        <v>45</v>
      </c>
      <c r="K20" t="s">
        <v>29</v>
      </c>
      <c r="L20">
        <f>H31+C14</f>
        <v>2.9951760355030093</v>
      </c>
    </row>
    <row r="22" spans="10:12" ht="15">
      <c r="J22" s="3" t="s">
        <v>46</v>
      </c>
      <c r="K22" s="3"/>
      <c r="L22" s="3">
        <f>SUM(L5:L20)</f>
        <v>10.25012000000003</v>
      </c>
    </row>
    <row r="26" spans="1:8" ht="12.75">
      <c r="A26" t="s">
        <v>53</v>
      </c>
      <c r="B26">
        <v>62</v>
      </c>
      <c r="C26">
        <v>31</v>
      </c>
      <c r="D26">
        <v>16</v>
      </c>
      <c r="E26">
        <v>8</v>
      </c>
      <c r="F26">
        <v>4</v>
      </c>
      <c r="G26">
        <v>2</v>
      </c>
      <c r="H26">
        <v>1</v>
      </c>
    </row>
    <row r="28" spans="1:8" ht="12.75">
      <c r="A28" t="s">
        <v>47</v>
      </c>
      <c r="B28">
        <v>100.4</v>
      </c>
      <c r="C28">
        <v>83.7</v>
      </c>
      <c r="D28">
        <v>70.7</v>
      </c>
      <c r="E28">
        <v>59.3</v>
      </c>
      <c r="F28">
        <v>47.7</v>
      </c>
      <c r="G28">
        <v>38.8</v>
      </c>
      <c r="H28">
        <v>29.7</v>
      </c>
    </row>
    <row r="29" spans="1:8" ht="12.75">
      <c r="A29" t="s">
        <v>48</v>
      </c>
      <c r="B29">
        <f>(B28/G20)*100</f>
        <v>99.0138067061144</v>
      </c>
      <c r="C29">
        <f>(C28/G20)*100</f>
        <v>82.54437869822485</v>
      </c>
      <c r="D29">
        <f>(D28/G20)*100</f>
        <v>69.72386587771203</v>
      </c>
      <c r="E29">
        <f>(E28/G20)*100</f>
        <v>58.481262327416175</v>
      </c>
      <c r="F29">
        <f>(F28/G20)*100</f>
        <v>47.0414201183432</v>
      </c>
      <c r="G29">
        <f>(G28/G20)*100</f>
        <v>38.264299802761336</v>
      </c>
      <c r="H29">
        <f>(H28/G20)*100</f>
        <v>29.289940828402365</v>
      </c>
    </row>
    <row r="30" spans="1:8" ht="12.75">
      <c r="A30" t="s">
        <v>49</v>
      </c>
      <c r="B30">
        <f aca="true" t="shared" si="0" ref="B30:G30">B29-C29</f>
        <v>16.469428007889547</v>
      </c>
      <c r="C30">
        <f t="shared" si="0"/>
        <v>12.820512820512818</v>
      </c>
      <c r="D30">
        <f t="shared" si="0"/>
        <v>11.242603550295854</v>
      </c>
      <c r="E30">
        <f t="shared" si="0"/>
        <v>11.439842209072978</v>
      </c>
      <c r="F30">
        <f t="shared" si="0"/>
        <v>8.777120315581861</v>
      </c>
      <c r="G30">
        <f t="shared" si="0"/>
        <v>8.974358974358971</v>
      </c>
      <c r="H30">
        <f>H29</f>
        <v>29.289940828402365</v>
      </c>
    </row>
    <row r="31" spans="1:8" ht="12.75">
      <c r="A31" t="s">
        <v>50</v>
      </c>
      <c r="B31">
        <f>B15*(B30/100)</f>
        <v>0.6998683431952615</v>
      </c>
      <c r="C31">
        <f>B15*(C30/100)</f>
        <v>0.5448076923076884</v>
      </c>
      <c r="D31">
        <f>B15*(D30/100)</f>
        <v>0.4777544378698191</v>
      </c>
      <c r="E31">
        <f>B15*(E30/100)</f>
        <v>0.4861360946745529</v>
      </c>
      <c r="F31">
        <f>B15*(F30/100)</f>
        <v>0.37298372781064865</v>
      </c>
      <c r="G31">
        <f>B15*(G30/100)</f>
        <v>0.38136538461538183</v>
      </c>
      <c r="H31">
        <f>B15*(H30/100)</f>
        <v>1.24467603550295</v>
      </c>
    </row>
    <row r="33" spans="1:8" ht="12.75">
      <c r="A33" t="s">
        <v>51</v>
      </c>
      <c r="B33" t="s">
        <v>52</v>
      </c>
      <c r="C33" t="s">
        <v>24</v>
      </c>
      <c r="D33" t="s">
        <v>25</v>
      </c>
      <c r="E33" t="s">
        <v>26</v>
      </c>
      <c r="F33" t="s">
        <v>27</v>
      </c>
      <c r="G33" t="s">
        <v>28</v>
      </c>
      <c r="H33" t="s">
        <v>54</v>
      </c>
    </row>
  </sheetData>
  <printOptions gridLines="1" horizontalCentered="1"/>
  <pageMargins left="0.5" right="0.5" top="0.5" bottom="0.5" header="0.5" footer="0.5"/>
  <pageSetup fitToHeight="1" fitToWidth="1" horizontalDpi="300" verticalDpi="3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workbookViewId="0" topLeftCell="A1">
      <selection activeCell="F15" sqref="F15"/>
    </sheetView>
  </sheetViews>
  <sheetFormatPr defaultColWidth="9.140625" defaultRowHeight="12.75"/>
  <cols>
    <col min="1" max="1" width="15.57421875" style="0" customWidth="1"/>
    <col min="3" max="3" width="10.57421875" style="0" customWidth="1"/>
    <col min="4" max="4" width="6.8515625" style="0" customWidth="1"/>
    <col min="5" max="5" width="8.57421875" style="0" customWidth="1"/>
    <col min="6" max="7" width="6.8515625" style="0" customWidth="1"/>
    <col min="8" max="8" width="6.7109375" style="0" customWidth="1"/>
    <col min="9" max="9" width="4.421875" style="0" customWidth="1"/>
    <col min="10" max="10" width="12.421875" style="0" customWidth="1"/>
    <col min="11" max="11" width="15.8515625" style="0" customWidth="1"/>
    <col min="12" max="12" width="14.00390625" style="0" customWidth="1"/>
  </cols>
  <sheetData>
    <row r="1" spans="1:3" ht="20.25">
      <c r="A1" s="2" t="s">
        <v>0</v>
      </c>
      <c r="B1" s="2"/>
      <c r="C1" s="2"/>
    </row>
    <row r="2" spans="1:4" ht="15">
      <c r="A2" s="3" t="s">
        <v>62</v>
      </c>
      <c r="B2" s="3">
        <v>100157</v>
      </c>
      <c r="C2" s="3"/>
      <c r="D2" s="3"/>
    </row>
    <row r="3" spans="1:3" ht="20.25">
      <c r="A3" s="2"/>
      <c r="B3" s="2"/>
      <c r="C3" s="2"/>
    </row>
    <row r="4" spans="5:12" ht="12.75">
      <c r="E4" t="s">
        <v>60</v>
      </c>
      <c r="H4">
        <v>1.58908</v>
      </c>
      <c r="J4" t="s">
        <v>12</v>
      </c>
      <c r="K4" t="s">
        <v>13</v>
      </c>
      <c r="L4" t="s">
        <v>59</v>
      </c>
    </row>
    <row r="5" spans="10:12" ht="12.75">
      <c r="J5" t="s">
        <v>30</v>
      </c>
      <c r="K5" t="s">
        <v>14</v>
      </c>
      <c r="L5">
        <v>0</v>
      </c>
    </row>
    <row r="6" spans="1:12" ht="12.75">
      <c r="A6" t="s">
        <v>1</v>
      </c>
      <c r="B6" t="s">
        <v>10</v>
      </c>
      <c r="C6" t="s">
        <v>11</v>
      </c>
      <c r="D6" t="s">
        <v>61</v>
      </c>
      <c r="F6">
        <v>910</v>
      </c>
      <c r="J6" t="s">
        <v>31</v>
      </c>
      <c r="K6" t="s">
        <v>15</v>
      </c>
      <c r="L6">
        <v>0</v>
      </c>
    </row>
    <row r="7" spans="1:12" ht="12.75">
      <c r="A7" t="s">
        <v>2</v>
      </c>
      <c r="J7" s="1" t="s">
        <v>32</v>
      </c>
      <c r="K7" t="s">
        <v>16</v>
      </c>
      <c r="L7">
        <v>0</v>
      </c>
    </row>
    <row r="8" spans="1:12" ht="12.75">
      <c r="A8" t="s">
        <v>3</v>
      </c>
      <c r="B8">
        <v>30.0299</v>
      </c>
      <c r="C8">
        <v>30.9519</v>
      </c>
      <c r="J8" s="1" t="s">
        <v>33</v>
      </c>
      <c r="K8" t="s">
        <v>17</v>
      </c>
      <c r="L8">
        <v>0</v>
      </c>
    </row>
    <row r="9" spans="1:12" ht="12.75">
      <c r="A9" t="s">
        <v>4</v>
      </c>
      <c r="B9">
        <v>29.7769</v>
      </c>
      <c r="C9">
        <v>30.7894</v>
      </c>
      <c r="J9" t="s">
        <v>34</v>
      </c>
      <c r="K9" t="s">
        <v>18</v>
      </c>
      <c r="L9">
        <v>0</v>
      </c>
    </row>
    <row r="10" spans="1:12" ht="12.75">
      <c r="A10" t="s">
        <v>5</v>
      </c>
      <c r="B10">
        <f>B8-B9</f>
        <v>0.2530000000000001</v>
      </c>
      <c r="C10">
        <f>C8-C9</f>
        <v>0.16249999999999787</v>
      </c>
      <c r="J10" t="s">
        <v>35</v>
      </c>
      <c r="K10" t="s">
        <v>19</v>
      </c>
      <c r="L10">
        <v>0.01183</v>
      </c>
    </row>
    <row r="11" spans="1:12" ht="12.75">
      <c r="A11" t="s">
        <v>55</v>
      </c>
      <c r="B11">
        <v>0.1084</v>
      </c>
      <c r="C11">
        <v>0.1084</v>
      </c>
      <c r="J11" t="s">
        <v>36</v>
      </c>
      <c r="K11" t="s">
        <v>20</v>
      </c>
      <c r="L11">
        <v>0.05383</v>
      </c>
    </row>
    <row r="12" spans="1:12" ht="12.75">
      <c r="A12" t="s">
        <v>6</v>
      </c>
      <c r="B12">
        <f>B10-B11</f>
        <v>0.14460000000000012</v>
      </c>
      <c r="C12">
        <f>C10-C11</f>
        <v>0.05409999999999787</v>
      </c>
      <c r="J12" t="s">
        <v>37</v>
      </c>
      <c r="K12" t="s">
        <v>21</v>
      </c>
      <c r="L12">
        <v>0.167</v>
      </c>
    </row>
    <row r="13" spans="1:12" ht="12.75">
      <c r="A13" t="s">
        <v>7</v>
      </c>
      <c r="B13">
        <v>50</v>
      </c>
      <c r="C13">
        <f>(F6/20)</f>
        <v>45.5</v>
      </c>
      <c r="J13" t="s">
        <v>38</v>
      </c>
      <c r="K13" t="s">
        <v>23</v>
      </c>
      <c r="L13">
        <f>B18+1.15609</f>
        <v>1.1703241791044778</v>
      </c>
    </row>
    <row r="14" spans="1:12" ht="12.75">
      <c r="A14" t="s">
        <v>8</v>
      </c>
      <c r="B14">
        <f>B12*B13</f>
        <v>7.230000000000006</v>
      </c>
      <c r="C14">
        <f>C12*C13</f>
        <v>2.461549999999903</v>
      </c>
      <c r="J14" t="s">
        <v>39</v>
      </c>
      <c r="K14" t="s">
        <v>22</v>
      </c>
      <c r="L14">
        <f>B31+0.19534</f>
        <v>0.669812636815931</v>
      </c>
    </row>
    <row r="15" spans="1:12" ht="12.75">
      <c r="A15" t="s">
        <v>9</v>
      </c>
      <c r="B15">
        <f>B14-C14</f>
        <v>4.768450000000103</v>
      </c>
      <c r="J15" t="s">
        <v>40</v>
      </c>
      <c r="K15" t="s">
        <v>24</v>
      </c>
      <c r="L15">
        <f>C31</f>
        <v>0.38906756218906324</v>
      </c>
    </row>
    <row r="16" spans="10:12" ht="12.75">
      <c r="J16" t="s">
        <v>41</v>
      </c>
      <c r="K16" t="s">
        <v>25</v>
      </c>
      <c r="L16">
        <f>D31</f>
        <v>0.61681442786071</v>
      </c>
    </row>
    <row r="17" spans="10:12" ht="12.75">
      <c r="J17" t="s">
        <v>42</v>
      </c>
      <c r="K17" t="s">
        <v>26</v>
      </c>
      <c r="L17">
        <f>E31</f>
        <v>0.6263038805970284</v>
      </c>
    </row>
    <row r="18" spans="1:12" ht="12.75">
      <c r="A18" t="s">
        <v>58</v>
      </c>
      <c r="B18">
        <f>((G20-B28)/G20)*B15</f>
        <v>0.014234179104477784</v>
      </c>
      <c r="J18" t="s">
        <v>43</v>
      </c>
      <c r="K18" t="s">
        <v>27</v>
      </c>
      <c r="L18">
        <f>F31</f>
        <v>0.5076857213930456</v>
      </c>
    </row>
    <row r="19" spans="7:12" ht="12.75">
      <c r="G19" t="s">
        <v>57</v>
      </c>
      <c r="J19" t="s">
        <v>44</v>
      </c>
      <c r="K19" t="s">
        <v>28</v>
      </c>
      <c r="L19">
        <f>G31</f>
        <v>0.5029409950248865</v>
      </c>
    </row>
    <row r="20" spans="7:12" ht="12.75">
      <c r="G20">
        <v>100.5</v>
      </c>
      <c r="H20" t="s">
        <v>56</v>
      </c>
      <c r="J20" t="s">
        <v>45</v>
      </c>
      <c r="K20" t="s">
        <v>29</v>
      </c>
      <c r="L20">
        <f>H31+C14</f>
        <v>4.098480597014864</v>
      </c>
    </row>
    <row r="22" spans="10:12" ht="15">
      <c r="J22" s="3" t="s">
        <v>46</v>
      </c>
      <c r="K22" s="3"/>
      <c r="L22" s="3">
        <f>SUM(L5:L20)</f>
        <v>8.814090000000006</v>
      </c>
    </row>
    <row r="26" spans="1:8" ht="12.75">
      <c r="A26" t="s">
        <v>53</v>
      </c>
      <c r="B26">
        <v>62</v>
      </c>
      <c r="C26">
        <v>31</v>
      </c>
      <c r="D26">
        <v>16</v>
      </c>
      <c r="E26">
        <v>8</v>
      </c>
      <c r="F26">
        <v>4</v>
      </c>
      <c r="G26">
        <v>2</v>
      </c>
      <c r="H26">
        <v>1</v>
      </c>
    </row>
    <row r="28" spans="1:8" ht="12.75">
      <c r="A28" t="s">
        <v>47</v>
      </c>
      <c r="B28">
        <v>100.2</v>
      </c>
      <c r="C28">
        <v>90.2</v>
      </c>
      <c r="D28">
        <v>82</v>
      </c>
      <c r="E28">
        <v>69</v>
      </c>
      <c r="F28">
        <v>55.8</v>
      </c>
      <c r="G28">
        <v>45.1</v>
      </c>
      <c r="H28">
        <v>34.5</v>
      </c>
    </row>
    <row r="29" spans="1:8" ht="12.75">
      <c r="A29" t="s">
        <v>48</v>
      </c>
      <c r="B29">
        <f>(B28/G20)*100</f>
        <v>99.70149253731344</v>
      </c>
      <c r="C29">
        <f>(C28/G20)*100</f>
        <v>89.75124378109453</v>
      </c>
      <c r="D29">
        <f>(D28/G20)*100</f>
        <v>81.59203980099502</v>
      </c>
      <c r="E29">
        <f>(E28/G20)*100</f>
        <v>68.65671641791045</v>
      </c>
      <c r="F29">
        <f>(F28/G20)*100</f>
        <v>55.52238805970149</v>
      </c>
      <c r="G29">
        <f>(G28/G20)*100</f>
        <v>44.875621890547265</v>
      </c>
      <c r="H29">
        <f>(H28/G20)*100</f>
        <v>34.32835820895522</v>
      </c>
    </row>
    <row r="30" spans="1:8" ht="12.75">
      <c r="A30" t="s">
        <v>49</v>
      </c>
      <c r="B30">
        <f aca="true" t="shared" si="0" ref="B30:G30">B29-C29</f>
        <v>9.950248756218912</v>
      </c>
      <c r="C30">
        <f t="shared" si="0"/>
        <v>8.159203980099505</v>
      </c>
      <c r="D30">
        <f t="shared" si="0"/>
        <v>12.93532338308458</v>
      </c>
      <c r="E30">
        <f t="shared" si="0"/>
        <v>13.134328358208954</v>
      </c>
      <c r="F30">
        <f t="shared" si="0"/>
        <v>10.646766169154226</v>
      </c>
      <c r="G30">
        <f t="shared" si="0"/>
        <v>10.547263681592042</v>
      </c>
      <c r="H30">
        <f>H29</f>
        <v>34.32835820895522</v>
      </c>
    </row>
    <row r="31" spans="1:8" ht="12.75">
      <c r="A31" t="s">
        <v>50</v>
      </c>
      <c r="B31">
        <f>B15*(B30/100)</f>
        <v>0.4744726368159309</v>
      </c>
      <c r="C31">
        <f>B15*(C30/100)</f>
        <v>0.38906756218906324</v>
      </c>
      <c r="D31">
        <f>B15*(D30/100)</f>
        <v>0.61681442786071</v>
      </c>
      <c r="E31">
        <f>B15*(E30/100)</f>
        <v>0.6263038805970284</v>
      </c>
      <c r="F31">
        <f>B15*(F30/100)</f>
        <v>0.5076857213930456</v>
      </c>
      <c r="G31">
        <f>B15*(G30/100)</f>
        <v>0.5029409950248865</v>
      </c>
      <c r="H31">
        <f>B15*(H30/100)</f>
        <v>1.6369305970149606</v>
      </c>
    </row>
    <row r="33" spans="1:8" ht="12.75">
      <c r="A33" t="s">
        <v>51</v>
      </c>
      <c r="B33" t="s">
        <v>52</v>
      </c>
      <c r="C33" t="s">
        <v>24</v>
      </c>
      <c r="D33" t="s">
        <v>25</v>
      </c>
      <c r="E33" t="s">
        <v>26</v>
      </c>
      <c r="F33" t="s">
        <v>27</v>
      </c>
      <c r="G33" t="s">
        <v>28</v>
      </c>
      <c r="H33" t="s">
        <v>54</v>
      </c>
    </row>
  </sheetData>
  <printOptions gridLines="1" horizontalCentered="1"/>
  <pageMargins left="0.5" right="0.5" top="0.5" bottom="0.5" header="0.5" footer="0.5"/>
  <pageSetup fitToHeight="1" fitToWidth="1" horizontalDpi="300" verticalDpi="3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workbookViewId="0" topLeftCell="A1">
      <selection activeCell="F15" sqref="F15"/>
    </sheetView>
  </sheetViews>
  <sheetFormatPr defaultColWidth="9.140625" defaultRowHeight="12.75"/>
  <cols>
    <col min="1" max="1" width="15.57421875" style="0" customWidth="1"/>
    <col min="3" max="3" width="10.57421875" style="0" customWidth="1"/>
    <col min="4" max="4" width="6.8515625" style="0" customWidth="1"/>
    <col min="5" max="5" width="8.57421875" style="0" customWidth="1"/>
    <col min="6" max="7" width="6.8515625" style="0" customWidth="1"/>
    <col min="8" max="8" width="6.7109375" style="0" customWidth="1"/>
    <col min="9" max="9" width="4.421875" style="0" customWidth="1"/>
    <col min="10" max="10" width="12.421875" style="0" customWidth="1"/>
    <col min="11" max="11" width="15.8515625" style="0" customWidth="1"/>
    <col min="12" max="12" width="14.00390625" style="0" customWidth="1"/>
  </cols>
  <sheetData>
    <row r="1" spans="1:3" ht="20.25">
      <c r="A1" s="2" t="s">
        <v>0</v>
      </c>
      <c r="B1" s="2"/>
      <c r="C1" s="2"/>
    </row>
    <row r="2" spans="1:4" ht="15">
      <c r="A2" s="3" t="s">
        <v>62</v>
      </c>
      <c r="B2" s="3">
        <v>100158</v>
      </c>
      <c r="C2" s="3"/>
      <c r="D2" s="3"/>
    </row>
    <row r="3" spans="1:3" ht="20.25">
      <c r="A3" s="2"/>
      <c r="B3" s="2"/>
      <c r="C3" s="2"/>
    </row>
    <row r="4" spans="5:12" ht="12.75">
      <c r="E4" t="s">
        <v>60</v>
      </c>
      <c r="H4">
        <v>0.95936</v>
      </c>
      <c r="J4" t="s">
        <v>12</v>
      </c>
      <c r="K4" t="s">
        <v>13</v>
      </c>
      <c r="L4" t="s">
        <v>59</v>
      </c>
    </row>
    <row r="5" spans="10:12" ht="12.75">
      <c r="J5" t="s">
        <v>30</v>
      </c>
      <c r="K5" t="s">
        <v>14</v>
      </c>
      <c r="L5">
        <v>0</v>
      </c>
    </row>
    <row r="6" spans="1:12" ht="12.75">
      <c r="A6" t="s">
        <v>1</v>
      </c>
      <c r="B6" t="s">
        <v>10</v>
      </c>
      <c r="C6" t="s">
        <v>11</v>
      </c>
      <c r="D6" t="s">
        <v>61</v>
      </c>
      <c r="F6">
        <v>900</v>
      </c>
      <c r="J6" t="s">
        <v>31</v>
      </c>
      <c r="K6" t="s">
        <v>15</v>
      </c>
      <c r="L6">
        <v>0</v>
      </c>
    </row>
    <row r="7" spans="1:12" ht="12.75">
      <c r="A7" t="s">
        <v>2</v>
      </c>
      <c r="J7" s="1" t="s">
        <v>32</v>
      </c>
      <c r="K7" t="s">
        <v>16</v>
      </c>
      <c r="L7">
        <v>0</v>
      </c>
    </row>
    <row r="8" spans="1:12" ht="12.75">
      <c r="A8" t="s">
        <v>3</v>
      </c>
      <c r="B8">
        <v>29.7009</v>
      </c>
      <c r="C8">
        <v>29.6288</v>
      </c>
      <c r="J8" s="1" t="s">
        <v>33</v>
      </c>
      <c r="K8" t="s">
        <v>17</v>
      </c>
      <c r="L8">
        <v>0</v>
      </c>
    </row>
    <row r="9" spans="1:12" ht="12.75">
      <c r="A9" t="s">
        <v>4</v>
      </c>
      <c r="B9">
        <v>29.4768</v>
      </c>
      <c r="C9">
        <v>29.4779</v>
      </c>
      <c r="J9" t="s">
        <v>34</v>
      </c>
      <c r="K9" t="s">
        <v>18</v>
      </c>
      <c r="L9">
        <v>0</v>
      </c>
    </row>
    <row r="10" spans="1:12" ht="12.75">
      <c r="A10" t="s">
        <v>5</v>
      </c>
      <c r="B10">
        <f>B8-B9</f>
        <v>0.22409999999999997</v>
      </c>
      <c r="C10">
        <f>C8-C9</f>
        <v>0.15089999999999648</v>
      </c>
      <c r="J10" t="s">
        <v>35</v>
      </c>
      <c r="K10" t="s">
        <v>19</v>
      </c>
      <c r="L10">
        <v>0.00529</v>
      </c>
    </row>
    <row r="11" spans="1:12" ht="12.75">
      <c r="A11" t="s">
        <v>55</v>
      </c>
      <c r="B11">
        <v>0.1084</v>
      </c>
      <c r="C11">
        <v>0.1084</v>
      </c>
      <c r="J11" t="s">
        <v>36</v>
      </c>
      <c r="K11" t="s">
        <v>20</v>
      </c>
      <c r="L11">
        <v>0.03613</v>
      </c>
    </row>
    <row r="12" spans="1:12" ht="12.75">
      <c r="A12" t="s">
        <v>6</v>
      </c>
      <c r="B12">
        <f>B10-B11</f>
        <v>0.11569999999999997</v>
      </c>
      <c r="C12">
        <f>C10-C11</f>
        <v>0.042499999999996485</v>
      </c>
      <c r="J12" t="s">
        <v>37</v>
      </c>
      <c r="K12" t="s">
        <v>21</v>
      </c>
      <c r="L12">
        <v>0.0927</v>
      </c>
    </row>
    <row r="13" spans="1:12" ht="12.75">
      <c r="A13" t="s">
        <v>7</v>
      </c>
      <c r="B13">
        <v>50</v>
      </c>
      <c r="C13">
        <f>(F6/20)</f>
        <v>45</v>
      </c>
      <c r="J13" t="s">
        <v>38</v>
      </c>
      <c r="K13" t="s">
        <v>23</v>
      </c>
      <c r="L13">
        <f>B18+0.57854</f>
        <v>0.6027431250000008</v>
      </c>
    </row>
    <row r="14" spans="1:12" ht="12.75">
      <c r="A14" t="s">
        <v>8</v>
      </c>
      <c r="B14">
        <f>B12*B13</f>
        <v>5.784999999999998</v>
      </c>
      <c r="C14">
        <f>C12*C13</f>
        <v>1.9124999999998418</v>
      </c>
      <c r="J14" t="s">
        <v>39</v>
      </c>
      <c r="K14" t="s">
        <v>22</v>
      </c>
      <c r="L14">
        <f>B31+0.24342</f>
        <v>0.9856491666666963</v>
      </c>
    </row>
    <row r="15" spans="1:12" ht="12.75">
      <c r="A15" t="s">
        <v>9</v>
      </c>
      <c r="B15">
        <f>B14-C14</f>
        <v>3.872500000000157</v>
      </c>
      <c r="J15" t="s">
        <v>40</v>
      </c>
      <c r="K15" t="s">
        <v>24</v>
      </c>
      <c r="L15">
        <f>C31</f>
        <v>0.584908854166691</v>
      </c>
    </row>
    <row r="16" spans="10:12" ht="12.75">
      <c r="J16" t="s">
        <v>41</v>
      </c>
      <c r="K16" t="s">
        <v>25</v>
      </c>
      <c r="L16">
        <f>D31</f>
        <v>0.45985937500001806</v>
      </c>
    </row>
    <row r="17" spans="10:12" ht="12.75">
      <c r="J17" t="s">
        <v>42</v>
      </c>
      <c r="K17" t="s">
        <v>26</v>
      </c>
      <c r="L17">
        <f>E31</f>
        <v>0.35901302083334796</v>
      </c>
    </row>
    <row r="18" spans="1:12" ht="12.75">
      <c r="A18" t="s">
        <v>58</v>
      </c>
      <c r="B18">
        <f>((G20-B28)/G20)*B15</f>
        <v>0.02420312500000075</v>
      </c>
      <c r="J18" t="s">
        <v>43</v>
      </c>
      <c r="K18" t="s">
        <v>27</v>
      </c>
      <c r="L18">
        <f>F31</f>
        <v>0.39531770833334945</v>
      </c>
    </row>
    <row r="19" spans="7:12" ht="12.75">
      <c r="G19" t="s">
        <v>57</v>
      </c>
      <c r="J19" t="s">
        <v>44</v>
      </c>
      <c r="K19" t="s">
        <v>28</v>
      </c>
      <c r="L19">
        <f>G31</f>
        <v>0.3912838541666826</v>
      </c>
    </row>
    <row r="20" spans="7:12" ht="12.75">
      <c r="G20">
        <v>96</v>
      </c>
      <c r="H20" t="s">
        <v>56</v>
      </c>
      <c r="J20" t="s">
        <v>45</v>
      </c>
      <c r="K20" t="s">
        <v>29</v>
      </c>
      <c r="L20">
        <f>H31+C14</f>
        <v>2.8281848958332123</v>
      </c>
    </row>
    <row r="22" spans="10:12" ht="15">
      <c r="J22" s="3" t="s">
        <v>46</v>
      </c>
      <c r="K22" s="3"/>
      <c r="L22" s="3">
        <f>SUM(L5:L20)</f>
        <v>6.741079999999998</v>
      </c>
    </row>
    <row r="26" spans="1:8" ht="12.75">
      <c r="A26" t="s">
        <v>53</v>
      </c>
      <c r="B26">
        <v>62</v>
      </c>
      <c r="C26">
        <v>31</v>
      </c>
      <c r="D26">
        <v>16</v>
      </c>
      <c r="E26">
        <v>8</v>
      </c>
      <c r="F26">
        <v>4</v>
      </c>
      <c r="G26">
        <v>2</v>
      </c>
      <c r="H26">
        <v>1</v>
      </c>
    </row>
    <row r="28" spans="1:8" ht="12.75">
      <c r="A28" t="s">
        <v>47</v>
      </c>
      <c r="B28">
        <v>95.4</v>
      </c>
      <c r="C28">
        <v>77</v>
      </c>
      <c r="D28">
        <v>62.5</v>
      </c>
      <c r="E28">
        <v>51.1</v>
      </c>
      <c r="F28">
        <v>42.2</v>
      </c>
      <c r="G28">
        <v>32.4</v>
      </c>
      <c r="H28">
        <v>22.7</v>
      </c>
    </row>
    <row r="29" spans="1:8" ht="12.75">
      <c r="A29" t="s">
        <v>48</v>
      </c>
      <c r="B29">
        <f>(B28/G20)*100</f>
        <v>99.375</v>
      </c>
      <c r="C29">
        <f>(C28/G20)*100</f>
        <v>80.20833333333334</v>
      </c>
      <c r="D29">
        <f>(D28/G20)*100</f>
        <v>65.10416666666666</v>
      </c>
      <c r="E29">
        <f>(E28/G20)*100</f>
        <v>53.22916666666667</v>
      </c>
      <c r="F29">
        <f>(F28/G20)*100</f>
        <v>43.958333333333336</v>
      </c>
      <c r="G29">
        <f>(G28/G20)*100</f>
        <v>33.75</v>
      </c>
      <c r="H29">
        <f>(H28/G20)*100</f>
        <v>23.645833333333332</v>
      </c>
    </row>
    <row r="30" spans="1:8" ht="12.75">
      <c r="A30" t="s">
        <v>49</v>
      </c>
      <c r="B30">
        <f aca="true" t="shared" si="0" ref="B30:G30">B29-C29</f>
        <v>19.166666666666657</v>
      </c>
      <c r="C30">
        <f t="shared" si="0"/>
        <v>15.104166666666686</v>
      </c>
      <c r="D30">
        <f t="shared" si="0"/>
        <v>11.874999999999986</v>
      </c>
      <c r="E30">
        <f t="shared" si="0"/>
        <v>9.270833333333336</v>
      </c>
      <c r="F30">
        <f t="shared" si="0"/>
        <v>10.208333333333336</v>
      </c>
      <c r="G30">
        <f t="shared" si="0"/>
        <v>10.104166666666668</v>
      </c>
      <c r="H30">
        <f>H29</f>
        <v>23.645833333333332</v>
      </c>
    </row>
    <row r="31" spans="1:8" ht="12.75">
      <c r="A31" t="s">
        <v>50</v>
      </c>
      <c r="B31">
        <f>B15*(B30/100)</f>
        <v>0.7422291666666964</v>
      </c>
      <c r="C31">
        <f>B15*(C30/100)</f>
        <v>0.584908854166691</v>
      </c>
      <c r="D31">
        <f>B15*(D30/100)</f>
        <v>0.45985937500001806</v>
      </c>
      <c r="E31">
        <f>B15*(E30/100)</f>
        <v>0.35901302083334796</v>
      </c>
      <c r="F31">
        <f>B15*(F30/100)</f>
        <v>0.39531770833334945</v>
      </c>
      <c r="G31">
        <f>B15*(G30/100)</f>
        <v>0.3912838541666826</v>
      </c>
      <c r="H31">
        <f>B15*(H30/100)</f>
        <v>0.9156848958333704</v>
      </c>
    </row>
    <row r="33" spans="1:8" ht="12.75">
      <c r="A33" t="s">
        <v>51</v>
      </c>
      <c r="B33" t="s">
        <v>52</v>
      </c>
      <c r="C33" t="s">
        <v>24</v>
      </c>
      <c r="D33" t="s">
        <v>25</v>
      </c>
      <c r="E33" t="s">
        <v>26</v>
      </c>
      <c r="F33" t="s">
        <v>27</v>
      </c>
      <c r="G33" t="s">
        <v>28</v>
      </c>
      <c r="H33" t="s">
        <v>54</v>
      </c>
    </row>
  </sheetData>
  <printOptions gridLines="1" horizontalCentered="1"/>
  <pageMargins left="0.5" right="0.5" top="0.5" bottom="0.5" header="0.5" footer="0.5"/>
  <pageSetup fitToHeight="1" fitToWidth="1" horizontalDpi="300" verticalDpi="3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workbookViewId="0" topLeftCell="A1">
      <selection activeCell="F15" sqref="F15"/>
    </sheetView>
  </sheetViews>
  <sheetFormatPr defaultColWidth="9.140625" defaultRowHeight="12.75"/>
  <cols>
    <col min="1" max="1" width="15.57421875" style="0" customWidth="1"/>
    <col min="3" max="3" width="10.57421875" style="0" customWidth="1"/>
    <col min="4" max="4" width="6.8515625" style="0" customWidth="1"/>
    <col min="5" max="5" width="8.57421875" style="0" customWidth="1"/>
    <col min="6" max="7" width="6.8515625" style="0" customWidth="1"/>
    <col min="8" max="8" width="6.7109375" style="0" customWidth="1"/>
    <col min="9" max="9" width="4.421875" style="0" customWidth="1"/>
    <col min="10" max="10" width="12.421875" style="0" customWidth="1"/>
    <col min="11" max="11" width="15.8515625" style="0" customWidth="1"/>
    <col min="12" max="12" width="14.00390625" style="0" customWidth="1"/>
  </cols>
  <sheetData>
    <row r="1" spans="1:3" ht="20.25">
      <c r="A1" s="2" t="s">
        <v>0</v>
      </c>
      <c r="B1" s="2"/>
      <c r="C1" s="2"/>
    </row>
    <row r="2" spans="1:4" ht="15">
      <c r="A2" s="3" t="s">
        <v>62</v>
      </c>
      <c r="B2" s="3">
        <v>100159</v>
      </c>
      <c r="C2" s="3"/>
      <c r="D2" s="3"/>
    </row>
    <row r="3" spans="1:3" ht="20.25">
      <c r="A3" s="2"/>
      <c r="B3" s="2"/>
      <c r="C3" s="2"/>
    </row>
    <row r="4" spans="5:12" ht="12.75">
      <c r="E4" t="s">
        <v>60</v>
      </c>
      <c r="H4">
        <v>0.54772</v>
      </c>
      <c r="J4" t="s">
        <v>12</v>
      </c>
      <c r="K4" t="s">
        <v>13</v>
      </c>
      <c r="L4" t="s">
        <v>59</v>
      </c>
    </row>
    <row r="5" spans="10:12" ht="12.75">
      <c r="J5" t="s">
        <v>30</v>
      </c>
      <c r="K5" t="s">
        <v>14</v>
      </c>
      <c r="L5">
        <v>0</v>
      </c>
    </row>
    <row r="6" spans="1:12" ht="12.75">
      <c r="A6" t="s">
        <v>1</v>
      </c>
      <c r="B6" t="s">
        <v>10</v>
      </c>
      <c r="C6" t="s">
        <v>11</v>
      </c>
      <c r="D6" t="s">
        <v>61</v>
      </c>
      <c r="F6">
        <v>910</v>
      </c>
      <c r="J6" t="s">
        <v>31</v>
      </c>
      <c r="K6" t="s">
        <v>15</v>
      </c>
      <c r="L6">
        <v>0</v>
      </c>
    </row>
    <row r="7" spans="1:12" ht="12.75">
      <c r="A7" t="s">
        <v>2</v>
      </c>
      <c r="J7" s="1" t="s">
        <v>32</v>
      </c>
      <c r="K7" t="s">
        <v>16</v>
      </c>
      <c r="L7">
        <v>0</v>
      </c>
    </row>
    <row r="8" spans="1:12" ht="12.75">
      <c r="A8" t="s">
        <v>3</v>
      </c>
      <c r="B8">
        <v>28.7959</v>
      </c>
      <c r="C8">
        <v>29.4889</v>
      </c>
      <c r="J8" s="1" t="s">
        <v>33</v>
      </c>
      <c r="K8" t="s">
        <v>17</v>
      </c>
      <c r="L8">
        <v>0</v>
      </c>
    </row>
    <row r="9" spans="1:12" ht="12.75">
      <c r="A9" t="s">
        <v>4</v>
      </c>
      <c r="B9">
        <v>28.5995</v>
      </c>
      <c r="C9">
        <v>29.3484</v>
      </c>
      <c r="J9" t="s">
        <v>34</v>
      </c>
      <c r="K9" t="s">
        <v>18</v>
      </c>
      <c r="L9">
        <v>0</v>
      </c>
    </row>
    <row r="10" spans="1:12" ht="12.75">
      <c r="A10" t="s">
        <v>5</v>
      </c>
      <c r="B10">
        <f>B8-B9</f>
        <v>0.19640000000000057</v>
      </c>
      <c r="C10">
        <f>C8-C9</f>
        <v>0.1404999999999994</v>
      </c>
      <c r="J10" t="s">
        <v>35</v>
      </c>
      <c r="K10" t="s">
        <v>19</v>
      </c>
      <c r="L10">
        <v>0.00233</v>
      </c>
    </row>
    <row r="11" spans="1:12" ht="12.75">
      <c r="A11" t="s">
        <v>55</v>
      </c>
      <c r="B11">
        <v>0.1084</v>
      </c>
      <c r="C11">
        <v>0.1084</v>
      </c>
      <c r="J11" t="s">
        <v>36</v>
      </c>
      <c r="K11" t="s">
        <v>20</v>
      </c>
      <c r="L11">
        <v>0.01293</v>
      </c>
    </row>
    <row r="12" spans="1:12" ht="12.75">
      <c r="A12" t="s">
        <v>6</v>
      </c>
      <c r="B12">
        <f>B10-B11</f>
        <v>0.08800000000000058</v>
      </c>
      <c r="C12">
        <f>C10-C11</f>
        <v>0.03209999999999941</v>
      </c>
      <c r="J12" t="s">
        <v>37</v>
      </c>
      <c r="K12" t="s">
        <v>21</v>
      </c>
      <c r="L12">
        <v>0.04809</v>
      </c>
    </row>
    <row r="13" spans="1:12" ht="12.75">
      <c r="A13" t="s">
        <v>7</v>
      </c>
      <c r="B13">
        <v>50</v>
      </c>
      <c r="C13">
        <f>(F6/20)</f>
        <v>45.5</v>
      </c>
      <c r="J13" t="s">
        <v>38</v>
      </c>
      <c r="K13" t="s">
        <v>23</v>
      </c>
      <c r="L13">
        <f>B18+0.35555</f>
        <v>0.3875005434782617</v>
      </c>
    </row>
    <row r="14" spans="1:12" ht="12.75">
      <c r="A14" t="s">
        <v>8</v>
      </c>
      <c r="B14">
        <f>B12*B13</f>
        <v>4.400000000000029</v>
      </c>
      <c r="C14">
        <f>C12*C13</f>
        <v>1.460549999999973</v>
      </c>
      <c r="J14" t="s">
        <v>39</v>
      </c>
      <c r="K14" t="s">
        <v>22</v>
      </c>
      <c r="L14">
        <f>B31+0.12949</f>
        <v>0.7307411363636473</v>
      </c>
    </row>
    <row r="15" spans="1:12" ht="12.75">
      <c r="A15" t="s">
        <v>9</v>
      </c>
      <c r="B15">
        <f>B14-C14</f>
        <v>2.939450000000056</v>
      </c>
      <c r="J15" t="s">
        <v>40</v>
      </c>
      <c r="K15" t="s">
        <v>24</v>
      </c>
      <c r="L15">
        <f>C31</f>
        <v>0.3950249011857786</v>
      </c>
    </row>
    <row r="16" spans="10:12" ht="12.75">
      <c r="J16" t="s">
        <v>41</v>
      </c>
      <c r="K16" t="s">
        <v>25</v>
      </c>
      <c r="L16">
        <f>D31</f>
        <v>0.33693300395257536</v>
      </c>
    </row>
    <row r="17" spans="10:12" ht="12.75">
      <c r="J17" t="s">
        <v>42</v>
      </c>
      <c r="K17" t="s">
        <v>26</v>
      </c>
      <c r="L17">
        <f>E31</f>
        <v>0.3020778656126542</v>
      </c>
    </row>
    <row r="18" spans="1:12" ht="12.75">
      <c r="A18" t="s">
        <v>58</v>
      </c>
      <c r="B18">
        <f>((G20-B28)/G20)*B15</f>
        <v>0.03195054347826173</v>
      </c>
      <c r="J18" t="s">
        <v>43</v>
      </c>
      <c r="K18" t="s">
        <v>27</v>
      </c>
      <c r="L18">
        <f>F31</f>
        <v>0.3107916501976343</v>
      </c>
    </row>
    <row r="19" spans="7:12" ht="12.75">
      <c r="G19" t="s">
        <v>57</v>
      </c>
      <c r="J19" t="s">
        <v>44</v>
      </c>
      <c r="K19" t="s">
        <v>28</v>
      </c>
      <c r="L19">
        <f>G31</f>
        <v>0.304982460474314</v>
      </c>
    </row>
    <row r="20" spans="7:12" ht="12.75">
      <c r="G20">
        <v>101.2</v>
      </c>
      <c r="H20" t="s">
        <v>56</v>
      </c>
      <c r="J20" t="s">
        <v>45</v>
      </c>
      <c r="K20" t="s">
        <v>29</v>
      </c>
      <c r="L20">
        <f>H31+C14</f>
        <v>2.116988438735163</v>
      </c>
    </row>
    <row r="22" spans="10:12" ht="15">
      <c r="J22" s="3" t="s">
        <v>46</v>
      </c>
      <c r="K22" s="3"/>
      <c r="L22" s="3">
        <f>SUM(L5:L20)</f>
        <v>4.948390000000028</v>
      </c>
    </row>
    <row r="26" spans="1:8" ht="12.75">
      <c r="A26" t="s">
        <v>53</v>
      </c>
      <c r="B26">
        <v>62</v>
      </c>
      <c r="C26">
        <v>31</v>
      </c>
      <c r="D26">
        <v>16</v>
      </c>
      <c r="E26">
        <v>8</v>
      </c>
      <c r="F26">
        <v>4</v>
      </c>
      <c r="G26">
        <v>2</v>
      </c>
      <c r="H26">
        <v>1</v>
      </c>
    </row>
    <row r="28" spans="1:8" ht="12.75">
      <c r="A28" t="s">
        <v>47</v>
      </c>
      <c r="B28">
        <v>100.1</v>
      </c>
      <c r="C28">
        <v>79.4</v>
      </c>
      <c r="D28">
        <v>65.8</v>
      </c>
      <c r="E28">
        <v>54.2</v>
      </c>
      <c r="F28">
        <v>43.8</v>
      </c>
      <c r="G28">
        <v>33.1</v>
      </c>
      <c r="H28">
        <v>22.6</v>
      </c>
    </row>
    <row r="29" spans="1:8" ht="12.75">
      <c r="A29" t="s">
        <v>48</v>
      </c>
      <c r="B29">
        <f>(B28/G20)*100</f>
        <v>98.91304347826086</v>
      </c>
      <c r="C29">
        <f>(C28/G20)*100</f>
        <v>78.45849802371542</v>
      </c>
      <c r="D29">
        <f>(D28/G20)*100</f>
        <v>65.0197628458498</v>
      </c>
      <c r="E29">
        <f>(E28/G20)*100</f>
        <v>53.55731225296443</v>
      </c>
      <c r="F29">
        <f>(F28/G20)*100</f>
        <v>43.28063241106719</v>
      </c>
      <c r="G29">
        <f>(G28/G20)*100</f>
        <v>32.70750988142292</v>
      </c>
      <c r="H29">
        <f>(H28/G20)*100</f>
        <v>22.33201581027668</v>
      </c>
    </row>
    <row r="30" spans="1:8" ht="12.75">
      <c r="A30" t="s">
        <v>49</v>
      </c>
      <c r="B30">
        <f aca="true" t="shared" si="0" ref="B30:G30">B29-C29</f>
        <v>20.45454545454544</v>
      </c>
      <c r="C30">
        <f t="shared" si="0"/>
        <v>13.438735177865624</v>
      </c>
      <c r="D30">
        <f t="shared" si="0"/>
        <v>11.462450592885368</v>
      </c>
      <c r="E30">
        <f t="shared" si="0"/>
        <v>10.276679841897241</v>
      </c>
      <c r="F30">
        <f t="shared" si="0"/>
        <v>10.573122529644266</v>
      </c>
      <c r="G30">
        <f t="shared" si="0"/>
        <v>10.375494071146242</v>
      </c>
      <c r="H30">
        <f>H29</f>
        <v>22.33201581027668</v>
      </c>
    </row>
    <row r="31" spans="1:8" ht="12.75">
      <c r="A31" t="s">
        <v>50</v>
      </c>
      <c r="B31">
        <f>B15*(B30/100)</f>
        <v>0.6012511363636474</v>
      </c>
      <c r="C31">
        <f>B15*(C30/100)</f>
        <v>0.3950249011857786</v>
      </c>
      <c r="D31">
        <f>B15*(D30/100)</f>
        <v>0.33693300395257536</v>
      </c>
      <c r="E31">
        <f>B15*(E30/100)</f>
        <v>0.3020778656126542</v>
      </c>
      <c r="F31">
        <f>B15*(F30/100)</f>
        <v>0.3107916501976343</v>
      </c>
      <c r="G31">
        <f>B15*(G30/100)</f>
        <v>0.304982460474314</v>
      </c>
      <c r="H31">
        <f>B15*(H30/100)</f>
        <v>0.6564384387351903</v>
      </c>
    </row>
    <row r="33" spans="1:8" ht="12.75">
      <c r="A33" t="s">
        <v>51</v>
      </c>
      <c r="B33" t="s">
        <v>52</v>
      </c>
      <c r="C33" t="s">
        <v>24</v>
      </c>
      <c r="D33" t="s">
        <v>25</v>
      </c>
      <c r="E33" t="s">
        <v>26</v>
      </c>
      <c r="F33" t="s">
        <v>27</v>
      </c>
      <c r="G33" t="s">
        <v>28</v>
      </c>
      <c r="H33" t="s">
        <v>54</v>
      </c>
    </row>
  </sheetData>
  <printOptions gridLines="1" horizontalCentered="1"/>
  <pageMargins left="0.5" right="0.5" top="0.5" bottom="0.5" header="0.5" footer="0.5"/>
  <pageSetup fitToHeight="1" fitToWidth="1"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workbookViewId="0" topLeftCell="A1">
      <selection activeCell="F15" sqref="F15"/>
    </sheetView>
  </sheetViews>
  <sheetFormatPr defaultColWidth="9.140625" defaultRowHeight="12.75"/>
  <cols>
    <col min="1" max="1" width="15.57421875" style="0" customWidth="1"/>
    <col min="3" max="3" width="10.57421875" style="0" customWidth="1"/>
    <col min="4" max="4" width="6.8515625" style="0" customWidth="1"/>
    <col min="5" max="5" width="8.57421875" style="0" customWidth="1"/>
    <col min="6" max="7" width="6.8515625" style="0" customWidth="1"/>
    <col min="8" max="8" width="6.7109375" style="0" customWidth="1"/>
    <col min="9" max="9" width="4.421875" style="0" customWidth="1"/>
    <col min="10" max="10" width="12.421875" style="0" customWidth="1"/>
    <col min="11" max="11" width="15.8515625" style="0" customWidth="1"/>
    <col min="12" max="12" width="14.00390625" style="0" customWidth="1"/>
  </cols>
  <sheetData>
    <row r="1" spans="1:3" ht="20.25">
      <c r="A1" s="2" t="s">
        <v>0</v>
      </c>
      <c r="B1" s="2"/>
      <c r="C1" s="2"/>
    </row>
    <row r="2" spans="1:4" ht="15">
      <c r="A2" s="3" t="s">
        <v>62</v>
      </c>
      <c r="B2" s="3">
        <v>100133</v>
      </c>
      <c r="C2" s="3"/>
      <c r="D2" s="3"/>
    </row>
    <row r="3" spans="1:3" ht="20.25">
      <c r="A3" s="2"/>
      <c r="B3" s="2"/>
      <c r="C3" s="2"/>
    </row>
    <row r="4" spans="5:12" ht="12.75">
      <c r="E4" t="s">
        <v>60</v>
      </c>
      <c r="H4">
        <v>0.09677</v>
      </c>
      <c r="J4" t="s">
        <v>12</v>
      </c>
      <c r="K4" t="s">
        <v>13</v>
      </c>
      <c r="L4" t="s">
        <v>59</v>
      </c>
    </row>
    <row r="5" spans="10:12" ht="12.75">
      <c r="J5" t="s">
        <v>30</v>
      </c>
      <c r="K5" t="s">
        <v>14</v>
      </c>
      <c r="L5">
        <v>0</v>
      </c>
    </row>
    <row r="6" spans="1:12" ht="12.75">
      <c r="A6" t="s">
        <v>1</v>
      </c>
      <c r="B6" t="s">
        <v>10</v>
      </c>
      <c r="C6" t="s">
        <v>11</v>
      </c>
      <c r="D6" t="s">
        <v>61</v>
      </c>
      <c r="F6">
        <v>910</v>
      </c>
      <c r="J6" t="s">
        <v>31</v>
      </c>
      <c r="K6" t="s">
        <v>15</v>
      </c>
      <c r="L6">
        <v>0</v>
      </c>
    </row>
    <row r="7" spans="1:12" ht="12.75">
      <c r="A7" t="s">
        <v>2</v>
      </c>
      <c r="J7" s="1" t="s">
        <v>32</v>
      </c>
      <c r="K7" t="s">
        <v>16</v>
      </c>
      <c r="L7">
        <v>0</v>
      </c>
    </row>
    <row r="8" spans="1:12" ht="12.75">
      <c r="A8" t="s">
        <v>3</v>
      </c>
      <c r="B8">
        <v>28.1412</v>
      </c>
      <c r="C8">
        <v>31.0846</v>
      </c>
      <c r="J8" s="1" t="s">
        <v>33</v>
      </c>
      <c r="K8" t="s">
        <v>17</v>
      </c>
      <c r="L8">
        <v>0</v>
      </c>
    </row>
    <row r="9" spans="1:12" ht="12.75">
      <c r="A9" t="s">
        <v>4</v>
      </c>
      <c r="B9">
        <v>27.8689</v>
      </c>
      <c r="C9">
        <v>30.9116</v>
      </c>
      <c r="J9" t="s">
        <v>34</v>
      </c>
      <c r="K9" t="s">
        <v>18</v>
      </c>
      <c r="L9">
        <v>0</v>
      </c>
    </row>
    <row r="10" spans="1:12" ht="12.75">
      <c r="A10" t="s">
        <v>5</v>
      </c>
      <c r="B10">
        <f>B8-B9</f>
        <v>0.2723000000000013</v>
      </c>
      <c r="C10">
        <f>C8-C9</f>
        <v>0.17299999999999827</v>
      </c>
      <c r="J10" t="s">
        <v>35</v>
      </c>
      <c r="K10" t="s">
        <v>19</v>
      </c>
      <c r="L10">
        <v>0</v>
      </c>
    </row>
    <row r="11" spans="1:12" ht="12.75">
      <c r="A11" t="s">
        <v>55</v>
      </c>
      <c r="B11">
        <v>0.1181</v>
      </c>
      <c r="C11">
        <v>0.1181</v>
      </c>
      <c r="J11" t="s">
        <v>36</v>
      </c>
      <c r="K11" t="s">
        <v>20</v>
      </c>
      <c r="L11">
        <v>0.00097</v>
      </c>
    </row>
    <row r="12" spans="1:12" ht="12.75">
      <c r="A12" t="s">
        <v>6</v>
      </c>
      <c r="B12">
        <f>B10-B11</f>
        <v>0.15420000000000134</v>
      </c>
      <c r="C12">
        <f>C10-C11</f>
        <v>0.05489999999999827</v>
      </c>
      <c r="J12" t="s">
        <v>37</v>
      </c>
      <c r="K12" t="s">
        <v>21</v>
      </c>
      <c r="L12">
        <v>0.00737</v>
      </c>
    </row>
    <row r="13" spans="1:12" ht="12.75">
      <c r="A13" t="s">
        <v>7</v>
      </c>
      <c r="B13">
        <v>50</v>
      </c>
      <c r="C13">
        <f>(F6/20)</f>
        <v>45.5</v>
      </c>
      <c r="J13" t="s">
        <v>38</v>
      </c>
      <c r="K13" t="s">
        <v>23</v>
      </c>
      <c r="L13">
        <f>B18+0.06283</f>
        <v>0.06283</v>
      </c>
    </row>
    <row r="14" spans="1:12" ht="12.75">
      <c r="A14" t="s">
        <v>8</v>
      </c>
      <c r="B14">
        <f>B12*B13</f>
        <v>7.710000000000067</v>
      </c>
      <c r="C14">
        <f>C12*C13</f>
        <v>2.4979499999999213</v>
      </c>
      <c r="J14" t="s">
        <v>39</v>
      </c>
      <c r="K14" t="s">
        <v>22</v>
      </c>
      <c r="L14">
        <f>B31+0.0309</f>
        <v>0.3787213346815064</v>
      </c>
    </row>
    <row r="15" spans="1:12" ht="12.75">
      <c r="A15" t="s">
        <v>9</v>
      </c>
      <c r="B15">
        <f>B14-C14</f>
        <v>5.212050000000145</v>
      </c>
      <c r="J15" t="s">
        <v>40</v>
      </c>
      <c r="K15" t="s">
        <v>24</v>
      </c>
      <c r="L15">
        <f>C31</f>
        <v>0.5111919615773652</v>
      </c>
    </row>
    <row r="16" spans="10:12" ht="12.75">
      <c r="J16" t="s">
        <v>41</v>
      </c>
      <c r="K16" t="s">
        <v>25</v>
      </c>
      <c r="L16">
        <f>D31</f>
        <v>0.6482124873609887</v>
      </c>
    </row>
    <row r="17" spans="10:12" ht="12.75">
      <c r="J17" t="s">
        <v>42</v>
      </c>
      <c r="K17" t="s">
        <v>26</v>
      </c>
      <c r="L17">
        <f>E31</f>
        <v>0.5849722446916239</v>
      </c>
    </row>
    <row r="18" spans="1:12" ht="12.75">
      <c r="A18" t="s">
        <v>58</v>
      </c>
      <c r="B18">
        <f>((G20-B28)/G20)*B15</f>
        <v>0</v>
      </c>
      <c r="J18" t="s">
        <v>43</v>
      </c>
      <c r="K18" t="s">
        <v>27</v>
      </c>
      <c r="L18">
        <f>F31</f>
        <v>0.5586221435793883</v>
      </c>
    </row>
    <row r="19" spans="7:12" ht="12.75">
      <c r="G19" t="s">
        <v>57</v>
      </c>
      <c r="J19" t="s">
        <v>44</v>
      </c>
      <c r="K19" t="s">
        <v>28</v>
      </c>
      <c r="L19">
        <f>G31</f>
        <v>0.45849175935289466</v>
      </c>
    </row>
    <row r="20" spans="7:12" ht="12.75">
      <c r="G20">
        <v>98.9</v>
      </c>
      <c r="H20" t="s">
        <v>56</v>
      </c>
      <c r="J20" t="s">
        <v>45</v>
      </c>
      <c r="K20" t="s">
        <v>29</v>
      </c>
      <c r="L20">
        <f>H31+C14</f>
        <v>4.600688068756299</v>
      </c>
    </row>
    <row r="22" spans="10:12" ht="15">
      <c r="J22" s="3" t="s">
        <v>46</v>
      </c>
      <c r="K22" s="3"/>
      <c r="L22" s="3">
        <f>SUM(L5:L20)</f>
        <v>7.812070000000067</v>
      </c>
    </row>
    <row r="26" spans="1:8" ht="12.75">
      <c r="A26" t="s">
        <v>53</v>
      </c>
      <c r="B26">
        <v>62</v>
      </c>
      <c r="C26">
        <v>31</v>
      </c>
      <c r="D26">
        <v>16</v>
      </c>
      <c r="E26">
        <v>8</v>
      </c>
      <c r="F26">
        <v>4</v>
      </c>
      <c r="G26">
        <v>2</v>
      </c>
      <c r="H26">
        <v>1</v>
      </c>
    </row>
    <row r="28" spans="1:8" ht="12.75">
      <c r="A28" t="s">
        <v>47</v>
      </c>
      <c r="B28">
        <v>98.9</v>
      </c>
      <c r="C28">
        <v>92.3</v>
      </c>
      <c r="D28">
        <v>82.6</v>
      </c>
      <c r="E28">
        <v>70.3</v>
      </c>
      <c r="F28">
        <v>59.2</v>
      </c>
      <c r="G28">
        <v>48.6</v>
      </c>
      <c r="H28">
        <v>39.9</v>
      </c>
    </row>
    <row r="29" spans="1:8" ht="12.75">
      <c r="A29" t="s">
        <v>48</v>
      </c>
      <c r="B29">
        <f>(B28/G20)*100</f>
        <v>100</v>
      </c>
      <c r="C29">
        <f>(C28/G20)*100</f>
        <v>93.32659251769464</v>
      </c>
      <c r="D29">
        <f>(D28/G20)*100</f>
        <v>83.51870576339736</v>
      </c>
      <c r="E29">
        <f>(E28/G20)*100</f>
        <v>71.0819009100101</v>
      </c>
      <c r="F29">
        <f>(F28/G20)*100</f>
        <v>59.85844287158746</v>
      </c>
      <c r="G29">
        <f>(G28/G20)*100</f>
        <v>49.140546006066735</v>
      </c>
      <c r="H29">
        <f>(H28/G20)*100</f>
        <v>40.343781597573305</v>
      </c>
    </row>
    <row r="30" spans="1:8" ht="12.75">
      <c r="A30" t="s">
        <v>49</v>
      </c>
      <c r="B30">
        <f aca="true" t="shared" si="0" ref="B30:G30">B29-C29</f>
        <v>6.673407482305365</v>
      </c>
      <c r="C30">
        <f t="shared" si="0"/>
        <v>9.807886754297272</v>
      </c>
      <c r="D30">
        <f t="shared" si="0"/>
        <v>12.436804853387258</v>
      </c>
      <c r="E30">
        <f t="shared" si="0"/>
        <v>11.223458038422649</v>
      </c>
      <c r="F30">
        <f t="shared" si="0"/>
        <v>10.717896865520721</v>
      </c>
      <c r="G30">
        <f t="shared" si="0"/>
        <v>8.79676440849343</v>
      </c>
      <c r="H30">
        <f>H29</f>
        <v>40.343781597573305</v>
      </c>
    </row>
    <row r="31" spans="1:8" ht="12.75">
      <c r="A31" t="s">
        <v>50</v>
      </c>
      <c r="B31">
        <f>B15*(B30/100)</f>
        <v>0.34782133468150644</v>
      </c>
      <c r="C31">
        <f>B15*(C30/100)</f>
        <v>0.5111919615773652</v>
      </c>
      <c r="D31">
        <f>B15*(D30/100)</f>
        <v>0.6482124873609887</v>
      </c>
      <c r="E31">
        <f>B15*(E30/100)</f>
        <v>0.5849722446916239</v>
      </c>
      <c r="F31">
        <f>B15*(F30/100)</f>
        <v>0.5586221435793883</v>
      </c>
      <c r="G31">
        <f>B15*(G30/100)</f>
        <v>0.45849175935289466</v>
      </c>
      <c r="H31">
        <f>B15*(H30/100)</f>
        <v>2.102738068756378</v>
      </c>
    </row>
    <row r="33" spans="1:8" ht="12.75">
      <c r="A33" t="s">
        <v>51</v>
      </c>
      <c r="B33" t="s">
        <v>52</v>
      </c>
      <c r="C33" t="s">
        <v>24</v>
      </c>
      <c r="D33" t="s">
        <v>25</v>
      </c>
      <c r="E33" t="s">
        <v>26</v>
      </c>
      <c r="F33" t="s">
        <v>27</v>
      </c>
      <c r="G33" t="s">
        <v>28</v>
      </c>
      <c r="H33" t="s">
        <v>54</v>
      </c>
    </row>
  </sheetData>
  <printOptions gridLines="1" horizontalCentered="1"/>
  <pageMargins left="0.5" right="0.5" top="0.5" bottom="0.5" header="0.5" footer="0.5"/>
  <pageSetup fitToHeight="1" fitToWidth="1" horizontalDpi="300" verticalDpi="3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workbookViewId="0" topLeftCell="A1">
      <selection activeCell="F15" sqref="F15"/>
    </sheetView>
  </sheetViews>
  <sheetFormatPr defaultColWidth="9.140625" defaultRowHeight="12.75"/>
  <cols>
    <col min="1" max="1" width="25.421875" style="0" customWidth="1"/>
  </cols>
  <sheetData>
    <row r="1" spans="1:6" ht="18">
      <c r="A1" s="4" t="s">
        <v>63</v>
      </c>
      <c r="B1" s="5"/>
      <c r="C1" s="6"/>
      <c r="D1" s="6"/>
      <c r="E1" s="6"/>
      <c r="F1" s="6"/>
    </row>
    <row r="2" spans="1:6" ht="18">
      <c r="A2" s="4"/>
      <c r="B2" s="5"/>
      <c r="C2" s="6"/>
      <c r="D2" s="6"/>
      <c r="E2" s="6"/>
      <c r="F2" s="6"/>
    </row>
    <row r="3" spans="1:6" ht="15">
      <c r="A3" s="7" t="s">
        <v>62</v>
      </c>
      <c r="B3" s="7">
        <v>100160</v>
      </c>
      <c r="C3" s="6"/>
      <c r="D3" s="6"/>
      <c r="E3" s="6"/>
      <c r="F3" s="6"/>
    </row>
    <row r="4" spans="1:6" ht="12.75">
      <c r="A4" s="6"/>
      <c r="B4" s="6"/>
      <c r="C4" s="6"/>
      <c r="D4" s="6"/>
      <c r="E4" s="6"/>
      <c r="F4" s="6"/>
    </row>
    <row r="5" spans="1:6" ht="12.75">
      <c r="A5" s="8" t="s">
        <v>64</v>
      </c>
      <c r="B5" s="9">
        <v>8.7575</v>
      </c>
      <c r="C5" s="6"/>
      <c r="D5" s="6"/>
      <c r="E5" s="6"/>
      <c r="F5" s="6"/>
    </row>
    <row r="6" spans="1:6" ht="12.75">
      <c r="A6" s="6"/>
      <c r="B6" s="6"/>
      <c r="C6" s="6"/>
      <c r="D6" s="6"/>
      <c r="E6" s="6"/>
      <c r="F6" s="6"/>
    </row>
    <row r="7" spans="1:6" ht="12.75">
      <c r="A7" s="8"/>
      <c r="B7" s="6"/>
      <c r="C7" s="10" t="s">
        <v>65</v>
      </c>
      <c r="D7" s="10" t="s">
        <v>66</v>
      </c>
      <c r="E7" s="10" t="s">
        <v>67</v>
      </c>
      <c r="F7" s="10"/>
    </row>
    <row r="8" spans="1:6" ht="12.75">
      <c r="A8" s="6"/>
      <c r="B8" s="6" t="s">
        <v>68</v>
      </c>
      <c r="C8" s="6" t="s">
        <v>69</v>
      </c>
      <c r="D8" s="11" t="s">
        <v>70</v>
      </c>
      <c r="E8" s="12">
        <v>0</v>
      </c>
      <c r="F8" s="6"/>
    </row>
    <row r="9" spans="1:6" ht="12.75">
      <c r="A9" s="6"/>
      <c r="B9" s="6"/>
      <c r="C9" s="6" t="s">
        <v>71</v>
      </c>
      <c r="D9" s="11" t="s">
        <v>72</v>
      </c>
      <c r="E9" s="12">
        <v>0</v>
      </c>
      <c r="F9" s="6"/>
    </row>
    <row r="10" spans="1:6" ht="12.75">
      <c r="A10" s="6"/>
      <c r="B10" s="11"/>
      <c r="C10" s="11" t="s">
        <v>73</v>
      </c>
      <c r="D10" s="11" t="s">
        <v>74</v>
      </c>
      <c r="E10" s="12">
        <v>0</v>
      </c>
      <c r="F10" s="6"/>
    </row>
    <row r="11" spans="1:6" ht="12.75">
      <c r="A11" s="6"/>
      <c r="B11" s="11"/>
      <c r="C11" s="11" t="s">
        <v>75</v>
      </c>
      <c r="D11" s="11" t="s">
        <v>76</v>
      </c>
      <c r="E11" s="12">
        <v>0</v>
      </c>
      <c r="F11" s="6"/>
    </row>
    <row r="12" spans="1:6" ht="12.75">
      <c r="A12" s="6"/>
      <c r="B12" s="11" t="s">
        <v>77</v>
      </c>
      <c r="C12" s="11" t="s">
        <v>78</v>
      </c>
      <c r="D12" s="11" t="s">
        <v>79</v>
      </c>
      <c r="E12" s="12">
        <v>0.0042</v>
      </c>
      <c r="F12" s="6"/>
    </row>
    <row r="13" spans="1:6" ht="12.75">
      <c r="A13" s="6"/>
      <c r="B13" s="6"/>
      <c r="C13" s="6" t="s">
        <v>80</v>
      </c>
      <c r="D13" s="11" t="s">
        <v>19</v>
      </c>
      <c r="E13" s="12">
        <v>0.01114</v>
      </c>
      <c r="F13" s="6"/>
    </row>
    <row r="14" spans="1:6" ht="12.75">
      <c r="A14" s="6"/>
      <c r="B14" s="6"/>
      <c r="C14" s="6" t="s">
        <v>81</v>
      </c>
      <c r="D14" s="11" t="s">
        <v>20</v>
      </c>
      <c r="E14" s="12">
        <v>0.30328</v>
      </c>
      <c r="F14" s="6"/>
    </row>
    <row r="15" spans="1:6" ht="12.75">
      <c r="A15" s="6"/>
      <c r="B15" s="6"/>
      <c r="C15" s="6" t="s">
        <v>82</v>
      </c>
      <c r="D15" s="11" t="s">
        <v>21</v>
      </c>
      <c r="E15" s="12">
        <v>1.529</v>
      </c>
      <c r="F15" s="6"/>
    </row>
    <row r="16" spans="1:6" ht="12.75">
      <c r="A16" s="6"/>
      <c r="B16" s="6"/>
      <c r="C16" s="6" t="s">
        <v>83</v>
      </c>
      <c r="D16" s="6" t="s">
        <v>84</v>
      </c>
      <c r="E16" s="12">
        <v>6.9407</v>
      </c>
      <c r="F16" s="6"/>
    </row>
    <row r="17" spans="1:6" ht="12.75">
      <c r="A17" s="6"/>
      <c r="B17" s="6" t="s">
        <v>85</v>
      </c>
      <c r="C17" s="6" t="s">
        <v>86</v>
      </c>
      <c r="D17" s="6" t="s">
        <v>87</v>
      </c>
      <c r="E17" s="12">
        <v>0.27125</v>
      </c>
      <c r="F17" s="6"/>
    </row>
  </sheetData>
  <printOptions gridLines="1" horizontalCentered="1"/>
  <pageMargins left="0.5" right="0.5" top="0.5" bottom="0.5" header="0.5" footer="0.5"/>
  <pageSetup fitToHeight="1" fitToWidth="1" horizontalDpi="300" verticalDpi="3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workbookViewId="0" topLeftCell="A1">
      <selection activeCell="F15" sqref="F15"/>
    </sheetView>
  </sheetViews>
  <sheetFormatPr defaultColWidth="9.140625" defaultRowHeight="12.75"/>
  <cols>
    <col min="1" max="1" width="25.421875" style="0" customWidth="1"/>
    <col min="5" max="5" width="12.00390625" style="0" bestFit="1" customWidth="1"/>
  </cols>
  <sheetData>
    <row r="1" spans="1:6" ht="18">
      <c r="A1" s="4" t="s">
        <v>63</v>
      </c>
      <c r="B1" s="5"/>
      <c r="C1" s="6"/>
      <c r="D1" s="6"/>
      <c r="E1" s="6"/>
      <c r="F1" s="6"/>
    </row>
    <row r="2" spans="1:6" ht="18">
      <c r="A2" s="4"/>
      <c r="B2" s="5"/>
      <c r="C2" s="6"/>
      <c r="D2" s="6"/>
      <c r="E2" s="6"/>
      <c r="F2" s="6"/>
    </row>
    <row r="3" spans="1:6" ht="15">
      <c r="A3" s="7" t="s">
        <v>62</v>
      </c>
      <c r="B3" s="7">
        <v>100161</v>
      </c>
      <c r="C3" s="6"/>
      <c r="D3" s="6"/>
      <c r="E3" s="6"/>
      <c r="F3" s="6"/>
    </row>
    <row r="4" spans="1:6" ht="12.75">
      <c r="A4" s="6"/>
      <c r="B4" s="6"/>
      <c r="C4" s="6"/>
      <c r="D4" s="6"/>
      <c r="E4" s="6"/>
      <c r="F4" s="6"/>
    </row>
    <row r="5" spans="1:6" ht="12.75">
      <c r="A5" s="8" t="s">
        <v>64</v>
      </c>
      <c r="B5" s="9">
        <v>7.5987</v>
      </c>
      <c r="C5" s="6"/>
      <c r="D5" s="6"/>
      <c r="E5" s="6"/>
      <c r="F5" s="6"/>
    </row>
    <row r="6" spans="1:6" ht="12.75">
      <c r="A6" s="6"/>
      <c r="B6" s="6"/>
      <c r="C6" s="6"/>
      <c r="D6" s="6"/>
      <c r="E6" s="6"/>
      <c r="F6" s="6"/>
    </row>
    <row r="7" spans="1:6" ht="12.75">
      <c r="A7" s="8"/>
      <c r="B7" s="6"/>
      <c r="C7" s="10" t="s">
        <v>65</v>
      </c>
      <c r="D7" s="10" t="s">
        <v>66</v>
      </c>
      <c r="E7" s="10" t="s">
        <v>67</v>
      </c>
      <c r="F7" s="10"/>
    </row>
    <row r="8" spans="1:6" ht="12.75">
      <c r="A8" s="6"/>
      <c r="B8" s="6" t="s">
        <v>68</v>
      </c>
      <c r="C8" s="6" t="s">
        <v>69</v>
      </c>
      <c r="D8" s="11" t="s">
        <v>70</v>
      </c>
      <c r="E8" s="13">
        <v>0</v>
      </c>
      <c r="F8" s="6"/>
    </row>
    <row r="9" spans="1:6" ht="12.75">
      <c r="A9" s="6"/>
      <c r="B9" s="6"/>
      <c r="C9" s="6" t="s">
        <v>71</v>
      </c>
      <c r="D9" s="11" t="s">
        <v>72</v>
      </c>
      <c r="E9" s="13">
        <v>0</v>
      </c>
      <c r="F9" s="6"/>
    </row>
    <row r="10" spans="1:6" ht="12.75">
      <c r="A10" s="6"/>
      <c r="B10" s="11"/>
      <c r="C10" s="11" t="s">
        <v>73</v>
      </c>
      <c r="D10" s="11" t="s">
        <v>74</v>
      </c>
      <c r="E10" s="13">
        <v>0</v>
      </c>
      <c r="F10" s="6"/>
    </row>
    <row r="11" spans="1:6" ht="12.75">
      <c r="A11" s="6"/>
      <c r="B11" s="11"/>
      <c r="C11" s="11" t="s">
        <v>75</v>
      </c>
      <c r="D11" s="11" t="s">
        <v>76</v>
      </c>
      <c r="E11" s="13">
        <v>0</v>
      </c>
      <c r="F11" s="6"/>
    </row>
    <row r="12" spans="1:6" ht="12.75">
      <c r="A12" s="6"/>
      <c r="B12" s="11" t="s">
        <v>77</v>
      </c>
      <c r="C12" s="11" t="s">
        <v>78</v>
      </c>
      <c r="D12" s="11" t="s">
        <v>79</v>
      </c>
      <c r="E12" s="12">
        <v>0.00423</v>
      </c>
      <c r="F12" s="6"/>
    </row>
    <row r="13" spans="1:6" ht="12.75">
      <c r="A13" s="6"/>
      <c r="B13" s="6"/>
      <c r="C13" s="6" t="s">
        <v>80</v>
      </c>
      <c r="D13" s="11" t="s">
        <v>19</v>
      </c>
      <c r="E13" s="12">
        <v>0.02121</v>
      </c>
      <c r="F13" s="6"/>
    </row>
    <row r="14" spans="1:6" ht="12.75">
      <c r="A14" s="6"/>
      <c r="B14" s="6"/>
      <c r="C14" s="6" t="s">
        <v>81</v>
      </c>
      <c r="D14" s="11" t="s">
        <v>20</v>
      </c>
      <c r="E14" s="12">
        <v>0.45167</v>
      </c>
      <c r="F14" s="6"/>
    </row>
    <row r="15" spans="1:6" ht="12.75">
      <c r="A15" s="6"/>
      <c r="B15" s="6"/>
      <c r="C15" s="6" t="s">
        <v>82</v>
      </c>
      <c r="D15" s="11" t="s">
        <v>21</v>
      </c>
      <c r="E15" s="12">
        <v>1.1343</v>
      </c>
      <c r="F15" s="6"/>
    </row>
    <row r="16" spans="1:6" ht="12.75">
      <c r="A16" s="6"/>
      <c r="B16" s="6"/>
      <c r="C16" s="6" t="s">
        <v>83</v>
      </c>
      <c r="D16" s="6" t="s">
        <v>84</v>
      </c>
      <c r="E16" s="12">
        <v>5.7057</v>
      </c>
      <c r="F16" s="6"/>
    </row>
    <row r="17" spans="1:6" ht="12.75">
      <c r="A17" s="6"/>
      <c r="B17" s="6" t="s">
        <v>85</v>
      </c>
      <c r="C17" s="6" t="s">
        <v>86</v>
      </c>
      <c r="D17" s="6" t="s">
        <v>87</v>
      </c>
      <c r="E17">
        <v>0.23391</v>
      </c>
      <c r="F17" s="6"/>
    </row>
  </sheetData>
  <printOptions gridLines="1" horizontalCentered="1"/>
  <pageMargins left="0.5" right="0.5" top="0.5" bottom="0.5" header="0.5" footer="0.5"/>
  <pageSetup fitToHeight="1" fitToWidth="1" horizontalDpi="300" verticalDpi="3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workbookViewId="0" topLeftCell="A1">
      <selection activeCell="F15" sqref="F15"/>
    </sheetView>
  </sheetViews>
  <sheetFormatPr defaultColWidth="9.140625" defaultRowHeight="12.75"/>
  <cols>
    <col min="1" max="1" width="25.421875" style="0" customWidth="1"/>
  </cols>
  <sheetData>
    <row r="1" spans="1:6" ht="18">
      <c r="A1" s="4" t="s">
        <v>63</v>
      </c>
      <c r="B1" s="5"/>
      <c r="C1" s="6"/>
      <c r="D1" s="6"/>
      <c r="E1" s="6"/>
      <c r="F1" s="6"/>
    </row>
    <row r="2" spans="1:6" ht="18">
      <c r="A2" s="4"/>
      <c r="B2" s="5"/>
      <c r="C2" s="6"/>
      <c r="D2" s="6"/>
      <c r="E2" s="6"/>
      <c r="F2" s="6"/>
    </row>
    <row r="3" spans="1:6" ht="15">
      <c r="A3" s="7" t="s">
        <v>62</v>
      </c>
      <c r="B3" s="7">
        <v>100162</v>
      </c>
      <c r="C3" s="6"/>
      <c r="D3" s="6"/>
      <c r="E3" s="6"/>
      <c r="F3" s="6"/>
    </row>
    <row r="4" spans="1:6" ht="12.75">
      <c r="A4" s="6"/>
      <c r="B4" s="6"/>
      <c r="C4" s="6"/>
      <c r="D4" s="6"/>
      <c r="E4" s="6"/>
      <c r="F4" s="6"/>
    </row>
    <row r="5" spans="1:6" ht="12.75">
      <c r="A5" s="8" t="s">
        <v>64</v>
      </c>
      <c r="B5" s="9">
        <v>9.5125</v>
      </c>
      <c r="C5" s="6"/>
      <c r="D5" s="6"/>
      <c r="E5" s="6"/>
      <c r="F5" s="6"/>
    </row>
    <row r="6" spans="1:6" ht="12.75">
      <c r="A6" s="6"/>
      <c r="B6" s="6"/>
      <c r="C6" s="6"/>
      <c r="D6" s="6"/>
      <c r="E6" s="6"/>
      <c r="F6" s="6"/>
    </row>
    <row r="7" spans="1:6" ht="12.75">
      <c r="A7" s="8"/>
      <c r="B7" s="6"/>
      <c r="C7" s="10" t="s">
        <v>65</v>
      </c>
      <c r="D7" s="10" t="s">
        <v>66</v>
      </c>
      <c r="E7" s="10" t="s">
        <v>67</v>
      </c>
      <c r="F7" s="10"/>
    </row>
    <row r="8" spans="1:6" ht="12.75">
      <c r="A8" s="6"/>
      <c r="B8" s="6" t="s">
        <v>68</v>
      </c>
      <c r="C8" s="6" t="s">
        <v>69</v>
      </c>
      <c r="D8" s="11" t="s">
        <v>70</v>
      </c>
      <c r="E8" s="12">
        <v>0</v>
      </c>
      <c r="F8" s="6"/>
    </row>
    <row r="9" spans="1:6" ht="12.75">
      <c r="A9" s="6"/>
      <c r="B9" s="6"/>
      <c r="C9" s="6" t="s">
        <v>71</v>
      </c>
      <c r="D9" s="11" t="s">
        <v>72</v>
      </c>
      <c r="E9" s="12">
        <v>0</v>
      </c>
      <c r="F9" s="6"/>
    </row>
    <row r="10" spans="1:6" ht="12.75">
      <c r="A10" s="6"/>
      <c r="B10" s="11"/>
      <c r="C10" s="11" t="s">
        <v>73</v>
      </c>
      <c r="D10" s="11" t="s">
        <v>74</v>
      </c>
      <c r="E10" s="12">
        <v>0</v>
      </c>
      <c r="F10" s="6"/>
    </row>
    <row r="11" spans="1:6" ht="12.75">
      <c r="A11" s="6"/>
      <c r="B11" s="11"/>
      <c r="C11" s="11" t="s">
        <v>75</v>
      </c>
      <c r="D11" s="11" t="s">
        <v>76</v>
      </c>
      <c r="E11" s="12">
        <v>0.00955</v>
      </c>
      <c r="F11" s="6"/>
    </row>
    <row r="12" spans="1:6" ht="12.75">
      <c r="A12" s="6"/>
      <c r="B12" s="11" t="s">
        <v>77</v>
      </c>
      <c r="C12" s="11" t="s">
        <v>78</v>
      </c>
      <c r="D12" s="11" t="s">
        <v>79</v>
      </c>
      <c r="E12" s="12">
        <v>0.00333</v>
      </c>
      <c r="F12" s="6"/>
    </row>
    <row r="13" spans="1:6" ht="12.75">
      <c r="A13" s="6"/>
      <c r="B13" s="6"/>
      <c r="C13" s="6" t="s">
        <v>80</v>
      </c>
      <c r="D13" s="11" t="s">
        <v>19</v>
      </c>
      <c r="E13" s="12">
        <v>0.02006</v>
      </c>
      <c r="F13" s="6"/>
    </row>
    <row r="14" spans="1:6" ht="12.75">
      <c r="A14" s="6"/>
      <c r="B14" s="6"/>
      <c r="C14" s="6" t="s">
        <v>81</v>
      </c>
      <c r="D14" s="11" t="s">
        <v>20</v>
      </c>
      <c r="E14" s="12">
        <v>0.3156</v>
      </c>
      <c r="F14" s="6"/>
    </row>
    <row r="15" spans="1:6" ht="12.75">
      <c r="A15" s="6"/>
      <c r="B15" s="6"/>
      <c r="C15" s="6" t="s">
        <v>82</v>
      </c>
      <c r="D15" s="11" t="s">
        <v>21</v>
      </c>
      <c r="E15" s="12">
        <v>1.05551</v>
      </c>
      <c r="F15" s="6"/>
    </row>
    <row r="16" spans="1:6" ht="12.75">
      <c r="A16" s="6"/>
      <c r="B16" s="6"/>
      <c r="C16" s="6" t="s">
        <v>83</v>
      </c>
      <c r="D16" s="6" t="s">
        <v>84</v>
      </c>
      <c r="E16" s="12">
        <v>7.8392</v>
      </c>
      <c r="F16" s="6"/>
    </row>
    <row r="17" spans="1:6" ht="12.75">
      <c r="A17" s="6"/>
      <c r="B17" s="6" t="s">
        <v>85</v>
      </c>
      <c r="C17" s="6" t="s">
        <v>86</v>
      </c>
      <c r="D17" s="6" t="s">
        <v>87</v>
      </c>
      <c r="E17" s="12">
        <v>0.16575</v>
      </c>
      <c r="F17" s="6"/>
    </row>
  </sheetData>
  <printOptions gridLines="1" horizontalCentered="1"/>
  <pageMargins left="0.5" right="0.5" top="0.5" bottom="0.5" header="0.5" footer="0.5"/>
  <pageSetup fitToHeight="1" fitToWidth="1" horizontalDpi="300" verticalDpi="3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workbookViewId="0" topLeftCell="A1">
      <selection activeCell="F15" sqref="F15"/>
    </sheetView>
  </sheetViews>
  <sheetFormatPr defaultColWidth="9.140625" defaultRowHeight="12.75"/>
  <cols>
    <col min="1" max="1" width="25.421875" style="0" customWidth="1"/>
  </cols>
  <sheetData>
    <row r="1" spans="1:6" ht="18">
      <c r="A1" s="4" t="s">
        <v>63</v>
      </c>
      <c r="B1" s="5"/>
      <c r="C1" s="6"/>
      <c r="D1" s="6"/>
      <c r="E1" s="6"/>
      <c r="F1" s="6"/>
    </row>
    <row r="2" spans="1:6" ht="18">
      <c r="A2" s="4"/>
      <c r="B2" s="5"/>
      <c r="C2" s="6"/>
      <c r="D2" s="6"/>
      <c r="E2" s="6"/>
      <c r="F2" s="6"/>
    </row>
    <row r="3" spans="1:6" ht="15">
      <c r="A3" s="7" t="s">
        <v>62</v>
      </c>
      <c r="B3" s="7">
        <v>100163</v>
      </c>
      <c r="C3" s="6"/>
      <c r="D3" s="6"/>
      <c r="E3" s="6"/>
      <c r="F3" s="6"/>
    </row>
    <row r="4" spans="1:6" ht="12.75">
      <c r="A4" s="6"/>
      <c r="B4" s="6"/>
      <c r="C4" s="6"/>
      <c r="D4" s="6"/>
      <c r="E4" s="6"/>
      <c r="F4" s="6"/>
    </row>
    <row r="5" spans="1:6" ht="12.75">
      <c r="A5" s="8" t="s">
        <v>64</v>
      </c>
      <c r="B5" s="9">
        <v>8.8721</v>
      </c>
      <c r="C5" s="6"/>
      <c r="D5" s="6"/>
      <c r="E5" s="6"/>
      <c r="F5" s="6"/>
    </row>
    <row r="6" spans="1:6" ht="12.75">
      <c r="A6" s="6"/>
      <c r="B6" s="6"/>
      <c r="C6" s="6"/>
      <c r="D6" s="6"/>
      <c r="E6" s="6"/>
      <c r="F6" s="6"/>
    </row>
    <row r="7" spans="1:6" ht="12.75">
      <c r="A7" s="8"/>
      <c r="B7" s="6"/>
      <c r="C7" s="10" t="s">
        <v>65</v>
      </c>
      <c r="D7" s="10" t="s">
        <v>66</v>
      </c>
      <c r="E7" s="10" t="s">
        <v>67</v>
      </c>
      <c r="F7" s="10"/>
    </row>
    <row r="8" spans="1:6" ht="12.75">
      <c r="A8" s="6"/>
      <c r="B8" s="6" t="s">
        <v>68</v>
      </c>
      <c r="C8" s="6" t="s">
        <v>69</v>
      </c>
      <c r="D8" s="11" t="s">
        <v>70</v>
      </c>
      <c r="E8" s="12">
        <v>0</v>
      </c>
      <c r="F8" s="6"/>
    </row>
    <row r="9" spans="1:6" ht="12.75">
      <c r="A9" s="6"/>
      <c r="B9" s="6"/>
      <c r="C9" s="6" t="s">
        <v>71</v>
      </c>
      <c r="D9" s="11" t="s">
        <v>72</v>
      </c>
      <c r="E9" s="12">
        <v>0</v>
      </c>
      <c r="F9" s="6"/>
    </row>
    <row r="10" spans="1:6" ht="12.75">
      <c r="A10" s="6"/>
      <c r="B10" s="11"/>
      <c r="C10" s="11" t="s">
        <v>73</v>
      </c>
      <c r="D10" s="11" t="s">
        <v>74</v>
      </c>
      <c r="E10" s="12">
        <v>0</v>
      </c>
      <c r="F10" s="6"/>
    </row>
    <row r="11" spans="1:6" ht="12.75">
      <c r="A11" s="6"/>
      <c r="B11" s="11"/>
      <c r="C11" s="11" t="s">
        <v>75</v>
      </c>
      <c r="D11" s="11" t="s">
        <v>76</v>
      </c>
      <c r="E11" s="12">
        <v>0</v>
      </c>
      <c r="F11" s="6"/>
    </row>
    <row r="12" spans="1:6" ht="12.75">
      <c r="A12" s="6"/>
      <c r="B12" s="11" t="s">
        <v>77</v>
      </c>
      <c r="C12" s="11" t="s">
        <v>78</v>
      </c>
      <c r="D12" s="11" t="s">
        <v>79</v>
      </c>
      <c r="E12" s="12">
        <v>0.0091</v>
      </c>
      <c r="F12" s="6"/>
    </row>
    <row r="13" spans="1:6" ht="12.75">
      <c r="A13" s="6"/>
      <c r="B13" s="6"/>
      <c r="C13" s="6" t="s">
        <v>80</v>
      </c>
      <c r="D13" s="11" t="s">
        <v>19</v>
      </c>
      <c r="E13" s="12">
        <v>0.011</v>
      </c>
      <c r="F13" s="6"/>
    </row>
    <row r="14" spans="1:6" ht="12.75">
      <c r="A14" s="6"/>
      <c r="B14" s="6"/>
      <c r="C14" s="6" t="s">
        <v>81</v>
      </c>
      <c r="D14" s="11" t="s">
        <v>20</v>
      </c>
      <c r="E14" s="12">
        <v>0.25425</v>
      </c>
      <c r="F14" s="6"/>
    </row>
    <row r="15" spans="1:6" ht="12.75">
      <c r="A15" s="6"/>
      <c r="B15" s="6"/>
      <c r="C15" s="6" t="s">
        <v>82</v>
      </c>
      <c r="D15" s="11" t="s">
        <v>21</v>
      </c>
      <c r="E15" s="12">
        <v>0.9441</v>
      </c>
      <c r="F15" s="6"/>
    </row>
    <row r="16" spans="1:6" ht="12.75">
      <c r="A16" s="6"/>
      <c r="B16" s="6"/>
      <c r="C16" s="6" t="s">
        <v>83</v>
      </c>
      <c r="D16" s="6" t="s">
        <v>84</v>
      </c>
      <c r="E16" s="12">
        <v>7.4731</v>
      </c>
      <c r="F16" s="6"/>
    </row>
    <row r="17" spans="1:6" ht="12.75">
      <c r="A17" s="6"/>
      <c r="B17" s="6" t="s">
        <v>85</v>
      </c>
      <c r="C17" s="6" t="s">
        <v>86</v>
      </c>
      <c r="D17" s="6" t="s">
        <v>87</v>
      </c>
      <c r="E17" s="12">
        <v>0.14142</v>
      </c>
      <c r="F17" s="6"/>
    </row>
  </sheetData>
  <printOptions gridLines="1" horizontalCentered="1"/>
  <pageMargins left="0.5" right="0.5" top="0.5" bottom="0.5" header="0.5" footer="0.5"/>
  <pageSetup fitToHeight="1" fitToWidth="1" horizontalDpi="300" verticalDpi="3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25.421875" style="0" customWidth="1"/>
  </cols>
  <sheetData>
    <row r="1" spans="1:6" ht="18">
      <c r="A1" s="4" t="s">
        <v>63</v>
      </c>
      <c r="B1" s="5"/>
      <c r="C1" s="6"/>
      <c r="D1" s="6"/>
      <c r="E1" s="6"/>
      <c r="F1" s="6"/>
    </row>
    <row r="2" spans="1:6" ht="18">
      <c r="A2" s="4"/>
      <c r="B2" s="5"/>
      <c r="C2" s="6"/>
      <c r="D2" s="6"/>
      <c r="E2" s="6"/>
      <c r="F2" s="6"/>
    </row>
    <row r="3" spans="1:6" ht="15">
      <c r="A3" s="7" t="s">
        <v>62</v>
      </c>
      <c r="B3" s="7">
        <v>100164</v>
      </c>
      <c r="C3" s="6"/>
      <c r="D3" s="6"/>
      <c r="E3" s="6"/>
      <c r="F3" s="6"/>
    </row>
    <row r="4" spans="1:6" ht="12.75">
      <c r="A4" s="6"/>
      <c r="B4" s="6"/>
      <c r="C4" s="6"/>
      <c r="D4" s="6"/>
      <c r="E4" s="6"/>
      <c r="F4" s="6"/>
    </row>
    <row r="5" spans="1:6" ht="12.75">
      <c r="A5" s="8" t="s">
        <v>64</v>
      </c>
      <c r="B5" s="9">
        <v>7.90083</v>
      </c>
      <c r="C5" s="6"/>
      <c r="D5" s="6"/>
      <c r="E5" s="6"/>
      <c r="F5" s="6"/>
    </row>
    <row r="6" spans="1:6" ht="12.75">
      <c r="A6" s="6"/>
      <c r="B6" s="6"/>
      <c r="C6" s="6"/>
      <c r="D6" s="6"/>
      <c r="E6" s="6"/>
      <c r="F6" s="6"/>
    </row>
    <row r="7" spans="1:6" ht="12.75">
      <c r="A7" s="8"/>
      <c r="B7" s="6"/>
      <c r="C7" s="10" t="s">
        <v>65</v>
      </c>
      <c r="D7" s="10" t="s">
        <v>66</v>
      </c>
      <c r="E7" s="10" t="s">
        <v>67</v>
      </c>
      <c r="F7" s="10"/>
    </row>
    <row r="8" spans="1:6" ht="12.75">
      <c r="A8" s="6"/>
      <c r="B8" s="6" t="s">
        <v>68</v>
      </c>
      <c r="C8" s="6" t="s">
        <v>69</v>
      </c>
      <c r="D8" s="11" t="s">
        <v>70</v>
      </c>
      <c r="E8" s="12">
        <v>0</v>
      </c>
      <c r="F8" s="6"/>
    </row>
    <row r="9" spans="1:6" ht="12.75">
      <c r="A9" s="6"/>
      <c r="B9" s="6"/>
      <c r="C9" s="6" t="s">
        <v>71</v>
      </c>
      <c r="D9" s="11" t="s">
        <v>72</v>
      </c>
      <c r="E9" s="12">
        <v>0</v>
      </c>
      <c r="F9" s="6"/>
    </row>
    <row r="10" spans="1:6" ht="12.75">
      <c r="A10" s="6"/>
      <c r="B10" s="11"/>
      <c r="C10" s="11" t="s">
        <v>73</v>
      </c>
      <c r="D10" s="11" t="s">
        <v>74</v>
      </c>
      <c r="E10" s="12">
        <v>0</v>
      </c>
      <c r="F10" s="6"/>
    </row>
    <row r="11" spans="1:6" ht="12.75">
      <c r="A11" s="6"/>
      <c r="B11" s="11"/>
      <c r="C11" s="11" t="s">
        <v>75</v>
      </c>
      <c r="D11" s="11" t="s">
        <v>76</v>
      </c>
      <c r="E11" s="12">
        <v>0.0154</v>
      </c>
      <c r="F11" s="6"/>
    </row>
    <row r="12" spans="1:6" ht="12.75">
      <c r="A12" s="6"/>
      <c r="B12" s="11" t="s">
        <v>77</v>
      </c>
      <c r="C12" s="11" t="s">
        <v>78</v>
      </c>
      <c r="D12" s="11" t="s">
        <v>79</v>
      </c>
      <c r="E12" s="12">
        <v>0.03006</v>
      </c>
      <c r="F12" s="6"/>
    </row>
    <row r="13" spans="1:6" ht="12.75">
      <c r="A13" s="6"/>
      <c r="B13" s="6"/>
      <c r="C13" s="6" t="s">
        <v>80</v>
      </c>
      <c r="D13" s="11" t="s">
        <v>19</v>
      </c>
      <c r="E13" s="12">
        <v>0.05675</v>
      </c>
      <c r="F13" s="6"/>
    </row>
    <row r="14" spans="1:6" ht="12.75">
      <c r="A14" s="6"/>
      <c r="B14" s="6"/>
      <c r="C14" s="6" t="s">
        <v>81</v>
      </c>
      <c r="D14" s="11" t="s">
        <v>20</v>
      </c>
      <c r="E14" s="12">
        <v>0.53046</v>
      </c>
      <c r="F14" s="6"/>
    </row>
    <row r="15" spans="1:6" ht="12.75">
      <c r="A15" s="6"/>
      <c r="B15" s="6"/>
      <c r="C15" s="6" t="s">
        <v>82</v>
      </c>
      <c r="D15" s="11" t="s">
        <v>21</v>
      </c>
      <c r="E15" s="12">
        <v>1.5803</v>
      </c>
      <c r="F15" s="6"/>
    </row>
    <row r="16" spans="1:6" ht="12.75">
      <c r="A16" s="6"/>
      <c r="B16" s="6"/>
      <c r="C16" s="6" t="s">
        <v>83</v>
      </c>
      <c r="D16" s="6" t="s">
        <v>84</v>
      </c>
      <c r="E16" s="12">
        <v>5.0635</v>
      </c>
      <c r="F16" s="6"/>
    </row>
    <row r="17" spans="1:6" ht="12.75">
      <c r="A17" s="6"/>
      <c r="B17" s="6" t="s">
        <v>85</v>
      </c>
      <c r="C17" s="6" t="s">
        <v>86</v>
      </c>
      <c r="D17" s="6" t="s">
        <v>87</v>
      </c>
      <c r="E17" s="12">
        <v>0.55847</v>
      </c>
      <c r="F17" s="6"/>
    </row>
  </sheetData>
  <printOptions gridLines="1" horizontalCentered="1"/>
  <pageMargins left="0.5" right="0.5" top="0.5" bottom="0.5" header="0.5" footer="0.5"/>
  <pageSetup fitToHeight="1" fitToWidth="1"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workbookViewId="0" topLeftCell="A1">
      <selection activeCell="F15" sqref="F15"/>
    </sheetView>
  </sheetViews>
  <sheetFormatPr defaultColWidth="9.140625" defaultRowHeight="12.75"/>
  <cols>
    <col min="1" max="1" width="15.57421875" style="0" customWidth="1"/>
    <col min="3" max="3" width="10.57421875" style="0" customWidth="1"/>
    <col min="4" max="4" width="6.8515625" style="0" customWidth="1"/>
    <col min="5" max="5" width="8.57421875" style="0" customWidth="1"/>
    <col min="6" max="7" width="6.8515625" style="0" customWidth="1"/>
    <col min="8" max="8" width="6.7109375" style="0" customWidth="1"/>
    <col min="9" max="9" width="4.421875" style="0" customWidth="1"/>
    <col min="10" max="10" width="12.421875" style="0" customWidth="1"/>
    <col min="11" max="11" width="15.8515625" style="0" customWidth="1"/>
    <col min="12" max="12" width="14.00390625" style="0" customWidth="1"/>
  </cols>
  <sheetData>
    <row r="1" spans="1:3" ht="20.25">
      <c r="A1" s="2" t="s">
        <v>0</v>
      </c>
      <c r="B1" s="2"/>
      <c r="C1" s="2"/>
    </row>
    <row r="2" spans="1:4" ht="15">
      <c r="A2" s="3" t="s">
        <v>62</v>
      </c>
      <c r="B2" s="3">
        <v>100134</v>
      </c>
      <c r="C2" s="3"/>
      <c r="D2" s="3"/>
    </row>
    <row r="3" spans="1:3" ht="20.25">
      <c r="A3" s="2"/>
      <c r="B3" s="2"/>
      <c r="C3" s="2"/>
    </row>
    <row r="4" spans="5:12" ht="12.75">
      <c r="E4" t="s">
        <v>60</v>
      </c>
      <c r="H4">
        <v>0.12039</v>
      </c>
      <c r="J4" t="s">
        <v>12</v>
      </c>
      <c r="K4" t="s">
        <v>13</v>
      </c>
      <c r="L4" t="s">
        <v>59</v>
      </c>
    </row>
    <row r="5" spans="10:12" ht="12.75">
      <c r="J5" t="s">
        <v>30</v>
      </c>
      <c r="K5" t="s">
        <v>14</v>
      </c>
      <c r="L5">
        <v>0</v>
      </c>
    </row>
    <row r="6" spans="1:12" ht="12.75">
      <c r="A6" t="s">
        <v>1</v>
      </c>
      <c r="B6" t="s">
        <v>10</v>
      </c>
      <c r="C6" t="s">
        <v>11</v>
      </c>
      <c r="D6" t="s">
        <v>61</v>
      </c>
      <c r="F6">
        <v>910</v>
      </c>
      <c r="J6" t="s">
        <v>31</v>
      </c>
      <c r="K6" t="s">
        <v>15</v>
      </c>
      <c r="L6">
        <v>0</v>
      </c>
    </row>
    <row r="7" spans="1:12" ht="12.75">
      <c r="A7" t="s">
        <v>2</v>
      </c>
      <c r="J7" s="1" t="s">
        <v>32</v>
      </c>
      <c r="K7" t="s">
        <v>16</v>
      </c>
      <c r="L7">
        <v>0</v>
      </c>
    </row>
    <row r="8" spans="1:12" ht="12.75">
      <c r="A8" t="s">
        <v>3</v>
      </c>
      <c r="B8">
        <v>30.8046</v>
      </c>
      <c r="C8">
        <v>29.7488</v>
      </c>
      <c r="J8" s="1" t="s">
        <v>33</v>
      </c>
      <c r="K8" t="s">
        <v>17</v>
      </c>
      <c r="L8">
        <v>0</v>
      </c>
    </row>
    <row r="9" spans="1:12" ht="12.75">
      <c r="A9" t="s">
        <v>4</v>
      </c>
      <c r="B9">
        <v>30.4896</v>
      </c>
      <c r="C9">
        <v>29.5988</v>
      </c>
      <c r="J9" t="s">
        <v>34</v>
      </c>
      <c r="K9" t="s">
        <v>18</v>
      </c>
      <c r="L9">
        <v>0</v>
      </c>
    </row>
    <row r="10" spans="1:12" ht="12.75">
      <c r="A10" t="s">
        <v>5</v>
      </c>
      <c r="B10">
        <f>B8-B9</f>
        <v>0.3150000000000013</v>
      </c>
      <c r="C10">
        <f>C8-C9</f>
        <v>0.14999999999999858</v>
      </c>
      <c r="J10" t="s">
        <v>35</v>
      </c>
      <c r="K10" t="s">
        <v>19</v>
      </c>
      <c r="L10">
        <v>0</v>
      </c>
    </row>
    <row r="11" spans="1:12" ht="12.75">
      <c r="A11" t="s">
        <v>55</v>
      </c>
      <c r="B11">
        <v>0.1181</v>
      </c>
      <c r="C11">
        <v>0.1181</v>
      </c>
      <c r="J11" t="s">
        <v>36</v>
      </c>
      <c r="K11" t="s">
        <v>20</v>
      </c>
      <c r="L11">
        <v>0.00163</v>
      </c>
    </row>
    <row r="12" spans="1:12" ht="12.75">
      <c r="A12" t="s">
        <v>6</v>
      </c>
      <c r="B12">
        <f>B10-B11</f>
        <v>0.1969000000000013</v>
      </c>
      <c r="C12">
        <f>C10-C11</f>
        <v>0.03189999999999858</v>
      </c>
      <c r="J12" t="s">
        <v>37</v>
      </c>
      <c r="K12" t="s">
        <v>21</v>
      </c>
      <c r="L12">
        <v>0.0097</v>
      </c>
    </row>
    <row r="13" spans="1:12" ht="12.75">
      <c r="A13" t="s">
        <v>7</v>
      </c>
      <c r="B13">
        <v>50</v>
      </c>
      <c r="C13">
        <f>(F6/20)</f>
        <v>45.5</v>
      </c>
      <c r="J13" t="s">
        <v>38</v>
      </c>
      <c r="K13" t="s">
        <v>23</v>
      </c>
      <c r="L13">
        <f>B18+0.07168</f>
        <v>0.10532148296593166</v>
      </c>
    </row>
    <row r="14" spans="1:12" ht="12.75">
      <c r="A14" t="s">
        <v>8</v>
      </c>
      <c r="B14">
        <f>B12*B13</f>
        <v>9.845000000000065</v>
      </c>
      <c r="C14">
        <f>C12*C13</f>
        <v>1.4514499999999355</v>
      </c>
      <c r="J14" t="s">
        <v>39</v>
      </c>
      <c r="K14" t="s">
        <v>22</v>
      </c>
      <c r="L14">
        <f>B31+0.03674</f>
        <v>0.4236170541082235</v>
      </c>
    </row>
    <row r="15" spans="1:12" ht="12.75">
      <c r="A15" t="s">
        <v>9</v>
      </c>
      <c r="B15">
        <f>B14-C14</f>
        <v>8.393550000000129</v>
      </c>
      <c r="J15" t="s">
        <v>40</v>
      </c>
      <c r="K15" t="s">
        <v>24</v>
      </c>
      <c r="L15">
        <f>C31</f>
        <v>0.8746785571142406</v>
      </c>
    </row>
    <row r="16" spans="10:12" ht="12.75">
      <c r="J16" t="s">
        <v>41</v>
      </c>
      <c r="K16" t="s">
        <v>25</v>
      </c>
      <c r="L16">
        <f>D31</f>
        <v>0.9924237474950065</v>
      </c>
    </row>
    <row r="17" spans="10:12" ht="12.75">
      <c r="J17" t="s">
        <v>42</v>
      </c>
      <c r="K17" t="s">
        <v>26</v>
      </c>
      <c r="L17">
        <f>E31</f>
        <v>0.9167304108216572</v>
      </c>
    </row>
    <row r="18" spans="1:12" ht="12.75">
      <c r="A18" t="s">
        <v>58</v>
      </c>
      <c r="B18">
        <f>((G20-B28)/G20)*B15</f>
        <v>0.03364148296593166</v>
      </c>
      <c r="J18" t="s">
        <v>43</v>
      </c>
      <c r="K18" t="s">
        <v>27</v>
      </c>
      <c r="L18">
        <f>F31</f>
        <v>0.8578578156312753</v>
      </c>
    </row>
    <row r="19" spans="7:12" ht="12.75">
      <c r="G19" t="s">
        <v>57</v>
      </c>
      <c r="J19" t="s">
        <v>44</v>
      </c>
      <c r="K19" t="s">
        <v>28</v>
      </c>
      <c r="L19">
        <f>G31</f>
        <v>0.7569333667334788</v>
      </c>
    </row>
    <row r="20" spans="7:12" ht="12.75">
      <c r="G20">
        <v>99.8</v>
      </c>
      <c r="H20" t="s">
        <v>56</v>
      </c>
      <c r="J20" t="s">
        <v>45</v>
      </c>
      <c r="K20" t="s">
        <v>29</v>
      </c>
      <c r="L20">
        <f>H31+C14</f>
        <v>5.025857565130251</v>
      </c>
    </row>
    <row r="22" spans="10:12" ht="15">
      <c r="J22" s="3" t="s">
        <v>46</v>
      </c>
      <c r="K22" s="3"/>
      <c r="L22" s="3">
        <f>SUM(L5:L20)</f>
        <v>9.964750000000066</v>
      </c>
    </row>
    <row r="26" spans="1:8" ht="12.75">
      <c r="A26" t="s">
        <v>53</v>
      </c>
      <c r="B26">
        <v>62</v>
      </c>
      <c r="C26">
        <v>31</v>
      </c>
      <c r="D26">
        <v>16</v>
      </c>
      <c r="E26">
        <v>8</v>
      </c>
      <c r="F26">
        <v>4</v>
      </c>
      <c r="G26">
        <v>2</v>
      </c>
      <c r="H26">
        <v>1</v>
      </c>
    </row>
    <row r="28" spans="1:8" ht="12.75">
      <c r="A28" t="s">
        <v>47</v>
      </c>
      <c r="B28">
        <v>99.4</v>
      </c>
      <c r="C28">
        <v>94.8</v>
      </c>
      <c r="D28">
        <v>84.4</v>
      </c>
      <c r="E28">
        <v>72.6</v>
      </c>
      <c r="F28">
        <v>61.7</v>
      </c>
      <c r="G28">
        <v>51.5</v>
      </c>
      <c r="H28">
        <v>42.5</v>
      </c>
    </row>
    <row r="29" spans="1:8" ht="12.75">
      <c r="A29" t="s">
        <v>48</v>
      </c>
      <c r="B29">
        <f>(B28/G20)*100</f>
        <v>99.5991983967936</v>
      </c>
      <c r="C29">
        <f>(C28/G20)*100</f>
        <v>94.98997995991984</v>
      </c>
      <c r="D29">
        <f>(D28/G20)*100</f>
        <v>84.56913827655312</v>
      </c>
      <c r="E29">
        <f>(E28/G20)*100</f>
        <v>72.74549098196393</v>
      </c>
      <c r="F29">
        <f>(F28/G20)*100</f>
        <v>61.82364729458918</v>
      </c>
      <c r="G29">
        <f>(G28/G20)*100</f>
        <v>51.60320641282566</v>
      </c>
      <c r="H29">
        <f>(H28/G20)*100</f>
        <v>42.585170340681366</v>
      </c>
    </row>
    <row r="30" spans="1:8" ht="12.75">
      <c r="A30" t="s">
        <v>49</v>
      </c>
      <c r="B30">
        <f aca="true" t="shared" si="0" ref="B30:G30">B29-C29</f>
        <v>4.6092184368737605</v>
      </c>
      <c r="C30">
        <f t="shared" si="0"/>
        <v>10.420841683366717</v>
      </c>
      <c r="D30">
        <f t="shared" si="0"/>
        <v>11.823647294589193</v>
      </c>
      <c r="E30">
        <f t="shared" si="0"/>
        <v>10.921843687374746</v>
      </c>
      <c r="F30">
        <f t="shared" si="0"/>
        <v>10.220440881763523</v>
      </c>
      <c r="G30">
        <f t="shared" si="0"/>
        <v>9.018036072144291</v>
      </c>
      <c r="H30">
        <f>H29</f>
        <v>42.585170340681366</v>
      </c>
    </row>
    <row r="31" spans="1:8" ht="12.75">
      <c r="A31" t="s">
        <v>50</v>
      </c>
      <c r="B31">
        <f>B15*(B30/100)</f>
        <v>0.3868770541082235</v>
      </c>
      <c r="C31">
        <f>B15*(C30/100)</f>
        <v>0.8746785571142406</v>
      </c>
      <c r="D31">
        <f>B15*(D30/100)</f>
        <v>0.9924237474950065</v>
      </c>
      <c r="E31">
        <f>B15*(E30/100)</f>
        <v>0.9167304108216572</v>
      </c>
      <c r="F31">
        <f>B15*(F30/100)</f>
        <v>0.8578578156312753</v>
      </c>
      <c r="G31">
        <f>B15*(G30/100)</f>
        <v>0.7569333667334788</v>
      </c>
      <c r="H31">
        <f>B15*(H30/100)</f>
        <v>3.5744075651303158</v>
      </c>
    </row>
    <row r="33" spans="1:8" ht="12.75">
      <c r="A33" t="s">
        <v>51</v>
      </c>
      <c r="B33" t="s">
        <v>52</v>
      </c>
      <c r="C33" t="s">
        <v>24</v>
      </c>
      <c r="D33" t="s">
        <v>25</v>
      </c>
      <c r="E33" t="s">
        <v>26</v>
      </c>
      <c r="F33" t="s">
        <v>27</v>
      </c>
      <c r="G33" t="s">
        <v>28</v>
      </c>
      <c r="H33" t="s">
        <v>54</v>
      </c>
    </row>
  </sheetData>
  <printOptions gridLines="1" horizontalCentered="1"/>
  <pageMargins left="0.5" right="0.5" top="0.5" bottom="0.5" header="0.5" footer="0.5"/>
  <pageSetup fitToHeight="1" fitToWidth="1"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workbookViewId="0" topLeftCell="A1">
      <selection activeCell="F15" sqref="F15"/>
    </sheetView>
  </sheetViews>
  <sheetFormatPr defaultColWidth="9.140625" defaultRowHeight="12.75"/>
  <cols>
    <col min="1" max="1" width="15.57421875" style="0" customWidth="1"/>
    <col min="3" max="3" width="10.57421875" style="0" customWidth="1"/>
    <col min="4" max="4" width="6.8515625" style="0" customWidth="1"/>
    <col min="5" max="5" width="8.57421875" style="0" customWidth="1"/>
    <col min="6" max="7" width="6.8515625" style="0" customWidth="1"/>
    <col min="8" max="8" width="6.7109375" style="0" customWidth="1"/>
    <col min="9" max="9" width="4.421875" style="0" customWidth="1"/>
    <col min="10" max="10" width="12.421875" style="0" customWidth="1"/>
    <col min="11" max="11" width="15.8515625" style="0" customWidth="1"/>
    <col min="12" max="12" width="14.00390625" style="0" customWidth="1"/>
  </cols>
  <sheetData>
    <row r="1" spans="1:3" ht="20.25">
      <c r="A1" s="2" t="s">
        <v>0</v>
      </c>
      <c r="B1" s="2"/>
      <c r="C1" s="2"/>
    </row>
    <row r="2" spans="1:4" ht="15">
      <c r="A2" s="3" t="s">
        <v>62</v>
      </c>
      <c r="B2" s="3">
        <v>100135</v>
      </c>
      <c r="C2" s="3"/>
      <c r="D2" s="3"/>
    </row>
    <row r="3" spans="1:3" ht="20.25">
      <c r="A3" s="2"/>
      <c r="B3" s="2"/>
      <c r="C3" s="2"/>
    </row>
    <row r="4" spans="5:12" ht="12.75">
      <c r="E4" t="s">
        <v>60</v>
      </c>
      <c r="H4">
        <v>0.99533</v>
      </c>
      <c r="J4" t="s">
        <v>12</v>
      </c>
      <c r="K4" t="s">
        <v>13</v>
      </c>
      <c r="L4" t="s">
        <v>59</v>
      </c>
    </row>
    <row r="5" spans="10:12" ht="12.75">
      <c r="J5" t="s">
        <v>30</v>
      </c>
      <c r="K5" t="s">
        <v>14</v>
      </c>
      <c r="L5">
        <v>0</v>
      </c>
    </row>
    <row r="6" spans="1:12" ht="12.75">
      <c r="A6" t="s">
        <v>1</v>
      </c>
      <c r="B6" t="s">
        <v>10</v>
      </c>
      <c r="C6" t="s">
        <v>11</v>
      </c>
      <c r="D6" t="s">
        <v>61</v>
      </c>
      <c r="F6">
        <v>900</v>
      </c>
      <c r="J6" t="s">
        <v>31</v>
      </c>
      <c r="K6" t="s">
        <v>15</v>
      </c>
      <c r="L6">
        <v>0</v>
      </c>
    </row>
    <row r="7" spans="1:12" ht="12.75">
      <c r="A7" t="s">
        <v>2</v>
      </c>
      <c r="J7" s="1" t="s">
        <v>32</v>
      </c>
      <c r="K7" t="s">
        <v>16</v>
      </c>
      <c r="L7">
        <v>0</v>
      </c>
    </row>
    <row r="8" spans="1:12" ht="12.75">
      <c r="A8" t="s">
        <v>3</v>
      </c>
      <c r="B8">
        <v>31.0351</v>
      </c>
      <c r="C8">
        <v>30.892</v>
      </c>
      <c r="J8" s="1" t="s">
        <v>33</v>
      </c>
      <c r="K8" t="s">
        <v>17</v>
      </c>
      <c r="L8">
        <v>0</v>
      </c>
    </row>
    <row r="9" spans="1:12" ht="12.75">
      <c r="A9" t="s">
        <v>4</v>
      </c>
      <c r="B9">
        <v>30.6871</v>
      </c>
      <c r="C9">
        <v>30.6997</v>
      </c>
      <c r="J9" t="s">
        <v>34</v>
      </c>
      <c r="K9" t="s">
        <v>18</v>
      </c>
      <c r="L9">
        <v>0</v>
      </c>
    </row>
    <row r="10" spans="1:12" ht="12.75">
      <c r="A10" t="s">
        <v>5</v>
      </c>
      <c r="B10">
        <f>B8-B9</f>
        <v>0.347999999999999</v>
      </c>
      <c r="C10">
        <f>C8-C9</f>
        <v>0.19229999999999947</v>
      </c>
      <c r="J10" t="s">
        <v>35</v>
      </c>
      <c r="K10" t="s">
        <v>19</v>
      </c>
      <c r="L10">
        <v>0.00051</v>
      </c>
    </row>
    <row r="11" spans="1:12" ht="12.75">
      <c r="A11" t="s">
        <v>55</v>
      </c>
      <c r="B11">
        <v>0.1181</v>
      </c>
      <c r="C11">
        <v>0.1181</v>
      </c>
      <c r="J11" t="s">
        <v>36</v>
      </c>
      <c r="K11" t="s">
        <v>20</v>
      </c>
      <c r="L11">
        <v>0.05287</v>
      </c>
    </row>
    <row r="12" spans="1:12" ht="12.75">
      <c r="A12" t="s">
        <v>6</v>
      </c>
      <c r="B12">
        <f>B10-B11</f>
        <v>0.229899999999999</v>
      </c>
      <c r="C12">
        <f>C10-C11</f>
        <v>0.07419999999999947</v>
      </c>
      <c r="J12" t="s">
        <v>37</v>
      </c>
      <c r="K12" t="s">
        <v>21</v>
      </c>
      <c r="L12">
        <v>0.1161</v>
      </c>
    </row>
    <row r="13" spans="1:12" ht="12.75">
      <c r="A13" t="s">
        <v>7</v>
      </c>
      <c r="B13">
        <v>50</v>
      </c>
      <c r="C13">
        <f>(F6/20)</f>
        <v>45</v>
      </c>
      <c r="J13" t="s">
        <v>38</v>
      </c>
      <c r="K13" t="s">
        <v>23</v>
      </c>
      <c r="L13">
        <f>B18+0.63748</f>
        <v>0.670500242914979</v>
      </c>
    </row>
    <row r="14" spans="1:12" ht="12.75">
      <c r="A14" t="s">
        <v>8</v>
      </c>
      <c r="B14">
        <f>B12*B13</f>
        <v>11.49499999999995</v>
      </c>
      <c r="C14">
        <f>C12*C13</f>
        <v>3.3389999999999764</v>
      </c>
      <c r="J14" t="s">
        <v>39</v>
      </c>
      <c r="K14" t="s">
        <v>22</v>
      </c>
      <c r="L14">
        <f>B31+0.18029</f>
        <v>1.253447894736839</v>
      </c>
    </row>
    <row r="15" spans="1:12" ht="12.75">
      <c r="A15" t="s">
        <v>9</v>
      </c>
      <c r="B15">
        <f>B14-C14</f>
        <v>8.155999999999974</v>
      </c>
      <c r="J15" t="s">
        <v>40</v>
      </c>
      <c r="K15" t="s">
        <v>24</v>
      </c>
      <c r="L15">
        <f>C31</f>
        <v>1.097923076923074</v>
      </c>
    </row>
    <row r="16" spans="10:12" ht="12.75">
      <c r="J16" t="s">
        <v>41</v>
      </c>
      <c r="K16" t="s">
        <v>25</v>
      </c>
      <c r="L16">
        <f>D31</f>
        <v>0.8585263157894705</v>
      </c>
    </row>
    <row r="17" spans="10:12" ht="12.75">
      <c r="J17" t="s">
        <v>42</v>
      </c>
      <c r="K17" t="s">
        <v>26</v>
      </c>
      <c r="L17">
        <f>E31</f>
        <v>0.7759757085020224</v>
      </c>
    </row>
    <row r="18" spans="1:12" ht="12.75">
      <c r="A18" t="s">
        <v>58</v>
      </c>
      <c r="B18">
        <f>((G20-B28)/G20)*B15</f>
        <v>0.03302024291497895</v>
      </c>
      <c r="J18" t="s">
        <v>43</v>
      </c>
      <c r="K18" t="s">
        <v>27</v>
      </c>
      <c r="L18">
        <f>F31</f>
        <v>0.8089959514170009</v>
      </c>
    </row>
    <row r="19" spans="7:12" ht="12.75">
      <c r="G19" t="s">
        <v>57</v>
      </c>
      <c r="J19" t="s">
        <v>44</v>
      </c>
      <c r="K19" t="s">
        <v>28</v>
      </c>
      <c r="L19">
        <f>G31</f>
        <v>0.6356396761133587</v>
      </c>
    </row>
    <row r="20" spans="7:12" ht="12.75">
      <c r="G20">
        <v>98.8</v>
      </c>
      <c r="H20" t="s">
        <v>56</v>
      </c>
      <c r="J20" t="s">
        <v>45</v>
      </c>
      <c r="K20" t="s">
        <v>29</v>
      </c>
      <c r="L20">
        <f>H31+C14</f>
        <v>6.211761133603206</v>
      </c>
    </row>
    <row r="22" spans="10:12" ht="15">
      <c r="J22" s="3" t="s">
        <v>46</v>
      </c>
      <c r="K22" s="3"/>
      <c r="L22" s="3">
        <f>SUM(L5:L20)</f>
        <v>12.48224999999995</v>
      </c>
    </row>
    <row r="26" spans="1:8" ht="12.75">
      <c r="A26" t="s">
        <v>53</v>
      </c>
      <c r="B26">
        <v>62</v>
      </c>
      <c r="C26">
        <v>31</v>
      </c>
      <c r="D26">
        <v>16</v>
      </c>
      <c r="E26">
        <v>8</v>
      </c>
      <c r="F26">
        <v>4</v>
      </c>
      <c r="G26">
        <v>2</v>
      </c>
      <c r="H26">
        <v>1</v>
      </c>
    </row>
    <row r="28" spans="1:8" ht="12.75">
      <c r="A28" t="s">
        <v>47</v>
      </c>
      <c r="B28">
        <v>98.4</v>
      </c>
      <c r="C28">
        <v>85.4</v>
      </c>
      <c r="D28">
        <v>72.1</v>
      </c>
      <c r="E28">
        <v>61.7</v>
      </c>
      <c r="F28">
        <v>52.3</v>
      </c>
      <c r="G28">
        <v>42.5</v>
      </c>
      <c r="H28">
        <v>34.8</v>
      </c>
    </row>
    <row r="29" spans="1:8" ht="12.75">
      <c r="A29" t="s">
        <v>48</v>
      </c>
      <c r="B29">
        <f>(B28/G20)*100</f>
        <v>99.59514170040487</v>
      </c>
      <c r="C29">
        <f>(C28/G20)*100</f>
        <v>86.43724696356276</v>
      </c>
      <c r="D29">
        <f>(D28/G20)*100</f>
        <v>72.97570850202429</v>
      </c>
      <c r="E29">
        <f>(E28/G20)*100</f>
        <v>62.44939271255061</v>
      </c>
      <c r="F29">
        <f>(F28/G20)*100</f>
        <v>52.935222672064775</v>
      </c>
      <c r="G29">
        <f>(G28/G20)*100</f>
        <v>43.01619433198381</v>
      </c>
      <c r="H29">
        <f>(H28/G20)*100</f>
        <v>35.22267206477733</v>
      </c>
    </row>
    <row r="30" spans="1:8" ht="12.75">
      <c r="A30" t="s">
        <v>49</v>
      </c>
      <c r="B30">
        <f aca="true" t="shared" si="0" ref="B30:G30">B29-C29</f>
        <v>13.15789473684211</v>
      </c>
      <c r="C30">
        <f t="shared" si="0"/>
        <v>13.461538461538467</v>
      </c>
      <c r="D30">
        <f t="shared" si="0"/>
        <v>10.526315789473678</v>
      </c>
      <c r="E30">
        <f t="shared" si="0"/>
        <v>9.514170040485837</v>
      </c>
      <c r="F30">
        <f t="shared" si="0"/>
        <v>9.919028340080963</v>
      </c>
      <c r="G30">
        <f t="shared" si="0"/>
        <v>7.793522267206484</v>
      </c>
      <c r="H30">
        <f>H29</f>
        <v>35.22267206477733</v>
      </c>
    </row>
    <row r="31" spans="1:8" ht="12.75">
      <c r="A31" t="s">
        <v>50</v>
      </c>
      <c r="B31">
        <f>B15*(B30/100)</f>
        <v>1.073157894736839</v>
      </c>
      <c r="C31">
        <f>B15*(C30/100)</f>
        <v>1.097923076923074</v>
      </c>
      <c r="D31">
        <f>B15*(D30/100)</f>
        <v>0.8585263157894705</v>
      </c>
      <c r="E31">
        <f>B15*(E30/100)</f>
        <v>0.7759757085020224</v>
      </c>
      <c r="F31">
        <f>B15*(F30/100)</f>
        <v>0.8089959514170009</v>
      </c>
      <c r="G31">
        <f>B15*(G30/100)</f>
        <v>0.6356396761133587</v>
      </c>
      <c r="H31">
        <f>B15*(H30/100)</f>
        <v>2.8727611336032295</v>
      </c>
    </row>
    <row r="33" spans="1:8" ht="12.75">
      <c r="A33" t="s">
        <v>51</v>
      </c>
      <c r="B33" t="s">
        <v>52</v>
      </c>
      <c r="C33" t="s">
        <v>24</v>
      </c>
      <c r="D33" t="s">
        <v>25</v>
      </c>
      <c r="E33" t="s">
        <v>26</v>
      </c>
      <c r="F33" t="s">
        <v>27</v>
      </c>
      <c r="G33" t="s">
        <v>28</v>
      </c>
      <c r="H33" t="s">
        <v>54</v>
      </c>
    </row>
  </sheetData>
  <printOptions gridLines="1" horizontalCentered="1"/>
  <pageMargins left="0.5" right="0.5" top="0.5" bottom="0.5" header="0.5" footer="0.5"/>
  <pageSetup fitToHeight="1" fitToWidth="1"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workbookViewId="0" topLeftCell="A1">
      <selection activeCell="F15" sqref="F15"/>
    </sheetView>
  </sheetViews>
  <sheetFormatPr defaultColWidth="9.140625" defaultRowHeight="12.75"/>
  <cols>
    <col min="1" max="1" width="15.57421875" style="0" customWidth="1"/>
    <col min="3" max="3" width="10.57421875" style="0" customWidth="1"/>
    <col min="4" max="4" width="6.8515625" style="0" customWidth="1"/>
    <col min="5" max="5" width="8.57421875" style="0" customWidth="1"/>
    <col min="6" max="7" width="6.8515625" style="0" customWidth="1"/>
    <col min="8" max="8" width="6.7109375" style="0" customWidth="1"/>
    <col min="9" max="9" width="4.421875" style="0" customWidth="1"/>
    <col min="10" max="10" width="12.421875" style="0" customWidth="1"/>
    <col min="11" max="11" width="15.8515625" style="0" customWidth="1"/>
    <col min="12" max="12" width="14.00390625" style="0" customWidth="1"/>
  </cols>
  <sheetData>
    <row r="1" spans="1:3" ht="20.25">
      <c r="A1" s="2" t="s">
        <v>0</v>
      </c>
      <c r="B1" s="2"/>
      <c r="C1" s="2"/>
    </row>
    <row r="2" spans="1:4" ht="15">
      <c r="A2" s="3" t="s">
        <v>62</v>
      </c>
      <c r="B2" s="3">
        <v>100136</v>
      </c>
      <c r="C2" s="3"/>
      <c r="D2" s="3"/>
    </row>
    <row r="3" spans="1:3" ht="20.25">
      <c r="A3" s="2"/>
      <c r="B3" s="2"/>
      <c r="C3" s="2"/>
    </row>
    <row r="4" spans="5:12" ht="12.75">
      <c r="E4" t="s">
        <v>60</v>
      </c>
      <c r="H4">
        <v>0.99585</v>
      </c>
      <c r="J4" t="s">
        <v>12</v>
      </c>
      <c r="K4" t="s">
        <v>13</v>
      </c>
      <c r="L4" t="s">
        <v>59</v>
      </c>
    </row>
    <row r="5" spans="10:12" ht="12.75">
      <c r="J5" t="s">
        <v>30</v>
      </c>
      <c r="K5" t="s">
        <v>14</v>
      </c>
      <c r="L5">
        <v>0</v>
      </c>
    </row>
    <row r="6" spans="1:12" ht="12.75">
      <c r="A6" t="s">
        <v>1</v>
      </c>
      <c r="B6" t="s">
        <v>10</v>
      </c>
      <c r="C6" t="s">
        <v>11</v>
      </c>
      <c r="D6" t="s">
        <v>61</v>
      </c>
      <c r="F6">
        <v>910</v>
      </c>
      <c r="J6" t="s">
        <v>31</v>
      </c>
      <c r="K6" t="s">
        <v>15</v>
      </c>
      <c r="L6">
        <v>0</v>
      </c>
    </row>
    <row r="7" spans="1:12" ht="12.75">
      <c r="A7" t="s">
        <v>2</v>
      </c>
      <c r="J7" s="1" t="s">
        <v>32</v>
      </c>
      <c r="K7" t="s">
        <v>16</v>
      </c>
      <c r="L7">
        <v>0</v>
      </c>
    </row>
    <row r="8" spans="1:12" ht="12.75">
      <c r="A8" t="s">
        <v>3</v>
      </c>
      <c r="B8">
        <v>31.0384</v>
      </c>
      <c r="C8">
        <v>31.0274</v>
      </c>
      <c r="J8" s="1" t="s">
        <v>33</v>
      </c>
      <c r="K8" t="s">
        <v>17</v>
      </c>
      <c r="L8">
        <v>0</v>
      </c>
    </row>
    <row r="9" spans="1:12" ht="12.75">
      <c r="A9" t="s">
        <v>4</v>
      </c>
      <c r="B9">
        <v>30.7678</v>
      </c>
      <c r="C9">
        <v>30.8495</v>
      </c>
      <c r="J9" t="s">
        <v>34</v>
      </c>
      <c r="K9" t="s">
        <v>18</v>
      </c>
      <c r="L9">
        <v>0.0008</v>
      </c>
    </row>
    <row r="10" spans="1:12" ht="12.75">
      <c r="A10" t="s">
        <v>5</v>
      </c>
      <c r="B10">
        <f>B8-B9</f>
        <v>0.2705999999999982</v>
      </c>
      <c r="C10">
        <f>C8-C9</f>
        <v>0.17790000000000106</v>
      </c>
      <c r="J10" t="s">
        <v>35</v>
      </c>
      <c r="K10" t="s">
        <v>19</v>
      </c>
      <c r="L10">
        <v>0.00469</v>
      </c>
    </row>
    <row r="11" spans="1:12" ht="12.75">
      <c r="A11" t="s">
        <v>55</v>
      </c>
      <c r="B11">
        <v>0.1181</v>
      </c>
      <c r="C11">
        <v>0.1181</v>
      </c>
      <c r="J11" t="s">
        <v>36</v>
      </c>
      <c r="K11" t="s">
        <v>20</v>
      </c>
      <c r="L11">
        <v>0.036</v>
      </c>
    </row>
    <row r="12" spans="1:12" ht="12.75">
      <c r="A12" t="s">
        <v>6</v>
      </c>
      <c r="B12">
        <f>B10-B11</f>
        <v>0.1524999999999982</v>
      </c>
      <c r="C12">
        <f>C10-C11</f>
        <v>0.05980000000000106</v>
      </c>
      <c r="J12" t="s">
        <v>37</v>
      </c>
      <c r="K12" t="s">
        <v>21</v>
      </c>
      <c r="L12">
        <v>0.124</v>
      </c>
    </row>
    <row r="13" spans="1:12" ht="12.75">
      <c r="A13" t="s">
        <v>7</v>
      </c>
      <c r="B13">
        <v>50</v>
      </c>
      <c r="C13">
        <f>(F6/20)</f>
        <v>45.5</v>
      </c>
      <c r="J13" t="s">
        <v>38</v>
      </c>
      <c r="K13" t="s">
        <v>23</v>
      </c>
      <c r="L13">
        <f>B18+0.58888</f>
        <v>0.6239092857142848</v>
      </c>
    </row>
    <row r="14" spans="1:12" ht="12.75">
      <c r="A14" t="s">
        <v>8</v>
      </c>
      <c r="B14">
        <f>B12*B13</f>
        <v>7.624999999999909</v>
      </c>
      <c r="C14">
        <f>C12*C13</f>
        <v>2.7209000000000483</v>
      </c>
      <c r="J14" t="s">
        <v>39</v>
      </c>
      <c r="K14" t="s">
        <v>22</v>
      </c>
      <c r="L14">
        <f>B31+0.23325</f>
        <v>1.123994693877526</v>
      </c>
    </row>
    <row r="15" spans="1:12" ht="12.75">
      <c r="A15" t="s">
        <v>9</v>
      </c>
      <c r="B15">
        <f>B14-C14</f>
        <v>4.904099999999861</v>
      </c>
      <c r="J15" t="s">
        <v>40</v>
      </c>
      <c r="K15" t="s">
        <v>24</v>
      </c>
      <c r="L15">
        <f>C31</f>
        <v>0.8156819387754871</v>
      </c>
    </row>
    <row r="16" spans="10:12" ht="12.75">
      <c r="J16" t="s">
        <v>41</v>
      </c>
      <c r="K16" t="s">
        <v>25</v>
      </c>
      <c r="L16">
        <f>D31</f>
        <v>0.6355313265305946</v>
      </c>
    </row>
    <row r="17" spans="10:12" ht="12.75">
      <c r="J17" t="s">
        <v>42</v>
      </c>
      <c r="K17" t="s">
        <v>26</v>
      </c>
      <c r="L17">
        <f>E31</f>
        <v>0.5154309183673319</v>
      </c>
    </row>
    <row r="18" spans="1:12" ht="12.75">
      <c r="A18" t="s">
        <v>58</v>
      </c>
      <c r="B18">
        <f>((G20-B28)/G20)*B15</f>
        <v>0.03502928571428487</v>
      </c>
      <c r="J18" t="s">
        <v>43</v>
      </c>
      <c r="K18" t="s">
        <v>27</v>
      </c>
      <c r="L18">
        <f>F31</f>
        <v>0.4303597959183552</v>
      </c>
    </row>
    <row r="19" spans="7:12" ht="12.75">
      <c r="G19" t="s">
        <v>57</v>
      </c>
      <c r="J19" t="s">
        <v>44</v>
      </c>
      <c r="K19" t="s">
        <v>28</v>
      </c>
      <c r="L19">
        <f>G31</f>
        <v>0.4003346938775398</v>
      </c>
    </row>
    <row r="20" spans="7:12" ht="12.75">
      <c r="G20">
        <v>98</v>
      </c>
      <c r="H20" t="s">
        <v>56</v>
      </c>
      <c r="J20" t="s">
        <v>45</v>
      </c>
      <c r="K20" t="s">
        <v>29</v>
      </c>
      <c r="L20">
        <f>H31+C14</f>
        <v>3.90188734693879</v>
      </c>
    </row>
    <row r="22" spans="10:12" ht="15">
      <c r="J22" s="3" t="s">
        <v>46</v>
      </c>
      <c r="K22" s="3"/>
      <c r="L22" s="3">
        <f>SUM(L5:L20)</f>
        <v>8.61261999999991</v>
      </c>
    </row>
    <row r="26" spans="1:8" ht="12.75">
      <c r="A26" t="s">
        <v>53</v>
      </c>
      <c r="B26">
        <v>62</v>
      </c>
      <c r="C26">
        <v>31</v>
      </c>
      <c r="D26">
        <v>16</v>
      </c>
      <c r="E26">
        <v>8</v>
      </c>
      <c r="F26">
        <v>4</v>
      </c>
      <c r="G26">
        <v>2</v>
      </c>
      <c r="H26">
        <v>1</v>
      </c>
    </row>
    <row r="28" spans="1:8" ht="12.75">
      <c r="A28" t="s">
        <v>47</v>
      </c>
      <c r="B28">
        <v>97.3</v>
      </c>
      <c r="C28">
        <v>79.5</v>
      </c>
      <c r="D28">
        <v>63.2</v>
      </c>
      <c r="E28">
        <v>50.5</v>
      </c>
      <c r="F28">
        <v>40.2</v>
      </c>
      <c r="G28">
        <v>31.6</v>
      </c>
      <c r="H28">
        <v>23.6</v>
      </c>
    </row>
    <row r="29" spans="1:8" ht="12.75">
      <c r="A29" t="s">
        <v>48</v>
      </c>
      <c r="B29">
        <f>(B28/G20)*100</f>
        <v>99.28571428571429</v>
      </c>
      <c r="C29">
        <f>(C28/G20)*100</f>
        <v>81.12244897959184</v>
      </c>
      <c r="D29">
        <f>(D28/G20)*100</f>
        <v>64.48979591836735</v>
      </c>
      <c r="E29">
        <f>(E28/G20)*100</f>
        <v>51.53061224489795</v>
      </c>
      <c r="F29">
        <f>(F28/G20)*100</f>
        <v>41.02040816326531</v>
      </c>
      <c r="G29">
        <f>(G28/G20)*100</f>
        <v>32.244897959183675</v>
      </c>
      <c r="H29">
        <f>(H28/G20)*100</f>
        <v>24.081632653061224</v>
      </c>
    </row>
    <row r="30" spans="1:8" ht="12.75">
      <c r="A30" t="s">
        <v>49</v>
      </c>
      <c r="B30">
        <f aca="true" t="shared" si="0" ref="B30:G30">B29-C29</f>
        <v>18.163265306122454</v>
      </c>
      <c r="C30">
        <f t="shared" si="0"/>
        <v>16.632653061224488</v>
      </c>
      <c r="D30">
        <f t="shared" si="0"/>
        <v>12.959183673469397</v>
      </c>
      <c r="E30">
        <f t="shared" si="0"/>
        <v>10.510204081632644</v>
      </c>
      <c r="F30">
        <f t="shared" si="0"/>
        <v>8.775510204081634</v>
      </c>
      <c r="G30">
        <f t="shared" si="0"/>
        <v>8.163265306122451</v>
      </c>
      <c r="H30">
        <f>H29</f>
        <v>24.081632653061224</v>
      </c>
    </row>
    <row r="31" spans="1:8" ht="12.75">
      <c r="A31" t="s">
        <v>50</v>
      </c>
      <c r="B31">
        <f>B15*(B30/100)</f>
        <v>0.8907446938775261</v>
      </c>
      <c r="C31">
        <f>B15*(C30/100)</f>
        <v>0.8156819387754871</v>
      </c>
      <c r="D31">
        <f>B15*(D30/100)</f>
        <v>0.6355313265305946</v>
      </c>
      <c r="E31">
        <f>B15*(E30/100)</f>
        <v>0.5154309183673319</v>
      </c>
      <c r="F31">
        <f>B15*(F30/100)</f>
        <v>0.4303597959183552</v>
      </c>
      <c r="G31">
        <f>B15*(G30/100)</f>
        <v>0.4003346938775398</v>
      </c>
      <c r="H31">
        <f>B15*(H30/100)</f>
        <v>1.180987346938742</v>
      </c>
    </row>
    <row r="33" spans="1:8" ht="12.75">
      <c r="A33" t="s">
        <v>51</v>
      </c>
      <c r="B33" t="s">
        <v>52</v>
      </c>
      <c r="C33" t="s">
        <v>24</v>
      </c>
      <c r="D33" t="s">
        <v>25</v>
      </c>
      <c r="E33" t="s">
        <v>26</v>
      </c>
      <c r="F33" t="s">
        <v>27</v>
      </c>
      <c r="G33" t="s">
        <v>28</v>
      </c>
      <c r="H33" t="s">
        <v>54</v>
      </c>
    </row>
  </sheetData>
  <printOptions gridLines="1" horizontalCentered="1"/>
  <pageMargins left="0.5" right="0.5" top="0.5" bottom="0.5" header="0.5" footer="0.5"/>
  <pageSetup fitToHeight="1" fitToWidth="1"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workbookViewId="0" topLeftCell="A1">
      <selection activeCell="F15" sqref="F15"/>
    </sheetView>
  </sheetViews>
  <sheetFormatPr defaultColWidth="9.140625" defaultRowHeight="12.75"/>
  <cols>
    <col min="1" max="1" width="15.57421875" style="0" customWidth="1"/>
    <col min="3" max="3" width="10.57421875" style="0" customWidth="1"/>
    <col min="4" max="4" width="6.8515625" style="0" customWidth="1"/>
    <col min="5" max="5" width="8.57421875" style="0" customWidth="1"/>
    <col min="6" max="7" width="6.8515625" style="0" customWidth="1"/>
    <col min="8" max="8" width="6.7109375" style="0" customWidth="1"/>
    <col min="9" max="9" width="4.421875" style="0" customWidth="1"/>
    <col min="10" max="10" width="12.421875" style="0" customWidth="1"/>
    <col min="11" max="11" width="15.8515625" style="0" customWidth="1"/>
    <col min="12" max="12" width="14.00390625" style="0" customWidth="1"/>
  </cols>
  <sheetData>
    <row r="1" spans="1:3" ht="20.25">
      <c r="A1" s="2" t="s">
        <v>0</v>
      </c>
      <c r="B1" s="2"/>
      <c r="C1" s="2"/>
    </row>
    <row r="2" spans="1:4" ht="15">
      <c r="A2" s="3" t="s">
        <v>62</v>
      </c>
      <c r="B2" s="3">
        <v>100137</v>
      </c>
      <c r="C2" s="3"/>
      <c r="D2" s="3"/>
    </row>
    <row r="3" spans="1:3" ht="20.25">
      <c r="A3" s="2"/>
      <c r="B3" s="2"/>
      <c r="C3" s="2"/>
    </row>
    <row r="4" spans="5:12" ht="12.75">
      <c r="E4" t="s">
        <v>60</v>
      </c>
      <c r="H4">
        <v>0.15737</v>
      </c>
      <c r="J4" t="s">
        <v>12</v>
      </c>
      <c r="K4" t="s">
        <v>13</v>
      </c>
      <c r="L4" t="s">
        <v>59</v>
      </c>
    </row>
    <row r="5" spans="10:12" ht="12.75">
      <c r="J5" t="s">
        <v>30</v>
      </c>
      <c r="K5" t="s">
        <v>14</v>
      </c>
      <c r="L5">
        <v>0</v>
      </c>
    </row>
    <row r="6" spans="1:12" ht="12.75">
      <c r="A6" t="s">
        <v>1</v>
      </c>
      <c r="B6" t="s">
        <v>10</v>
      </c>
      <c r="C6" t="s">
        <v>11</v>
      </c>
      <c r="D6" t="s">
        <v>61</v>
      </c>
      <c r="F6">
        <v>910</v>
      </c>
      <c r="J6" t="s">
        <v>31</v>
      </c>
      <c r="K6" t="s">
        <v>15</v>
      </c>
      <c r="L6">
        <v>0</v>
      </c>
    </row>
    <row r="7" spans="1:12" ht="12.75">
      <c r="A7" t="s">
        <v>2</v>
      </c>
      <c r="J7" s="1" t="s">
        <v>32</v>
      </c>
      <c r="K7" t="s">
        <v>16</v>
      </c>
      <c r="L7">
        <v>0</v>
      </c>
    </row>
    <row r="8" spans="1:12" ht="12.75">
      <c r="A8" t="s">
        <v>3</v>
      </c>
      <c r="B8">
        <v>29.6042</v>
      </c>
      <c r="C8">
        <v>30.9159</v>
      </c>
      <c r="J8" s="1" t="s">
        <v>33</v>
      </c>
      <c r="K8" t="s">
        <v>17</v>
      </c>
      <c r="L8">
        <v>0</v>
      </c>
    </row>
    <row r="9" spans="1:12" ht="12.75">
      <c r="A9" t="s">
        <v>4</v>
      </c>
      <c r="B9">
        <v>29.345</v>
      </c>
      <c r="C9">
        <v>30.736</v>
      </c>
      <c r="J9" t="s">
        <v>34</v>
      </c>
      <c r="K9" t="s">
        <v>18</v>
      </c>
      <c r="L9">
        <v>0</v>
      </c>
    </row>
    <row r="10" spans="1:12" ht="12.75">
      <c r="A10" t="s">
        <v>5</v>
      </c>
      <c r="B10">
        <f>B8-B9</f>
        <v>0.2591999999999999</v>
      </c>
      <c r="C10">
        <f>C8-C9</f>
        <v>0.17989999999999995</v>
      </c>
      <c r="J10" t="s">
        <v>35</v>
      </c>
      <c r="K10" t="s">
        <v>19</v>
      </c>
      <c r="L10">
        <v>0</v>
      </c>
    </row>
    <row r="11" spans="1:12" ht="12.75">
      <c r="A11" t="s">
        <v>55</v>
      </c>
      <c r="B11">
        <v>0.1181</v>
      </c>
      <c r="C11">
        <v>0.1181</v>
      </c>
      <c r="J11" t="s">
        <v>36</v>
      </c>
      <c r="K11" t="s">
        <v>20</v>
      </c>
      <c r="L11">
        <v>0.00159</v>
      </c>
    </row>
    <row r="12" spans="1:12" ht="12.75">
      <c r="A12" t="s">
        <v>6</v>
      </c>
      <c r="B12">
        <f>B10-B11</f>
        <v>0.1410999999999999</v>
      </c>
      <c r="C12">
        <f>C10-C11</f>
        <v>0.06179999999999995</v>
      </c>
      <c r="J12" t="s">
        <v>37</v>
      </c>
      <c r="K12" t="s">
        <v>21</v>
      </c>
      <c r="L12">
        <v>0.01633</v>
      </c>
    </row>
    <row r="13" spans="1:12" ht="12.75">
      <c r="A13" t="s">
        <v>7</v>
      </c>
      <c r="B13">
        <v>50</v>
      </c>
      <c r="C13">
        <f>(F6/20)</f>
        <v>45.5</v>
      </c>
      <c r="J13" t="s">
        <v>38</v>
      </c>
      <c r="K13" t="s">
        <v>23</v>
      </c>
      <c r="L13">
        <f>B18+0.083</f>
        <v>0.10026592065106778</v>
      </c>
    </row>
    <row r="14" spans="1:12" ht="12.75">
      <c r="A14" t="s">
        <v>8</v>
      </c>
      <c r="B14">
        <f>B12*B13</f>
        <v>7.054999999999994</v>
      </c>
      <c r="C14">
        <f>C12*C13</f>
        <v>2.811899999999998</v>
      </c>
      <c r="J14" t="s">
        <v>39</v>
      </c>
      <c r="K14" t="s">
        <v>22</v>
      </c>
      <c r="L14">
        <f>B31+0.03671</f>
        <v>0.31296473041709083</v>
      </c>
    </row>
    <row r="15" spans="1:12" ht="12.75">
      <c r="A15" t="s">
        <v>9</v>
      </c>
      <c r="B15">
        <f>B14-C14</f>
        <v>4.2430999999999965</v>
      </c>
      <c r="J15" t="s">
        <v>40</v>
      </c>
      <c r="K15" t="s">
        <v>24</v>
      </c>
      <c r="L15">
        <f>C31</f>
        <v>0.4445974567650038</v>
      </c>
    </row>
    <row r="16" spans="10:12" ht="12.75">
      <c r="J16" t="s">
        <v>41</v>
      </c>
      <c r="K16" t="s">
        <v>25</v>
      </c>
      <c r="L16">
        <f>D31</f>
        <v>0.5525094608341811</v>
      </c>
    </row>
    <row r="17" spans="10:12" ht="12.75">
      <c r="J17" t="s">
        <v>42</v>
      </c>
      <c r="K17" t="s">
        <v>26</v>
      </c>
      <c r="L17">
        <f>E31</f>
        <v>0.5352435401831129</v>
      </c>
    </row>
    <row r="18" spans="1:12" ht="12.75">
      <c r="A18" t="s">
        <v>58</v>
      </c>
      <c r="B18">
        <f>((G20-B28)/G20)*B15</f>
        <v>0.017265920651067777</v>
      </c>
      <c r="J18" t="s">
        <v>43</v>
      </c>
      <c r="K18" t="s">
        <v>27</v>
      </c>
      <c r="L18">
        <f>F31</f>
        <v>0.4661798575788395</v>
      </c>
    </row>
    <row r="19" spans="7:12" ht="12.75">
      <c r="G19" t="s">
        <v>57</v>
      </c>
      <c r="J19" t="s">
        <v>44</v>
      </c>
      <c r="K19" t="s">
        <v>28</v>
      </c>
      <c r="L19">
        <f>G31</f>
        <v>0.4100656154628684</v>
      </c>
    </row>
    <row r="20" spans="7:12" ht="12.75">
      <c r="G20">
        <v>98.3</v>
      </c>
      <c r="H20" t="s">
        <v>56</v>
      </c>
      <c r="J20" t="s">
        <v>45</v>
      </c>
      <c r="K20" t="s">
        <v>29</v>
      </c>
      <c r="L20">
        <f>H31+C14</f>
        <v>4.3528834181078295</v>
      </c>
    </row>
    <row r="22" spans="10:12" ht="15">
      <c r="J22" s="3" t="s">
        <v>46</v>
      </c>
      <c r="K22" s="3"/>
      <c r="L22" s="3">
        <f>SUM(L5:L20)</f>
        <v>7.192629999999994</v>
      </c>
    </row>
    <row r="26" spans="1:8" ht="12.75">
      <c r="A26" t="s">
        <v>53</v>
      </c>
      <c r="B26">
        <v>62</v>
      </c>
      <c r="C26">
        <v>31</v>
      </c>
      <c r="D26">
        <v>16</v>
      </c>
      <c r="E26">
        <v>8</v>
      </c>
      <c r="F26">
        <v>4</v>
      </c>
      <c r="G26">
        <v>2</v>
      </c>
      <c r="H26">
        <v>1</v>
      </c>
    </row>
    <row r="28" spans="1:8" ht="12.75">
      <c r="A28" t="s">
        <v>47</v>
      </c>
      <c r="B28">
        <v>97.9</v>
      </c>
      <c r="C28">
        <v>91.5</v>
      </c>
      <c r="D28">
        <v>81.2</v>
      </c>
      <c r="E28">
        <v>68.4</v>
      </c>
      <c r="F28">
        <v>56</v>
      </c>
      <c r="G28">
        <v>45.2</v>
      </c>
      <c r="H28">
        <v>35.7</v>
      </c>
    </row>
    <row r="29" spans="1:8" ht="12.75">
      <c r="A29" t="s">
        <v>48</v>
      </c>
      <c r="B29">
        <f>(B28/G20)*100</f>
        <v>99.59308240081384</v>
      </c>
      <c r="C29">
        <f>(C28/G20)*100</f>
        <v>93.08240081383519</v>
      </c>
      <c r="D29">
        <f>(D28/G20)*100</f>
        <v>82.60427263479147</v>
      </c>
      <c r="E29">
        <f>(E28/G20)*100</f>
        <v>69.58290946083419</v>
      </c>
      <c r="F29">
        <f>(F28/G20)*100</f>
        <v>56.96846388606307</v>
      </c>
      <c r="G29">
        <f>(G28/G20)*100</f>
        <v>45.98168870803663</v>
      </c>
      <c r="H29">
        <f>(H28/G20)*100</f>
        <v>36.317395727365216</v>
      </c>
    </row>
    <row r="30" spans="1:8" ht="12.75">
      <c r="A30" t="s">
        <v>49</v>
      </c>
      <c r="B30">
        <f aca="true" t="shared" si="0" ref="B30:G30">B29-C29</f>
        <v>6.510681586978649</v>
      </c>
      <c r="C30">
        <f t="shared" si="0"/>
        <v>10.478128179043722</v>
      </c>
      <c r="D30">
        <f t="shared" si="0"/>
        <v>13.021363173957283</v>
      </c>
      <c r="E30">
        <f t="shared" si="0"/>
        <v>12.614445574771118</v>
      </c>
      <c r="F30">
        <f t="shared" si="0"/>
        <v>10.986775178026441</v>
      </c>
      <c r="G30">
        <f t="shared" si="0"/>
        <v>9.664292980671412</v>
      </c>
      <c r="H30">
        <f>H29</f>
        <v>36.317395727365216</v>
      </c>
    </row>
    <row r="31" spans="1:8" ht="12.75">
      <c r="A31" t="s">
        <v>50</v>
      </c>
      <c r="B31">
        <f>B15*(B30/100)</f>
        <v>0.2762547304170908</v>
      </c>
      <c r="C31">
        <f>B15*(C30/100)</f>
        <v>0.4445974567650038</v>
      </c>
      <c r="D31">
        <f>B15*(D30/100)</f>
        <v>0.5525094608341811</v>
      </c>
      <c r="E31">
        <f>B15*(E30/100)</f>
        <v>0.5352435401831129</v>
      </c>
      <c r="F31">
        <f>B15*(F30/100)</f>
        <v>0.4661798575788395</v>
      </c>
      <c r="G31">
        <f>B15*(G30/100)</f>
        <v>0.4100656154628684</v>
      </c>
      <c r="H31">
        <f>B15*(H30/100)</f>
        <v>1.5409834181078321</v>
      </c>
    </row>
    <row r="33" spans="1:8" ht="12.75">
      <c r="A33" t="s">
        <v>51</v>
      </c>
      <c r="B33" t="s">
        <v>52</v>
      </c>
      <c r="C33" t="s">
        <v>24</v>
      </c>
      <c r="D33" t="s">
        <v>25</v>
      </c>
      <c r="E33" t="s">
        <v>26</v>
      </c>
      <c r="F33" t="s">
        <v>27</v>
      </c>
      <c r="G33" t="s">
        <v>28</v>
      </c>
      <c r="H33" t="s">
        <v>54</v>
      </c>
    </row>
  </sheetData>
  <printOptions gridLines="1" horizontalCentered="1"/>
  <pageMargins left="0.5" right="0.5" top="0.5" bottom="0.5" header="0.5" footer="0.5"/>
  <pageSetup fitToHeight="1" fitToWidth="1"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workbookViewId="0" topLeftCell="A1">
      <selection activeCell="F15" sqref="F15"/>
    </sheetView>
  </sheetViews>
  <sheetFormatPr defaultColWidth="9.140625" defaultRowHeight="12.75"/>
  <cols>
    <col min="1" max="1" width="15.57421875" style="0" customWidth="1"/>
    <col min="3" max="3" width="10.57421875" style="0" customWidth="1"/>
    <col min="4" max="4" width="6.8515625" style="0" customWidth="1"/>
    <col min="5" max="5" width="8.57421875" style="0" customWidth="1"/>
    <col min="6" max="7" width="6.8515625" style="0" customWidth="1"/>
    <col min="8" max="8" width="6.7109375" style="0" customWidth="1"/>
    <col min="9" max="9" width="4.421875" style="0" customWidth="1"/>
    <col min="10" max="10" width="12.421875" style="0" customWidth="1"/>
    <col min="11" max="11" width="15.8515625" style="0" customWidth="1"/>
    <col min="12" max="12" width="14.00390625" style="0" customWidth="1"/>
  </cols>
  <sheetData>
    <row r="1" spans="1:3" ht="20.25">
      <c r="A1" s="2" t="s">
        <v>0</v>
      </c>
      <c r="B1" s="2"/>
      <c r="C1" s="2"/>
    </row>
    <row r="2" spans="1:4" ht="15">
      <c r="A2" s="3" t="s">
        <v>62</v>
      </c>
      <c r="B2" s="3">
        <v>100138</v>
      </c>
      <c r="C2" s="3"/>
      <c r="D2" s="3"/>
    </row>
    <row r="3" spans="1:3" ht="20.25">
      <c r="A3" s="2"/>
      <c r="B3" s="2"/>
      <c r="C3" s="2"/>
    </row>
    <row r="4" spans="5:12" ht="12.75">
      <c r="E4" t="s">
        <v>60</v>
      </c>
      <c r="H4">
        <v>0.51568</v>
      </c>
      <c r="J4" t="s">
        <v>12</v>
      </c>
      <c r="K4" t="s">
        <v>13</v>
      </c>
      <c r="L4" t="s">
        <v>59</v>
      </c>
    </row>
    <row r="5" spans="10:12" ht="12.75">
      <c r="J5" t="s">
        <v>30</v>
      </c>
      <c r="K5" t="s">
        <v>14</v>
      </c>
      <c r="L5">
        <v>0</v>
      </c>
    </row>
    <row r="6" spans="1:12" ht="12.75">
      <c r="A6" t="s">
        <v>1</v>
      </c>
      <c r="B6" t="s">
        <v>10</v>
      </c>
      <c r="C6" t="s">
        <v>11</v>
      </c>
      <c r="D6" t="s">
        <v>61</v>
      </c>
      <c r="F6">
        <v>920</v>
      </c>
      <c r="J6" t="s">
        <v>31</v>
      </c>
      <c r="K6" t="s">
        <v>15</v>
      </c>
      <c r="L6">
        <v>0</v>
      </c>
    </row>
    <row r="7" spans="1:12" ht="12.75">
      <c r="A7" t="s">
        <v>2</v>
      </c>
      <c r="J7" s="1" t="s">
        <v>32</v>
      </c>
      <c r="K7" t="s">
        <v>16</v>
      </c>
      <c r="L7">
        <v>0</v>
      </c>
    </row>
    <row r="8" spans="1:12" ht="12.75">
      <c r="A8" t="s">
        <v>3</v>
      </c>
      <c r="B8">
        <v>31.0465</v>
      </c>
      <c r="C8">
        <v>31.0224</v>
      </c>
      <c r="J8" s="1" t="s">
        <v>33</v>
      </c>
      <c r="K8" t="s">
        <v>17</v>
      </c>
      <c r="L8">
        <v>0</v>
      </c>
    </row>
    <row r="9" spans="1:12" ht="12.75">
      <c r="A9" t="s">
        <v>4</v>
      </c>
      <c r="B9">
        <v>30.7645</v>
      </c>
      <c r="C9">
        <v>30.8405</v>
      </c>
      <c r="J9" t="s">
        <v>34</v>
      </c>
      <c r="K9" t="s">
        <v>18</v>
      </c>
      <c r="L9">
        <v>0.00491</v>
      </c>
    </row>
    <row r="10" spans="1:12" ht="12.75">
      <c r="A10" t="s">
        <v>5</v>
      </c>
      <c r="B10">
        <f>B8-B9</f>
        <v>0.28200000000000003</v>
      </c>
      <c r="C10">
        <f>C8-C9</f>
        <v>0.1819000000000024</v>
      </c>
      <c r="J10" t="s">
        <v>35</v>
      </c>
      <c r="K10" t="s">
        <v>19</v>
      </c>
      <c r="L10">
        <v>0.00105</v>
      </c>
    </row>
    <row r="11" spans="1:12" ht="12.75">
      <c r="A11" t="s">
        <v>55</v>
      </c>
      <c r="B11">
        <v>0.1181</v>
      </c>
      <c r="C11">
        <v>0.1181</v>
      </c>
      <c r="J11" t="s">
        <v>36</v>
      </c>
      <c r="K11" t="s">
        <v>20</v>
      </c>
      <c r="L11">
        <v>0.01583</v>
      </c>
    </row>
    <row r="12" spans="1:12" ht="12.75">
      <c r="A12" t="s">
        <v>6</v>
      </c>
      <c r="B12">
        <f>B10-B11</f>
        <v>0.16390000000000005</v>
      </c>
      <c r="C12">
        <f>C10-C11</f>
        <v>0.0638000000000024</v>
      </c>
      <c r="J12" t="s">
        <v>37</v>
      </c>
      <c r="K12" t="s">
        <v>21</v>
      </c>
      <c r="L12">
        <v>0.06069</v>
      </c>
    </row>
    <row r="13" spans="1:12" ht="12.75">
      <c r="A13" t="s">
        <v>7</v>
      </c>
      <c r="B13">
        <v>50</v>
      </c>
      <c r="C13">
        <f>(F6/20)</f>
        <v>46</v>
      </c>
      <c r="J13" t="s">
        <v>38</v>
      </c>
      <c r="K13" t="s">
        <v>23</v>
      </c>
      <c r="L13">
        <f>B18+0.28662</f>
        <v>0.3027062385321096</v>
      </c>
    </row>
    <row r="14" spans="1:12" ht="12.75">
      <c r="A14" t="s">
        <v>8</v>
      </c>
      <c r="B14">
        <f>B12*B13</f>
        <v>8.195000000000002</v>
      </c>
      <c r="C14">
        <f>C12*C13</f>
        <v>2.93480000000011</v>
      </c>
      <c r="J14" t="s">
        <v>39</v>
      </c>
      <c r="K14" t="s">
        <v>22</v>
      </c>
      <c r="L14">
        <f>B31+0.14246</f>
        <v>0.8770648929663462</v>
      </c>
    </row>
    <row r="15" spans="1:12" ht="12.75">
      <c r="A15" t="s">
        <v>9</v>
      </c>
      <c r="B15">
        <f>B14-C14</f>
        <v>5.260199999999892</v>
      </c>
      <c r="J15" t="s">
        <v>40</v>
      </c>
      <c r="K15" t="s">
        <v>24</v>
      </c>
      <c r="L15">
        <f>C31</f>
        <v>0.8418464831804099</v>
      </c>
    </row>
    <row r="16" spans="10:12" ht="12.75">
      <c r="J16" t="s">
        <v>41</v>
      </c>
      <c r="K16" t="s">
        <v>25</v>
      </c>
      <c r="L16">
        <f>D31</f>
        <v>0.7024324159021268</v>
      </c>
    </row>
    <row r="17" spans="10:12" ht="12.75">
      <c r="J17" t="s">
        <v>42</v>
      </c>
      <c r="K17" t="s">
        <v>26</v>
      </c>
      <c r="L17">
        <f>E31</f>
        <v>0.5737425076452481</v>
      </c>
    </row>
    <row r="18" spans="1:12" ht="12.75">
      <c r="A18" t="s">
        <v>58</v>
      </c>
      <c r="B18">
        <f>((G20-B28)/G20)*B15</f>
        <v>0.01608623853210961</v>
      </c>
      <c r="J18" t="s">
        <v>43</v>
      </c>
      <c r="K18" t="s">
        <v>27</v>
      </c>
      <c r="L18">
        <f>F31</f>
        <v>0.5522941896024351</v>
      </c>
    </row>
    <row r="19" spans="7:12" ht="12.75">
      <c r="G19" t="s">
        <v>57</v>
      </c>
      <c r="J19" t="s">
        <v>44</v>
      </c>
      <c r="K19" t="s">
        <v>28</v>
      </c>
      <c r="L19">
        <f>G31</f>
        <v>0.4128801223241505</v>
      </c>
    </row>
    <row r="20" spans="7:12" ht="12.75">
      <c r="G20">
        <v>98.1</v>
      </c>
      <c r="H20" t="s">
        <v>56</v>
      </c>
      <c r="J20" t="s">
        <v>45</v>
      </c>
      <c r="K20" t="s">
        <v>29</v>
      </c>
      <c r="L20">
        <f>H31+C14</f>
        <v>4.361113149847176</v>
      </c>
    </row>
    <row r="22" spans="10:12" ht="15">
      <c r="J22" s="3" t="s">
        <v>46</v>
      </c>
      <c r="K22" s="3"/>
      <c r="L22" s="3">
        <f>SUM(L5:L20)</f>
        <v>8.706560000000003</v>
      </c>
    </row>
    <row r="26" spans="1:8" ht="12.75">
      <c r="A26" t="s">
        <v>53</v>
      </c>
      <c r="B26">
        <v>62</v>
      </c>
      <c r="C26">
        <v>31</v>
      </c>
      <c r="D26">
        <v>16</v>
      </c>
      <c r="E26">
        <v>8</v>
      </c>
      <c r="F26">
        <v>4</v>
      </c>
      <c r="G26">
        <v>2</v>
      </c>
      <c r="H26">
        <v>1</v>
      </c>
    </row>
    <row r="28" spans="1:8" ht="12.75">
      <c r="A28" t="s">
        <v>47</v>
      </c>
      <c r="B28">
        <v>97.8</v>
      </c>
      <c r="C28">
        <v>84.1</v>
      </c>
      <c r="D28">
        <v>68.4</v>
      </c>
      <c r="E28">
        <v>55.3</v>
      </c>
      <c r="F28">
        <v>44.6</v>
      </c>
      <c r="G28">
        <v>34.3</v>
      </c>
      <c r="H28">
        <v>26.6</v>
      </c>
    </row>
    <row r="29" spans="1:8" ht="12.75">
      <c r="A29" t="s">
        <v>48</v>
      </c>
      <c r="B29">
        <f>(B28/G20)*100</f>
        <v>99.69418960244649</v>
      </c>
      <c r="C29">
        <f>(C28/G20)*100</f>
        <v>85.72884811416921</v>
      </c>
      <c r="D29">
        <f>(D28/G20)*100</f>
        <v>69.72477064220185</v>
      </c>
      <c r="E29">
        <f>(E28/G20)*100</f>
        <v>56.3710499490316</v>
      </c>
      <c r="F29">
        <f>(F28/G20)*100</f>
        <v>45.4638124362895</v>
      </c>
      <c r="G29">
        <f>(G28/G20)*100</f>
        <v>34.96432212028542</v>
      </c>
      <c r="H29">
        <f>(H28/G20)*100</f>
        <v>27.115188583078492</v>
      </c>
    </row>
    <row r="30" spans="1:8" ht="12.75">
      <c r="A30" t="s">
        <v>49</v>
      </c>
      <c r="B30">
        <f aca="true" t="shared" si="0" ref="B30:G30">B29-C29</f>
        <v>13.965341488277275</v>
      </c>
      <c r="C30">
        <f t="shared" si="0"/>
        <v>16.004077471967364</v>
      </c>
      <c r="D30">
        <f t="shared" si="0"/>
        <v>13.353720693170246</v>
      </c>
      <c r="E30">
        <f t="shared" si="0"/>
        <v>10.9072375127421</v>
      </c>
      <c r="F30">
        <f t="shared" si="0"/>
        <v>10.499490316004078</v>
      </c>
      <c r="G30">
        <f t="shared" si="0"/>
        <v>7.8491335372069315</v>
      </c>
      <c r="H30">
        <f>H29</f>
        <v>27.115188583078492</v>
      </c>
    </row>
    <row r="31" spans="1:8" ht="12.75">
      <c r="A31" t="s">
        <v>50</v>
      </c>
      <c r="B31">
        <f>B15*(B30/100)</f>
        <v>0.7346048929663461</v>
      </c>
      <c r="C31">
        <f>B15*(C30/100)</f>
        <v>0.8418464831804099</v>
      </c>
      <c r="D31">
        <f>B15*(D30/100)</f>
        <v>0.7024324159021268</v>
      </c>
      <c r="E31">
        <f>B15*(E30/100)</f>
        <v>0.5737425076452481</v>
      </c>
      <c r="F31">
        <f>B15*(F30/100)</f>
        <v>0.5522941896024351</v>
      </c>
      <c r="G31">
        <f>B15*(G30/100)</f>
        <v>0.4128801223241505</v>
      </c>
      <c r="H31">
        <f>B15*(H30/100)</f>
        <v>1.4263131498470656</v>
      </c>
    </row>
    <row r="33" spans="1:8" ht="12.75">
      <c r="A33" t="s">
        <v>51</v>
      </c>
      <c r="B33" t="s">
        <v>52</v>
      </c>
      <c r="C33" t="s">
        <v>24</v>
      </c>
      <c r="D33" t="s">
        <v>25</v>
      </c>
      <c r="E33" t="s">
        <v>26</v>
      </c>
      <c r="F33" t="s">
        <v>27</v>
      </c>
      <c r="G33" t="s">
        <v>28</v>
      </c>
      <c r="H33" t="s">
        <v>54</v>
      </c>
    </row>
  </sheetData>
  <printOptions gridLines="1" horizontalCentered="1"/>
  <pageMargins left="0.5" right="0.5" top="0.5" bottom="0.5" header="0.5" footer="0.5"/>
  <pageSetup fitToHeight="1" fitToWidth="1"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workbookViewId="0" topLeftCell="A1">
      <selection activeCell="F15" sqref="F15"/>
    </sheetView>
  </sheetViews>
  <sheetFormatPr defaultColWidth="9.140625" defaultRowHeight="12.75"/>
  <cols>
    <col min="1" max="1" width="15.57421875" style="0" customWidth="1"/>
    <col min="3" max="3" width="10.57421875" style="0" customWidth="1"/>
    <col min="4" max="4" width="6.8515625" style="0" customWidth="1"/>
    <col min="5" max="5" width="8.57421875" style="0" customWidth="1"/>
    <col min="6" max="7" width="6.8515625" style="0" customWidth="1"/>
    <col min="8" max="8" width="6.7109375" style="0" customWidth="1"/>
    <col min="9" max="9" width="4.421875" style="0" customWidth="1"/>
    <col min="10" max="10" width="12.421875" style="0" customWidth="1"/>
    <col min="11" max="11" width="15.8515625" style="0" customWidth="1"/>
    <col min="12" max="12" width="14.00390625" style="0" customWidth="1"/>
  </cols>
  <sheetData>
    <row r="1" spans="1:3" ht="20.25">
      <c r="A1" s="2" t="s">
        <v>0</v>
      </c>
      <c r="B1" s="2"/>
      <c r="C1" s="2"/>
    </row>
    <row r="2" spans="1:4" ht="15">
      <c r="A2" s="3" t="s">
        <v>62</v>
      </c>
      <c r="B2" s="3">
        <v>100139</v>
      </c>
      <c r="C2" s="3"/>
      <c r="D2" s="3"/>
    </row>
    <row r="3" spans="1:3" ht="20.25">
      <c r="A3" s="2"/>
      <c r="B3" s="2"/>
      <c r="C3" s="2"/>
    </row>
    <row r="4" spans="5:12" ht="12.75">
      <c r="E4" t="s">
        <v>60</v>
      </c>
      <c r="H4">
        <v>0.59215</v>
      </c>
      <c r="J4" t="s">
        <v>12</v>
      </c>
      <c r="K4" t="s">
        <v>13</v>
      </c>
      <c r="L4" t="s">
        <v>59</v>
      </c>
    </row>
    <row r="5" spans="10:12" ht="12.75">
      <c r="J5" t="s">
        <v>30</v>
      </c>
      <c r="K5" t="s">
        <v>14</v>
      </c>
      <c r="L5">
        <v>0</v>
      </c>
    </row>
    <row r="6" spans="1:12" ht="12.75">
      <c r="A6" t="s">
        <v>1</v>
      </c>
      <c r="B6" t="s">
        <v>10</v>
      </c>
      <c r="C6" t="s">
        <v>11</v>
      </c>
      <c r="D6" t="s">
        <v>61</v>
      </c>
      <c r="F6">
        <v>910</v>
      </c>
      <c r="J6" t="s">
        <v>31</v>
      </c>
      <c r="K6" t="s">
        <v>15</v>
      </c>
      <c r="L6">
        <v>0</v>
      </c>
    </row>
    <row r="7" spans="1:12" ht="12.75">
      <c r="A7" t="s">
        <v>2</v>
      </c>
      <c r="J7" s="1" t="s">
        <v>32</v>
      </c>
      <c r="K7" t="s">
        <v>16</v>
      </c>
      <c r="L7">
        <v>0</v>
      </c>
    </row>
    <row r="8" spans="1:12" ht="12.75">
      <c r="A8" t="s">
        <v>3</v>
      </c>
      <c r="B8">
        <v>31.1696</v>
      </c>
      <c r="C8">
        <v>30.8643</v>
      </c>
      <c r="J8" s="1" t="s">
        <v>33</v>
      </c>
      <c r="K8" t="s">
        <v>17</v>
      </c>
      <c r="L8">
        <v>0</v>
      </c>
    </row>
    <row r="9" spans="1:12" ht="12.75">
      <c r="A9" t="s">
        <v>4</v>
      </c>
      <c r="B9">
        <v>30.8592</v>
      </c>
      <c r="C9">
        <v>30.6734</v>
      </c>
      <c r="J9" t="s">
        <v>34</v>
      </c>
      <c r="K9" t="s">
        <v>18</v>
      </c>
      <c r="L9">
        <v>0</v>
      </c>
    </row>
    <row r="10" spans="1:12" ht="12.75">
      <c r="A10" t="s">
        <v>5</v>
      </c>
      <c r="B10">
        <f>B8-B9</f>
        <v>0.3103999999999978</v>
      </c>
      <c r="C10">
        <f>C8-C9</f>
        <v>0.19089999999999918</v>
      </c>
      <c r="J10" t="s">
        <v>35</v>
      </c>
      <c r="K10" t="s">
        <v>19</v>
      </c>
      <c r="L10">
        <v>0.00014</v>
      </c>
    </row>
    <row r="11" spans="1:12" ht="12.75">
      <c r="A11" t="s">
        <v>55</v>
      </c>
      <c r="B11">
        <v>0.1181</v>
      </c>
      <c r="C11">
        <v>0.1181</v>
      </c>
      <c r="J11" t="s">
        <v>36</v>
      </c>
      <c r="K11" t="s">
        <v>20</v>
      </c>
      <c r="L11">
        <v>0.02036</v>
      </c>
    </row>
    <row r="12" spans="1:12" ht="12.75">
      <c r="A12" t="s">
        <v>6</v>
      </c>
      <c r="B12">
        <f>B10-B11</f>
        <v>0.1922999999999978</v>
      </c>
      <c r="C12">
        <f>C10-C11</f>
        <v>0.07279999999999918</v>
      </c>
      <c r="J12" t="s">
        <v>37</v>
      </c>
      <c r="K12" t="s">
        <v>21</v>
      </c>
      <c r="L12">
        <v>0.07542</v>
      </c>
    </row>
    <row r="13" spans="1:12" ht="12.75">
      <c r="A13" t="s">
        <v>7</v>
      </c>
      <c r="B13">
        <v>50</v>
      </c>
      <c r="C13">
        <f>(F6/20)</f>
        <v>45.5</v>
      </c>
      <c r="J13" t="s">
        <v>38</v>
      </c>
      <c r="K13" t="s">
        <v>23</v>
      </c>
      <c r="L13">
        <f>B18+0.37703</f>
        <v>0.39664390041493824</v>
      </c>
    </row>
    <row r="14" spans="1:12" ht="12.75">
      <c r="A14" t="s">
        <v>8</v>
      </c>
      <c r="B14">
        <f>B12*B13</f>
        <v>9.61499999999989</v>
      </c>
      <c r="C14">
        <f>C12*C13</f>
        <v>3.312399999999963</v>
      </c>
      <c r="J14" t="s">
        <v>39</v>
      </c>
      <c r="K14" t="s">
        <v>22</v>
      </c>
      <c r="L14">
        <f>B31+0.113</f>
        <v>0.8844800829875433</v>
      </c>
    </row>
    <row r="15" spans="1:12" ht="12.75">
      <c r="A15" t="s">
        <v>9</v>
      </c>
      <c r="B15">
        <f>B14-C14</f>
        <v>6.302599999999927</v>
      </c>
      <c r="J15" t="s">
        <v>40</v>
      </c>
      <c r="K15" t="s">
        <v>24</v>
      </c>
      <c r="L15">
        <f>C31</f>
        <v>1.0329987551867095</v>
      </c>
    </row>
    <row r="16" spans="10:12" ht="12.75">
      <c r="J16" t="s">
        <v>41</v>
      </c>
      <c r="K16" t="s">
        <v>25</v>
      </c>
      <c r="L16">
        <f>D31</f>
        <v>0.7714800829875424</v>
      </c>
    </row>
    <row r="17" spans="10:12" ht="12.75">
      <c r="J17" t="s">
        <v>42</v>
      </c>
      <c r="K17" t="s">
        <v>26</v>
      </c>
      <c r="L17">
        <f>E31</f>
        <v>0.6537966804979177</v>
      </c>
    </row>
    <row r="18" spans="1:12" ht="12.75">
      <c r="A18" t="s">
        <v>58</v>
      </c>
      <c r="B18">
        <f>((G20-B28)/G20)*B15</f>
        <v>0.019613900414938275</v>
      </c>
      <c r="J18" t="s">
        <v>43</v>
      </c>
      <c r="K18" t="s">
        <v>27</v>
      </c>
      <c r="L18">
        <f>F31</f>
        <v>0.5884170124481262</v>
      </c>
    </row>
    <row r="19" spans="7:12" ht="12.75">
      <c r="G19" t="s">
        <v>57</v>
      </c>
      <c r="J19" t="s">
        <v>44</v>
      </c>
      <c r="K19" t="s">
        <v>28</v>
      </c>
      <c r="L19">
        <f>G31</f>
        <v>0.516499377593355</v>
      </c>
    </row>
    <row r="20" spans="7:12" ht="12.75">
      <c r="G20">
        <v>96.4</v>
      </c>
      <c r="H20" t="s">
        <v>56</v>
      </c>
      <c r="J20" t="s">
        <v>45</v>
      </c>
      <c r="K20" t="s">
        <v>29</v>
      </c>
      <c r="L20">
        <f>H31+C14</f>
        <v>5.260714107883758</v>
      </c>
    </row>
    <row r="22" spans="10:12" ht="15">
      <c r="J22" s="3" t="s">
        <v>46</v>
      </c>
      <c r="K22" s="3"/>
      <c r="L22" s="3">
        <f>SUM(L5:L20)</f>
        <v>10.200949999999892</v>
      </c>
    </row>
    <row r="26" spans="1:8" ht="12.75">
      <c r="A26" t="s">
        <v>53</v>
      </c>
      <c r="B26">
        <v>62</v>
      </c>
      <c r="C26">
        <v>31</v>
      </c>
      <c r="D26">
        <v>16</v>
      </c>
      <c r="E26">
        <v>8</v>
      </c>
      <c r="F26">
        <v>4</v>
      </c>
      <c r="G26">
        <v>2</v>
      </c>
      <c r="H26">
        <v>1</v>
      </c>
    </row>
    <row r="28" spans="1:8" ht="12.75">
      <c r="A28" t="s">
        <v>47</v>
      </c>
      <c r="B28">
        <v>96.1</v>
      </c>
      <c r="C28">
        <v>84.3</v>
      </c>
      <c r="D28">
        <v>68.5</v>
      </c>
      <c r="E28">
        <v>56.7</v>
      </c>
      <c r="F28">
        <v>46.7</v>
      </c>
      <c r="G28">
        <v>37.7</v>
      </c>
      <c r="H28">
        <v>29.8</v>
      </c>
    </row>
    <row r="29" spans="1:8" ht="12.75">
      <c r="A29" t="s">
        <v>48</v>
      </c>
      <c r="B29">
        <f>(B28/G20)*100</f>
        <v>99.68879668049792</v>
      </c>
      <c r="C29">
        <f>(C28/G20)*100</f>
        <v>87.44813278008297</v>
      </c>
      <c r="D29">
        <f>(D28/G20)*100</f>
        <v>71.05809128630705</v>
      </c>
      <c r="E29">
        <f>(E28/G20)*100</f>
        <v>58.81742738589212</v>
      </c>
      <c r="F29">
        <f>(F28/G20)*100</f>
        <v>48.44398340248963</v>
      </c>
      <c r="G29">
        <f>(G28/G20)*100</f>
        <v>39.107883817427386</v>
      </c>
      <c r="H29">
        <f>(H28/G20)*100</f>
        <v>30.91286307053942</v>
      </c>
    </row>
    <row r="30" spans="1:8" ht="12.75">
      <c r="A30" t="s">
        <v>49</v>
      </c>
      <c r="B30">
        <f aca="true" t="shared" si="0" ref="B30:G30">B29-C29</f>
        <v>12.240663900414944</v>
      </c>
      <c r="C30">
        <f t="shared" si="0"/>
        <v>16.390041493775925</v>
      </c>
      <c r="D30">
        <f t="shared" si="0"/>
        <v>12.24066390041493</v>
      </c>
      <c r="E30">
        <f t="shared" si="0"/>
        <v>10.373443983402488</v>
      </c>
      <c r="F30">
        <f t="shared" si="0"/>
        <v>9.336099585062243</v>
      </c>
      <c r="G30">
        <f t="shared" si="0"/>
        <v>8.195020746887966</v>
      </c>
      <c r="H30">
        <f>H29</f>
        <v>30.91286307053942</v>
      </c>
    </row>
    <row r="31" spans="1:8" ht="12.75">
      <c r="A31" t="s">
        <v>50</v>
      </c>
      <c r="B31">
        <f>B15*(B30/100)</f>
        <v>0.7714800829875433</v>
      </c>
      <c r="C31">
        <f>B15*(C30/100)</f>
        <v>1.0329987551867095</v>
      </c>
      <c r="D31">
        <f>B15*(D30/100)</f>
        <v>0.7714800829875424</v>
      </c>
      <c r="E31">
        <f>B15*(E30/100)</f>
        <v>0.6537966804979177</v>
      </c>
      <c r="F31">
        <f>B15*(F30/100)</f>
        <v>0.5884170124481262</v>
      </c>
      <c r="G31">
        <f>B15*(G30/100)</f>
        <v>0.516499377593355</v>
      </c>
      <c r="H31">
        <f>B15*(H30/100)</f>
        <v>1.9483141078837949</v>
      </c>
    </row>
    <row r="33" spans="1:8" ht="12.75">
      <c r="A33" t="s">
        <v>51</v>
      </c>
      <c r="B33" t="s">
        <v>52</v>
      </c>
      <c r="C33" t="s">
        <v>24</v>
      </c>
      <c r="D33" t="s">
        <v>25</v>
      </c>
      <c r="E33" t="s">
        <v>26</v>
      </c>
      <c r="F33" t="s">
        <v>27</v>
      </c>
      <c r="G33" t="s">
        <v>28</v>
      </c>
      <c r="H33" t="s">
        <v>54</v>
      </c>
    </row>
  </sheetData>
  <printOptions gridLines="1" horizontalCentered="1"/>
  <pageMargins left="0.5" right="0.5" top="0.5" bottom="0.5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LDEO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Rusty Lotti-Bond</dc:creator>
  <cp:keywords/>
  <dc:description/>
  <cp:lastModifiedBy> Nichole Anest</cp:lastModifiedBy>
  <cp:lastPrinted>2000-10-11T21:07:33Z</cp:lastPrinted>
  <dcterms:created xsi:type="dcterms:W3CDTF">1998-03-05T15:24:41Z</dcterms:created>
  <dcterms:modified xsi:type="dcterms:W3CDTF">2006-11-27T19:56:50Z</dcterms:modified>
  <cp:category/>
  <cp:version/>
  <cp:contentType/>
  <cp:contentStatus/>
</cp:coreProperties>
</file>