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928" yWindow="65524" windowWidth="14532" windowHeight="11640" activeTab="1"/>
  </bookViews>
  <sheets>
    <sheet name="Input" sheetId="1" r:id="rId1"/>
    <sheet name="Overall" sheetId="2" r:id="rId2"/>
  </sheets>
  <definedNames>
    <definedName name="_xlnm.Print_Area" localSheetId="0">'Input'!$B$1:$K$40</definedName>
    <definedName name="_xlnm.Print_Area" localSheetId="1">'Overall'!$B$2:$H$29</definedName>
  </definedNames>
  <calcPr fullCalcOnLoad="1"/>
</workbook>
</file>

<file path=xl/sharedStrings.xml><?xml version="1.0" encoding="utf-8"?>
<sst xmlns="http://schemas.openxmlformats.org/spreadsheetml/2006/main" count="95" uniqueCount="33">
  <si>
    <t>Week</t>
  </si>
  <si>
    <t>Monday</t>
  </si>
  <si>
    <t>Tuesday</t>
  </si>
  <si>
    <t>Wednesday</t>
  </si>
  <si>
    <t>Thursday</t>
  </si>
  <si>
    <t>Friday</t>
  </si>
  <si>
    <t>No Game</t>
  </si>
  <si>
    <t>Labor Day</t>
  </si>
  <si>
    <t>Columbus Day</t>
  </si>
  <si>
    <t>White</t>
  </si>
  <si>
    <t>Green</t>
  </si>
  <si>
    <t>Red</t>
  </si>
  <si>
    <t>Purple</t>
  </si>
  <si>
    <t>Gold</t>
  </si>
  <si>
    <t>Orange</t>
  </si>
  <si>
    <t>Blue</t>
  </si>
  <si>
    <t>Grey</t>
  </si>
  <si>
    <t xml:space="preserve">No Game </t>
  </si>
  <si>
    <t>Stripes</t>
  </si>
  <si>
    <t>Team</t>
  </si>
  <si>
    <t>Wins</t>
  </si>
  <si>
    <t>Loses</t>
  </si>
  <si>
    <t>Ties</t>
  </si>
  <si>
    <t>Goals For</t>
  </si>
  <si>
    <t>Goals Against</t>
  </si>
  <si>
    <t>Points</t>
  </si>
  <si>
    <t>Alpha Standings</t>
  </si>
  <si>
    <t>Beta Standings</t>
  </si>
  <si>
    <t>This Week</t>
  </si>
  <si>
    <t>5:15pm</t>
  </si>
  <si>
    <t>No</t>
  </si>
  <si>
    <t>Game</t>
  </si>
  <si>
    <t>Fall 2007 Overall Standings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</si>
</sst>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"/>
    <numFmt numFmtId="171" formatCode="0.0"/>
    <numFmt numFmtId="172" formatCode="[$-409]h:mm\ AM/PM;@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Microsoft Sans Serif"/>
      <family val="2"/>
    </font>
    <font>
      <sz val="11"/>
      <color indexed="9"/>
      <name val="Microsoft Sans Serif"/>
      <family val="2"/>
    </font>
    <font>
      <b/>
      <sz val="12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1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6" fontId="3" fillId="0" borderId="0" xfId="0" applyNumberFormat="1" applyFont="1" applyAlignment="1">
      <alignment horizontal="center"/>
    </xf>
    <xf numFmtId="0" fontId="3" fillId="0" borderId="5" xfId="0" applyFont="1" applyBorder="1" applyAlignment="1">
      <alignment/>
    </xf>
    <xf numFmtId="1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7" borderId="0" xfId="0" applyFill="1" applyBorder="1" applyAlignment="1">
      <alignment/>
    </xf>
    <xf numFmtId="0" fontId="0" fillId="8" borderId="1" xfId="0" applyFill="1" applyBorder="1" applyAlignment="1">
      <alignment/>
    </xf>
    <xf numFmtId="0" fontId="0" fillId="9" borderId="11" xfId="0" applyFill="1" applyBorder="1" applyAlignment="1">
      <alignment/>
    </xf>
    <xf numFmtId="0" fontId="0" fillId="9" borderId="12" xfId="0" applyFill="1" applyBorder="1" applyAlignment="1">
      <alignment/>
    </xf>
    <xf numFmtId="1" fontId="0" fillId="0" borderId="5" xfId="0" applyNumberFormat="1" applyBorder="1" applyAlignment="1">
      <alignment/>
    </xf>
    <xf numFmtId="0" fontId="0" fillId="10" borderId="1" xfId="0" applyFill="1" applyBorder="1" applyAlignment="1">
      <alignment/>
    </xf>
    <xf numFmtId="1" fontId="0" fillId="0" borderId="13" xfId="0" applyNumberFormat="1" applyBorder="1" applyAlignment="1">
      <alignment/>
    </xf>
    <xf numFmtId="0" fontId="4" fillId="11" borderId="5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5" borderId="5" xfId="0" applyFont="1" applyFill="1" applyBorder="1" applyAlignment="1">
      <alignment/>
    </xf>
    <xf numFmtId="0" fontId="3" fillId="12" borderId="5" xfId="0" applyFont="1" applyFill="1" applyBorder="1" applyAlignment="1">
      <alignment/>
    </xf>
    <xf numFmtId="0" fontId="3" fillId="8" borderId="5" xfId="0" applyFont="1" applyFill="1" applyBorder="1" applyAlignment="1">
      <alignment/>
    </xf>
    <xf numFmtId="0" fontId="3" fillId="6" borderId="5" xfId="0" applyFont="1" applyFill="1" applyBorder="1" applyAlignment="1">
      <alignment/>
    </xf>
    <xf numFmtId="0" fontId="3" fillId="4" borderId="5" xfId="0" applyFont="1" applyFill="1" applyBorder="1" applyAlignment="1">
      <alignment/>
    </xf>
    <xf numFmtId="0" fontId="3" fillId="9" borderId="5" xfId="0" applyFont="1" applyFill="1" applyBorder="1" applyAlignment="1">
      <alignment/>
    </xf>
    <xf numFmtId="0" fontId="3" fillId="0" borderId="5" xfId="0" applyFont="1" applyBorder="1" applyAlignment="1">
      <alignment/>
    </xf>
    <xf numFmtId="0" fontId="3" fillId="0" borderId="5" xfId="0" applyNumberFormat="1" applyFont="1" applyBorder="1" applyAlignment="1">
      <alignment/>
    </xf>
    <xf numFmtId="0" fontId="4" fillId="11" borderId="1" xfId="0" applyFont="1" applyFill="1" applyBorder="1" applyAlignment="1">
      <alignment/>
    </xf>
    <xf numFmtId="0" fontId="3" fillId="9" borderId="14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4" xfId="0" applyFont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14" xfId="0" applyFont="1" applyFill="1" applyBorder="1" applyAlignment="1">
      <alignment/>
    </xf>
    <xf numFmtId="0" fontId="3" fillId="12" borderId="1" xfId="0" applyFont="1" applyFill="1" applyBorder="1" applyAlignment="1">
      <alignment/>
    </xf>
    <xf numFmtId="0" fontId="3" fillId="12" borderId="14" xfId="0" applyFont="1" applyFill="1" applyBorder="1" applyAlignment="1">
      <alignment/>
    </xf>
    <xf numFmtId="0" fontId="3" fillId="4" borderId="1" xfId="0" applyFont="1" applyFill="1" applyBorder="1" applyAlignment="1">
      <alignment/>
    </xf>
    <xf numFmtId="0" fontId="3" fillId="8" borderId="14" xfId="0" applyFont="1" applyFill="1" applyBorder="1" applyAlignment="1">
      <alignment/>
    </xf>
    <xf numFmtId="0" fontId="3" fillId="9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11" borderId="14" xfId="0" applyFont="1" applyFill="1" applyBorder="1" applyAlignment="1">
      <alignment/>
    </xf>
    <xf numFmtId="0" fontId="3" fillId="0" borderId="14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14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7" xfId="0" applyNumberFormat="1" applyFont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5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1" fontId="3" fillId="3" borderId="1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5" xfId="0" applyNumberFormat="1" applyFill="1" applyBorder="1" applyAlignment="1">
      <alignment/>
    </xf>
    <xf numFmtId="1" fontId="0" fillId="0" borderId="14" xfId="0" applyNumberFormat="1" applyBorder="1" applyAlignment="1">
      <alignment/>
    </xf>
    <xf numFmtId="1" fontId="0" fillId="0" borderId="16" xfId="0" applyNumberFormat="1" applyFill="1" applyBorder="1" applyAlignment="1">
      <alignment/>
    </xf>
    <xf numFmtId="1" fontId="0" fillId="0" borderId="16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0" fillId="0" borderId="19" xfId="0" applyNumberFormat="1" applyFill="1" applyBorder="1" applyAlignment="1">
      <alignment/>
    </xf>
    <xf numFmtId="1" fontId="0" fillId="0" borderId="20" xfId="0" applyNumberFormat="1" applyFill="1" applyBorder="1" applyAlignment="1">
      <alignment/>
    </xf>
    <xf numFmtId="1" fontId="0" fillId="0" borderId="14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5" fontId="0" fillId="0" borderId="21" xfId="0" applyNumberFormat="1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15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13" borderId="15" xfId="0" applyFill="1" applyBorder="1" applyAlignment="1">
      <alignment/>
    </xf>
    <xf numFmtId="0" fontId="0" fillId="7" borderId="1" xfId="0" applyFill="1" applyBorder="1" applyAlignment="1">
      <alignment/>
    </xf>
    <xf numFmtId="0" fontId="3" fillId="3" borderId="28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0" fillId="10" borderId="15" xfId="0" applyFill="1" applyBorder="1" applyAlignment="1">
      <alignment/>
    </xf>
    <xf numFmtId="165" fontId="3" fillId="3" borderId="1" xfId="0" applyNumberFormat="1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0" xfId="0" applyFont="1" applyFill="1" applyBorder="1" applyAlignment="1">
      <alignment horizontal="center"/>
    </xf>
    <xf numFmtId="172" fontId="0" fillId="0" borderId="31" xfId="0" applyNumberFormat="1" applyFont="1" applyBorder="1" applyAlignment="1">
      <alignment horizontal="center" vertical="center"/>
    </xf>
    <xf numFmtId="172" fontId="0" fillId="0" borderId="26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32" xfId="0" applyFont="1" applyFill="1" applyBorder="1" applyAlignment="1">
      <alignment horizontal="center"/>
    </xf>
    <xf numFmtId="0" fontId="0" fillId="3" borderId="33" xfId="0" applyFont="1" applyFill="1" applyBorder="1" applyAlignment="1">
      <alignment horizontal="center"/>
    </xf>
    <xf numFmtId="0" fontId="0" fillId="3" borderId="34" xfId="0" applyFont="1" applyFill="1" applyBorder="1" applyAlignment="1">
      <alignment horizontal="center"/>
    </xf>
    <xf numFmtId="0" fontId="0" fillId="3" borderId="35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3" borderId="14" xfId="0" applyNumberFormat="1" applyFont="1" applyFill="1" applyBorder="1" applyAlignment="1">
      <alignment horizontal="center"/>
    </xf>
    <xf numFmtId="16" fontId="3" fillId="0" borderId="19" xfId="0" applyNumberFormat="1" applyFont="1" applyBorder="1" applyAlignment="1">
      <alignment horizontal="center"/>
    </xf>
    <xf numFmtId="0" fontId="3" fillId="3" borderId="14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5" fillId="14" borderId="33" xfId="0" applyFont="1" applyFill="1" applyBorder="1" applyAlignment="1">
      <alignment horizontal="center"/>
    </xf>
    <xf numFmtId="0" fontId="5" fillId="14" borderId="34" xfId="0" applyFont="1" applyFill="1" applyBorder="1" applyAlignment="1">
      <alignment horizontal="center"/>
    </xf>
    <xf numFmtId="0" fontId="5" fillId="14" borderId="35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5"/>
  <sheetViews>
    <sheetView zoomScale="85" zoomScaleNormal="85" workbookViewId="0" topLeftCell="A1">
      <selection activeCell="N3" sqref="N3:W3"/>
    </sheetView>
  </sheetViews>
  <sheetFormatPr defaultColWidth="9.140625" defaultRowHeight="12.75"/>
  <cols>
    <col min="1" max="1" width="7.7109375" style="8" customWidth="1"/>
    <col min="2" max="14" width="7.7109375" style="10" customWidth="1"/>
    <col min="15" max="15" width="9.57421875" style="10" customWidth="1"/>
    <col min="16" max="16" width="3.57421875" style="10" customWidth="1"/>
    <col min="17" max="17" width="10.8515625" style="10" customWidth="1"/>
    <col min="18" max="16384" width="7.7109375" style="10" customWidth="1"/>
  </cols>
  <sheetData>
    <row r="1" spans="1:12" ht="13.5">
      <c r="A1" s="8" t="s">
        <v>0</v>
      </c>
      <c r="B1" s="115" t="s">
        <v>1</v>
      </c>
      <c r="C1" s="113"/>
      <c r="D1" s="113" t="s">
        <v>2</v>
      </c>
      <c r="E1" s="113"/>
      <c r="F1" s="113" t="s">
        <v>3</v>
      </c>
      <c r="G1" s="113"/>
      <c r="H1" s="113" t="s">
        <v>4</v>
      </c>
      <c r="I1" s="113"/>
      <c r="J1" s="113" t="s">
        <v>5</v>
      </c>
      <c r="K1" s="114"/>
      <c r="L1" s="9"/>
    </row>
    <row r="2" spans="1:12" ht="13.5">
      <c r="A2" s="8">
        <v>1</v>
      </c>
      <c r="B2" s="96">
        <f>D2-1</f>
        <v>39314</v>
      </c>
      <c r="C2" s="97"/>
      <c r="D2" s="97">
        <f>F2-1</f>
        <v>39315</v>
      </c>
      <c r="E2" s="97"/>
      <c r="F2" s="97">
        <f>H2-1</f>
        <v>39316</v>
      </c>
      <c r="G2" s="97"/>
      <c r="H2" s="97">
        <f>J2-1</f>
        <v>39317</v>
      </c>
      <c r="I2" s="97"/>
      <c r="J2" s="97">
        <f>J6-7</f>
        <v>39318</v>
      </c>
      <c r="K2" s="110"/>
      <c r="L2" s="11"/>
    </row>
    <row r="3" spans="1:11" ht="13.5">
      <c r="A3" s="8">
        <v>1</v>
      </c>
      <c r="B3" s="41" t="str">
        <f>$A$47</f>
        <v>Stripes</v>
      </c>
      <c r="C3" s="32" t="str">
        <f>$A$53</f>
        <v>Green</v>
      </c>
      <c r="D3" s="33" t="str">
        <f>$A$52</f>
        <v>Orange</v>
      </c>
      <c r="E3" s="34" t="str">
        <f>$A$46</f>
        <v>Purple</v>
      </c>
      <c r="F3" s="35" t="str">
        <f>$A$49</f>
        <v>Blue</v>
      </c>
      <c r="G3" s="36" t="str">
        <f>$A$50</f>
        <v>Red</v>
      </c>
      <c r="H3" s="12" t="str">
        <f>$A$48</f>
        <v>White</v>
      </c>
      <c r="I3" s="37" t="str">
        <f>$A$51</f>
        <v>Gold</v>
      </c>
      <c r="J3" s="31" t="str">
        <f>$A$47</f>
        <v>Stripes</v>
      </c>
      <c r="K3" s="42" t="str">
        <f>$A$54</f>
        <v>Grey</v>
      </c>
    </row>
    <row r="4" spans="1:11" s="66" customFormat="1" ht="13.5">
      <c r="A4" s="62">
        <v>1</v>
      </c>
      <c r="B4" s="63">
        <v>0</v>
      </c>
      <c r="C4" s="64">
        <v>3</v>
      </c>
      <c r="D4" s="64">
        <v>3</v>
      </c>
      <c r="E4" s="64">
        <v>3</v>
      </c>
      <c r="F4" s="64">
        <v>3</v>
      </c>
      <c r="G4" s="64">
        <v>1</v>
      </c>
      <c r="H4" s="64">
        <v>0</v>
      </c>
      <c r="I4" s="64">
        <v>1</v>
      </c>
      <c r="J4" s="64">
        <v>1</v>
      </c>
      <c r="K4" s="65">
        <v>5</v>
      </c>
    </row>
    <row r="5" spans="1:12" ht="13.5">
      <c r="A5" s="14"/>
      <c r="B5" s="43"/>
      <c r="C5" s="39"/>
      <c r="D5" s="39"/>
      <c r="E5" s="39"/>
      <c r="F5" s="39"/>
      <c r="G5" s="39"/>
      <c r="H5" s="39"/>
      <c r="I5" s="39"/>
      <c r="J5" s="39"/>
      <c r="K5" s="44"/>
      <c r="L5" s="9"/>
    </row>
    <row r="6" spans="1:12" ht="13.5">
      <c r="A6" s="8">
        <v>2</v>
      </c>
      <c r="B6" s="96">
        <f>D6-1</f>
        <v>39321</v>
      </c>
      <c r="C6" s="97"/>
      <c r="D6" s="97">
        <f>F6-1</f>
        <v>39322</v>
      </c>
      <c r="E6" s="97"/>
      <c r="F6" s="97">
        <f>H6-1</f>
        <v>39323</v>
      </c>
      <c r="G6" s="97"/>
      <c r="H6" s="97">
        <f>J6-1</f>
        <v>39324</v>
      </c>
      <c r="I6" s="97"/>
      <c r="J6" s="97">
        <f>J10-7</f>
        <v>39325</v>
      </c>
      <c r="K6" s="110"/>
      <c r="L6" s="11"/>
    </row>
    <row r="7" spans="1:11" ht="13.5">
      <c r="A7" s="8">
        <v>2</v>
      </c>
      <c r="B7" s="45" t="str">
        <f>$A$53</f>
        <v>Green</v>
      </c>
      <c r="C7" s="33" t="str">
        <f>$A$52</f>
        <v>Orange</v>
      </c>
      <c r="D7" s="34" t="str">
        <f>$A$46</f>
        <v>Purple</v>
      </c>
      <c r="E7" s="35" t="str">
        <f>$A$49</f>
        <v>Blue</v>
      </c>
      <c r="F7" s="36" t="str">
        <f>$A$50</f>
        <v>Red</v>
      </c>
      <c r="G7" s="12" t="str">
        <f>$A$48</f>
        <v>White</v>
      </c>
      <c r="H7" s="37" t="str">
        <f>$A$51</f>
        <v>Gold</v>
      </c>
      <c r="I7" s="38" t="str">
        <f>$A$54</f>
        <v>Grey</v>
      </c>
      <c r="J7" s="109" t="s">
        <v>6</v>
      </c>
      <c r="K7" s="112"/>
    </row>
    <row r="8" spans="1:11" s="66" customFormat="1" ht="13.5">
      <c r="A8" s="62">
        <v>2</v>
      </c>
      <c r="B8" s="63">
        <v>5</v>
      </c>
      <c r="C8" s="64">
        <v>5</v>
      </c>
      <c r="D8" s="64">
        <v>1</v>
      </c>
      <c r="E8" s="64">
        <v>1</v>
      </c>
      <c r="F8" s="64">
        <v>2</v>
      </c>
      <c r="G8" s="64">
        <v>1</v>
      </c>
      <c r="H8" s="64">
        <v>1</v>
      </c>
      <c r="I8" s="64">
        <v>2</v>
      </c>
      <c r="J8" s="67"/>
      <c r="K8" s="68"/>
    </row>
    <row r="9" spans="1:12" ht="13.5">
      <c r="A9" s="14"/>
      <c r="B9" s="43"/>
      <c r="C9" s="39"/>
      <c r="D9" s="39"/>
      <c r="E9" s="39"/>
      <c r="F9" s="39"/>
      <c r="G9" s="39"/>
      <c r="H9" s="39"/>
      <c r="I9" s="39"/>
      <c r="J9" s="39"/>
      <c r="K9" s="44"/>
      <c r="L9" s="9"/>
    </row>
    <row r="10" spans="1:12" ht="13.5">
      <c r="A10" s="8">
        <v>3</v>
      </c>
      <c r="B10" s="96">
        <f>D10-1</f>
        <v>39328</v>
      </c>
      <c r="C10" s="97"/>
      <c r="D10" s="97">
        <f>F10-1</f>
        <v>39329</v>
      </c>
      <c r="E10" s="97"/>
      <c r="F10" s="97">
        <f>H10-1</f>
        <v>39330</v>
      </c>
      <c r="G10" s="97"/>
      <c r="H10" s="97">
        <f>J10-1</f>
        <v>39331</v>
      </c>
      <c r="I10" s="97"/>
      <c r="J10" s="97">
        <f>J14-7</f>
        <v>39332</v>
      </c>
      <c r="K10" s="110"/>
      <c r="L10" s="11"/>
    </row>
    <row r="11" spans="1:11" ht="13.5">
      <c r="A11" s="8">
        <v>3</v>
      </c>
      <c r="B11" s="108" t="s">
        <v>6</v>
      </c>
      <c r="C11" s="109"/>
      <c r="D11" s="33" t="str">
        <f>$A$52</f>
        <v>Orange</v>
      </c>
      <c r="E11" s="31" t="str">
        <f>$A$47</f>
        <v>Stripes</v>
      </c>
      <c r="F11" s="32" t="str">
        <f>$A$53</f>
        <v>Green</v>
      </c>
      <c r="G11" s="34" t="str">
        <f>$A$46</f>
        <v>Purple</v>
      </c>
      <c r="H11" s="38" t="str">
        <f>$A$54</f>
        <v>Grey</v>
      </c>
      <c r="I11" s="12" t="str">
        <f>$A$48</f>
        <v>White</v>
      </c>
      <c r="J11" s="36" t="str">
        <f>$A$50</f>
        <v>Red</v>
      </c>
      <c r="K11" s="46" t="str">
        <f>$A$51</f>
        <v>Gold</v>
      </c>
    </row>
    <row r="12" spans="1:11" s="9" customFormat="1" ht="13.5">
      <c r="A12" s="69">
        <v>3</v>
      </c>
      <c r="B12" s="108" t="s">
        <v>7</v>
      </c>
      <c r="C12" s="109"/>
      <c r="D12" s="64">
        <v>0</v>
      </c>
      <c r="E12" s="64">
        <v>2</v>
      </c>
      <c r="F12" s="64">
        <v>1</v>
      </c>
      <c r="G12" s="64">
        <v>0</v>
      </c>
      <c r="H12" s="64">
        <v>4</v>
      </c>
      <c r="I12" s="64">
        <v>3</v>
      </c>
      <c r="J12" s="64">
        <v>3</v>
      </c>
      <c r="K12" s="65">
        <v>1</v>
      </c>
    </row>
    <row r="13" spans="1:12" ht="13.5">
      <c r="A13" s="14"/>
      <c r="B13" s="43"/>
      <c r="C13" s="39"/>
      <c r="D13" s="39"/>
      <c r="E13" s="39"/>
      <c r="F13" s="39"/>
      <c r="G13" s="39"/>
      <c r="H13" s="39"/>
      <c r="I13" s="39"/>
      <c r="J13" s="39"/>
      <c r="K13" s="44"/>
      <c r="L13" s="9"/>
    </row>
    <row r="14" spans="1:12" ht="13.5">
      <c r="A14" s="8">
        <v>4</v>
      </c>
      <c r="B14" s="96">
        <f>D14-1</f>
        <v>39335</v>
      </c>
      <c r="C14" s="97"/>
      <c r="D14" s="97">
        <f>F14-1</f>
        <v>39336</v>
      </c>
      <c r="E14" s="97"/>
      <c r="F14" s="97">
        <f>H14-1</f>
        <v>39337</v>
      </c>
      <c r="G14" s="97"/>
      <c r="H14" s="97">
        <f>J14-1</f>
        <v>39338</v>
      </c>
      <c r="I14" s="97"/>
      <c r="J14" s="97">
        <f>J18-7</f>
        <v>39339</v>
      </c>
      <c r="K14" s="110"/>
      <c r="L14" s="11"/>
    </row>
    <row r="15" spans="1:11" ht="13.5">
      <c r="A15" s="8">
        <v>4</v>
      </c>
      <c r="B15" s="47" t="str">
        <f>$A$46</f>
        <v>Purple</v>
      </c>
      <c r="C15" s="36" t="str">
        <f>$A$50</f>
        <v>Red</v>
      </c>
      <c r="D15" s="33" t="str">
        <f>$A$52</f>
        <v>Orange</v>
      </c>
      <c r="E15" s="37" t="str">
        <f>$A$51</f>
        <v>Gold</v>
      </c>
      <c r="F15" s="31" t="str">
        <f>$A$47</f>
        <v>Stripes</v>
      </c>
      <c r="G15" s="35" t="str">
        <f>$A$49</f>
        <v>Blue</v>
      </c>
      <c r="H15" s="32" t="str">
        <f>$A$53</f>
        <v>Green</v>
      </c>
      <c r="I15" s="38" t="str">
        <f>$A$54</f>
        <v>Grey</v>
      </c>
      <c r="J15" s="103" t="s">
        <v>6</v>
      </c>
      <c r="K15" s="104"/>
    </row>
    <row r="16" spans="1:11" s="9" customFormat="1" ht="13.5">
      <c r="A16" s="69">
        <v>4</v>
      </c>
      <c r="B16" s="63">
        <v>2</v>
      </c>
      <c r="C16" s="64">
        <v>1</v>
      </c>
      <c r="D16" s="64">
        <v>2</v>
      </c>
      <c r="E16" s="64">
        <v>3</v>
      </c>
      <c r="F16" s="64">
        <v>0</v>
      </c>
      <c r="G16" s="64">
        <v>2</v>
      </c>
      <c r="H16" s="64">
        <v>0</v>
      </c>
      <c r="I16" s="64">
        <v>1</v>
      </c>
      <c r="J16" s="71"/>
      <c r="K16" s="72"/>
    </row>
    <row r="17" spans="1:12" ht="13.5">
      <c r="A17" s="14"/>
      <c r="B17" s="43"/>
      <c r="C17" s="39"/>
      <c r="D17" s="39"/>
      <c r="E17" s="39"/>
      <c r="F17" s="39"/>
      <c r="G17" s="39"/>
      <c r="H17" s="39"/>
      <c r="I17" s="39"/>
      <c r="J17" s="39"/>
      <c r="K17" s="44"/>
      <c r="L17" s="9"/>
    </row>
    <row r="18" spans="1:12" ht="13.5">
      <c r="A18" s="8">
        <v>5</v>
      </c>
      <c r="B18" s="96">
        <f>D18-1</f>
        <v>39342</v>
      </c>
      <c r="C18" s="97"/>
      <c r="D18" s="97">
        <f>F18-1</f>
        <v>39343</v>
      </c>
      <c r="E18" s="97"/>
      <c r="F18" s="97">
        <f>H18-1</f>
        <v>39344</v>
      </c>
      <c r="G18" s="97"/>
      <c r="H18" s="97">
        <f>J18-1</f>
        <v>39345</v>
      </c>
      <c r="I18" s="97"/>
      <c r="J18" s="97">
        <f>J22-7</f>
        <v>39346</v>
      </c>
      <c r="K18" s="110"/>
      <c r="L18" s="11"/>
    </row>
    <row r="19" spans="1:11" ht="13.5">
      <c r="A19" s="8">
        <v>5</v>
      </c>
      <c r="B19" s="49" t="str">
        <f>$A$51</f>
        <v>Gold</v>
      </c>
      <c r="C19" s="35" t="str">
        <f>$A$49</f>
        <v>Blue</v>
      </c>
      <c r="D19" s="33" t="str">
        <f>$A$52</f>
        <v>Orange</v>
      </c>
      <c r="E19" s="38" t="str">
        <f>$A$54</f>
        <v>Grey</v>
      </c>
      <c r="F19" s="36" t="str">
        <f>$A$50</f>
        <v>Red</v>
      </c>
      <c r="G19" s="32" t="str">
        <f>$A$53</f>
        <v>Green</v>
      </c>
      <c r="H19" s="31" t="str">
        <f>$A$47</f>
        <v>Stripes</v>
      </c>
      <c r="I19" s="34" t="str">
        <f>$A$46</f>
        <v>Purple</v>
      </c>
      <c r="J19" s="12" t="str">
        <f>$A$48</f>
        <v>White</v>
      </c>
      <c r="K19" s="50" t="str">
        <f>$A$49</f>
        <v>Blue</v>
      </c>
    </row>
    <row r="20" spans="1:11" s="9" customFormat="1" ht="13.5">
      <c r="A20" s="69">
        <v>5</v>
      </c>
      <c r="B20" s="63">
        <v>3</v>
      </c>
      <c r="C20" s="64">
        <v>1</v>
      </c>
      <c r="D20" s="64">
        <v>1</v>
      </c>
      <c r="E20" s="64">
        <v>5</v>
      </c>
      <c r="F20" s="64">
        <v>0.001</v>
      </c>
      <c r="G20" s="64">
        <v>0.001</v>
      </c>
      <c r="H20" s="64">
        <v>0</v>
      </c>
      <c r="I20" s="64">
        <v>3</v>
      </c>
      <c r="J20" s="64">
        <v>1</v>
      </c>
      <c r="K20" s="65">
        <v>4</v>
      </c>
    </row>
    <row r="21" spans="1:12" ht="13.5">
      <c r="A21" s="14"/>
      <c r="B21" s="43"/>
      <c r="C21" s="39"/>
      <c r="D21" s="39"/>
      <c r="E21" s="39"/>
      <c r="F21" s="39"/>
      <c r="G21" s="39"/>
      <c r="H21" s="39"/>
      <c r="I21" s="39"/>
      <c r="J21" s="39"/>
      <c r="K21" s="44"/>
      <c r="L21" s="9"/>
    </row>
    <row r="22" spans="1:12" ht="13.5">
      <c r="A22" s="8">
        <v>6</v>
      </c>
      <c r="B22" s="96">
        <f>D22-1</f>
        <v>39349</v>
      </c>
      <c r="C22" s="97"/>
      <c r="D22" s="97">
        <f>F22-1</f>
        <v>39350</v>
      </c>
      <c r="E22" s="97"/>
      <c r="F22" s="97">
        <f>H22-1</f>
        <v>39351</v>
      </c>
      <c r="G22" s="97"/>
      <c r="H22" s="97">
        <f>J22-1</f>
        <v>39352</v>
      </c>
      <c r="I22" s="97"/>
      <c r="J22" s="97">
        <f>J26-7</f>
        <v>39353</v>
      </c>
      <c r="K22" s="110"/>
      <c r="L22" s="11"/>
    </row>
    <row r="23" spans="1:11" ht="13.5">
      <c r="A23" s="8">
        <v>6</v>
      </c>
      <c r="B23" s="51" t="str">
        <f>$A$54</f>
        <v>Grey</v>
      </c>
      <c r="C23" s="36" t="str">
        <f>$A$50</f>
        <v>Red</v>
      </c>
      <c r="D23" s="35" t="str">
        <f>$A$49</f>
        <v>Blue</v>
      </c>
      <c r="E23" s="32" t="s">
        <v>10</v>
      </c>
      <c r="F23" s="33" t="str">
        <f>$A$52</f>
        <v>Orange</v>
      </c>
      <c r="G23" s="12" t="str">
        <f>$A$48</f>
        <v>White</v>
      </c>
      <c r="H23" s="37" t="str">
        <f>$A$51</f>
        <v>Gold</v>
      </c>
      <c r="I23" s="34" t="str">
        <f>$A$46</f>
        <v>Purple</v>
      </c>
      <c r="J23" s="109" t="s">
        <v>6</v>
      </c>
      <c r="K23" s="112"/>
    </row>
    <row r="24" spans="1:11" s="9" customFormat="1" ht="13.5">
      <c r="A24" s="69">
        <v>6</v>
      </c>
      <c r="B24" s="63">
        <v>1</v>
      </c>
      <c r="C24" s="64">
        <v>1</v>
      </c>
      <c r="D24" s="64">
        <v>1</v>
      </c>
      <c r="E24" s="64">
        <v>4</v>
      </c>
      <c r="F24" s="64">
        <v>3</v>
      </c>
      <c r="G24" s="64">
        <v>1</v>
      </c>
      <c r="H24" s="64">
        <v>1</v>
      </c>
      <c r="I24" s="64">
        <v>1</v>
      </c>
      <c r="J24" s="64"/>
      <c r="K24" s="65"/>
    </row>
    <row r="25" spans="1:12" ht="13.5">
      <c r="A25" s="14"/>
      <c r="B25" s="43"/>
      <c r="C25" s="39"/>
      <c r="D25" s="39"/>
      <c r="E25" s="39"/>
      <c r="F25" s="39"/>
      <c r="G25" s="39"/>
      <c r="H25" s="39"/>
      <c r="I25" s="39"/>
      <c r="J25" s="39"/>
      <c r="K25" s="44"/>
      <c r="L25" s="9"/>
    </row>
    <row r="26" spans="1:12" ht="13.5">
      <c r="A26" s="8">
        <v>7</v>
      </c>
      <c r="B26" s="96">
        <f>D26-1</f>
        <v>39356</v>
      </c>
      <c r="C26" s="97"/>
      <c r="D26" s="97">
        <f>F26-1</f>
        <v>39357</v>
      </c>
      <c r="E26" s="97"/>
      <c r="F26" s="97">
        <f>H26-1</f>
        <v>39358</v>
      </c>
      <c r="G26" s="97"/>
      <c r="H26" s="97">
        <f>J26-1</f>
        <v>39359</v>
      </c>
      <c r="I26" s="97"/>
      <c r="J26" s="97">
        <f>J30-7</f>
        <v>39360</v>
      </c>
      <c r="K26" s="110"/>
      <c r="L26" s="11"/>
    </row>
    <row r="27" spans="1:12" ht="13.5">
      <c r="A27" s="8">
        <v>7</v>
      </c>
      <c r="B27" s="52" t="str">
        <f>$A$48</f>
        <v>White</v>
      </c>
      <c r="C27" s="32" t="str">
        <f>$A$53</f>
        <v>Green</v>
      </c>
      <c r="D27" s="98" t="s">
        <v>6</v>
      </c>
      <c r="E27" s="99"/>
      <c r="F27" s="33" t="s">
        <v>14</v>
      </c>
      <c r="G27" s="36" t="str">
        <f>$A$50</f>
        <v>Red</v>
      </c>
      <c r="H27" s="34" t="str">
        <f>$A$46</f>
        <v>Purple</v>
      </c>
      <c r="I27" s="38" t="str">
        <f>$A$54</f>
        <v>Grey</v>
      </c>
      <c r="J27" s="109" t="s">
        <v>17</v>
      </c>
      <c r="K27" s="112"/>
      <c r="L27" s="9"/>
    </row>
    <row r="28" spans="1:11" s="9" customFormat="1" ht="13.5">
      <c r="A28" s="69">
        <v>7</v>
      </c>
      <c r="B28" s="63">
        <v>1</v>
      </c>
      <c r="C28" s="64">
        <v>2</v>
      </c>
      <c r="F28" s="64">
        <v>1</v>
      </c>
      <c r="G28" s="64">
        <v>1</v>
      </c>
      <c r="H28" s="64">
        <v>1</v>
      </c>
      <c r="I28" s="64">
        <v>6</v>
      </c>
      <c r="J28" s="60"/>
      <c r="K28" s="61"/>
    </row>
    <row r="29" spans="1:12" ht="13.5">
      <c r="A29" s="14"/>
      <c r="B29" s="43"/>
      <c r="C29" s="39"/>
      <c r="D29" s="39"/>
      <c r="E29" s="39"/>
      <c r="F29" s="39"/>
      <c r="G29" s="39"/>
      <c r="H29" s="39"/>
      <c r="I29" s="39"/>
      <c r="J29" s="39"/>
      <c r="K29" s="44"/>
      <c r="L29" s="9"/>
    </row>
    <row r="30" spans="1:12" ht="13.5">
      <c r="A30" s="8">
        <v>8</v>
      </c>
      <c r="B30" s="96">
        <f>D30-1</f>
        <v>39363</v>
      </c>
      <c r="C30" s="97"/>
      <c r="D30" s="97">
        <f>F30-1</f>
        <v>39364</v>
      </c>
      <c r="E30" s="97"/>
      <c r="F30" s="97">
        <f>H30-1</f>
        <v>39365</v>
      </c>
      <c r="G30" s="97"/>
      <c r="H30" s="97">
        <f>J30-1</f>
        <v>39366</v>
      </c>
      <c r="I30" s="97"/>
      <c r="J30" s="97">
        <f>J34-7</f>
        <v>39367</v>
      </c>
      <c r="K30" s="110"/>
      <c r="L30" s="11"/>
    </row>
    <row r="31" spans="1:11" ht="13.5">
      <c r="A31" s="8">
        <v>8</v>
      </c>
      <c r="B31" s="108" t="s">
        <v>6</v>
      </c>
      <c r="C31" s="109"/>
      <c r="D31" s="36" t="str">
        <f>$A$50</f>
        <v>Red</v>
      </c>
      <c r="E31" s="31" t="str">
        <f>$A$47</f>
        <v>Stripes</v>
      </c>
      <c r="F31" s="37" t="str">
        <f>$A$51</f>
        <v>Gold</v>
      </c>
      <c r="G31" s="32" t="s">
        <v>10</v>
      </c>
      <c r="H31" s="33" t="s">
        <v>14</v>
      </c>
      <c r="I31" s="35" t="str">
        <f>$A$49</f>
        <v>Blue</v>
      </c>
      <c r="J31" s="12" t="str">
        <f>$A$48</f>
        <v>White</v>
      </c>
      <c r="K31" s="53" t="str">
        <f>$A$47</f>
        <v>Stripes</v>
      </c>
    </row>
    <row r="32" spans="1:11" s="9" customFormat="1" ht="13.5">
      <c r="A32" s="69">
        <v>8</v>
      </c>
      <c r="B32" s="108" t="s">
        <v>8</v>
      </c>
      <c r="C32" s="109"/>
      <c r="D32" s="64">
        <v>4</v>
      </c>
      <c r="E32" s="64">
        <v>0</v>
      </c>
      <c r="F32" s="64">
        <v>0</v>
      </c>
      <c r="G32" s="64">
        <v>4</v>
      </c>
      <c r="H32" s="64">
        <v>1</v>
      </c>
      <c r="I32" s="64">
        <v>4</v>
      </c>
      <c r="J32" s="64">
        <v>1</v>
      </c>
      <c r="K32" s="65">
        <v>0</v>
      </c>
    </row>
    <row r="33" spans="1:12" ht="13.5">
      <c r="A33" s="14"/>
      <c r="B33" s="43"/>
      <c r="C33" s="39"/>
      <c r="D33" s="39"/>
      <c r="E33" s="39"/>
      <c r="F33" s="39"/>
      <c r="G33" s="39"/>
      <c r="H33" s="39"/>
      <c r="I33" s="39"/>
      <c r="J33" s="39"/>
      <c r="K33" s="44"/>
      <c r="L33" s="9"/>
    </row>
    <row r="34" spans="1:12" ht="13.5">
      <c r="A34" s="8">
        <v>9</v>
      </c>
      <c r="B34" s="96">
        <f>D34-1</f>
        <v>39370</v>
      </c>
      <c r="C34" s="97"/>
      <c r="D34" s="97">
        <f>F34-1</f>
        <v>39371</v>
      </c>
      <c r="E34" s="97"/>
      <c r="F34" s="97">
        <f>H34-1</f>
        <v>39372</v>
      </c>
      <c r="G34" s="97"/>
      <c r="H34" s="97">
        <f>J34-1</f>
        <v>39373</v>
      </c>
      <c r="I34" s="97"/>
      <c r="J34" s="97">
        <f>J38-7</f>
        <v>39374</v>
      </c>
      <c r="K34" s="110"/>
      <c r="L34" s="11"/>
    </row>
    <row r="35" spans="1:11" ht="13.5">
      <c r="A35" s="8">
        <v>9</v>
      </c>
      <c r="B35" s="93" t="s">
        <v>6</v>
      </c>
      <c r="C35" s="94"/>
      <c r="D35" s="38" t="str">
        <f>$A$54</f>
        <v>Grey</v>
      </c>
      <c r="E35" s="35" t="str">
        <f>$A$49</f>
        <v>Blue</v>
      </c>
      <c r="F35" s="12" t="str">
        <f>$A$48</f>
        <v>White</v>
      </c>
      <c r="G35" s="48" t="str">
        <f>$A$46</f>
        <v>Purple</v>
      </c>
      <c r="H35" s="31" t="str">
        <f>$A$47</f>
        <v>Stripes</v>
      </c>
      <c r="I35" s="37" t="str">
        <f>$A$51</f>
        <v>Gold</v>
      </c>
      <c r="J35" s="12"/>
      <c r="K35" s="54"/>
    </row>
    <row r="36" spans="1:11" s="9" customFormat="1" ht="13.5">
      <c r="A36" s="69">
        <v>9</v>
      </c>
      <c r="B36" s="63"/>
      <c r="C36" s="64"/>
      <c r="D36" s="64">
        <v>0</v>
      </c>
      <c r="E36" s="64">
        <v>1</v>
      </c>
      <c r="F36" s="64">
        <v>1</v>
      </c>
      <c r="G36" s="65">
        <v>0</v>
      </c>
      <c r="H36" s="64">
        <v>1</v>
      </c>
      <c r="I36" s="64">
        <v>1</v>
      </c>
      <c r="J36" s="64"/>
      <c r="K36" s="65"/>
    </row>
    <row r="37" spans="1:11" s="16" customFormat="1" ht="13.5">
      <c r="A37" s="15"/>
      <c r="B37" s="55"/>
      <c r="C37" s="40"/>
      <c r="D37" s="40"/>
      <c r="E37" s="40"/>
      <c r="F37" s="40"/>
      <c r="G37" s="40"/>
      <c r="H37" s="40"/>
      <c r="I37" s="40"/>
      <c r="J37" s="40"/>
      <c r="K37" s="56"/>
    </row>
    <row r="38" spans="1:14" ht="13.5">
      <c r="A38" s="8">
        <v>10</v>
      </c>
      <c r="B38" s="96">
        <f>D38-1</f>
        <v>39377</v>
      </c>
      <c r="C38" s="97"/>
      <c r="D38" s="97">
        <f>F38-1</f>
        <v>39378</v>
      </c>
      <c r="E38" s="97"/>
      <c r="F38" s="97">
        <f>H38-1</f>
        <v>39379</v>
      </c>
      <c r="G38" s="97"/>
      <c r="H38" s="97">
        <f>J38-1</f>
        <v>39380</v>
      </c>
      <c r="I38" s="97"/>
      <c r="J38" s="97">
        <f>J42-7</f>
        <v>39381</v>
      </c>
      <c r="K38" s="110"/>
      <c r="N38" s="17"/>
    </row>
    <row r="39" spans="1:11" s="9" customFormat="1" ht="13.5">
      <c r="A39" s="69">
        <v>10</v>
      </c>
      <c r="B39" s="70"/>
      <c r="C39" s="71"/>
      <c r="D39" s="71"/>
      <c r="E39" s="71"/>
      <c r="F39" s="71"/>
      <c r="G39" s="71"/>
      <c r="H39" s="71"/>
      <c r="I39" s="71"/>
      <c r="J39" s="71"/>
      <c r="K39" s="72"/>
    </row>
    <row r="40" spans="1:11" ht="14.25" thickBot="1">
      <c r="A40" s="8">
        <v>10</v>
      </c>
      <c r="B40" s="57"/>
      <c r="C40" s="58"/>
      <c r="D40" s="58"/>
      <c r="E40" s="58"/>
      <c r="F40" s="58"/>
      <c r="G40" s="58"/>
      <c r="H40" s="58"/>
      <c r="I40" s="58"/>
      <c r="J40" s="58"/>
      <c r="K40" s="59"/>
    </row>
    <row r="41" spans="2:11" ht="14.25" thickBot="1">
      <c r="B41" s="18"/>
      <c r="C41" s="19"/>
      <c r="D41" s="19"/>
      <c r="E41" s="19"/>
      <c r="F41" s="19"/>
      <c r="G41" s="19"/>
      <c r="H41" s="19"/>
      <c r="I41" s="19"/>
      <c r="J41" s="19"/>
      <c r="K41" s="20"/>
    </row>
    <row r="42" spans="1:11" ht="13.5">
      <c r="A42" s="8">
        <v>11</v>
      </c>
      <c r="B42" s="111">
        <f>D42-1</f>
        <v>39384</v>
      </c>
      <c r="C42" s="111"/>
      <c r="D42" s="111">
        <f>F42-1</f>
        <v>39385</v>
      </c>
      <c r="E42" s="111"/>
      <c r="F42" s="111">
        <f>H42-1</f>
        <v>39386</v>
      </c>
      <c r="G42" s="111"/>
      <c r="H42" s="111">
        <f>J42-1</f>
        <v>39387</v>
      </c>
      <c r="I42" s="111"/>
      <c r="J42" s="111">
        <v>39388</v>
      </c>
      <c r="K42" s="111"/>
    </row>
    <row r="43" spans="1:11" ht="13.5">
      <c r="A43" s="8">
        <v>11</v>
      </c>
      <c r="B43" s="21"/>
      <c r="C43" s="12"/>
      <c r="D43" s="12"/>
      <c r="E43" s="12"/>
      <c r="F43" s="12"/>
      <c r="G43" s="12"/>
      <c r="H43" s="12"/>
      <c r="I43" s="12"/>
      <c r="J43" s="12"/>
      <c r="K43" s="12"/>
    </row>
    <row r="44" spans="1:11" ht="13.5">
      <c r="A44" s="8">
        <v>11</v>
      </c>
      <c r="B44" s="21"/>
      <c r="C44" s="12"/>
      <c r="D44" s="12"/>
      <c r="E44" s="12"/>
      <c r="F44" s="12"/>
      <c r="G44" s="12"/>
      <c r="H44" s="12"/>
      <c r="I44" s="12"/>
      <c r="J44" s="12"/>
      <c r="K44" s="12"/>
    </row>
    <row r="45" spans="1:12" ht="13.5">
      <c r="A45" s="102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9"/>
    </row>
    <row r="46" spans="1:2" ht="13.5">
      <c r="A46" s="8" t="s">
        <v>12</v>
      </c>
      <c r="B46" s="10" t="s">
        <v>12</v>
      </c>
    </row>
    <row r="47" spans="1:2" ht="13.5">
      <c r="A47" s="8" t="s">
        <v>18</v>
      </c>
      <c r="B47" s="10" t="s">
        <v>18</v>
      </c>
    </row>
    <row r="48" spans="1:2" ht="14.25" thickBot="1">
      <c r="A48" s="8" t="s">
        <v>9</v>
      </c>
      <c r="B48" s="10" t="s">
        <v>9</v>
      </c>
    </row>
    <row r="49" spans="1:17" ht="14.25" thickBot="1">
      <c r="A49" s="8" t="s">
        <v>15</v>
      </c>
      <c r="B49" s="10" t="s">
        <v>15</v>
      </c>
      <c r="O49" s="105" t="s">
        <v>28</v>
      </c>
      <c r="P49" s="106"/>
      <c r="Q49" s="107"/>
    </row>
    <row r="50" spans="1:17" ht="13.5">
      <c r="A50" s="8" t="s">
        <v>11</v>
      </c>
      <c r="B50" s="10" t="s">
        <v>11</v>
      </c>
      <c r="O50" s="83">
        <f>O53-1</f>
        <v>39370</v>
      </c>
      <c r="P50" s="84"/>
      <c r="Q50" s="85" t="s">
        <v>1</v>
      </c>
    </row>
    <row r="51" spans="1:17" ht="13.5">
      <c r="A51" s="8" t="s">
        <v>13</v>
      </c>
      <c r="B51" s="10" t="s">
        <v>13</v>
      </c>
      <c r="O51" s="90" t="s">
        <v>30</v>
      </c>
      <c r="P51" s="86"/>
      <c r="Q51" s="100" t="s">
        <v>29</v>
      </c>
    </row>
    <row r="52" spans="1:17" ht="14.25" thickBot="1">
      <c r="A52" s="8" t="s">
        <v>14</v>
      </c>
      <c r="B52" s="10" t="s">
        <v>14</v>
      </c>
      <c r="O52" s="90" t="s">
        <v>31</v>
      </c>
      <c r="P52" s="86"/>
      <c r="Q52" s="100"/>
    </row>
    <row r="53" spans="1:17" ht="13.5">
      <c r="A53" s="8" t="s">
        <v>10</v>
      </c>
      <c r="B53" s="10" t="s">
        <v>10</v>
      </c>
      <c r="O53" s="83">
        <f>O56-1</f>
        <v>39371</v>
      </c>
      <c r="P53" s="84"/>
      <c r="Q53" s="85" t="s">
        <v>2</v>
      </c>
    </row>
    <row r="54" spans="1:17" ht="13.5">
      <c r="A54" s="8" t="s">
        <v>16</v>
      </c>
      <c r="B54" s="10" t="s">
        <v>16</v>
      </c>
      <c r="O54" s="38" t="str">
        <f>$A$54</f>
        <v>Grey</v>
      </c>
      <c r="P54" s="86"/>
      <c r="Q54" s="100" t="s">
        <v>29</v>
      </c>
    </row>
    <row r="55" spans="15:17" ht="14.25" thickBot="1">
      <c r="O55" s="35" t="str">
        <f>$A$49</f>
        <v>Blue</v>
      </c>
      <c r="P55" s="87"/>
      <c r="Q55" s="101"/>
    </row>
    <row r="56" spans="2:17" ht="13.5">
      <c r="B56" s="102"/>
      <c r="C56" s="102"/>
      <c r="D56" s="102"/>
      <c r="E56" s="102"/>
      <c r="F56" s="102"/>
      <c r="G56" s="102"/>
      <c r="H56" s="102"/>
      <c r="I56" s="102"/>
      <c r="J56" s="102"/>
      <c r="K56" s="102"/>
      <c r="O56" s="83">
        <f>O59-1</f>
        <v>39372</v>
      </c>
      <c r="P56" s="84"/>
      <c r="Q56" s="85" t="s">
        <v>3</v>
      </c>
    </row>
    <row r="57" spans="2:17" ht="13.5">
      <c r="B57" s="102"/>
      <c r="C57" s="102"/>
      <c r="D57" s="102"/>
      <c r="E57" s="102"/>
      <c r="F57" s="102"/>
      <c r="G57" s="102"/>
      <c r="H57" s="102"/>
      <c r="I57" s="102"/>
      <c r="J57" s="102"/>
      <c r="K57" s="102"/>
      <c r="O57" s="12" t="str">
        <f>$A$48</f>
        <v>White</v>
      </c>
      <c r="P57" s="86"/>
      <c r="Q57" s="100" t="s">
        <v>29</v>
      </c>
    </row>
    <row r="58" spans="2:17" ht="14.25" thickBot="1"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O58" s="48" t="str">
        <f>$A$46</f>
        <v>Purple</v>
      </c>
      <c r="P58" s="87"/>
      <c r="Q58" s="101"/>
    </row>
    <row r="59" spans="2:17" ht="13.5"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O59" s="83">
        <f>O62-1</f>
        <v>39373</v>
      </c>
      <c r="P59" s="84"/>
      <c r="Q59" s="85" t="s">
        <v>4</v>
      </c>
    </row>
    <row r="60" spans="2:17" ht="13.5"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O60" s="31" t="str">
        <f>$A$47</f>
        <v>Stripes</v>
      </c>
      <c r="P60" s="86"/>
      <c r="Q60" s="100" t="s">
        <v>29</v>
      </c>
    </row>
    <row r="61" spans="2:17" ht="14.25" thickBot="1"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O61" s="37" t="str">
        <f>$A$51</f>
        <v>Gold</v>
      </c>
      <c r="P61" s="87"/>
      <c r="Q61" s="101"/>
    </row>
    <row r="62" spans="2:17" ht="13.5">
      <c r="B62" s="102"/>
      <c r="C62" s="102"/>
      <c r="D62" s="102"/>
      <c r="E62" s="102"/>
      <c r="F62" s="102"/>
      <c r="G62" s="102"/>
      <c r="H62" s="102"/>
      <c r="I62" s="102"/>
      <c r="J62" s="102"/>
      <c r="K62" s="102"/>
      <c r="O62" s="83">
        <f>O65-1</f>
        <v>39374</v>
      </c>
      <c r="P62" s="84"/>
      <c r="Q62" s="85" t="s">
        <v>5</v>
      </c>
    </row>
    <row r="63" spans="2:17" ht="13.5">
      <c r="B63" s="102"/>
      <c r="C63" s="102"/>
      <c r="D63" s="102"/>
      <c r="E63" s="102"/>
      <c r="F63" s="102"/>
      <c r="G63" s="102"/>
      <c r="H63" s="102"/>
      <c r="I63" s="102"/>
      <c r="J63" s="102"/>
      <c r="K63" s="102"/>
      <c r="O63" s="90" t="s">
        <v>30</v>
      </c>
      <c r="P63" s="86"/>
      <c r="Q63" s="100" t="s">
        <v>29</v>
      </c>
    </row>
    <row r="64" spans="2:17" ht="14.25" thickBot="1"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O64" s="90" t="s">
        <v>31</v>
      </c>
      <c r="P64" s="87"/>
      <c r="Q64" s="101"/>
    </row>
    <row r="65" spans="2:17" ht="14.25" thickBot="1">
      <c r="B65" s="9"/>
      <c r="C65" s="9"/>
      <c r="D65" s="9"/>
      <c r="E65" s="9"/>
      <c r="F65" s="9"/>
      <c r="G65" s="9"/>
      <c r="H65" s="9"/>
      <c r="I65" s="9"/>
      <c r="J65" s="9"/>
      <c r="K65" s="9"/>
      <c r="O65" s="88">
        <v>39375</v>
      </c>
      <c r="P65" s="87"/>
      <c r="Q65" s="89"/>
    </row>
  </sheetData>
  <mergeCells count="122">
    <mergeCell ref="B35:C35"/>
    <mergeCell ref="J27:K27"/>
    <mergeCell ref="H38:I38"/>
    <mergeCell ref="F38:G38"/>
    <mergeCell ref="B32:C32"/>
    <mergeCell ref="B30:C30"/>
    <mergeCell ref="D30:E30"/>
    <mergeCell ref="J26:K26"/>
    <mergeCell ref="F30:G30"/>
    <mergeCell ref="H30:I30"/>
    <mergeCell ref="J30:K30"/>
    <mergeCell ref="H26:I26"/>
    <mergeCell ref="B42:C42"/>
    <mergeCell ref="D42:E42"/>
    <mergeCell ref="F42:G42"/>
    <mergeCell ref="H42:I42"/>
    <mergeCell ref="B1:C1"/>
    <mergeCell ref="D1:E1"/>
    <mergeCell ref="B11:C11"/>
    <mergeCell ref="B12:C12"/>
    <mergeCell ref="D2:E2"/>
    <mergeCell ref="B2:C2"/>
    <mergeCell ref="B10:C10"/>
    <mergeCell ref="D10:E10"/>
    <mergeCell ref="B6:C6"/>
    <mergeCell ref="D6:E6"/>
    <mergeCell ref="F10:G10"/>
    <mergeCell ref="F2:G2"/>
    <mergeCell ref="H2:I2"/>
    <mergeCell ref="J2:K2"/>
    <mergeCell ref="H10:I10"/>
    <mergeCell ref="J10:K10"/>
    <mergeCell ref="J7:K7"/>
    <mergeCell ref="F1:G1"/>
    <mergeCell ref="H1:I1"/>
    <mergeCell ref="J1:K1"/>
    <mergeCell ref="J6:K6"/>
    <mergeCell ref="F6:G6"/>
    <mergeCell ref="H6:I6"/>
    <mergeCell ref="J14:K14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D22:E22"/>
    <mergeCell ref="F22:G22"/>
    <mergeCell ref="H22:I22"/>
    <mergeCell ref="J23:K23"/>
    <mergeCell ref="A45:K45"/>
    <mergeCell ref="B34:C34"/>
    <mergeCell ref="D34:E34"/>
    <mergeCell ref="F34:G34"/>
    <mergeCell ref="H34:I34"/>
    <mergeCell ref="J34:K34"/>
    <mergeCell ref="B38:C38"/>
    <mergeCell ref="D38:E38"/>
    <mergeCell ref="J42:K42"/>
    <mergeCell ref="J38:K38"/>
    <mergeCell ref="J56:K56"/>
    <mergeCell ref="B57:C57"/>
    <mergeCell ref="D57:E57"/>
    <mergeCell ref="F57:G57"/>
    <mergeCell ref="H57:I57"/>
    <mergeCell ref="J57:K57"/>
    <mergeCell ref="B56:C56"/>
    <mergeCell ref="D56:E56"/>
    <mergeCell ref="F56:G56"/>
    <mergeCell ref="H56:I56"/>
    <mergeCell ref="J58:K58"/>
    <mergeCell ref="B59:C59"/>
    <mergeCell ref="D59:E59"/>
    <mergeCell ref="F59:G59"/>
    <mergeCell ref="H59:I59"/>
    <mergeCell ref="J59:K59"/>
    <mergeCell ref="B58:C58"/>
    <mergeCell ref="D58:E58"/>
    <mergeCell ref="F58:G58"/>
    <mergeCell ref="H58:I58"/>
    <mergeCell ref="J61:K61"/>
    <mergeCell ref="B60:C60"/>
    <mergeCell ref="D60:E60"/>
    <mergeCell ref="F60:G60"/>
    <mergeCell ref="H60:I60"/>
    <mergeCell ref="B61:C61"/>
    <mergeCell ref="D61:E61"/>
    <mergeCell ref="F61:G61"/>
    <mergeCell ref="H61:I61"/>
    <mergeCell ref="J60:K60"/>
    <mergeCell ref="B62:C62"/>
    <mergeCell ref="D62:E62"/>
    <mergeCell ref="F62:G62"/>
    <mergeCell ref="H62:I62"/>
    <mergeCell ref="J64:K64"/>
    <mergeCell ref="B64:C64"/>
    <mergeCell ref="D64:E64"/>
    <mergeCell ref="F64:G64"/>
    <mergeCell ref="H64:I64"/>
    <mergeCell ref="J62:K62"/>
    <mergeCell ref="B63:C63"/>
    <mergeCell ref="J15:K15"/>
    <mergeCell ref="O49:Q49"/>
    <mergeCell ref="Q51:Q52"/>
    <mergeCell ref="B31:C31"/>
    <mergeCell ref="J22:K22"/>
    <mergeCell ref="B26:C26"/>
    <mergeCell ref="D26:E26"/>
    <mergeCell ref="F26:G26"/>
    <mergeCell ref="B22:C22"/>
    <mergeCell ref="D27:E27"/>
    <mergeCell ref="Q60:Q61"/>
    <mergeCell ref="Q63:Q64"/>
    <mergeCell ref="Q54:Q55"/>
    <mergeCell ref="Q57:Q58"/>
    <mergeCell ref="D63:E63"/>
    <mergeCell ref="F63:G63"/>
    <mergeCell ref="H63:I63"/>
    <mergeCell ref="J63:K6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 topLeftCell="A1">
      <selection activeCell="B2" sqref="B2:H12"/>
    </sheetView>
  </sheetViews>
  <sheetFormatPr defaultColWidth="9.140625" defaultRowHeight="12.75"/>
  <cols>
    <col min="6" max="6" width="9.7109375" style="0" customWidth="1"/>
    <col min="7" max="7" width="12.28125" style="0" customWidth="1"/>
  </cols>
  <sheetData>
    <row r="1" ht="13.5" thickBot="1"/>
    <row r="2" spans="2:8" ht="15.75" thickBot="1">
      <c r="B2" s="116" t="s">
        <v>32</v>
      </c>
      <c r="C2" s="117"/>
      <c r="D2" s="117"/>
      <c r="E2" s="117"/>
      <c r="F2" s="117"/>
      <c r="G2" s="117"/>
      <c r="H2" s="118"/>
    </row>
    <row r="3" spans="2:8" ht="13.5" thickBot="1">
      <c r="B3" s="2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4" t="s">
        <v>25</v>
      </c>
    </row>
    <row r="4" spans="2:8" ht="12.75">
      <c r="B4" s="27" t="s">
        <v>16</v>
      </c>
      <c r="C4" s="30">
        <f>IF(Input!$K$4&gt;Input!$J$4,1,0)+IF(Input!$I$8&gt;Input!$H$8,1,0)+IF(Input!$H$12&gt;Input!$I$12,1,0)+IF(Input!$I$16&gt;Input!$H$16,1,0)+IF(Input!$E$20&gt;Input!$D$20,1,0)+IF(Input!$B$24&gt;Input!$C$24,1,0)+IF(Input!$D$36&gt;Input!$E$36,1,0)+IF(Input!$I$28&gt;Input!$H$28,1,0)</f>
        <v>6</v>
      </c>
      <c r="D4" s="30">
        <f>IF(Input!$K$4&lt;Input!$J$4,1,0)+IF(Input!$I$8&lt;Input!$H$8,1,0)+IF(Input!$H$12&lt;Input!$I$12,1,0)+IF(Input!$I$16&lt;Input!$H$16,1,0)+IF(Input!$E$20&lt;Input!$D$20,1,0)+IF(Input!$B$24&lt;Input!$C$24,1,0)+IF(Input!$D$36&lt;Input!$E$36,1,0)+IF(Input!$I$28&lt;Input!$H$28,1,0)</f>
        <v>1</v>
      </c>
      <c r="E4" s="30">
        <f>IF(AND(Input!K4=Input!J4,Input!K4&gt;0,Input!J4&gt;0),1,0)+IF(AND(Input!I8=Input!H8,Input!I8&gt;0,Input!H8&gt;0),1,0)+IF(AND(Input!H12=Input!I12,Input!H12&gt;0,Input!I12&gt;0),1,0)+IF(AND(Input!I16=Input!H16,Input!I16&gt;0,Input!H16&gt;0),1,0)+IF(AND(Input!E20=Input!D20,Input!E20&gt;0,Input!D20&gt;0),1,0)+IF(AND(Input!B24=Input!C24,Input!B24&gt;0,Input!C24&gt;0),1,0)+IF(AND(Input!D36=Input!E36,Input!D36&gt;0,Input!E36&gt;0),1,0)+IF(AND(Input!I28=Input!H28,Input!I28&gt;0,Input!H28&gt;0),1,0)</f>
        <v>1</v>
      </c>
      <c r="F4" s="30">
        <f>Input!K4+Input!I8+Input!H12+Input!I16+Input!E20+Input!B24+Input!D36+Input!I28</f>
        <v>24</v>
      </c>
      <c r="G4" s="30">
        <f>Input!J4+Input!H8+Input!I12+Input!H16+Input!D20+Input!C24+Input!E36+Input!H28</f>
        <v>9</v>
      </c>
      <c r="H4" s="73">
        <f aca="true" t="shared" si="0" ref="H4:H12">SUM((C4*2)+(E4*1))</f>
        <v>13</v>
      </c>
    </row>
    <row r="5" spans="2:8" ht="12.75">
      <c r="B5" s="1" t="s">
        <v>10</v>
      </c>
      <c r="C5" s="74">
        <f>IF(Input!$C$4&gt;Input!$B$4,1,0)+IF(Input!$B$8&gt;Input!$C$8,1,0)+IF(Input!$F$12&gt;Input!$G$12,1,0)+IF(Input!$H$16&gt;Input!$I$16,1,0)+IF(Input!$G$20&gt;Input!$F$20,1,0)+IF(Input!$C$28&gt;Input!$B$28,1,0)+IF(Input!$G$32&gt;Input!$F$32,1,0)+IF(Input!$E$24&gt;Input!$D$24,1,0)</f>
        <v>5</v>
      </c>
      <c r="D5" s="74">
        <f>IF(Input!$C$4&lt;Input!$B$4,1,0)+IF(Input!$B$8&lt;Input!$C$8,1,0)+IF(Input!$F$12&lt;Input!$G$12,1,0)+IF(Input!$H$16&lt;Input!$I$16,1,0)+IF(Input!$G$20&lt;Input!$F$20,1,0)+IF(Input!$C$28&lt;Input!$B$28,1,0)+IF(Input!$G$32&lt;Input!$F$32,1,0)+IF(Input!$E$24&lt;Input!$D$24,1,0)</f>
        <v>1</v>
      </c>
      <c r="E5" s="28">
        <f>IF(AND(Input!C4=Input!B4,Input!C4&gt;0,Input!B4&gt;0),1,0)+IF(AND(Input!B8=Input!C8,Input!B8&gt;0,Input!C8&gt;0),1,0)+IF(AND(Input!F12=Input!G12,Input!F12&gt;0,Input!G12&gt;0),1,0)+IF(AND(Input!H16=Input!I16,Input!H16&gt;0,Input!I16&gt;0),1,0)+IF(AND(Input!G20=Input!F20,Input!G20&gt;0,Input!F20&gt;0),1,0)+IF(AND(Input!C28=Input!B28,Input!C28&gt;0,Input!B28&gt;0),1,0)+IF(AND(Input!G32=Input!F32,Input!G32&gt;0,Input!F32&gt;0),1,0)+IF(AND(Input!E25=Input!D24,Input!E24&gt;0,Input!D24&gt;0),1,0)</f>
        <v>2</v>
      </c>
      <c r="F5" s="28">
        <f>Input!C4+Input!B8+Input!F12+Input!H16+Input!G20+Input!C28+Input!G32+Input!E24</f>
        <v>19.000999999999998</v>
      </c>
      <c r="G5" s="28">
        <f>Input!B4+Input!C8+Input!G12+Input!I16+Input!F20+Input!B28+Input!F32+Input!D24</f>
        <v>8.001000000000001</v>
      </c>
      <c r="H5" s="75">
        <f t="shared" si="0"/>
        <v>12</v>
      </c>
    </row>
    <row r="6" spans="2:8" ht="12.75">
      <c r="B6" s="25" t="s">
        <v>15</v>
      </c>
      <c r="C6" s="28">
        <f>IF(Input!$F$4&gt;Input!$G$4,1,0)+IF(Input!$E$8&gt;Input!$D$8,1,0)+IF(Input!$G$16&gt;Input!$F$16,1,0)+IF(Input!$C$20&gt;Input!$B$20,1,0)+IF(Input!$K$20&gt;Input!$J$20,1,0)+IF(Input!D24&gt;Input!E24,1,0)+IF(Input!$I$32&gt;Input!$H$32,1,0)+IF(Input!$E$36&gt;Input!$D$36,1,0)</f>
        <v>5</v>
      </c>
      <c r="D6" s="28">
        <f>IF(Input!$F$4&lt;Input!$G$4,1,0)+IF(Input!$E$8&lt;Input!$D$8,1,0)+IF(Input!$G$16&lt;Input!$F$16,1,0)+IF(Input!$C$20&lt;Input!$B$20,1,0)+IF(Input!$K$20&lt;Input!$J$20,1,0)+IF(Input!D24&lt;Input!E24,1,0)+IF(Input!$I$32&lt;Input!$H$32,1,0)+IF(Input!$E$36&lt;Input!$D$36,1,0)</f>
        <v>2</v>
      </c>
      <c r="E6" s="28">
        <f>IF(AND(Input!$F$4=Input!$G$4,Input!$F$4&gt;0,Input!$G$4&gt;0),1,0)+IF(AND(Input!$E$8=Input!$D$8,Input!$E$8&gt;0,Input!$D$8&gt;0),1,0)+IF(AND(Input!$G$16=Input!$F$16,Input!$G$16&gt;0,Input!$F$16&gt;0),1,0)+IF(AND(Input!$C$20=Input!$B$20,Input!$C$20&gt;0,Input!$B$20&gt;0),1,0)+IF(AND(Input!$K$20=Input!$J$20,Input!$K$20&gt;0,Input!$J$20&gt;0),1,0)+IF(AND(Input!$D$24=Input!$E$24,Input!$D$24&gt;0,Input!$E$24&gt;0),1,0)+IF(AND(Input!$I$32=Input!$H$32,Input!$I$32&gt;0,Input!$H$32&gt;0),1,0)+IF(AND(Input!$E$36=Input!$D$36,Input!$E$36&gt;0,Input!$D$36&gt;0),1,0)</f>
        <v>1</v>
      </c>
      <c r="F6" s="28">
        <f>Input!F4+Input!E8+Input!G16+Input!K20+Input!C20+Input!D24+Input!I32+Input!E36</f>
        <v>17</v>
      </c>
      <c r="G6" s="28">
        <f>Input!G4+Input!D8+Input!F16+Input!B20+Input!J20+Input!D24+Input!H32+Input!D36</f>
        <v>8</v>
      </c>
      <c r="H6" s="75">
        <f t="shared" si="0"/>
        <v>11</v>
      </c>
    </row>
    <row r="7" spans="2:8" ht="12.75">
      <c r="B7" s="7" t="s">
        <v>11</v>
      </c>
      <c r="C7" s="74">
        <f>IF(Input!$G$4&gt;Input!$F$4,1,0)+IF(Input!$F$8&gt;Input!$G$8,1,0)+IF(Input!$J$12&gt;Input!$K$12,1,0)+IF(Input!$C$16&gt;Input!$B$16,1,0)+IF(Input!$F$20&gt;Input!$G$20,1,0)+IF(Input!$C$24&gt;Input!$B$24,1,0)+IF(Input!$G$28&gt;Input!$F$28,1,0)+IF(Input!$D$32&gt;Input!$E$32,1,0)</f>
        <v>3</v>
      </c>
      <c r="D7" s="74">
        <f>IF(Input!$G$4&lt;Input!$F$4,1,0)+IF(Input!$F$8&lt;Input!$G$8,1,0)+IF(Input!$J$12&lt;Input!$K$12,1,0)+IF(Input!$C$16&lt;Input!$B$16,1,0)+IF(Input!$F$20&lt;Input!$G$20,1,0)+IF(Input!$C$24&lt;Input!$B$24,1,0)+IF(Input!$G$28&lt;Input!$F$28,1,0)+IF(Input!$D$32&lt;Input!$E$32,1,0)</f>
        <v>2</v>
      </c>
      <c r="E7" s="28">
        <f>IF(AND(Input!G4=Input!F4,Input!G4&gt;0,Input!F4&gt;0),1,0)+IF(AND(Input!F8=Input!G8,Input!F8&gt;0,Input!G8&gt;0),1,0)+IF(AND(Input!J12=Input!K12,Input!J12&gt;0,Input!K12&gt;0),1,0)+IF(AND(Input!C16=Input!B16,Input!C16&gt;0,Input!B16&gt;0),1,0)+IF(AND(Input!F20=Input!G20,Input!F20&gt;0,Input!G20&gt;0),1,0)+IF(AND(Input!C24=Input!B24,Input!C24&gt;0,Input!B24&gt;0),1,0)+IF(AND(Input!G28=Input!F28,Input!G28&gt;0,Input!F28&gt;0),1,0)+IF(AND(Input!D32=Input!E32,Input!D32&gt;0,Input!E32&gt;0),1,0)</f>
        <v>3</v>
      </c>
      <c r="F7" s="28">
        <f>SUM(Input!G4,Input!F8,Input!J12,Input!C16,Input!F20,Input!C24,Input!G28,Input!D32)</f>
        <v>13.001000000000001</v>
      </c>
      <c r="G7" s="28">
        <f>SUM(Input!F4,Input!G8,Input!K12,Input!B16,Input!G20,Input!B24,Input!F28,Input!E32)</f>
        <v>9.001000000000001</v>
      </c>
      <c r="H7" s="75">
        <f t="shared" si="0"/>
        <v>9</v>
      </c>
    </row>
    <row r="8" spans="2:8" ht="12.75">
      <c r="B8" s="5" t="s">
        <v>13</v>
      </c>
      <c r="C8" s="74">
        <f>IF(Input!$I$4&gt;Input!$H$4,1,0)+IF(Input!$H$8&gt;Input!$I$8,1,0)+IF(Input!$K$12&gt;Input!$J$12,1,0)+IF(Input!$E$16&gt;Input!$D$16,1,0)+IF(Input!$B$20&gt;Input!$C$20,1,0)+IF(Input!$H$24&gt;Input!$I$24,1,0)+IF(Input!$I$36&gt;Input!$H$36,1,0)+IF(Input!$F$32&gt;Input!$G$32,1,0)</f>
        <v>3</v>
      </c>
      <c r="D8" s="74">
        <f>IF(Input!$I$4&lt;Input!$H$4,1,0)+IF(Input!$H$8&lt;Input!$I$8,1,0)+IF(Input!$K$12&lt;Input!$J$12,1,0)+IF(Input!$E$16&lt;Input!$D$16,1,0)+IF(Input!$B$20&lt;Input!$C$20,1,0)+IF(Input!$H$24&lt;Input!$I$24,1,0)+IF(Input!$I$36&lt;Input!$H$36,1,0)+IF(Input!$F$32&lt;Input!$G$32,1,0)</f>
        <v>3</v>
      </c>
      <c r="E8" s="28">
        <f>IF(AND(Input!I4=Input!H4,Input!I4&gt;0,Input!H4&gt;0),1,0)+IF(AND(Input!H8=Input!I8,Input!H8&gt;0,Input!I8&gt;0),1,0)+IF(AND(Input!K12=Input!J12,Input!K12&gt;0,Input!J12&gt;0),1,0)+IF(AND(Input!E16=Input!D16,Input!E16&gt;0,Input!D16&gt;0),1,0)+IF(AND(Input!B20=Input!C20,Input!B20&gt;0,Input!C20&gt;0),1,0)+IF(AND(Input!H24=Input!I24,Input!H24&gt;0,Input!I24&gt;0),1,0)+IF(AND(Input!I36=Input!H36,Input!I36&gt;0,Input!H36&gt;0),1,0)+IF(AND(Input!F32=Input!G32,Input!F32&gt;0,Input!G32&gt;0),1,0)</f>
        <v>2</v>
      </c>
      <c r="F8" s="28">
        <f>Input!I4+Input!H8+Input!K12+Input!E16+Input!B20+Input!H24+Input!I36+Input!F32</f>
        <v>11</v>
      </c>
      <c r="G8" s="28">
        <f>Input!H4+Input!I8+Input!J12+Input!D16+Input!C20+Input!I24+Input!H36+Input!G32</f>
        <v>14</v>
      </c>
      <c r="H8" s="75">
        <f t="shared" si="0"/>
        <v>8</v>
      </c>
    </row>
    <row r="9" spans="2:8" ht="12.75">
      <c r="B9" s="29" t="s">
        <v>12</v>
      </c>
      <c r="C9" s="74">
        <f>IF(Input!$E$4&gt;Input!$D$4,1,0)+IF(Input!$D$8&gt;Input!$E$8,1,0)+IF(Input!$G$12&gt;Input!$F$12,1,0)+IF(Input!$B$16&gt;Input!$C$16,1,0)+IF(Input!$G$36&gt;Input!$F$36,1,0)+IF(Input!$I$20&gt;Input!$H$20,1,0)+IF(Input!$I$24&gt;Input!$H$24,1,0)+IF(Input!$H$28&gt;Input!$I$28,1,0)</f>
        <v>2</v>
      </c>
      <c r="D9" s="74">
        <f>IF(Input!$E$4&lt;Input!$D$4,1,0)+IF(Input!$D$8&lt;Input!$E$8,1,0)+IF(Input!$G$12&lt;Input!$F$12,1,0)+IF(Input!$B$16&lt;Input!$C$16,1,0)+IF(Input!$G$36&lt;Input!$F$36,1,0)+IF(Input!$I$20&lt;Input!$H$20,1,0)+IF(Input!$I$24&lt;Input!$H$24,1,0)+IF(Input!$H$28&lt;Input!$I$28,1,0)</f>
        <v>3</v>
      </c>
      <c r="E9" s="28">
        <f>IF(AND(Input!E4=Input!D4,Input!E4&gt;0,Input!D4&gt;0),1,0)+IF(AND(Input!D8=Input!E8,Input!D8&gt;0,Input!E8&gt;0),1,0)+IF(AND(Input!G12=Input!F12,Input!G12&gt;0,Input!F12&gt;0),1,0)+IF(AND(Input!B16=Input!C16,Input!B16&gt;0,Input!C16&gt;0),1,0)+IF(AND(Input!G36=Input!F36,Input!G36&gt;0,Input!F36&gt;0),1,0)+IF(AND(Input!I20=Input!H20,Input!I20&gt;0,Input!H20&gt;0),1,0)+IF(AND(Input!I24=Input!H24,Input!I24&gt;0,Input!H24&gt;0),1,0)+IF(AND(Input!H28=Input!I28,Input!H28&gt;0,Input!I28&gt;0),1,0)</f>
        <v>3</v>
      </c>
      <c r="F9" s="28">
        <f>SUM(Input!E4,Input!D8,Input!G12,Input!G36,Input!B16,Input!I20,Input!I24,Input!H28)</f>
        <v>11</v>
      </c>
      <c r="G9" s="28">
        <f>SUM(Input!D4,Input!E8,Input!F12,Input!F36,Input!C16,Input!H20,Input!H24,Input!I28)</f>
        <v>14</v>
      </c>
      <c r="H9" s="75">
        <f t="shared" si="0"/>
        <v>7</v>
      </c>
    </row>
    <row r="10" spans="2:8" ht="12.75">
      <c r="B10" s="6" t="s">
        <v>14</v>
      </c>
      <c r="C10" s="74">
        <f>IF(Input!$D$4&gt;Input!$E$4,1,0)+IF(Input!$C$8&gt;Input!$B$8,1,0)+IF(Input!$D$12&gt;Input!$E$12,1,0)+IF(Input!$D$16&gt;Input!$E$16,1,0)+IF(Input!$D$20&gt;Input!$E$20,1,0)+IF(Input!$F$24&gt;Input!$G$24,1,0)+IF(Input!$F$28&gt;Input!$G$28,1,0)+IF(Input!$H$32&gt;Input!$I$32,1,0)</f>
        <v>1</v>
      </c>
      <c r="D10" s="74">
        <f>IF(Input!$D$4&lt;Input!$E$4,1,0)+IF(Input!$C$8&lt;Input!$B$8,1,0)+IF(Input!$D$12&lt;Input!$E$12,1,0)+IF(Input!$D$16&lt;Input!$E$16,1,0)+IF(Input!$D$20&lt;Input!$E$20,1,0)+IF(Input!$F$24&lt;Input!$G$24,1,0)+IF(Input!$F$28&lt;Input!$G$28,1,0)+IF(Input!$H$32&lt;Input!$I$32,1,0)</f>
        <v>4</v>
      </c>
      <c r="E10" s="28">
        <f>IF(AND(Input!D4=Input!E4,Input!D4&gt;0,Input!E4&gt;0),1,0)+IF(AND(Input!C8=Input!B8,Input!C8&gt;0,Input!B8&gt;0),1,0)+IF(AND(Input!D12=Input!E12,Input!D12&gt;0,Input!E12&gt;0),1,0)+IF(AND(Input!D16=Input!E16,Input!D16&gt;0,Input!E16&gt;0),1,0)+IF(AND(Input!D20=Input!E20,Input!D20&gt;0,Input!E20&gt;0),1,0)+IF(AND(Input!F24=Input!G24,Input!F24&gt;0,Input!G24&gt;0),1,0)+IF(AND(Input!F28=Input!G28,Input!F28&gt;0,Input!G28&gt;0),1,0)+IF(AND(Input!H32=Input!I32,Input!H32&gt;0,Input!I32&gt;0),1,0)</f>
        <v>3</v>
      </c>
      <c r="F10" s="28">
        <f>Input!D4+Input!C8+Input!D12+Input!D16+Input!D20+Input!F24+Input!F28+Input!H32</f>
        <v>16</v>
      </c>
      <c r="G10" s="28">
        <f>SUM(Input!E4,Input!B8,Input!E12,Input!E16,Input!E20,Input!G24,Input!G28,Input!I32)</f>
        <v>24</v>
      </c>
      <c r="H10" s="75">
        <f t="shared" si="0"/>
        <v>5</v>
      </c>
    </row>
    <row r="11" spans="2:8" ht="12.75">
      <c r="B11" s="92" t="s">
        <v>9</v>
      </c>
      <c r="C11" s="74">
        <f>IF(Input!$H$4&gt;Input!$I$4,1,0)+IF(Input!$G$8&gt;Input!$F$8,1,0)+IF(Input!$I$12&gt;Input!$H$12,1,0)+IF(Input!$F$36&gt;Input!$G$36,1,0)+IF(Input!$J$20&gt;Input!$K$20,1,0)+IF(Input!$G$24&gt;Input!$F$24,1,0)+IF(Input!$B$28&gt;Input!$C$28,1,0)+IF(Input!$J$32&gt;Input!$K$32,1,0)</f>
        <v>2</v>
      </c>
      <c r="D11" s="74">
        <f>IF(Input!$H$4&lt;Input!$I$4,1,0)+IF(Input!$G$8&lt;Input!$F$8,1,0)+IF(Input!$I$12&lt;Input!$H$12,1,0)+IF(Input!$F$36&lt;Input!$G$36,1,0)+IF(Input!$J$20&lt;Input!$K$20,1,0)+IF(Input!$G$24&lt;Input!$F$24,1,0)+IF(Input!$B$28&lt;Input!$C$28,1,0)+IF(Input!$J$32&lt;Input!$K$32,1,0)</f>
        <v>6</v>
      </c>
      <c r="E11" s="28">
        <f>IF(AND(Input!H4=Input!I4,Input!H4&gt;0,Input!I4&gt;0),1,0)+IF(AND(Input!G8=Input!F8,Input!G8&gt;0,Input!F8&gt;0),1,0)+IF(AND(Input!I12=Input!H12,Input!I12&gt;0,Input!H12&gt;0),1,0)+IF(AND(Input!F36=Input!G36,Input!F36&gt;0,Input!G36&gt;0),1,0)+IF(AND(Input!J20=Input!K20,Input!J20&gt;0,Input!K20&gt;0),1,0)+IF(AND(Input!G24=Input!F24,Input!G24&gt;0,Input!F24&gt;0),1,0)+IF(AND(Input!B28=Input!C28,Input!B28&gt;0,Input!C28&gt;0),1,0)+IF(AND(Input!J32=Input!K32,Input!J32&gt;0,Input!K32&gt;0),1,0)</f>
        <v>0</v>
      </c>
      <c r="F11" s="28">
        <f>SUM(Input!J32,Input!B28,Input!G24,Input!J20,Input!F36,Input!G8,Input!H4,Input!I12)</f>
        <v>9</v>
      </c>
      <c r="G11" s="28">
        <f>SUM(Input!K32,Input!C28,Input!F24,Input!K20,Input!G36,Input!H12,Input!I4,Input!F8)</f>
        <v>16</v>
      </c>
      <c r="H11" s="75">
        <f t="shared" si="0"/>
        <v>4</v>
      </c>
    </row>
    <row r="12" spans="2:8" ht="13.5" thickBot="1">
      <c r="B12" s="91" t="s">
        <v>18</v>
      </c>
      <c r="C12" s="76">
        <f>IF(Input!$B$4&gt;Input!$C$4,1,0)+IF(Input!$J$4&gt;Input!$K$4,1,0)+IF(Input!$E$12&gt;Input!$D$12,1,0)+IF(Input!$F$16&gt;Input!$G$16,1,0)+IF(Input!$H$20&gt;Input!$I$20,1,0)+IF(Input!$H$36&gt;Input!$I$36,1,0)+IF(Input!$E$32&gt;Input!$D$32,1,0)+IF(Input!$K$32&gt;Input!$J$32,1,0)</f>
        <v>1</v>
      </c>
      <c r="D12" s="76">
        <f>IF(Input!$B$4&lt;Input!$C$4,1,0)+IF(Input!$J$4&lt;Input!$K$4,1,0)+IF(Input!$E$12&lt;Input!$D$12,1,0)+IF(Input!$F$16&lt;Input!$G$16,1,0)+IF(Input!$H$20&lt;Input!$I$20,1,0)+IF(Input!$H$36&lt;Input!$I$36,1,0)+IF(Input!$E$32&lt;Input!$D$32,1,0)+IF(Input!$K$32&lt;Input!$J$32,1,0)</f>
        <v>6</v>
      </c>
      <c r="E12" s="77">
        <f>IF(AND(Input!B4=Input!C4,Input!B4&gt;0,Input!C4&gt;0),1,0)+IF(AND(Input!J4=Input!K4,Input!J4&gt;0,Input!K4&gt;0),1,0)+IF(AND(Input!E12=Input!D12,Input!E12&gt;0,Input!D12&gt;0),1,0)+IF(AND(Input!F16=Input!G16,Input!F16&gt;0,Input!G16&gt;0),1,0)+IF(AND(Input!H20=Input!I20,Input!H20&gt;0,Input!I20&gt;0),1,0)+IF(AND(Input!H36=Input!I36,Input!H36&gt;0,Input!I36&gt;0),1,0)+IF(AND(Input!E32=Input!D32,Input!E32&gt;0,Input!D32&gt;0),1,0)+IF(AND(Input!K32=Input!J32,Input!K32&gt;0,Input!J32&gt;0),1,0)</f>
        <v>1</v>
      </c>
      <c r="F12" s="77">
        <f>SUM(Input!B4,Input!J4,Input!E12,Input!F16,Input!H20,Input!H36,Input!E32,Input!K32)</f>
        <v>4</v>
      </c>
      <c r="G12" s="77">
        <f>SUM(Input!J32,Input!D32,Input!I36,Input!I20,Input!G16,Input!D12,Input!K4,Input!C4)</f>
        <v>19</v>
      </c>
      <c r="H12" s="78">
        <f t="shared" si="0"/>
        <v>3</v>
      </c>
    </row>
    <row r="13" spans="2:8" ht="13.5" thickBot="1">
      <c r="B13" s="24"/>
      <c r="C13" s="23"/>
      <c r="D13" s="23"/>
      <c r="E13" s="22"/>
      <c r="F13" s="22"/>
      <c r="G13" s="22"/>
      <c r="H13" s="22"/>
    </row>
    <row r="14" spans="2:8" ht="15.75" thickBot="1">
      <c r="B14" s="116" t="s">
        <v>26</v>
      </c>
      <c r="C14" s="117"/>
      <c r="D14" s="117"/>
      <c r="E14" s="117"/>
      <c r="F14" s="117"/>
      <c r="G14" s="117"/>
      <c r="H14" s="118"/>
    </row>
    <row r="15" spans="2:8" ht="12.75">
      <c r="B15" s="2" t="s">
        <v>19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4" t="s">
        <v>25</v>
      </c>
    </row>
    <row r="16" spans="2:8" ht="12.75">
      <c r="B16" s="26" t="s">
        <v>16</v>
      </c>
      <c r="C16" s="79">
        <f>VLOOKUP("Grey",B4:H12,2,FALSE)</f>
        <v>6</v>
      </c>
      <c r="D16" s="79">
        <f>VLOOKUP("Grey",B4:H12,3,FALSE)</f>
        <v>1</v>
      </c>
      <c r="E16" s="79">
        <f>VLOOKUP("Grey",B4:H12,4,FALSE)</f>
        <v>1</v>
      </c>
      <c r="F16" s="79">
        <f>VLOOKUP("Grey",B4:H12,5,FALSE)</f>
        <v>24</v>
      </c>
      <c r="G16" s="79">
        <f>VLOOKUP("Grey",B4:H12,6,FALSE)</f>
        <v>9</v>
      </c>
      <c r="H16" s="80">
        <f>VLOOKUP("Grey",B4:H12,7,FALSE)</f>
        <v>13</v>
      </c>
    </row>
    <row r="17" spans="2:8" ht="12.75">
      <c r="B17" s="1" t="s">
        <v>10</v>
      </c>
      <c r="C17" s="74">
        <f>VLOOKUP("Green",B4:H12,2,FALSE)</f>
        <v>5</v>
      </c>
      <c r="D17" s="74">
        <f>VLOOKUP("Green",B4:H12,3,FALSE)</f>
        <v>1</v>
      </c>
      <c r="E17" s="74">
        <f>VLOOKUP("Green",B4:H12,4,FALSE)</f>
        <v>2</v>
      </c>
      <c r="F17" s="74">
        <f>VLOOKUP("Green",B4:H12,5,FALSE)</f>
        <v>19.000999999999998</v>
      </c>
      <c r="G17" s="74">
        <f>VLOOKUP("Green",B4:H12,6,FALSE)</f>
        <v>8.001000000000001</v>
      </c>
      <c r="H17" s="81">
        <f>VLOOKUP("Green",B4:H12,7,FALSE)</f>
        <v>12</v>
      </c>
    </row>
    <row r="18" spans="2:8" ht="12.75">
      <c r="B18" s="25" t="s">
        <v>15</v>
      </c>
      <c r="C18" s="79">
        <f>VLOOKUP("Blue",B4:H12,2,FALSE)</f>
        <v>5</v>
      </c>
      <c r="D18" s="79">
        <f>VLOOKUP("Blue",B4:H12,3,FALSE)</f>
        <v>2</v>
      </c>
      <c r="E18" s="79">
        <f>VLOOKUP("Blue",B4:H12,4,FALSE)</f>
        <v>1</v>
      </c>
      <c r="F18" s="79">
        <f>VLOOKUP("Blue",B4:H12,5,FALSE)</f>
        <v>17</v>
      </c>
      <c r="G18" s="79">
        <f>VLOOKUP("Blue",B4:H12,6,FALSE)</f>
        <v>8</v>
      </c>
      <c r="H18" s="80">
        <f>VLOOKUP("Blue",B4:H12,7,FALSE)</f>
        <v>11</v>
      </c>
    </row>
    <row r="19" spans="2:8" ht="12.75">
      <c r="B19" s="7" t="s">
        <v>11</v>
      </c>
      <c r="C19" s="74">
        <f>VLOOKUP("Red",B3:H11,2,FALSE)</f>
        <v>3</v>
      </c>
      <c r="D19" s="74">
        <f>VLOOKUP("Red",B3:H11,3,FALSE)</f>
        <v>2</v>
      </c>
      <c r="E19" s="74">
        <f>VLOOKUP("Red",B3:H11,4,FALSE)</f>
        <v>3</v>
      </c>
      <c r="F19" s="74">
        <f>VLOOKUP("Red",B3:H11,5,FALSE)</f>
        <v>13.001000000000001</v>
      </c>
      <c r="G19" s="74">
        <f>VLOOKUP("Red",B3:H11,6,FALSE)</f>
        <v>9.001000000000001</v>
      </c>
      <c r="H19" s="81">
        <f>VLOOKUP("Red",B3:H11,7,FALSE)</f>
        <v>9</v>
      </c>
    </row>
    <row r="22" ht="13.5" thickBot="1"/>
    <row r="23" spans="2:8" ht="15.75" thickBot="1">
      <c r="B23" s="116" t="s">
        <v>27</v>
      </c>
      <c r="C23" s="117"/>
      <c r="D23" s="117"/>
      <c r="E23" s="117"/>
      <c r="F23" s="117"/>
      <c r="G23" s="117"/>
      <c r="H23" s="118"/>
    </row>
    <row r="24" spans="2:10" ht="13.5">
      <c r="B24" s="2" t="s">
        <v>19</v>
      </c>
      <c r="C24" s="3" t="s">
        <v>20</v>
      </c>
      <c r="D24" s="3" t="s">
        <v>21</v>
      </c>
      <c r="E24" s="3" t="s">
        <v>22</v>
      </c>
      <c r="F24" s="3" t="s">
        <v>23</v>
      </c>
      <c r="G24" s="3" t="s">
        <v>24</v>
      </c>
      <c r="H24" s="4" t="s">
        <v>25</v>
      </c>
      <c r="I24" s="10"/>
      <c r="J24" s="10"/>
    </row>
    <row r="25" spans="2:10" ht="13.5">
      <c r="B25" s="5" t="s">
        <v>13</v>
      </c>
      <c r="C25" s="74">
        <f>VLOOKUP("Gold",B3:H11,2,FALSE)</f>
        <v>3</v>
      </c>
      <c r="D25" s="74">
        <f>VLOOKUP("Gold",B3:H11,3,FALSE)</f>
        <v>3</v>
      </c>
      <c r="E25" s="74">
        <f>VLOOKUP("Gold",B3:H11,4,FALSE)</f>
        <v>2</v>
      </c>
      <c r="F25" s="74">
        <f>VLOOKUP("Gold",B3:H11,5,FALSE)</f>
        <v>11</v>
      </c>
      <c r="G25" s="74">
        <f>VLOOKUP("Gold",B3:H11,6,FALSE)</f>
        <v>14</v>
      </c>
      <c r="H25" s="81">
        <f>VLOOKUP("Gold",B3:H11,7,FALSE)</f>
        <v>8</v>
      </c>
      <c r="I25" s="10"/>
      <c r="J25" s="10"/>
    </row>
    <row r="26" spans="2:10" ht="14.25" thickBot="1">
      <c r="B26" s="95" t="s">
        <v>12</v>
      </c>
      <c r="C26" s="76">
        <f>VLOOKUP("Purple",B4:H12,2,FALSE)</f>
        <v>2</v>
      </c>
      <c r="D26" s="76">
        <f>VLOOKUP("Purple",B4:H12,3,FALSE)</f>
        <v>3</v>
      </c>
      <c r="E26" s="76">
        <f>VLOOKUP("Purple",B4:H12,4,FALSE)</f>
        <v>3</v>
      </c>
      <c r="F26" s="76">
        <f>VLOOKUP("Purple",B4:H12,5,FALSE)</f>
        <v>11</v>
      </c>
      <c r="G26" s="76">
        <f>VLOOKUP("Purple",B4:H12,6,FALSE)</f>
        <v>14</v>
      </c>
      <c r="H26" s="82">
        <f>VLOOKUP("Purple",B4:H12,7,FALSE)</f>
        <v>7</v>
      </c>
      <c r="I26" s="13"/>
      <c r="J26" s="13"/>
    </row>
    <row r="27" spans="2:10" ht="13.5">
      <c r="B27" s="6" t="s">
        <v>14</v>
      </c>
      <c r="C27" s="74">
        <f>VLOOKUP("Orange",B6:H14,2,FALSE)</f>
        <v>1</v>
      </c>
      <c r="D27" s="74">
        <f>VLOOKUP("Orange",B6:H14,3,FALSE)</f>
        <v>4</v>
      </c>
      <c r="E27" s="74">
        <f>VLOOKUP("Orange",B6:H14,4,FALSE)</f>
        <v>3</v>
      </c>
      <c r="F27" s="74">
        <f>VLOOKUP("Orange",B6:H14,5,FALSE)</f>
        <v>16</v>
      </c>
      <c r="G27" s="74">
        <f>VLOOKUP("Orange",B6:H14,6,FALSE)</f>
        <v>24</v>
      </c>
      <c r="H27" s="81">
        <f>VLOOKUP("Orange",B6:H14,7,FALSE)</f>
        <v>5</v>
      </c>
      <c r="I27" s="10"/>
      <c r="J27" s="10"/>
    </row>
    <row r="28" spans="2:10" ht="13.5">
      <c r="B28" s="92" t="s">
        <v>9</v>
      </c>
      <c r="C28" s="74">
        <f>VLOOKUP("White",B3:H11,2,FALSE)</f>
        <v>2</v>
      </c>
      <c r="D28" s="74">
        <f>VLOOKUP("White",B3:H11,3,FALSE)</f>
        <v>6</v>
      </c>
      <c r="E28" s="74">
        <f>VLOOKUP("White",B3:H11,4,FALSE)</f>
        <v>0</v>
      </c>
      <c r="F28" s="74">
        <f>VLOOKUP("White",B3:H11,5,FALSE)</f>
        <v>9</v>
      </c>
      <c r="G28" s="74">
        <f>VLOOKUP("White",B3:H11,6,FALSE)</f>
        <v>16</v>
      </c>
      <c r="H28" s="81">
        <f>VLOOKUP("White",B3:H11,7,FALSE)</f>
        <v>4</v>
      </c>
      <c r="I28" s="10"/>
      <c r="J28" s="10"/>
    </row>
    <row r="29" spans="2:10" ht="14.25" thickBot="1">
      <c r="B29" s="91" t="s">
        <v>18</v>
      </c>
      <c r="C29" s="76">
        <f>VLOOKUP("Stripes",B5:H13,2,FALSE)</f>
        <v>1</v>
      </c>
      <c r="D29" s="76">
        <f>VLOOKUP("Stripes",B5:H13,3,FALSE)</f>
        <v>6</v>
      </c>
      <c r="E29" s="76">
        <f>VLOOKUP("Stripes",B5:H13,4,FALSE)</f>
        <v>1</v>
      </c>
      <c r="F29" s="76">
        <f>VLOOKUP("Stripes",B5:H13,5,FALSE)</f>
        <v>4</v>
      </c>
      <c r="G29" s="76">
        <f>VLOOKUP("Stripes",B5:H13,6,FALSE)</f>
        <v>19</v>
      </c>
      <c r="H29" s="82">
        <f>VLOOKUP("Stripes",B5:H13,7,FALSE)</f>
        <v>3</v>
      </c>
      <c r="I29" s="10"/>
      <c r="J29" s="10"/>
    </row>
    <row r="30" spans="3:11" ht="13.5">
      <c r="C30" s="10"/>
      <c r="D30" s="10"/>
      <c r="E30" s="10"/>
      <c r="F30" s="10"/>
      <c r="G30" s="10"/>
      <c r="H30" s="10"/>
      <c r="I30" s="10"/>
      <c r="J30" s="10"/>
      <c r="K30" s="10"/>
    </row>
    <row r="31" spans="3:11" ht="13.5">
      <c r="C31" s="10"/>
      <c r="D31" s="10"/>
      <c r="E31" s="10"/>
      <c r="F31" s="10"/>
      <c r="G31" s="10"/>
      <c r="H31" s="10"/>
      <c r="I31" s="10"/>
      <c r="J31" s="10"/>
      <c r="K31" s="10"/>
    </row>
    <row r="32" spans="3:11" ht="13.5">
      <c r="C32" s="10"/>
      <c r="D32" s="10"/>
      <c r="E32" s="10"/>
      <c r="F32" s="10"/>
      <c r="G32" s="10"/>
      <c r="H32" s="10"/>
      <c r="I32" s="10"/>
      <c r="J32" s="10"/>
      <c r="K32" s="10"/>
    </row>
    <row r="33" spans="3:11" ht="13.5">
      <c r="C33" s="10"/>
      <c r="D33" s="10"/>
      <c r="E33" s="10"/>
      <c r="F33" s="10"/>
      <c r="G33" s="10"/>
      <c r="H33" s="10"/>
      <c r="I33" s="10"/>
      <c r="J33" s="10"/>
      <c r="K33" s="10"/>
    </row>
  </sheetData>
  <mergeCells count="3">
    <mergeCell ref="B2:H2"/>
    <mergeCell ref="B14:H14"/>
    <mergeCell ref="B23:H23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Raytheon STX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G. Garrett</dc:creator>
  <cp:keywords/>
  <dc:description/>
  <cp:lastModifiedBy>Marvin Noreiga</cp:lastModifiedBy>
  <cp:lastPrinted>2007-09-11T00:39:04Z</cp:lastPrinted>
  <dcterms:created xsi:type="dcterms:W3CDTF">2005-03-18T21:22:46Z</dcterms:created>
  <dcterms:modified xsi:type="dcterms:W3CDTF">2008-05-29T01:46:03Z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-346056284</vt:i4>
  </property>
  <property fmtid="{D5CDD505-2E9C-101B-9397-08002B2CF9AE}" pid="3" name="_NewReviewCycle">
    <vt:lpwstr/>
  </property>
  <property fmtid="{D5CDD505-2E9C-101B-9397-08002B2CF9AE}" pid="4" name="_EmailSubject">
    <vt:lpwstr>New season</vt:lpwstr>
  </property>
  <property fmtid="{D5CDD505-2E9C-101B-9397-08002B2CF9AE}" pid="5" name="_AuthorEmail">
    <vt:lpwstr>zoran.kahric@gsfc.nasa.gov</vt:lpwstr>
  </property>
  <property fmtid="{D5CDD505-2E9C-101B-9397-08002B2CF9AE}" pid="6" name="_AuthorEmailDisplayName">
    <vt:lpwstr>Zoran Kahric</vt:lpwstr>
  </property>
  <property fmtid="{D5CDD505-2E9C-101B-9397-08002B2CF9AE}" pid="7" name="_ReviewingToolsShownOnce">
    <vt:lpwstr/>
  </property>
</Properties>
</file>