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06" yWindow="30" windowWidth="12390" windowHeight="9315" tabRatio="789" activeTab="0"/>
  </bookViews>
  <sheets>
    <sheet name="PS Reqs" sheetId="1" r:id="rId1"/>
  </sheets>
  <definedNames>
    <definedName name="_xlnm.Print_Area" localSheetId="0">'PS Reqs'!$A$1:$AC$70</definedName>
  </definedNames>
  <calcPr fullCalcOnLoad="1"/>
</workbook>
</file>

<file path=xl/sharedStrings.xml><?xml version="1.0" encoding="utf-8"?>
<sst xmlns="http://schemas.openxmlformats.org/spreadsheetml/2006/main" count="390" uniqueCount="177">
  <si>
    <t xml:space="preserve">       Ramp Description: 1.9s cycle time, 100ms flattop, Irest= 200 amps (voltage limited).</t>
  </si>
  <si>
    <t>Regulation: +/- .05%</t>
  </si>
  <si>
    <t>Water Flow:  5gpm</t>
  </si>
  <si>
    <t>NO FILTER</t>
  </si>
  <si>
    <t>3Q60</t>
  </si>
  <si>
    <t>Holec, FNAL elect. "+/-" % Max</t>
  </si>
  <si>
    <t>$10K/loop</t>
  </si>
  <si>
    <t>$10K/loop Filters (refurbished)</t>
  </si>
  <si>
    <t xml:space="preserve">       Mathcad generates a ramp that uses the maximum power supply voltage to ensure good power factor.</t>
  </si>
  <si>
    <t>MI60 Power Supplies</t>
  </si>
  <si>
    <t>PEAK</t>
  </si>
  <si>
    <t>MAG.</t>
  </si>
  <si>
    <t>CABLE</t>
  </si>
  <si>
    <t>Total</t>
  </si>
  <si>
    <t>Min.</t>
  </si>
  <si>
    <t>4.  As of 1/5/00 the septa for NuMI have been eliminated and replaced by a kicker located in the PS room of MI60S.</t>
  </si>
  <si>
    <t>E:Q104</t>
  </si>
  <si>
    <t>E:Q105</t>
  </si>
  <si>
    <t>E:Q106</t>
  </si>
  <si>
    <t>E:Q107</t>
  </si>
  <si>
    <t>E:Q108</t>
  </si>
  <si>
    <t>E:Q109</t>
  </si>
  <si>
    <t>E:Q110</t>
  </si>
  <si>
    <t>RES.</t>
  </si>
  <si>
    <t>TYPE</t>
  </si>
  <si>
    <t>R/kFt</t>
  </si>
  <si>
    <t>L</t>
  </si>
  <si>
    <t>Res.</t>
  </si>
  <si>
    <t>CURR.</t>
  </si>
  <si>
    <t>Curr.</t>
  </si>
  <si>
    <t>dI/dT</t>
  </si>
  <si>
    <t>VOLT.</t>
  </si>
  <si>
    <t>PWR</t>
  </si>
  <si>
    <t>Volt</t>
  </si>
  <si>
    <t>Load</t>
  </si>
  <si>
    <t>PS Cost</t>
  </si>
  <si>
    <t>stripline</t>
  </si>
  <si>
    <t>2, PEI/240kW</t>
  </si>
  <si>
    <t>3.  BND1, BND2, BND3, B2A, and B3A dipoles increased 5%, Q1 through Q9 quads increased 20%, and Q10 quad increased 100% from Transport values as safety margin.</t>
  </si>
  <si>
    <t>Max. Pwr.</t>
  </si>
  <si>
    <t>per Mag.</t>
  </si>
  <si>
    <t>#</t>
  </si>
  <si>
    <t>MI DipoleTrim</t>
  </si>
  <si>
    <t xml:space="preserve">P-P </t>
  </si>
  <si>
    <t>amps</t>
  </si>
  <si>
    <t>P-P</t>
  </si>
  <si>
    <t>%</t>
  </si>
  <si>
    <t>Kicker (I:KPS6N))</t>
  </si>
  <si>
    <t>CMAG (E:V100)</t>
  </si>
  <si>
    <t>E:Q101</t>
  </si>
  <si>
    <t>E:Q102</t>
  </si>
  <si>
    <t>E:Q103</t>
  </si>
  <si>
    <t>Table 7:  NuMI POWER SUPPLY REQUIREMENTS</t>
  </si>
  <si>
    <t>NBN</t>
  </si>
  <si>
    <t>9.  1/24/00: P. Lucas states that we will need similar regulation to the Left Bends, they do not have filter chokes for filtering, thus it is thought that we will not need them (this is being double-checked).</t>
  </si>
  <si>
    <t>10ga</t>
  </si>
  <si>
    <t>MI62 Power Totals:</t>
  </si>
  <si>
    <t>Upstream Service Building and Horn Power Supplies</t>
  </si>
  <si>
    <t xml:space="preserve">       Ramp Description: 1.9s cycle time, 100ms flattop, Irest= 5% of Imax, and Ireset (hysteresis) = 2% of Imax.</t>
  </si>
  <si>
    <t>-</t>
  </si>
  <si>
    <t>B2</t>
  </si>
  <si>
    <t>RMS</t>
  </si>
  <si>
    <t>Power</t>
  </si>
  <si>
    <t>Power Supply</t>
  </si>
  <si>
    <t>Fdr</t>
  </si>
  <si>
    <t>Peak</t>
  </si>
  <si>
    <t>Estimated</t>
  </si>
  <si>
    <t>MAGNET</t>
  </si>
  <si>
    <t>MI60N Power Totals:</t>
  </si>
  <si>
    <t>MI62 Power Supplies</t>
  </si>
  <si>
    <t>500</t>
  </si>
  <si>
    <t>11. 4/25/00  Updated PS cable numbers to current beamsheet locations.</t>
  </si>
  <si>
    <t>IND.</t>
  </si>
  <si>
    <t>Ind.</t>
  </si>
  <si>
    <t>henry</t>
  </si>
  <si>
    <t>CIRCUIT(ACNET if different then CKT Name)</t>
  </si>
  <si>
    <t>1 way</t>
  </si>
  <si>
    <t>ohms</t>
  </si>
  <si>
    <t>(ft)</t>
  </si>
  <si>
    <t>(amps)</t>
  </si>
  <si>
    <t>(A/s)</t>
  </si>
  <si>
    <t>(volts)</t>
  </si>
  <si>
    <t>(kW)</t>
  </si>
  <si>
    <t xml:space="preserve">NBB1 </t>
  </si>
  <si>
    <t>NBR</t>
  </si>
  <si>
    <t>NBB</t>
  </si>
  <si>
    <t>Notes:</t>
  </si>
  <si>
    <t>2.  PEI 20kW power supplies are air-cooled</t>
  </si>
  <si>
    <t>MAGs</t>
  </si>
  <si>
    <t>6.  9/10/99: Added 2 columns to include the inductance and resistance of a passive filter for LAMB, CMAG, BND1, BND2, &amp; BND3.</t>
  </si>
  <si>
    <r>
      <t xml:space="preserve">Upgrade with Most Addtional Magnets: Narrow Band Beam </t>
    </r>
    <r>
      <rPr>
        <sz val="12"/>
        <color indexed="8"/>
        <rFont val="Tms Rmn"/>
        <family val="0"/>
      </rPr>
      <t>(very rough guess at NBR,NBN parameters)</t>
    </r>
  </si>
  <si>
    <t>Current Regulation</t>
  </si>
  <si>
    <t>Est. I Ripple (720hz)</t>
  </si>
  <si>
    <t>Cost:</t>
  </si>
  <si>
    <t>"+/-" % of peak PS current, no extra reg.</t>
  </si>
  <si>
    <t>MI Corr.</t>
  </si>
  <si>
    <t>12. 7/20/00 Updated PS data, moved BND2A to MI62, and changed BND2 from 4 Xrex PS's to one MR-type.  The water requirement for one main ring supply at 4,500amps peak is 24gal/min for SCR cooling. SH says PS losses should be 6 kW not 54 kW</t>
  </si>
  <si>
    <t>Ramp Cycle Time:</t>
  </si>
  <si>
    <t>seconds</t>
  </si>
  <si>
    <t>5.  The MINOS magnet coils have not been designed and the NBB NBR and NBN magnets are not well known. Estimates were put in the above table as to their resistance and inductance.</t>
  </si>
  <si>
    <t>HORN PS</t>
  </si>
  <si>
    <t>Horn</t>
  </si>
  <si>
    <t>Upstream Service Building Power Totals:</t>
  </si>
  <si>
    <t>note 7</t>
  </si>
  <si>
    <t>kicker</t>
  </si>
  <si>
    <t>1/0</t>
  </si>
  <si>
    <t>1, PEI/20kW</t>
  </si>
  <si>
    <t>EPB</t>
  </si>
  <si>
    <t>3, Xrex/500kW</t>
  </si>
  <si>
    <t>MR - type</t>
  </si>
  <si>
    <t>(henry)</t>
  </si>
  <si>
    <t>(ohms)</t>
  </si>
  <si>
    <t>kcmil</t>
  </si>
  <si>
    <t>PS losses:  5% of load (80% of which is in water, remainder in air)</t>
  </si>
  <si>
    <t>#, Man./Pwr</t>
  </si>
  <si>
    <t>kVA</t>
  </si>
  <si>
    <t>($k)</t>
  </si>
  <si>
    <t xml:space="preserve"> </t>
  </si>
  <si>
    <t>Lamb.</t>
  </si>
  <si>
    <t>1, Xrex/500kW</t>
  </si>
  <si>
    <t>0 (on hand)</t>
  </si>
  <si>
    <t>Cmagnet</t>
  </si>
  <si>
    <t>3Q120</t>
  </si>
  <si>
    <t>Additional NBB Upstream Service Building Power Totals:</t>
  </si>
  <si>
    <t>8.  1/5/00: Used optimized ramp (mathcad calculated) for rms current values for two additional bend circuits: BND2A and BND3A.</t>
  </si>
  <si>
    <t>1.  Assumptions for transrex-type power supplies:</t>
  </si>
  <si>
    <t>Upstream Service Building Power Totals (w/NBB):</t>
  </si>
  <si>
    <t>7.  9/10/99: Used optimized ramp (mathcad calculated) for rms current values for LAMB, CMAG, BND1, BND2, &amp; BND3.</t>
  </si>
  <si>
    <t>PS Loses</t>
  </si>
  <si>
    <t>Total RMS</t>
  </si>
  <si>
    <t>Passive Filter</t>
  </si>
  <si>
    <t>R</t>
  </si>
  <si>
    <t>"+/-" % of peak running current</t>
  </si>
  <si>
    <t>minus MR PS/Xformer</t>
  </si>
  <si>
    <t>note 8</t>
  </si>
  <si>
    <t>1 (on hand)</t>
  </si>
  <si>
    <t>4, Xrex/500kW</t>
  </si>
  <si>
    <t>E:Q111</t>
  </si>
  <si>
    <t>E:Q112</t>
  </si>
  <si>
    <t>E:Q113</t>
  </si>
  <si>
    <t>E:Q114</t>
  </si>
  <si>
    <t>E:Q115</t>
  </si>
  <si>
    <t>E:Q116</t>
  </si>
  <si>
    <t>E:Q117</t>
  </si>
  <si>
    <t>E:Q118</t>
  </si>
  <si>
    <t>E:Q119</t>
  </si>
  <si>
    <t>E:Q120</t>
  </si>
  <si>
    <t>E:Q121</t>
  </si>
  <si>
    <t>8.  3/1/02: Used optimized ramp (mathcad calculated) for rms current values for two lam circuits and BND2 and BND3.</t>
  </si>
  <si>
    <t>BND1(E:HV101)</t>
  </si>
  <si>
    <t>E:HT102</t>
  </si>
  <si>
    <t>E:VT103</t>
  </si>
  <si>
    <t>E:H104</t>
  </si>
  <si>
    <t>E:HT105</t>
  </si>
  <si>
    <t>E:VT106</t>
  </si>
  <si>
    <t>E:HT107</t>
  </si>
  <si>
    <t>E:VT108</t>
  </si>
  <si>
    <t>E:HT109</t>
  </si>
  <si>
    <t>E:VT110</t>
  </si>
  <si>
    <t>E:VT111</t>
  </si>
  <si>
    <t>E:HT112</t>
  </si>
  <si>
    <t>E:VT113</t>
  </si>
  <si>
    <t>E:HT114</t>
  </si>
  <si>
    <t>E:HT115</t>
  </si>
  <si>
    <t>E:VT116</t>
  </si>
  <si>
    <t>E:HT117</t>
  </si>
  <si>
    <t>E:H117</t>
  </si>
  <si>
    <t>E:VT118</t>
  </si>
  <si>
    <t>E:HT119</t>
  </si>
  <si>
    <t>E:HT121</t>
  </si>
  <si>
    <t>E:VT121</t>
  </si>
  <si>
    <t>200 Turn SY Trims</t>
  </si>
  <si>
    <t>LAMB (I:LAM601)</t>
  </si>
  <si>
    <t>LAMB (I:LAM6023)</t>
  </si>
  <si>
    <t>BND3 (E:V119)</t>
  </si>
  <si>
    <t>BND2 (E:V109)</t>
  </si>
  <si>
    <r>
      <t xml:space="preserve">10.  2/21/00:  Critical devices will be </t>
    </r>
    <r>
      <rPr>
        <b/>
        <u val="single"/>
        <sz val="12"/>
        <color indexed="8"/>
        <rFont val="Tms Rmn"/>
        <family val="0"/>
      </rPr>
      <t>LAMB</t>
    </r>
    <r>
      <rPr>
        <sz val="12"/>
        <color indexed="8"/>
        <rFont val="Tms Rmn"/>
        <family val="0"/>
      </rPr>
      <t xml:space="preserve"> and </t>
    </r>
    <r>
      <rPr>
        <b/>
        <u val="single"/>
        <sz val="12"/>
        <color indexed="8"/>
        <rFont val="Tms Rmn"/>
        <family val="0"/>
      </rPr>
      <t>BND1</t>
    </r>
    <r>
      <rPr>
        <sz val="12"/>
        <color indexed="8"/>
        <rFont val="Tms Rmn"/>
        <family val="0"/>
      </rPr>
      <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</si>
</sst>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quot;#,##0"/>
    <numFmt numFmtId="169" formatCode="0.0000"/>
    <numFmt numFmtId="170" formatCode="mm/dd/yy"/>
    <numFmt numFmtId="171" formatCode="&quot;$&quot;#,##0.00"/>
    <numFmt numFmtId="172" formatCode="0.000%"/>
    <numFmt numFmtId="173" formatCode="0.00000000000000"/>
  </numFmts>
  <fonts count="24">
    <font>
      <sz val="10"/>
      <name val="Geneva"/>
      <family val="0"/>
    </font>
    <font>
      <b/>
      <sz val="10"/>
      <name val="Geneva"/>
      <family val="0"/>
    </font>
    <font>
      <i/>
      <sz val="10"/>
      <name val="Geneva"/>
      <family val="0"/>
    </font>
    <font>
      <b/>
      <i/>
      <sz val="10"/>
      <name val="Geneva"/>
      <family val="0"/>
    </font>
    <font>
      <sz val="12"/>
      <name val="Tms Rmn"/>
      <family val="0"/>
    </font>
    <font>
      <sz val="12"/>
      <color indexed="10"/>
      <name val="Tms Rmn"/>
      <family val="0"/>
    </font>
    <font>
      <sz val="12"/>
      <color indexed="8"/>
      <name val="Tms Rmn"/>
      <family val="0"/>
    </font>
    <font>
      <sz val="10"/>
      <name val="Arial"/>
      <family val="0"/>
    </font>
    <font>
      <b/>
      <sz val="14"/>
      <color indexed="8"/>
      <name val="Tms Rmn"/>
      <family val="0"/>
    </font>
    <font>
      <b/>
      <sz val="18"/>
      <color indexed="8"/>
      <name val="Tms Rmn"/>
      <family val="0"/>
    </font>
    <font>
      <sz val="10"/>
      <color indexed="8"/>
      <name val="Arial"/>
      <family val="0"/>
    </font>
    <font>
      <b/>
      <sz val="12"/>
      <color indexed="8"/>
      <name val="Tms Rmn"/>
      <family val="0"/>
    </font>
    <font>
      <sz val="14"/>
      <color indexed="8"/>
      <name val="Tms Rmn"/>
      <family val="0"/>
    </font>
    <font>
      <b/>
      <sz val="14"/>
      <color indexed="8"/>
      <name val="Arial"/>
      <family val="0"/>
    </font>
    <font>
      <sz val="12"/>
      <color indexed="8"/>
      <name val="Times New Roman"/>
      <family val="1"/>
    </font>
    <font>
      <b/>
      <sz val="12"/>
      <name val="Tms Rmn"/>
      <family val="0"/>
    </font>
    <font>
      <b/>
      <u val="single"/>
      <sz val="12"/>
      <color indexed="8"/>
      <name val="Tms Rmn"/>
      <family val="0"/>
    </font>
    <font>
      <u val="single"/>
      <sz val="12"/>
      <color indexed="8"/>
      <name val="Tms Rmn"/>
      <family val="0"/>
    </font>
    <font>
      <sz val="12"/>
      <color indexed="8"/>
      <name val="Arial"/>
      <family val="0"/>
    </font>
    <font>
      <sz val="10"/>
      <color indexed="10"/>
      <name val="Arial"/>
      <family val="2"/>
    </font>
    <font>
      <sz val="11"/>
      <color indexed="8"/>
      <name val="Times"/>
      <family val="1"/>
    </font>
    <font>
      <sz val="11"/>
      <name val="Times"/>
      <family val="1"/>
    </font>
    <font>
      <u val="single"/>
      <sz val="7.5"/>
      <color indexed="12"/>
      <name val="Geneva"/>
      <family val="0"/>
    </font>
    <font>
      <u val="single"/>
      <sz val="7.5"/>
      <color indexed="36"/>
      <name val="Geneva"/>
      <family val="0"/>
    </font>
  </fonts>
  <fills count="6">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408">
    <xf numFmtId="0" fontId="0" fillId="0" borderId="0" xfId="0" applyAlignment="1">
      <alignment/>
    </xf>
    <xf numFmtId="0" fontId="6" fillId="0" borderId="1" xfId="21" applyFont="1" applyBorder="1" applyAlignment="1">
      <alignment horizontal="center" vertical="center"/>
      <protection/>
    </xf>
    <xf numFmtId="1" fontId="8" fillId="0" borderId="0" xfId="21" applyNumberFormat="1" applyFont="1" applyAlignment="1">
      <alignment horizontal="center"/>
      <protection/>
    </xf>
    <xf numFmtId="169" fontId="6" fillId="0" borderId="1" xfId="21" applyNumberFormat="1" applyFont="1" applyBorder="1" applyAlignment="1">
      <alignment horizontal="center" vertical="center"/>
      <protection/>
    </xf>
    <xf numFmtId="165" fontId="6" fillId="0" borderId="1" xfId="21" applyNumberFormat="1" applyFont="1" applyBorder="1" applyAlignment="1">
      <alignment horizontal="center" vertical="center"/>
      <protection/>
    </xf>
    <xf numFmtId="165" fontId="6" fillId="0" borderId="2" xfId="21" applyNumberFormat="1" applyFont="1" applyBorder="1" applyAlignment="1">
      <alignment horizontal="center" vertical="center"/>
      <protection/>
    </xf>
    <xf numFmtId="0" fontId="9" fillId="0" borderId="0" xfId="21" applyFont="1" applyAlignment="1">
      <alignment horizontal="centerContinuous" vertical="center"/>
      <protection/>
    </xf>
    <xf numFmtId="0" fontId="6" fillId="0" borderId="0" xfId="21" applyFont="1" applyAlignment="1">
      <alignment horizontal="centerContinuous" vertical="center"/>
      <protection/>
    </xf>
    <xf numFmtId="165" fontId="6" fillId="0" borderId="0" xfId="21" applyNumberFormat="1" applyFont="1" applyAlignment="1">
      <alignment horizontal="centerContinuous" vertical="center"/>
      <protection/>
    </xf>
    <xf numFmtId="169" fontId="6" fillId="0" borderId="0" xfId="21" applyNumberFormat="1" applyFont="1" applyAlignment="1">
      <alignment horizontal="centerContinuous" vertical="center"/>
      <protection/>
    </xf>
    <xf numFmtId="49" fontId="6" fillId="0" borderId="0" xfId="21" applyNumberFormat="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horizontal="center"/>
      <protection/>
    </xf>
    <xf numFmtId="0" fontId="10" fillId="0" borderId="0" xfId="21" applyFont="1">
      <alignment/>
      <protection/>
    </xf>
    <xf numFmtId="2" fontId="10" fillId="0" borderId="0" xfId="21" applyNumberFormat="1" applyFont="1">
      <alignment/>
      <protection/>
    </xf>
    <xf numFmtId="0" fontId="6" fillId="0" borderId="0" xfId="21" applyFont="1">
      <alignment/>
      <protection/>
    </xf>
    <xf numFmtId="0" fontId="6" fillId="0" borderId="0" xfId="21" applyFont="1" applyBorder="1" applyAlignment="1">
      <alignment horizontal="right"/>
      <protection/>
    </xf>
    <xf numFmtId="170" fontId="6" fillId="0" borderId="0" xfId="21" applyNumberFormat="1" applyFont="1" applyBorder="1" applyAlignment="1">
      <alignment horizontal="left"/>
      <protection/>
    </xf>
    <xf numFmtId="49" fontId="6" fillId="0" borderId="0" xfId="21" applyNumberFormat="1" applyFont="1" applyBorder="1" applyAlignment="1">
      <alignment horizontal="left"/>
      <protection/>
    </xf>
    <xf numFmtId="0" fontId="6" fillId="0" borderId="0" xfId="21" applyFont="1" applyBorder="1" applyAlignment="1">
      <alignment horizontal="left"/>
      <protection/>
    </xf>
    <xf numFmtId="1" fontId="6" fillId="0" borderId="0" xfId="21" applyNumberFormat="1" applyFont="1" applyBorder="1" applyAlignment="1">
      <alignment horizontal="left"/>
      <protection/>
    </xf>
    <xf numFmtId="169" fontId="6" fillId="0" borderId="0" xfId="21" applyNumberFormat="1" applyFont="1" applyBorder="1" applyAlignment="1">
      <alignment horizontal="left"/>
      <protection/>
    </xf>
    <xf numFmtId="165" fontId="6" fillId="0" borderId="0" xfId="21" applyNumberFormat="1" applyFont="1" applyBorder="1" applyAlignment="1">
      <alignment horizontal="left"/>
      <protection/>
    </xf>
    <xf numFmtId="0" fontId="6" fillId="0" borderId="2" xfId="21" applyFont="1" applyBorder="1" applyAlignment="1">
      <alignment horizontal="center" vertical="center"/>
      <protection/>
    </xf>
    <xf numFmtId="169" fontId="6" fillId="0" borderId="2" xfId="21" applyNumberFormat="1" applyFont="1" applyBorder="1" applyAlignment="1">
      <alignment horizontal="center" vertical="center"/>
      <protection/>
    </xf>
    <xf numFmtId="165" fontId="11" fillId="0" borderId="2" xfId="21" applyNumberFormat="1" applyFont="1" applyBorder="1" applyAlignment="1">
      <alignment horizontal="center" vertical="center"/>
      <protection/>
    </xf>
    <xf numFmtId="0" fontId="11" fillId="0" borderId="2" xfId="21" applyFont="1" applyBorder="1" applyAlignment="1">
      <alignment horizontal="center" vertical="center"/>
      <protection/>
    </xf>
    <xf numFmtId="1" fontId="6" fillId="0" borderId="2" xfId="21" applyNumberFormat="1" applyFont="1" applyBorder="1" applyAlignment="1">
      <alignment horizontal="center" vertical="center"/>
      <protection/>
    </xf>
    <xf numFmtId="49" fontId="6" fillId="0" borderId="2" xfId="21" applyNumberFormat="1" applyFont="1" applyBorder="1" applyAlignment="1">
      <alignment horizontal="center" vertical="center"/>
      <protection/>
    </xf>
    <xf numFmtId="0" fontId="6" fillId="0" borderId="3" xfId="21" applyFont="1" applyBorder="1" applyAlignment="1">
      <alignment horizontal="center" vertical="center"/>
      <protection/>
    </xf>
    <xf numFmtId="165" fontId="6" fillId="0" borderId="3" xfId="21" applyNumberFormat="1" applyFont="1" applyBorder="1" applyAlignment="1">
      <alignment horizontal="center" vertical="center"/>
      <protection/>
    </xf>
    <xf numFmtId="169" fontId="6" fillId="0" borderId="3" xfId="21" applyNumberFormat="1" applyFont="1" applyBorder="1" applyAlignment="1">
      <alignment horizontal="center" vertical="center"/>
      <protection/>
    </xf>
    <xf numFmtId="49" fontId="6" fillId="0" borderId="3" xfId="21" applyNumberFormat="1" applyFont="1" applyBorder="1" applyAlignment="1">
      <alignment horizontal="center" vertical="center"/>
      <protection/>
    </xf>
    <xf numFmtId="1" fontId="6" fillId="0" borderId="3" xfId="21" applyNumberFormat="1" applyFont="1" applyBorder="1" applyAlignment="1">
      <alignment horizontal="center" vertical="center"/>
      <protection/>
    </xf>
    <xf numFmtId="2" fontId="6" fillId="0" borderId="3" xfId="21" applyNumberFormat="1" applyFont="1" applyBorder="1" applyAlignment="1">
      <alignment horizontal="center" vertical="center"/>
      <protection/>
    </xf>
    <xf numFmtId="165" fontId="6" fillId="0" borderId="4" xfId="21" applyNumberFormat="1" applyFont="1" applyBorder="1" applyAlignment="1">
      <alignment horizontal="center" vertical="center"/>
      <protection/>
    </xf>
    <xf numFmtId="0" fontId="6" fillId="0" borderId="5" xfId="21" applyFont="1" applyBorder="1" applyAlignment="1">
      <alignment horizontal="center" vertical="center"/>
      <protection/>
    </xf>
    <xf numFmtId="2" fontId="6" fillId="0" borderId="2" xfId="21" applyNumberFormat="1" applyFont="1" applyBorder="1" applyAlignment="1">
      <alignment horizontal="center" vertical="center"/>
      <protection/>
    </xf>
    <xf numFmtId="1" fontId="6" fillId="0" borderId="4" xfId="21" applyNumberFormat="1" applyFont="1" applyBorder="1" applyAlignment="1">
      <alignment horizontal="center" vertical="center"/>
      <protection/>
    </xf>
    <xf numFmtId="0" fontId="6" fillId="0" borderId="0" xfId="21" applyFont="1" applyAlignment="1">
      <alignment horizontal="center" vertical="center"/>
      <protection/>
    </xf>
    <xf numFmtId="165" fontId="6" fillId="0" borderId="0" xfId="21" applyNumberFormat="1" applyFont="1" applyAlignment="1">
      <alignment horizontal="center" vertical="center"/>
      <protection/>
    </xf>
    <xf numFmtId="169" fontId="6" fillId="0" borderId="0" xfId="21" applyNumberFormat="1" applyFont="1" applyAlignment="1">
      <alignment horizontal="center" vertical="center"/>
      <protection/>
    </xf>
    <xf numFmtId="49"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8" fillId="0" borderId="0" xfId="21" applyNumberFormat="1" applyFont="1" applyAlignment="1">
      <alignment horizontal="left" vertical="center"/>
      <protection/>
    </xf>
    <xf numFmtId="0" fontId="8" fillId="0" borderId="0" xfId="21" applyFont="1" applyAlignment="1">
      <alignment horizontal="center" vertical="center"/>
      <protection/>
    </xf>
    <xf numFmtId="1" fontId="12" fillId="0" borderId="0" xfId="21" applyNumberFormat="1" applyFont="1" applyAlignment="1">
      <alignment horizontal="center" vertical="center"/>
      <protection/>
    </xf>
    <xf numFmtId="1" fontId="8" fillId="0" borderId="0" xfId="21" applyNumberFormat="1" applyFont="1" applyAlignment="1">
      <alignment horizontal="center" vertical="center"/>
      <protection/>
    </xf>
    <xf numFmtId="49" fontId="6" fillId="0" borderId="1" xfId="21" applyNumberFormat="1" applyFont="1" applyBorder="1" applyAlignment="1">
      <alignment horizontal="center" vertical="center"/>
      <protection/>
    </xf>
    <xf numFmtId="1" fontId="6" fillId="0" borderId="1" xfId="21" applyNumberFormat="1" applyFont="1" applyBorder="1" applyAlignment="1">
      <alignment horizontal="center" vertical="center"/>
      <protection/>
    </xf>
    <xf numFmtId="0" fontId="6" fillId="0" borderId="2" xfId="21" applyFont="1" applyBorder="1" applyAlignment="1">
      <alignment horizontal="center"/>
      <protection/>
    </xf>
    <xf numFmtId="165" fontId="6" fillId="0" borderId="2" xfId="21" applyNumberFormat="1" applyFont="1" applyBorder="1" applyAlignment="1">
      <alignment horizontal="center"/>
      <protection/>
    </xf>
    <xf numFmtId="169" fontId="6" fillId="0" borderId="2" xfId="21" applyNumberFormat="1" applyFont="1" applyBorder="1" applyAlignment="1">
      <alignment horizontal="center"/>
      <protection/>
    </xf>
    <xf numFmtId="49" fontId="6" fillId="0" borderId="2" xfId="21" applyNumberFormat="1" applyFont="1" applyBorder="1" applyAlignment="1">
      <alignment horizontal="center"/>
      <protection/>
    </xf>
    <xf numFmtId="0" fontId="6" fillId="0" borderId="3" xfId="21" applyFont="1" applyBorder="1" applyAlignment="1">
      <alignment horizontal="center"/>
      <protection/>
    </xf>
    <xf numFmtId="165" fontId="6" fillId="0" borderId="3" xfId="21" applyNumberFormat="1" applyFont="1" applyBorder="1" applyAlignment="1">
      <alignment horizontal="center"/>
      <protection/>
    </xf>
    <xf numFmtId="169" fontId="6" fillId="0" borderId="3" xfId="21" applyNumberFormat="1" applyFont="1" applyBorder="1" applyAlignment="1">
      <alignment horizontal="center"/>
      <protection/>
    </xf>
    <xf numFmtId="49" fontId="6" fillId="0" borderId="3" xfId="21" applyNumberFormat="1" applyFont="1" applyBorder="1" applyAlignment="1">
      <alignment horizontal="center"/>
      <protection/>
    </xf>
    <xf numFmtId="0" fontId="11" fillId="0" borderId="3" xfId="21" applyFont="1" applyBorder="1" applyAlignment="1">
      <alignment horizontal="center" vertical="center"/>
      <protection/>
    </xf>
    <xf numFmtId="165" fontId="6" fillId="0" borderId="0" xfId="21" applyNumberFormat="1" applyFont="1" applyAlignment="1">
      <alignment horizontal="center"/>
      <protection/>
    </xf>
    <xf numFmtId="169" fontId="6" fillId="0" borderId="0" xfId="21" applyNumberFormat="1" applyFont="1" applyAlignment="1">
      <alignment horizontal="center"/>
      <protection/>
    </xf>
    <xf numFmtId="49" fontId="6" fillId="0" borderId="0" xfId="21" applyNumberFormat="1" applyFont="1" applyAlignment="1">
      <alignment horizontal="center"/>
      <protection/>
    </xf>
    <xf numFmtId="1" fontId="6" fillId="0" borderId="0" xfId="21" applyNumberFormat="1" applyFont="1" applyAlignment="1">
      <alignment horizontal="center"/>
      <protection/>
    </xf>
    <xf numFmtId="1" fontId="8" fillId="0" borderId="0" xfId="21" applyNumberFormat="1" applyFont="1" applyAlignment="1">
      <alignment horizontal="left"/>
      <protection/>
    </xf>
    <xf numFmtId="0" fontId="8" fillId="0" borderId="0" xfId="21" applyFont="1" applyAlignment="1">
      <alignment horizontal="center"/>
      <protection/>
    </xf>
    <xf numFmtId="1" fontId="12" fillId="0" borderId="0" xfId="21" applyNumberFormat="1" applyFont="1" applyAlignment="1">
      <alignment horizontal="center"/>
      <protection/>
    </xf>
    <xf numFmtId="0" fontId="11" fillId="0" borderId="6" xfId="21" applyFont="1" applyBorder="1" applyAlignment="1">
      <alignment horizontal="left"/>
      <protection/>
    </xf>
    <xf numFmtId="0" fontId="11" fillId="0" borderId="6" xfId="21" applyFont="1" applyBorder="1" applyAlignment="1">
      <alignment horizontal="center"/>
      <protection/>
    </xf>
    <xf numFmtId="165" fontId="11" fillId="0" borderId="6" xfId="21" applyNumberFormat="1" applyFont="1" applyBorder="1" applyAlignment="1">
      <alignment horizontal="center"/>
      <protection/>
    </xf>
    <xf numFmtId="0" fontId="6" fillId="0" borderId="0" xfId="21" applyFont="1" applyAlignment="1">
      <alignment horizontal="left"/>
      <protection/>
    </xf>
    <xf numFmtId="1" fontId="6" fillId="0" borderId="0" xfId="21" applyNumberFormat="1" applyFont="1" applyAlignment="1">
      <alignment horizontal="left"/>
      <protection/>
    </xf>
    <xf numFmtId="169" fontId="6" fillId="0" borderId="6" xfId="21" applyNumberFormat="1" applyFont="1" applyBorder="1" applyAlignment="1">
      <alignment horizontal="center"/>
      <protection/>
    </xf>
    <xf numFmtId="49" fontId="6" fillId="0" borderId="6" xfId="21" applyNumberFormat="1" applyFont="1" applyBorder="1" applyAlignment="1">
      <alignment horizontal="center"/>
      <protection/>
    </xf>
    <xf numFmtId="0" fontId="6" fillId="0" borderId="6" xfId="21" applyFont="1" applyBorder="1" applyAlignment="1">
      <alignment horizontal="center"/>
      <protection/>
    </xf>
    <xf numFmtId="1" fontId="6" fillId="0" borderId="6" xfId="21" applyNumberFormat="1" applyFont="1" applyBorder="1" applyAlignment="1">
      <alignment horizontal="center"/>
      <protection/>
    </xf>
    <xf numFmtId="165" fontId="6" fillId="0" borderId="6" xfId="21" applyNumberFormat="1" applyFont="1" applyBorder="1" applyAlignment="1">
      <alignment horizontal="center"/>
      <protection/>
    </xf>
    <xf numFmtId="0" fontId="11" fillId="0" borderId="1" xfId="21" applyFont="1" applyBorder="1" applyAlignment="1">
      <alignment horizontal="center" vertical="center"/>
      <protection/>
    </xf>
    <xf numFmtId="2" fontId="6" fillId="0" borderId="4" xfId="21" applyNumberFormat="1" applyFont="1" applyBorder="1" applyAlignment="1">
      <alignment horizontal="center" vertical="center"/>
      <protection/>
    </xf>
    <xf numFmtId="1" fontId="6" fillId="0" borderId="5" xfId="21" applyNumberFormat="1" applyFont="1" applyBorder="1" applyAlignment="1">
      <alignment horizontal="center" vertical="center"/>
      <protection/>
    </xf>
    <xf numFmtId="0" fontId="8" fillId="0" borderId="0" xfId="21" applyFont="1" applyAlignment="1">
      <alignment horizontal="left"/>
      <protection/>
    </xf>
    <xf numFmtId="165" fontId="6" fillId="0" borderId="0" xfId="21" applyNumberFormat="1" applyFont="1" applyBorder="1" applyAlignment="1">
      <alignment horizontal="center" vertical="center"/>
      <protection/>
    </xf>
    <xf numFmtId="0" fontId="6" fillId="0" borderId="0" xfId="21" applyFont="1" applyBorder="1" applyAlignment="1">
      <alignment horizontal="center" vertical="center"/>
      <protection/>
    </xf>
    <xf numFmtId="1" fontId="10" fillId="0" borderId="0" xfId="21" applyNumberFormat="1" applyFont="1" applyAlignment="1">
      <alignment horizontal="center"/>
      <protection/>
    </xf>
    <xf numFmtId="0" fontId="12" fillId="0" borderId="0" xfId="21" applyFont="1">
      <alignment/>
      <protection/>
    </xf>
    <xf numFmtId="0" fontId="13" fillId="0" borderId="0" xfId="21" applyFont="1">
      <alignment/>
      <protection/>
    </xf>
    <xf numFmtId="0" fontId="10" fillId="0" borderId="0" xfId="21" applyFont="1" applyAlignment="1">
      <alignment horizontal="center"/>
      <protection/>
    </xf>
    <xf numFmtId="0" fontId="14" fillId="0" borderId="0" xfId="21" applyFont="1" applyAlignment="1">
      <alignment horizontal="left"/>
      <protection/>
    </xf>
    <xf numFmtId="0" fontId="14" fillId="0" borderId="0" xfId="21" applyFont="1" applyAlignment="1">
      <alignment horizontal="center"/>
      <protection/>
    </xf>
    <xf numFmtId="1" fontId="14" fillId="0" borderId="0" xfId="21" applyNumberFormat="1" applyFont="1" applyAlignment="1">
      <alignment horizontal="left"/>
      <protection/>
    </xf>
    <xf numFmtId="165" fontId="6" fillId="0" borderId="0" xfId="21" applyNumberFormat="1" applyFont="1" applyAlignment="1">
      <alignment horizontal="left"/>
      <protection/>
    </xf>
    <xf numFmtId="169" fontId="6" fillId="0" borderId="0" xfId="21" applyNumberFormat="1" applyFont="1" applyAlignment="1">
      <alignment horizontal="left"/>
      <protection/>
    </xf>
    <xf numFmtId="0" fontId="10" fillId="0" borderId="0" xfId="21" applyFont="1" applyAlignment="1">
      <alignment horizontal="left"/>
      <protection/>
    </xf>
    <xf numFmtId="1" fontId="10" fillId="0" borderId="0" xfId="21" applyNumberFormat="1" applyFont="1" applyAlignment="1">
      <alignment horizontal="left"/>
      <protection/>
    </xf>
    <xf numFmtId="165" fontId="10" fillId="0" borderId="0" xfId="21" applyNumberFormat="1" applyFont="1" applyAlignment="1">
      <alignment horizontal="center"/>
      <protection/>
    </xf>
    <xf numFmtId="169" fontId="10" fillId="0" borderId="0" xfId="21" applyNumberFormat="1" applyFont="1" applyAlignment="1">
      <alignment horizontal="center"/>
      <protection/>
    </xf>
    <xf numFmtId="49" fontId="10" fillId="0" borderId="0" xfId="21" applyNumberFormat="1" applyFont="1" applyAlignment="1">
      <alignment horizontal="center"/>
      <protection/>
    </xf>
    <xf numFmtId="166" fontId="6" fillId="0" borderId="0" xfId="21" applyNumberFormat="1" applyFont="1" applyAlignment="1">
      <alignment horizontal="centerContinuous" vertical="center"/>
      <protection/>
    </xf>
    <xf numFmtId="166" fontId="6" fillId="0" borderId="0" xfId="21" applyNumberFormat="1" applyFont="1" applyBorder="1" applyAlignment="1">
      <alignment horizontal="left"/>
      <protection/>
    </xf>
    <xf numFmtId="166" fontId="6" fillId="0" borderId="2" xfId="21" applyNumberFormat="1" applyFont="1" applyBorder="1" applyAlignment="1">
      <alignment horizontal="center" vertical="center"/>
      <protection/>
    </xf>
    <xf numFmtId="166" fontId="6" fillId="0" borderId="0" xfId="21" applyNumberFormat="1" applyFont="1" applyBorder="1" applyAlignment="1">
      <alignment horizontal="center" vertical="center"/>
      <protection/>
    </xf>
    <xf numFmtId="166" fontId="6" fillId="0" borderId="3" xfId="21" applyNumberFormat="1" applyFont="1" applyBorder="1" applyAlignment="1">
      <alignment horizontal="center" vertical="center"/>
      <protection/>
    </xf>
    <xf numFmtId="166" fontId="6" fillId="0" borderId="0" xfId="21" applyNumberFormat="1" applyFont="1" applyAlignment="1">
      <alignment horizontal="center" vertical="center"/>
      <protection/>
    </xf>
    <xf numFmtId="166" fontId="6" fillId="0" borderId="1" xfId="21" applyNumberFormat="1" applyFont="1" applyBorder="1" applyAlignment="1">
      <alignment horizontal="center" vertical="center"/>
      <protection/>
    </xf>
    <xf numFmtId="166" fontId="6" fillId="0" borderId="2" xfId="21" applyNumberFormat="1" applyFont="1" applyBorder="1" applyAlignment="1">
      <alignment horizontal="center"/>
      <protection/>
    </xf>
    <xf numFmtId="166" fontId="6" fillId="0" borderId="3" xfId="21" applyNumberFormat="1" applyFont="1" applyBorder="1" applyAlignment="1">
      <alignment horizontal="center"/>
      <protection/>
    </xf>
    <xf numFmtId="166" fontId="6" fillId="0" borderId="0" xfId="21" applyNumberFormat="1" applyFont="1" applyAlignment="1">
      <alignment horizontal="center"/>
      <protection/>
    </xf>
    <xf numFmtId="166" fontId="6" fillId="0" borderId="6" xfId="21" applyNumberFormat="1" applyFont="1" applyBorder="1" applyAlignment="1">
      <alignment horizontal="center"/>
      <protection/>
    </xf>
    <xf numFmtId="166" fontId="6" fillId="0" borderId="0" xfId="21" applyNumberFormat="1" applyFont="1" applyAlignment="1">
      <alignment horizontal="left"/>
      <protection/>
    </xf>
    <xf numFmtId="166" fontId="10" fillId="0" borderId="0" xfId="21" applyNumberFormat="1" applyFont="1" applyAlignment="1">
      <alignment horizontal="center"/>
      <protection/>
    </xf>
    <xf numFmtId="2" fontId="10" fillId="0" borderId="7" xfId="21" applyNumberFormat="1" applyFont="1" applyBorder="1" applyAlignment="1">
      <alignment horizontal="center"/>
      <protection/>
    </xf>
    <xf numFmtId="2" fontId="10" fillId="0" borderId="8" xfId="21" applyNumberFormat="1" applyFont="1" applyBorder="1" applyAlignment="1">
      <alignment horizontal="center"/>
      <protection/>
    </xf>
    <xf numFmtId="0" fontId="6" fillId="0" borderId="4" xfId="21" applyFont="1" applyBorder="1" applyAlignment="1">
      <alignment horizontal="center" vertical="center"/>
      <protection/>
    </xf>
    <xf numFmtId="169" fontId="6" fillId="0" borderId="4" xfId="21" applyNumberFormat="1" applyFont="1" applyBorder="1" applyAlignment="1">
      <alignment horizontal="center" vertical="center"/>
      <protection/>
    </xf>
    <xf numFmtId="0" fontId="4" fillId="0" borderId="2" xfId="21" applyFont="1" applyBorder="1" applyAlignment="1">
      <alignment horizontal="center" vertical="center"/>
      <protection/>
    </xf>
    <xf numFmtId="165" fontId="4" fillId="0" borderId="2" xfId="21" applyNumberFormat="1" applyFont="1" applyBorder="1" applyAlignment="1">
      <alignment horizontal="center" vertical="center"/>
      <protection/>
    </xf>
    <xf numFmtId="169" fontId="4" fillId="0" borderId="2" xfId="21" applyNumberFormat="1" applyFont="1" applyBorder="1" applyAlignment="1">
      <alignment horizontal="center" vertical="center"/>
      <protection/>
    </xf>
    <xf numFmtId="166" fontId="4" fillId="0" borderId="2" xfId="21" applyNumberFormat="1" applyFont="1" applyBorder="1" applyAlignment="1">
      <alignment horizontal="center" vertical="center"/>
      <protection/>
    </xf>
    <xf numFmtId="49" fontId="4" fillId="0" borderId="2" xfId="21" applyNumberFormat="1" applyFont="1" applyBorder="1" applyAlignment="1">
      <alignment horizontal="center" vertical="center"/>
      <protection/>
    </xf>
    <xf numFmtId="1" fontId="4" fillId="0" borderId="2" xfId="21" applyNumberFormat="1" applyFont="1" applyBorder="1" applyAlignment="1">
      <alignment horizontal="center" vertical="center"/>
      <protection/>
    </xf>
    <xf numFmtId="0" fontId="4" fillId="0" borderId="5" xfId="21" applyFont="1" applyBorder="1" applyAlignment="1">
      <alignment horizontal="center" vertical="center"/>
      <protection/>
    </xf>
    <xf numFmtId="0" fontId="15" fillId="0" borderId="2" xfId="21" applyFont="1" applyBorder="1" applyAlignment="1">
      <alignment horizontal="center" vertical="center"/>
      <protection/>
    </xf>
    <xf numFmtId="2" fontId="4" fillId="0" borderId="2" xfId="21" applyNumberFormat="1" applyFont="1" applyBorder="1" applyAlignment="1">
      <alignment horizontal="center" vertical="center"/>
      <protection/>
    </xf>
    <xf numFmtId="0" fontId="6" fillId="0" borderId="9" xfId="21" applyFont="1" applyBorder="1" applyAlignment="1">
      <alignment horizontal="center" vertical="center"/>
      <protection/>
    </xf>
    <xf numFmtId="165" fontId="11" fillId="0" borderId="1" xfId="21" applyNumberFormat="1" applyFont="1" applyBorder="1" applyAlignment="1">
      <alignment horizontal="center" vertical="center"/>
      <protection/>
    </xf>
    <xf numFmtId="1" fontId="6" fillId="0" borderId="10" xfId="21" applyNumberFormat="1" applyFont="1" applyBorder="1" applyAlignment="1">
      <alignment horizontal="center" vertical="center"/>
      <protection/>
    </xf>
    <xf numFmtId="0" fontId="6" fillId="0" borderId="11" xfId="21" applyFont="1" applyBorder="1" applyAlignment="1">
      <alignment horizontal="center" vertical="center"/>
      <protection/>
    </xf>
    <xf numFmtId="1" fontId="6" fillId="0" borderId="12" xfId="21" applyNumberFormat="1" applyFont="1" applyBorder="1" applyAlignment="1">
      <alignment horizontal="center" vertical="center"/>
      <protection/>
    </xf>
    <xf numFmtId="0" fontId="6" fillId="0" borderId="13" xfId="21" applyFont="1" applyBorder="1" applyAlignment="1">
      <alignment horizontal="center" vertical="center"/>
      <protection/>
    </xf>
    <xf numFmtId="1" fontId="6" fillId="0" borderId="14" xfId="21" applyNumberFormat="1" applyFont="1" applyBorder="1" applyAlignment="1">
      <alignment horizontal="center" vertical="center"/>
      <protection/>
    </xf>
    <xf numFmtId="1" fontId="4" fillId="0" borderId="12" xfId="21" applyNumberFormat="1" applyFont="1" applyBorder="1" applyAlignment="1">
      <alignment horizontal="center" vertical="center"/>
      <protection/>
    </xf>
    <xf numFmtId="0" fontId="6" fillId="0" borderId="11" xfId="21" applyFont="1" applyBorder="1" applyAlignment="1">
      <alignment horizontal="center"/>
      <protection/>
    </xf>
    <xf numFmtId="0" fontId="6" fillId="0" borderId="13" xfId="21" applyFont="1" applyBorder="1" applyAlignment="1">
      <alignment horizontal="center"/>
      <protection/>
    </xf>
    <xf numFmtId="49" fontId="6" fillId="0" borderId="15" xfId="21" applyNumberFormat="1" applyFont="1" applyBorder="1" applyAlignment="1">
      <alignment horizontal="center" vertical="center"/>
      <protection/>
    </xf>
    <xf numFmtId="0" fontId="6" fillId="0" borderId="16" xfId="21" applyFont="1" applyBorder="1" applyAlignment="1">
      <alignment horizontal="center" vertical="center"/>
      <protection/>
    </xf>
    <xf numFmtId="0" fontId="6" fillId="0" borderId="17" xfId="21" applyFont="1" applyBorder="1" applyAlignment="1">
      <alignment horizontal="center" vertical="center"/>
      <protection/>
    </xf>
    <xf numFmtId="0" fontId="6" fillId="0" borderId="15" xfId="21" applyFont="1" applyBorder="1" applyAlignment="1">
      <alignment horizontal="center" vertical="center"/>
      <protection/>
    </xf>
    <xf numFmtId="169" fontId="6" fillId="0" borderId="15" xfId="21" applyNumberFormat="1" applyFont="1" applyBorder="1" applyAlignment="1">
      <alignment horizontal="center" vertical="center"/>
      <protection/>
    </xf>
    <xf numFmtId="169" fontId="6" fillId="0" borderId="16" xfId="21" applyNumberFormat="1" applyFont="1" applyBorder="1" applyAlignment="1">
      <alignment horizontal="center" vertical="center"/>
      <protection/>
    </xf>
    <xf numFmtId="165" fontId="6" fillId="0" borderId="16" xfId="21" applyNumberFormat="1" applyFont="1" applyBorder="1" applyAlignment="1">
      <alignment horizontal="center" vertical="center"/>
      <protection/>
    </xf>
    <xf numFmtId="2" fontId="6" fillId="0" borderId="15" xfId="21" applyNumberFormat="1" applyFont="1" applyBorder="1" applyAlignment="1">
      <alignment horizontal="center" vertical="center"/>
      <protection/>
    </xf>
    <xf numFmtId="2" fontId="6" fillId="0" borderId="16" xfId="21" applyNumberFormat="1" applyFont="1" applyBorder="1" applyAlignment="1">
      <alignment horizontal="center" vertical="center"/>
      <protection/>
    </xf>
    <xf numFmtId="1" fontId="6" fillId="0" borderId="17" xfId="21" applyNumberFormat="1" applyFont="1" applyBorder="1" applyAlignment="1">
      <alignment horizontal="center" vertical="center"/>
      <protection/>
    </xf>
    <xf numFmtId="1" fontId="6" fillId="0" borderId="18" xfId="21" applyNumberFormat="1" applyFont="1" applyBorder="1" applyAlignment="1">
      <alignment horizontal="center" vertical="center"/>
      <protection/>
    </xf>
    <xf numFmtId="0" fontId="4" fillId="0" borderId="11" xfId="0" applyFont="1" applyBorder="1" applyAlignment="1">
      <alignment horizontal="center" vertical="center" wrapText="1"/>
    </xf>
    <xf numFmtId="0" fontId="4" fillId="0" borderId="3" xfId="21" applyFont="1" applyBorder="1" applyAlignment="1">
      <alignment horizontal="center" vertical="center"/>
      <protection/>
    </xf>
    <xf numFmtId="1" fontId="4" fillId="0" borderId="2" xfId="21" applyNumberFormat="1" applyFont="1" applyFill="1" applyBorder="1" applyAlignment="1">
      <alignment horizontal="center" vertical="center"/>
      <protection/>
    </xf>
    <xf numFmtId="1" fontId="6" fillId="0" borderId="0" xfId="21" applyNumberFormat="1" applyFont="1" applyFill="1" applyAlignment="1">
      <alignment horizontal="centerContinuous" vertical="center"/>
      <protection/>
    </xf>
    <xf numFmtId="1" fontId="6" fillId="0" borderId="0" xfId="21" applyNumberFormat="1" applyFont="1" applyFill="1" applyBorder="1" applyAlignment="1">
      <alignment horizontal="left"/>
      <protection/>
    </xf>
    <xf numFmtId="1" fontId="6" fillId="0" borderId="2" xfId="21" applyNumberFormat="1" applyFont="1" applyFill="1" applyBorder="1" applyAlignment="1">
      <alignment horizontal="center" vertical="center"/>
      <protection/>
    </xf>
    <xf numFmtId="1" fontId="6" fillId="0" borderId="3" xfId="21" applyNumberFormat="1" applyFont="1" applyFill="1" applyBorder="1" applyAlignment="1">
      <alignment horizontal="center" vertical="center"/>
      <protection/>
    </xf>
    <xf numFmtId="1" fontId="6" fillId="0" borderId="4" xfId="21" applyNumberFormat="1" applyFont="1" applyFill="1" applyBorder="1" applyAlignment="1">
      <alignment horizontal="center" vertical="center"/>
      <protection/>
    </xf>
    <xf numFmtId="1" fontId="6" fillId="0" borderId="2" xfId="21" applyNumberFormat="1" applyFont="1" applyFill="1" applyBorder="1" applyAlignment="1">
      <alignment horizontal="center"/>
      <protection/>
    </xf>
    <xf numFmtId="1" fontId="6" fillId="0" borderId="0" xfId="21" applyNumberFormat="1" applyFont="1" applyFill="1" applyAlignment="1">
      <alignment horizontal="center" vertical="center"/>
      <protection/>
    </xf>
    <xf numFmtId="1" fontId="6" fillId="0" borderId="1" xfId="21" applyNumberFormat="1" applyFont="1" applyFill="1" applyBorder="1" applyAlignment="1">
      <alignment horizontal="center" vertical="center"/>
      <protection/>
    </xf>
    <xf numFmtId="1" fontId="6" fillId="0" borderId="0" xfId="21" applyNumberFormat="1" applyFont="1" applyFill="1" applyAlignment="1">
      <alignment horizontal="center"/>
      <protection/>
    </xf>
    <xf numFmtId="1" fontId="6" fillId="0" borderId="6" xfId="21" applyNumberFormat="1" applyFont="1" applyFill="1" applyBorder="1" applyAlignment="1">
      <alignment horizontal="center"/>
      <protection/>
    </xf>
    <xf numFmtId="1" fontId="6" fillId="0" borderId="15" xfId="21" applyNumberFormat="1" applyFont="1" applyFill="1" applyBorder="1" applyAlignment="1">
      <alignment horizontal="center" vertical="center"/>
      <protection/>
    </xf>
    <xf numFmtId="1" fontId="6" fillId="0" borderId="16" xfId="21" applyNumberFormat="1" applyFont="1" applyFill="1" applyBorder="1" applyAlignment="1">
      <alignment horizontal="center" vertical="center"/>
      <protection/>
    </xf>
    <xf numFmtId="1" fontId="6" fillId="0" borderId="0" xfId="21" applyNumberFormat="1" applyFont="1" applyFill="1" applyAlignment="1">
      <alignment horizontal="left"/>
      <protection/>
    </xf>
    <xf numFmtId="1" fontId="10" fillId="0" borderId="0" xfId="21" applyNumberFormat="1" applyFont="1" applyFill="1" applyAlignment="1">
      <alignment horizontal="center"/>
      <protection/>
    </xf>
    <xf numFmtId="0" fontId="11" fillId="0" borderId="13" xfId="21" applyFont="1" applyBorder="1" applyAlignment="1">
      <alignment horizontal="center" vertical="center"/>
      <protection/>
    </xf>
    <xf numFmtId="0" fontId="15" fillId="0" borderId="11" xfId="21" applyFont="1" applyBorder="1" applyAlignment="1">
      <alignment horizontal="center" vertical="center"/>
      <protection/>
    </xf>
    <xf numFmtId="1" fontId="8" fillId="0" borderId="0" xfId="21" applyNumberFormat="1" applyFont="1" applyAlignment="1">
      <alignment horizontal="right"/>
      <protection/>
    </xf>
    <xf numFmtId="1" fontId="8" fillId="0" borderId="0" xfId="21" applyNumberFormat="1" applyFont="1" applyAlignment="1">
      <alignment horizontal="right" vertical="center"/>
      <protection/>
    </xf>
    <xf numFmtId="0" fontId="4" fillId="0" borderId="0" xfId="21" applyFont="1" applyFill="1" applyAlignment="1">
      <alignment horizontal="left" vertical="center"/>
      <protection/>
    </xf>
    <xf numFmtId="2" fontId="10" fillId="0" borderId="19" xfId="21" applyNumberFormat="1" applyFont="1" applyBorder="1" applyAlignment="1">
      <alignment horizontal="left"/>
      <protection/>
    </xf>
    <xf numFmtId="2" fontId="6" fillId="0" borderId="11" xfId="21" applyNumberFormat="1" applyFont="1" applyBorder="1" applyAlignment="1">
      <alignment horizontal="center"/>
      <protection/>
    </xf>
    <xf numFmtId="2" fontId="10" fillId="0" borderId="9" xfId="21" applyNumberFormat="1" applyFont="1" applyBorder="1" applyAlignment="1">
      <alignment horizontal="centerContinuous"/>
      <protection/>
    </xf>
    <xf numFmtId="0" fontId="10" fillId="0" borderId="4" xfId="21" applyFont="1" applyBorder="1">
      <alignment/>
      <protection/>
    </xf>
    <xf numFmtId="2" fontId="7" fillId="0" borderId="11" xfId="21" applyNumberFormat="1" applyFont="1" applyBorder="1">
      <alignment/>
      <protection/>
    </xf>
    <xf numFmtId="2" fontId="10" fillId="0" borderId="11" xfId="21" applyNumberFormat="1" applyFont="1" applyBorder="1">
      <alignment/>
      <protection/>
    </xf>
    <xf numFmtId="2" fontId="10" fillId="0" borderId="0" xfId="21" applyNumberFormat="1" applyFont="1" applyBorder="1">
      <alignment/>
      <protection/>
    </xf>
    <xf numFmtId="2" fontId="10" fillId="0" borderId="13" xfId="21" applyNumberFormat="1" applyFont="1" applyBorder="1">
      <alignment/>
      <protection/>
    </xf>
    <xf numFmtId="2" fontId="10" fillId="0" borderId="9" xfId="21" applyNumberFormat="1" applyFont="1" applyBorder="1">
      <alignment/>
      <protection/>
    </xf>
    <xf numFmtId="0" fontId="10" fillId="0" borderId="10" xfId="21" applyFont="1" applyBorder="1">
      <alignment/>
      <protection/>
    </xf>
    <xf numFmtId="0" fontId="8" fillId="0" borderId="0" xfId="21" applyFont="1" applyBorder="1" applyAlignment="1">
      <alignment horizontal="left" vertical="center"/>
      <protection/>
    </xf>
    <xf numFmtId="0" fontId="11" fillId="0" borderId="0" xfId="21" applyFont="1" applyBorder="1" applyAlignment="1">
      <alignment horizontal="center" vertical="center"/>
      <protection/>
    </xf>
    <xf numFmtId="169" fontId="6" fillId="0" borderId="0" xfId="21" applyNumberFormat="1" applyFont="1" applyBorder="1" applyAlignment="1">
      <alignment horizontal="center" vertical="center"/>
      <protection/>
    </xf>
    <xf numFmtId="49" fontId="6" fillId="0" borderId="0" xfId="21" applyNumberFormat="1" applyFont="1" applyBorder="1" applyAlignment="1">
      <alignment horizontal="center" vertical="center"/>
      <protection/>
    </xf>
    <xf numFmtId="1" fontId="6" fillId="0" borderId="0" xfId="21" applyNumberFormat="1" applyFont="1" applyFill="1" applyBorder="1" applyAlignment="1">
      <alignment horizontal="center" vertical="center"/>
      <protection/>
    </xf>
    <xf numFmtId="1" fontId="6" fillId="0" borderId="0" xfId="21" applyNumberFormat="1" applyFont="1" applyBorder="1" applyAlignment="1">
      <alignment horizontal="center" vertical="center"/>
      <protection/>
    </xf>
    <xf numFmtId="0" fontId="10" fillId="0" borderId="1" xfId="21" applyFont="1" applyBorder="1">
      <alignment/>
      <protection/>
    </xf>
    <xf numFmtId="0" fontId="8" fillId="0" borderId="9" xfId="21" applyFont="1" applyBorder="1" applyAlignment="1">
      <alignment horizontal="left" vertical="center"/>
      <protection/>
    </xf>
    <xf numFmtId="0" fontId="8" fillId="0" borderId="9" xfId="21" applyFont="1" applyBorder="1">
      <alignment/>
      <protection/>
    </xf>
    <xf numFmtId="165" fontId="10" fillId="0" borderId="1" xfId="21" applyNumberFormat="1" applyFont="1" applyBorder="1">
      <alignment/>
      <protection/>
    </xf>
    <xf numFmtId="169" fontId="10" fillId="0" borderId="1" xfId="21" applyNumberFormat="1" applyFont="1" applyBorder="1">
      <alignment/>
      <protection/>
    </xf>
    <xf numFmtId="166" fontId="10" fillId="0" borderId="1" xfId="21" applyNumberFormat="1" applyFont="1" applyBorder="1">
      <alignment/>
      <protection/>
    </xf>
    <xf numFmtId="1" fontId="10" fillId="0" borderId="1" xfId="21" applyNumberFormat="1" applyFont="1" applyFill="1" applyBorder="1">
      <alignment/>
      <protection/>
    </xf>
    <xf numFmtId="49" fontId="6" fillId="0" borderId="1" xfId="21" applyNumberFormat="1" applyFont="1" applyBorder="1" applyAlignment="1">
      <alignment horizontal="centerContinuous" vertical="center"/>
      <protection/>
    </xf>
    <xf numFmtId="0" fontId="6" fillId="0" borderId="1" xfId="21" applyFont="1" applyBorder="1" applyAlignment="1">
      <alignment horizontal="centerContinuous" vertical="center"/>
      <protection/>
    </xf>
    <xf numFmtId="1" fontId="6" fillId="0" borderId="1" xfId="21" applyNumberFormat="1" applyFont="1" applyFill="1" applyBorder="1" applyAlignment="1">
      <alignment horizontal="centerContinuous" vertical="center"/>
      <protection/>
    </xf>
    <xf numFmtId="169" fontId="6" fillId="0" borderId="1" xfId="21" applyNumberFormat="1" applyFont="1" applyBorder="1" applyAlignment="1">
      <alignment horizontal="centerContinuous" vertical="center"/>
      <protection/>
    </xf>
    <xf numFmtId="0" fontId="11" fillId="0" borderId="1" xfId="21" applyFont="1" applyBorder="1" applyAlignment="1">
      <alignment horizontal="centerContinuous" vertical="center"/>
      <protection/>
    </xf>
    <xf numFmtId="0" fontId="10" fillId="0" borderId="17" xfId="21" applyFont="1" applyBorder="1">
      <alignment/>
      <protection/>
    </xf>
    <xf numFmtId="0" fontId="6" fillId="0" borderId="5" xfId="21" applyFont="1" applyBorder="1" applyAlignment="1">
      <alignment horizontal="center"/>
      <protection/>
    </xf>
    <xf numFmtId="0" fontId="6" fillId="0" borderId="18" xfId="21" applyFont="1" applyBorder="1" applyAlignment="1">
      <alignment horizontal="center"/>
      <protection/>
    </xf>
    <xf numFmtId="0" fontId="6" fillId="0" borderId="4" xfId="21" applyFont="1" applyBorder="1">
      <alignment/>
      <protection/>
    </xf>
    <xf numFmtId="0" fontId="7" fillId="0" borderId="4" xfId="21" applyFont="1" applyBorder="1">
      <alignment/>
      <protection/>
    </xf>
    <xf numFmtId="2" fontId="10" fillId="0" borderId="20" xfId="21" applyNumberFormat="1" applyFont="1" applyBorder="1">
      <alignment/>
      <protection/>
    </xf>
    <xf numFmtId="2" fontId="10" fillId="0" borderId="21" xfId="21" applyNumberFormat="1" applyFont="1" applyBorder="1" applyAlignment="1">
      <alignment horizontal="center"/>
      <protection/>
    </xf>
    <xf numFmtId="2" fontId="10" fillId="0" borderId="22" xfId="21" applyNumberFormat="1" applyFont="1" applyBorder="1" applyAlignment="1">
      <alignment horizontal="center"/>
      <protection/>
    </xf>
    <xf numFmtId="10" fontId="10" fillId="0" borderId="0" xfId="21" applyNumberFormat="1" applyFont="1" applyBorder="1">
      <alignment/>
      <protection/>
    </xf>
    <xf numFmtId="10" fontId="10" fillId="0" borderId="0" xfId="21" applyNumberFormat="1" applyFont="1">
      <alignment/>
      <protection/>
    </xf>
    <xf numFmtId="172" fontId="10" fillId="0" borderId="0" xfId="21" applyNumberFormat="1" applyFont="1" applyBorder="1">
      <alignment/>
      <protection/>
    </xf>
    <xf numFmtId="172" fontId="10" fillId="0" borderId="0" xfId="21" applyNumberFormat="1" applyFont="1">
      <alignment/>
      <protection/>
    </xf>
    <xf numFmtId="2" fontId="6" fillId="0" borderId="15" xfId="21" applyNumberFormat="1" applyFont="1" applyBorder="1" applyAlignment="1">
      <alignment horizontal="centerContinuous" vertical="center"/>
      <protection/>
    </xf>
    <xf numFmtId="2" fontId="6" fillId="0" borderId="4" xfId="21" applyNumberFormat="1" applyFont="1" applyBorder="1" applyAlignment="1">
      <alignment horizontal="center"/>
      <protection/>
    </xf>
    <xf numFmtId="2" fontId="7" fillId="0" borderId="4" xfId="21" applyNumberFormat="1" applyFont="1" applyBorder="1">
      <alignment/>
      <protection/>
    </xf>
    <xf numFmtId="2" fontId="10" fillId="0" borderId="4" xfId="21" applyNumberFormat="1" applyFont="1" applyBorder="1">
      <alignment/>
      <protection/>
    </xf>
    <xf numFmtId="2" fontId="10" fillId="0" borderId="16" xfId="21" applyNumberFormat="1" applyFont="1" applyBorder="1">
      <alignment/>
      <protection/>
    </xf>
    <xf numFmtId="172" fontId="6" fillId="0" borderId="23" xfId="21" applyNumberFormat="1" applyFont="1" applyBorder="1">
      <alignment/>
      <protection/>
    </xf>
    <xf numFmtId="172" fontId="7" fillId="0" borderId="23" xfId="21" applyNumberFormat="1" applyFont="1" applyBorder="1">
      <alignment/>
      <protection/>
    </xf>
    <xf numFmtId="172" fontId="10" fillId="0" borderId="23" xfId="21" applyNumberFormat="1" applyFont="1" applyBorder="1">
      <alignment/>
      <protection/>
    </xf>
    <xf numFmtId="10" fontId="6" fillId="0" borderId="19" xfId="21" applyNumberFormat="1" applyFont="1" applyBorder="1" applyAlignment="1">
      <alignment horizontal="centerContinuous" vertical="center"/>
      <protection/>
    </xf>
    <xf numFmtId="10" fontId="10" fillId="0" borderId="24" xfId="21" applyNumberFormat="1" applyFont="1" applyBorder="1">
      <alignment/>
      <protection/>
    </xf>
    <xf numFmtId="10" fontId="10" fillId="0" borderId="25" xfId="21" applyNumberFormat="1" applyFont="1" applyBorder="1">
      <alignment/>
      <protection/>
    </xf>
    <xf numFmtId="172" fontId="6" fillId="0" borderId="7" xfId="21" applyNumberFormat="1" applyFont="1" applyBorder="1" applyAlignment="1">
      <alignment horizontal="center"/>
      <protection/>
    </xf>
    <xf numFmtId="172" fontId="6" fillId="0" borderId="26" xfId="21" applyNumberFormat="1" applyFont="1" applyBorder="1">
      <alignment/>
      <protection/>
    </xf>
    <xf numFmtId="172" fontId="7" fillId="0" borderId="7" xfId="21" applyNumberFormat="1" applyFont="1" applyBorder="1">
      <alignment/>
      <protection/>
    </xf>
    <xf numFmtId="172" fontId="7" fillId="0" borderId="26" xfId="21" applyNumberFormat="1" applyFont="1" applyBorder="1">
      <alignment/>
      <protection/>
    </xf>
    <xf numFmtId="172" fontId="10" fillId="0" borderId="7" xfId="21" applyNumberFormat="1" applyFont="1" applyBorder="1">
      <alignment/>
      <protection/>
    </xf>
    <xf numFmtId="172" fontId="10" fillId="0" borderId="26" xfId="21" applyNumberFormat="1" applyFont="1" applyBorder="1">
      <alignment/>
      <protection/>
    </xf>
    <xf numFmtId="172" fontId="10" fillId="0" borderId="8" xfId="21" applyNumberFormat="1" applyFont="1" applyBorder="1">
      <alignment/>
      <protection/>
    </xf>
    <xf numFmtId="172" fontId="10" fillId="0" borderId="27" xfId="21" applyNumberFormat="1" applyFont="1" applyBorder="1">
      <alignment/>
      <protection/>
    </xf>
    <xf numFmtId="172" fontId="10" fillId="0" borderId="28" xfId="21" applyNumberFormat="1" applyFont="1" applyBorder="1">
      <alignment/>
      <protection/>
    </xf>
    <xf numFmtId="2" fontId="10" fillId="0" borderId="15" xfId="21" applyNumberFormat="1" applyFont="1" applyBorder="1">
      <alignment/>
      <protection/>
    </xf>
    <xf numFmtId="172" fontId="10" fillId="0" borderId="19" xfId="21" applyNumberFormat="1" applyFont="1" applyBorder="1">
      <alignment/>
      <protection/>
    </xf>
    <xf numFmtId="172" fontId="10" fillId="0" borderId="24" xfId="21" applyNumberFormat="1" applyFont="1" applyBorder="1">
      <alignment/>
      <protection/>
    </xf>
    <xf numFmtId="172" fontId="10" fillId="0" borderId="25" xfId="21" applyNumberFormat="1" applyFont="1" applyBorder="1">
      <alignment/>
      <protection/>
    </xf>
    <xf numFmtId="172" fontId="7" fillId="0" borderId="27" xfId="21" applyNumberFormat="1" applyFont="1" applyBorder="1">
      <alignment/>
      <protection/>
    </xf>
    <xf numFmtId="10" fontId="10" fillId="0" borderId="8" xfId="21" applyNumberFormat="1" applyFont="1" applyBorder="1">
      <alignment/>
      <protection/>
    </xf>
    <xf numFmtId="10" fontId="10" fillId="0" borderId="27" xfId="21" applyNumberFormat="1" applyFont="1" applyBorder="1">
      <alignment/>
      <protection/>
    </xf>
    <xf numFmtId="10" fontId="10" fillId="0" borderId="28" xfId="21" applyNumberFormat="1" applyFont="1" applyBorder="1">
      <alignment/>
      <protection/>
    </xf>
    <xf numFmtId="0" fontId="11" fillId="2" borderId="1" xfId="21" applyFont="1" applyFill="1" applyBorder="1" applyAlignment="1">
      <alignment horizontal="center" vertical="center"/>
      <protection/>
    </xf>
    <xf numFmtId="0" fontId="11" fillId="2" borderId="2" xfId="21" applyFont="1" applyFill="1" applyBorder="1" applyAlignment="1">
      <alignment horizontal="center" vertical="center"/>
      <protection/>
    </xf>
    <xf numFmtId="0" fontId="6" fillId="2" borderId="3" xfId="21" applyFont="1" applyFill="1" applyBorder="1" applyAlignment="1">
      <alignment horizontal="center" vertical="center"/>
      <protection/>
    </xf>
    <xf numFmtId="0" fontId="6" fillId="2" borderId="0" xfId="21" applyFont="1" applyFill="1" applyBorder="1" applyAlignment="1">
      <alignment horizontal="center" vertical="center"/>
      <protection/>
    </xf>
    <xf numFmtId="0" fontId="10" fillId="2" borderId="1" xfId="21" applyFont="1" applyFill="1" applyBorder="1">
      <alignment/>
      <protection/>
    </xf>
    <xf numFmtId="0" fontId="6" fillId="2" borderId="2" xfId="21" applyFont="1" applyFill="1" applyBorder="1" applyAlignment="1">
      <alignment horizontal="center" vertical="center"/>
      <protection/>
    </xf>
    <xf numFmtId="0" fontId="4" fillId="2" borderId="2" xfId="21" applyFont="1" applyFill="1" applyBorder="1" applyAlignment="1">
      <alignment horizontal="center" vertical="center"/>
      <protection/>
    </xf>
    <xf numFmtId="0" fontId="6" fillId="2" borderId="0" xfId="21" applyFont="1" applyFill="1" applyAlignment="1">
      <alignment horizontal="center" vertical="center"/>
      <protection/>
    </xf>
    <xf numFmtId="0" fontId="6" fillId="2" borderId="1" xfId="21" applyFont="1" applyFill="1" applyBorder="1" applyAlignment="1">
      <alignment horizontal="center" vertical="center"/>
      <protection/>
    </xf>
    <xf numFmtId="3" fontId="6" fillId="2" borderId="3" xfId="21" applyNumberFormat="1" applyFont="1" applyFill="1" applyBorder="1" applyAlignment="1">
      <alignment horizontal="center" vertical="center"/>
      <protection/>
    </xf>
    <xf numFmtId="0" fontId="6" fillId="2" borderId="0" xfId="21" applyFont="1" applyFill="1" applyAlignment="1">
      <alignment horizontal="center"/>
      <protection/>
    </xf>
    <xf numFmtId="0" fontId="6" fillId="2" borderId="6" xfId="21" applyFont="1" applyFill="1" applyBorder="1" applyAlignment="1">
      <alignment horizontal="center"/>
      <protection/>
    </xf>
    <xf numFmtId="0" fontId="6" fillId="2" borderId="17" xfId="21" applyFont="1" applyFill="1" applyBorder="1" applyAlignment="1">
      <alignment horizontal="center" vertical="center"/>
      <protection/>
    </xf>
    <xf numFmtId="0" fontId="6" fillId="2" borderId="5" xfId="21" applyFont="1" applyFill="1" applyBorder="1" applyAlignment="1">
      <alignment horizontal="center" vertical="center"/>
      <protection/>
    </xf>
    <xf numFmtId="0" fontId="6" fillId="2" borderId="18" xfId="21" applyFont="1" applyFill="1" applyBorder="1" applyAlignment="1">
      <alignment horizontal="center" vertical="center"/>
      <protection/>
    </xf>
    <xf numFmtId="0" fontId="17" fillId="2" borderId="2" xfId="21" applyFont="1" applyFill="1" applyBorder="1" applyAlignment="1">
      <alignment horizontal="center" vertical="center"/>
      <protection/>
    </xf>
    <xf numFmtId="172" fontId="10" fillId="2" borderId="7" xfId="21" applyNumberFormat="1" applyFont="1" applyFill="1" applyBorder="1">
      <alignment/>
      <protection/>
    </xf>
    <xf numFmtId="172" fontId="7" fillId="2" borderId="23" xfId="21" applyNumberFormat="1" applyFont="1" applyFill="1" applyBorder="1">
      <alignment/>
      <protection/>
    </xf>
    <xf numFmtId="172" fontId="7" fillId="2" borderId="7" xfId="21" applyNumberFormat="1" applyFont="1" applyFill="1" applyBorder="1">
      <alignment/>
      <protection/>
    </xf>
    <xf numFmtId="0" fontId="5" fillId="0" borderId="2" xfId="21" applyFont="1" applyBorder="1" applyAlignment="1">
      <alignment horizontal="center" vertical="center"/>
      <protection/>
    </xf>
    <xf numFmtId="165" fontId="5" fillId="0" borderId="2" xfId="21" applyNumberFormat="1" applyFont="1" applyBorder="1" applyAlignment="1">
      <alignment horizontal="center" vertical="center"/>
      <protection/>
    </xf>
    <xf numFmtId="0" fontId="5" fillId="0" borderId="0" xfId="21" applyFont="1" applyAlignment="1">
      <alignment horizontal="center" vertical="center"/>
      <protection/>
    </xf>
    <xf numFmtId="2" fontId="10" fillId="0" borderId="23" xfId="21" applyNumberFormat="1" applyFont="1" applyBorder="1">
      <alignment/>
      <protection/>
    </xf>
    <xf numFmtId="172" fontId="10" fillId="2" borderId="23" xfId="21" applyNumberFormat="1" applyFont="1" applyFill="1" applyBorder="1">
      <alignment/>
      <protection/>
    </xf>
    <xf numFmtId="2" fontId="10" fillId="0" borderId="19" xfId="21" applyNumberFormat="1" applyFont="1" applyBorder="1">
      <alignment/>
      <protection/>
    </xf>
    <xf numFmtId="2" fontId="10" fillId="0" borderId="24" xfId="21" applyNumberFormat="1" applyFont="1" applyBorder="1">
      <alignment/>
      <protection/>
    </xf>
    <xf numFmtId="2" fontId="10" fillId="0" borderId="7" xfId="21" applyNumberFormat="1" applyFont="1" applyBorder="1">
      <alignment/>
      <protection/>
    </xf>
    <xf numFmtId="2" fontId="19" fillId="0" borderId="7" xfId="21" applyNumberFormat="1" applyFont="1" applyBorder="1">
      <alignment/>
      <protection/>
    </xf>
    <xf numFmtId="2" fontId="19" fillId="0" borderId="23" xfId="21" applyNumberFormat="1" applyFont="1" applyBorder="1">
      <alignment/>
      <protection/>
    </xf>
    <xf numFmtId="172" fontId="19" fillId="2" borderId="23" xfId="21" applyNumberFormat="1" applyFont="1" applyFill="1" applyBorder="1">
      <alignment/>
      <protection/>
    </xf>
    <xf numFmtId="172" fontId="19" fillId="0" borderId="23" xfId="21" applyNumberFormat="1" applyFont="1" applyBorder="1">
      <alignment/>
      <protection/>
    </xf>
    <xf numFmtId="172" fontId="19" fillId="0" borderId="26" xfId="21" applyNumberFormat="1" applyFont="1" applyBorder="1">
      <alignment/>
      <protection/>
    </xf>
    <xf numFmtId="2" fontId="19" fillId="0" borderId="8" xfId="21" applyNumberFormat="1" applyFont="1" applyBorder="1">
      <alignment/>
      <protection/>
    </xf>
    <xf numFmtId="2" fontId="19" fillId="0" borderId="27" xfId="21" applyNumberFormat="1" applyFont="1" applyBorder="1">
      <alignment/>
      <protection/>
    </xf>
    <xf numFmtId="172" fontId="19" fillId="2" borderId="27" xfId="21" applyNumberFormat="1" applyFont="1" applyFill="1" applyBorder="1">
      <alignment/>
      <protection/>
    </xf>
    <xf numFmtId="172" fontId="19" fillId="0" borderId="27" xfId="21" applyNumberFormat="1" applyFont="1" applyBorder="1">
      <alignment/>
      <protection/>
    </xf>
    <xf numFmtId="172" fontId="19" fillId="0" borderId="28" xfId="21" applyNumberFormat="1" applyFont="1" applyBorder="1">
      <alignment/>
      <protection/>
    </xf>
    <xf numFmtId="0" fontId="6" fillId="0" borderId="23" xfId="21" applyFont="1" applyBorder="1" applyAlignment="1">
      <alignment horizontal="center" vertical="center"/>
      <protection/>
    </xf>
    <xf numFmtId="165" fontId="6" fillId="0" borderId="23" xfId="21" applyNumberFormat="1" applyFont="1" applyBorder="1" applyAlignment="1">
      <alignment horizontal="center" vertical="center"/>
      <protection/>
    </xf>
    <xf numFmtId="169" fontId="6" fillId="0" borderId="23" xfId="21" applyNumberFormat="1" applyFont="1" applyBorder="1" applyAlignment="1">
      <alignment horizontal="center" vertical="center"/>
      <protection/>
    </xf>
    <xf numFmtId="166" fontId="6" fillId="0" borderId="23" xfId="21" applyNumberFormat="1" applyFont="1" applyBorder="1" applyAlignment="1">
      <alignment horizontal="center" vertical="center"/>
      <protection/>
    </xf>
    <xf numFmtId="49" fontId="6" fillId="0" borderId="23" xfId="21" applyNumberFormat="1" applyFont="1" applyBorder="1" applyAlignment="1">
      <alignment horizontal="center" vertical="center"/>
      <protection/>
    </xf>
    <xf numFmtId="1" fontId="6" fillId="0" borderId="23" xfId="21" applyNumberFormat="1" applyFont="1" applyFill="1" applyBorder="1" applyAlignment="1">
      <alignment horizontal="center" vertical="center"/>
      <protection/>
    </xf>
    <xf numFmtId="0" fontId="6" fillId="2" borderId="23" xfId="21" applyFont="1" applyFill="1" applyBorder="1" applyAlignment="1">
      <alignment horizontal="center" vertical="center"/>
      <protection/>
    </xf>
    <xf numFmtId="1" fontId="6" fillId="0" borderId="23" xfId="21" applyNumberFormat="1" applyFont="1" applyBorder="1" applyAlignment="1">
      <alignment horizontal="center" vertical="center"/>
      <protection/>
    </xf>
    <xf numFmtId="2" fontId="6" fillId="0" borderId="23" xfId="21" applyNumberFormat="1" applyFont="1" applyBorder="1" applyAlignment="1">
      <alignment horizontal="center" vertical="center"/>
      <protection/>
    </xf>
    <xf numFmtId="2" fontId="5" fillId="0" borderId="23" xfId="21" applyNumberFormat="1" applyFont="1" applyBorder="1" applyAlignment="1">
      <alignment horizontal="center" vertical="center"/>
      <protection/>
    </xf>
    <xf numFmtId="0" fontId="5" fillId="0" borderId="23" xfId="21" applyFont="1" applyBorder="1" applyAlignment="1">
      <alignment horizontal="center" vertical="center"/>
      <protection/>
    </xf>
    <xf numFmtId="165" fontId="5" fillId="0" borderId="23" xfId="21" applyNumberFormat="1" applyFont="1" applyBorder="1" applyAlignment="1">
      <alignment horizontal="center" vertical="center"/>
      <protection/>
    </xf>
    <xf numFmtId="169" fontId="5" fillId="0" borderId="23" xfId="21" applyNumberFormat="1" applyFont="1" applyBorder="1" applyAlignment="1">
      <alignment horizontal="center" vertical="center"/>
      <protection/>
    </xf>
    <xf numFmtId="166" fontId="5" fillId="0" borderId="23" xfId="21" applyNumberFormat="1" applyFont="1" applyBorder="1" applyAlignment="1">
      <alignment horizontal="center" vertical="center"/>
      <protection/>
    </xf>
    <xf numFmtId="0" fontId="5" fillId="2" borderId="23" xfId="21" applyFont="1" applyFill="1" applyBorder="1" applyAlignment="1">
      <alignment horizontal="center" vertical="center"/>
      <protection/>
    </xf>
    <xf numFmtId="1" fontId="5" fillId="0" borderId="23" xfId="21" applyNumberFormat="1" applyFont="1" applyBorder="1" applyAlignment="1">
      <alignment horizontal="center" vertical="center"/>
      <protection/>
    </xf>
    <xf numFmtId="0" fontId="10" fillId="0" borderId="0" xfId="21" applyFont="1" applyBorder="1">
      <alignment/>
      <protection/>
    </xf>
    <xf numFmtId="0" fontId="8" fillId="0" borderId="19" xfId="21" applyFont="1" applyBorder="1" applyAlignment="1">
      <alignment horizontal="left" vertical="center"/>
      <protection/>
    </xf>
    <xf numFmtId="0" fontId="11" fillId="0" borderId="24" xfId="21" applyFont="1" applyBorder="1" applyAlignment="1">
      <alignment horizontal="center" vertical="center"/>
      <protection/>
    </xf>
    <xf numFmtId="0" fontId="6" fillId="0" borderId="24" xfId="21" applyFont="1" applyBorder="1" applyAlignment="1">
      <alignment horizontal="center" vertical="center"/>
      <protection/>
    </xf>
    <xf numFmtId="165" fontId="6" fillId="0" borderId="24" xfId="21" applyNumberFormat="1" applyFont="1" applyBorder="1" applyAlignment="1">
      <alignment horizontal="center" vertical="center"/>
      <protection/>
    </xf>
    <xf numFmtId="169" fontId="6" fillId="0" borderId="24" xfId="21" applyNumberFormat="1" applyFont="1" applyBorder="1" applyAlignment="1">
      <alignment horizontal="center" vertical="center"/>
      <protection/>
    </xf>
    <xf numFmtId="166" fontId="6" fillId="0" borderId="24" xfId="21" applyNumberFormat="1" applyFont="1" applyBorder="1" applyAlignment="1">
      <alignment horizontal="center" vertical="center"/>
      <protection/>
    </xf>
    <xf numFmtId="49" fontId="6" fillId="0" borderId="24" xfId="21" applyNumberFormat="1" applyFont="1" applyBorder="1" applyAlignment="1">
      <alignment horizontal="center" vertical="center"/>
      <protection/>
    </xf>
    <xf numFmtId="1" fontId="6" fillId="0" borderId="24" xfId="21" applyNumberFormat="1" applyFont="1" applyFill="1" applyBorder="1" applyAlignment="1">
      <alignment horizontal="center" vertical="center"/>
      <protection/>
    </xf>
    <xf numFmtId="0" fontId="6" fillId="2" borderId="24" xfId="21" applyFont="1" applyFill="1" applyBorder="1" applyAlignment="1">
      <alignment horizontal="center" vertical="center"/>
      <protection/>
    </xf>
    <xf numFmtId="1" fontId="6" fillId="0" borderId="24" xfId="21" applyNumberFormat="1" applyFont="1" applyBorder="1" applyAlignment="1">
      <alignment horizontal="center" vertical="center"/>
      <protection/>
    </xf>
    <xf numFmtId="0" fontId="6" fillId="0" borderId="25" xfId="21" applyFont="1" applyBorder="1" applyAlignment="1">
      <alignment horizontal="center" vertical="center"/>
      <protection/>
    </xf>
    <xf numFmtId="0" fontId="6" fillId="0" borderId="7" xfId="21" applyFont="1" applyBorder="1" applyAlignment="1">
      <alignment horizontal="center" vertical="center"/>
      <protection/>
    </xf>
    <xf numFmtId="0" fontId="6" fillId="0" borderId="26" xfId="21" applyFont="1" applyBorder="1" applyAlignment="1">
      <alignment horizontal="center" vertical="center"/>
      <protection/>
    </xf>
    <xf numFmtId="0" fontId="5" fillId="0" borderId="26" xfId="21" applyFont="1" applyBorder="1" applyAlignment="1">
      <alignment horizontal="center" vertical="center"/>
      <protection/>
    </xf>
    <xf numFmtId="0" fontId="5" fillId="0" borderId="27" xfId="21" applyFont="1" applyBorder="1" applyAlignment="1">
      <alignment horizontal="center" vertical="center"/>
      <protection/>
    </xf>
    <xf numFmtId="165" fontId="5" fillId="0" borderId="27" xfId="21" applyNumberFormat="1" applyFont="1" applyBorder="1" applyAlignment="1">
      <alignment horizontal="center" vertical="center"/>
      <protection/>
    </xf>
    <xf numFmtId="169" fontId="5" fillId="0" borderId="27" xfId="21" applyNumberFormat="1" applyFont="1" applyBorder="1" applyAlignment="1">
      <alignment horizontal="center" vertical="center"/>
      <protection/>
    </xf>
    <xf numFmtId="166" fontId="5" fillId="0" borderId="27" xfId="21" applyNumberFormat="1" applyFont="1" applyBorder="1" applyAlignment="1">
      <alignment horizontal="center" vertical="center"/>
      <protection/>
    </xf>
    <xf numFmtId="0" fontId="5" fillId="2" borderId="27" xfId="21" applyFont="1" applyFill="1" applyBorder="1" applyAlignment="1">
      <alignment horizontal="center" vertical="center"/>
      <protection/>
    </xf>
    <xf numFmtId="1" fontId="5" fillId="0" borderId="27" xfId="21" applyNumberFormat="1" applyFont="1" applyBorder="1" applyAlignment="1">
      <alignment horizontal="center" vertical="center"/>
      <protection/>
    </xf>
    <xf numFmtId="2" fontId="5" fillId="0" borderId="27" xfId="21" applyNumberFormat="1" applyFont="1" applyBorder="1" applyAlignment="1">
      <alignment horizontal="center" vertical="center"/>
      <protection/>
    </xf>
    <xf numFmtId="0" fontId="5" fillId="0" borderId="28" xfId="21" applyFont="1" applyBorder="1" applyAlignment="1">
      <alignment horizontal="center" vertical="center"/>
      <protection/>
    </xf>
    <xf numFmtId="0" fontId="5" fillId="2" borderId="2" xfId="21" applyFont="1" applyFill="1" applyBorder="1" applyAlignment="1">
      <alignment horizontal="center" vertical="center"/>
      <protection/>
    </xf>
    <xf numFmtId="0" fontId="11" fillId="0" borderId="0" xfId="21" applyFont="1" applyBorder="1" applyAlignment="1">
      <alignment horizontal="left" vertical="center"/>
      <protection/>
    </xf>
    <xf numFmtId="0" fontId="5" fillId="2" borderId="2" xfId="21" applyFont="1" applyFill="1" applyBorder="1" applyAlignment="1">
      <alignment horizontal="center"/>
      <protection/>
    </xf>
    <xf numFmtId="0" fontId="5" fillId="2" borderId="3" xfId="21" applyFont="1" applyFill="1" applyBorder="1" applyAlignment="1">
      <alignment horizontal="center"/>
      <protection/>
    </xf>
    <xf numFmtId="0" fontId="15" fillId="3" borderId="11" xfId="21" applyFont="1" applyFill="1" applyBorder="1" applyAlignment="1">
      <alignment horizontal="center" vertical="center"/>
      <protection/>
    </xf>
    <xf numFmtId="0" fontId="4" fillId="3" borderId="2" xfId="21" applyFont="1" applyFill="1" applyBorder="1" applyAlignment="1">
      <alignment horizontal="center" vertical="center"/>
      <protection/>
    </xf>
    <xf numFmtId="165" fontId="4" fillId="3" borderId="2" xfId="21" applyNumberFormat="1" applyFont="1" applyFill="1" applyBorder="1" applyAlignment="1">
      <alignment horizontal="center" vertical="center"/>
      <protection/>
    </xf>
    <xf numFmtId="169" fontId="4" fillId="3" borderId="2" xfId="21" applyNumberFormat="1" applyFont="1" applyFill="1" applyBorder="1" applyAlignment="1">
      <alignment horizontal="center" vertical="center"/>
      <protection/>
    </xf>
    <xf numFmtId="166" fontId="4" fillId="3" borderId="2" xfId="21" applyNumberFormat="1" applyFont="1" applyFill="1" applyBorder="1" applyAlignment="1">
      <alignment horizontal="center" vertical="center"/>
      <protection/>
    </xf>
    <xf numFmtId="49" fontId="4" fillId="3" borderId="2" xfId="21" applyNumberFormat="1" applyFont="1" applyFill="1" applyBorder="1" applyAlignment="1">
      <alignment horizontal="center" vertical="center"/>
      <protection/>
    </xf>
    <xf numFmtId="1" fontId="4" fillId="3" borderId="2" xfId="21" applyNumberFormat="1" applyFont="1" applyFill="1" applyBorder="1" applyAlignment="1">
      <alignment horizontal="center" vertical="center"/>
      <protection/>
    </xf>
    <xf numFmtId="0" fontId="15" fillId="3" borderId="2" xfId="21" applyFont="1" applyFill="1" applyBorder="1" applyAlignment="1">
      <alignment horizontal="center" vertical="center"/>
      <protection/>
    </xf>
    <xf numFmtId="2" fontId="4" fillId="3" borderId="2" xfId="21" applyNumberFormat="1" applyFont="1" applyFill="1" applyBorder="1" applyAlignment="1">
      <alignment horizontal="center" vertical="center"/>
      <protection/>
    </xf>
    <xf numFmtId="1" fontId="4" fillId="3" borderId="12" xfId="21" applyNumberFormat="1" applyFont="1" applyFill="1" applyBorder="1" applyAlignment="1">
      <alignment horizontal="center" vertical="center"/>
      <protection/>
    </xf>
    <xf numFmtId="0" fontId="11" fillId="3" borderId="11" xfId="21" applyFont="1" applyFill="1" applyBorder="1" applyAlignment="1">
      <alignment horizontal="center" vertical="center"/>
      <protection/>
    </xf>
    <xf numFmtId="0" fontId="6" fillId="3" borderId="2" xfId="21" applyFont="1" applyFill="1" applyBorder="1" applyAlignment="1">
      <alignment horizontal="center" vertical="center"/>
      <protection/>
    </xf>
    <xf numFmtId="165" fontId="6" fillId="3" borderId="2" xfId="21" applyNumberFormat="1" applyFont="1" applyFill="1" applyBorder="1" applyAlignment="1">
      <alignment horizontal="center" vertical="center"/>
      <protection/>
    </xf>
    <xf numFmtId="169" fontId="6" fillId="3" borderId="2" xfId="21" applyNumberFormat="1" applyFont="1" applyFill="1" applyBorder="1" applyAlignment="1">
      <alignment horizontal="center" vertical="center"/>
      <protection/>
    </xf>
    <xf numFmtId="166" fontId="6" fillId="3" borderId="2" xfId="21" applyNumberFormat="1" applyFont="1" applyFill="1" applyBorder="1" applyAlignment="1">
      <alignment horizontal="center" vertical="center"/>
      <protection/>
    </xf>
    <xf numFmtId="49" fontId="6" fillId="3" borderId="2" xfId="21" applyNumberFormat="1" applyFont="1" applyFill="1" applyBorder="1" applyAlignment="1">
      <alignment horizontal="center" vertical="center"/>
      <protection/>
    </xf>
    <xf numFmtId="1" fontId="6" fillId="3" borderId="2" xfId="21" applyNumberFormat="1" applyFont="1" applyFill="1" applyBorder="1" applyAlignment="1">
      <alignment horizontal="center" vertical="center"/>
      <protection/>
    </xf>
    <xf numFmtId="0" fontId="11" fillId="3" borderId="2" xfId="21" applyFont="1" applyFill="1" applyBorder="1" applyAlignment="1">
      <alignment horizontal="center" vertical="center"/>
      <protection/>
    </xf>
    <xf numFmtId="2" fontId="6" fillId="3" borderId="2" xfId="21" applyNumberFormat="1" applyFont="1" applyFill="1" applyBorder="1" applyAlignment="1">
      <alignment horizontal="center" vertical="center"/>
      <protection/>
    </xf>
    <xf numFmtId="1" fontId="6" fillId="3" borderId="12" xfId="21" applyNumberFormat="1" applyFont="1" applyFill="1" applyBorder="1" applyAlignment="1">
      <alignment horizontal="center" vertical="center"/>
      <protection/>
    </xf>
    <xf numFmtId="0" fontId="11" fillId="3" borderId="7" xfId="21" applyFont="1" applyFill="1" applyBorder="1" applyAlignment="1">
      <alignment horizontal="center" vertical="center"/>
      <protection/>
    </xf>
    <xf numFmtId="0" fontId="6" fillId="3" borderId="23" xfId="21" applyFont="1" applyFill="1" applyBorder="1" applyAlignment="1">
      <alignment horizontal="center" vertical="center"/>
      <protection/>
    </xf>
    <xf numFmtId="165" fontId="6" fillId="3" borderId="23" xfId="21" applyNumberFormat="1" applyFont="1" applyFill="1" applyBorder="1" applyAlignment="1">
      <alignment horizontal="center" vertical="center"/>
      <protection/>
    </xf>
    <xf numFmtId="169" fontId="6" fillId="3" borderId="23" xfId="21" applyNumberFormat="1" applyFont="1" applyFill="1" applyBorder="1" applyAlignment="1">
      <alignment horizontal="center" vertical="center"/>
      <protection/>
    </xf>
    <xf numFmtId="166" fontId="6" fillId="3" borderId="23" xfId="21" applyNumberFormat="1" applyFont="1" applyFill="1" applyBorder="1" applyAlignment="1">
      <alignment horizontal="center" vertical="center"/>
      <protection/>
    </xf>
    <xf numFmtId="49" fontId="6" fillId="3" borderId="23" xfId="21" applyNumberFormat="1" applyFont="1" applyFill="1" applyBorder="1" applyAlignment="1">
      <alignment horizontal="center" vertical="center"/>
      <protection/>
    </xf>
    <xf numFmtId="0" fontId="4" fillId="3" borderId="23" xfId="21" applyFont="1" applyFill="1" applyBorder="1" applyAlignment="1">
      <alignment horizontal="center" vertical="center"/>
      <protection/>
    </xf>
    <xf numFmtId="1" fontId="6" fillId="3" borderId="23" xfId="21" applyNumberFormat="1" applyFont="1" applyFill="1" applyBorder="1" applyAlignment="1">
      <alignment horizontal="center" vertical="center"/>
      <protection/>
    </xf>
    <xf numFmtId="0" fontId="11" fillId="3" borderId="23" xfId="21" applyFont="1" applyFill="1" applyBorder="1" applyAlignment="1">
      <alignment horizontal="center" vertical="center"/>
      <protection/>
    </xf>
    <xf numFmtId="2" fontId="5" fillId="3" borderId="23" xfId="21" applyNumberFormat="1" applyFont="1" applyFill="1" applyBorder="1" applyAlignment="1">
      <alignment horizontal="center" vertical="center"/>
      <protection/>
    </xf>
    <xf numFmtId="0" fontId="11" fillId="3" borderId="4" xfId="21" applyFont="1" applyFill="1" applyBorder="1" applyAlignment="1">
      <alignment horizontal="center" vertical="center"/>
      <protection/>
    </xf>
    <xf numFmtId="1" fontId="6" fillId="4" borderId="1" xfId="21" applyNumberFormat="1" applyFont="1" applyFill="1" applyBorder="1" applyAlignment="1">
      <alignment horizontal="center" vertical="center"/>
      <protection/>
    </xf>
    <xf numFmtId="1" fontId="6" fillId="4" borderId="2" xfId="21" applyNumberFormat="1" applyFont="1" applyFill="1" applyBorder="1" applyAlignment="1">
      <alignment horizontal="center" vertical="center"/>
      <protection/>
    </xf>
    <xf numFmtId="1" fontId="6" fillId="4" borderId="3" xfId="21" applyNumberFormat="1" applyFont="1" applyFill="1" applyBorder="1" applyAlignment="1">
      <alignment horizontal="center" vertical="center"/>
      <protection/>
    </xf>
    <xf numFmtId="1" fontId="6" fillId="4" borderId="0" xfId="21" applyNumberFormat="1" applyFont="1" applyFill="1" applyBorder="1" applyAlignment="1">
      <alignment horizontal="center" vertical="center"/>
      <protection/>
    </xf>
    <xf numFmtId="0" fontId="10" fillId="4" borderId="1" xfId="21" applyFont="1" applyFill="1" applyBorder="1">
      <alignment/>
      <protection/>
    </xf>
    <xf numFmtId="1" fontId="4" fillId="4" borderId="2" xfId="21" applyNumberFormat="1" applyFont="1" applyFill="1" applyBorder="1" applyAlignment="1">
      <alignment horizontal="center" vertical="center"/>
      <protection/>
    </xf>
    <xf numFmtId="1" fontId="6" fillId="4" borderId="0" xfId="21" applyNumberFormat="1" applyFont="1" applyFill="1" applyAlignment="1">
      <alignment horizontal="center" vertical="center"/>
      <protection/>
    </xf>
    <xf numFmtId="1" fontId="6" fillId="4" borderId="24" xfId="21" applyNumberFormat="1" applyFont="1" applyFill="1" applyBorder="1" applyAlignment="1">
      <alignment horizontal="center" vertical="center"/>
      <protection/>
    </xf>
    <xf numFmtId="1" fontId="6" fillId="4" borderId="23" xfId="21" applyNumberFormat="1" applyFont="1" applyFill="1" applyBorder="1" applyAlignment="1">
      <alignment horizontal="center" vertical="center"/>
      <protection/>
    </xf>
    <xf numFmtId="1" fontId="5" fillId="4" borderId="23" xfId="21" applyNumberFormat="1" applyFont="1" applyFill="1" applyBorder="1" applyAlignment="1">
      <alignment horizontal="center" vertical="center"/>
      <protection/>
    </xf>
    <xf numFmtId="1" fontId="5" fillId="4" borderId="27" xfId="21" applyNumberFormat="1" applyFont="1" applyFill="1" applyBorder="1" applyAlignment="1">
      <alignment horizontal="center" vertical="center"/>
      <protection/>
    </xf>
    <xf numFmtId="0" fontId="6" fillId="0" borderId="29" xfId="21" applyFont="1" applyBorder="1" applyAlignment="1">
      <alignment horizontal="center" vertical="center"/>
      <protection/>
    </xf>
    <xf numFmtId="49" fontId="6" fillId="0" borderId="29" xfId="21" applyNumberFormat="1" applyFont="1" applyBorder="1" applyAlignment="1">
      <alignment horizontal="center" vertical="center"/>
      <protection/>
    </xf>
    <xf numFmtId="0" fontId="5" fillId="2" borderId="3" xfId="21" applyFont="1" applyFill="1" applyBorder="1" applyAlignment="1">
      <alignment horizontal="center" vertical="center"/>
      <protection/>
    </xf>
    <xf numFmtId="0" fontId="6" fillId="0" borderId="18" xfId="21" applyFont="1" applyBorder="1" applyAlignment="1">
      <alignment horizontal="center" vertical="center"/>
      <protection/>
    </xf>
    <xf numFmtId="0" fontId="6" fillId="0" borderId="8" xfId="21" applyFont="1" applyBorder="1" applyAlignment="1">
      <alignment horizontal="center" vertical="center"/>
      <protection/>
    </xf>
    <xf numFmtId="0" fontId="4" fillId="0" borderId="23" xfId="21" applyFont="1" applyBorder="1" applyAlignment="1">
      <alignment horizontal="center" vertical="center"/>
      <protection/>
    </xf>
    <xf numFmtId="0" fontId="4" fillId="0" borderId="2" xfId="21" applyFont="1" applyBorder="1" applyAlignment="1">
      <alignment horizontal="center"/>
      <protection/>
    </xf>
    <xf numFmtId="0" fontId="4" fillId="0" borderId="27" xfId="21" applyFont="1" applyBorder="1" applyAlignment="1">
      <alignment horizontal="center" vertical="center"/>
      <protection/>
    </xf>
    <xf numFmtId="0" fontId="6" fillId="0" borderId="27" xfId="21" applyFont="1" applyBorder="1" applyAlignment="1">
      <alignment horizontal="center" vertical="center"/>
      <protection/>
    </xf>
    <xf numFmtId="1" fontId="4" fillId="0" borderId="27" xfId="21" applyNumberFormat="1" applyFont="1" applyFill="1" applyBorder="1" applyAlignment="1">
      <alignment horizontal="center" vertical="center"/>
      <protection/>
    </xf>
    <xf numFmtId="169" fontId="6" fillId="0" borderId="18" xfId="21" applyNumberFormat="1" applyFont="1" applyBorder="1" applyAlignment="1">
      <alignment horizontal="center" vertical="center"/>
      <protection/>
    </xf>
    <xf numFmtId="1" fontId="4" fillId="0" borderId="6" xfId="21" applyNumberFormat="1" applyFont="1" applyFill="1" applyBorder="1" applyAlignment="1">
      <alignment horizontal="center" vertical="center"/>
      <protection/>
    </xf>
    <xf numFmtId="49" fontId="6" fillId="0" borderId="29" xfId="21" applyNumberFormat="1" applyFont="1" applyBorder="1" applyAlignment="1">
      <alignment horizontal="center"/>
      <protection/>
    </xf>
    <xf numFmtId="49" fontId="6" fillId="0" borderId="30" xfId="21" applyNumberFormat="1" applyFont="1" applyBorder="1" applyAlignment="1">
      <alignment horizontal="center"/>
      <protection/>
    </xf>
    <xf numFmtId="0" fontId="6" fillId="0" borderId="30" xfId="21" applyFont="1" applyBorder="1" applyAlignment="1">
      <alignment horizontal="center" vertical="center"/>
      <protection/>
    </xf>
    <xf numFmtId="1" fontId="6" fillId="0" borderId="27" xfId="21" applyNumberFormat="1" applyFont="1" applyFill="1" applyBorder="1" applyAlignment="1">
      <alignment horizontal="center" vertical="center"/>
      <protection/>
    </xf>
    <xf numFmtId="1" fontId="6" fillId="3" borderId="2" xfId="21" applyNumberFormat="1" applyFont="1" applyFill="1" applyBorder="1" applyAlignment="1">
      <alignment horizontal="center"/>
      <protection/>
    </xf>
    <xf numFmtId="0" fontId="6" fillId="0" borderId="2" xfId="21" applyFont="1" applyFill="1" applyBorder="1" applyAlignment="1">
      <alignment horizontal="center" vertical="center"/>
      <protection/>
    </xf>
    <xf numFmtId="0" fontId="4" fillId="5" borderId="8" xfId="21" applyFont="1" applyFill="1" applyBorder="1" applyAlignment="1">
      <alignment horizontal="center" vertical="center"/>
      <protection/>
    </xf>
    <xf numFmtId="0" fontId="4" fillId="5" borderId="27" xfId="21" applyFont="1" applyFill="1" applyBorder="1" applyAlignment="1">
      <alignment horizontal="center" vertical="center"/>
      <protection/>
    </xf>
    <xf numFmtId="165" fontId="4" fillId="5" borderId="27" xfId="21" applyNumberFormat="1" applyFont="1" applyFill="1" applyBorder="1" applyAlignment="1">
      <alignment horizontal="center" vertical="center"/>
      <protection/>
    </xf>
    <xf numFmtId="169" fontId="4" fillId="5" borderId="27" xfId="21" applyNumberFormat="1" applyFont="1" applyFill="1" applyBorder="1" applyAlignment="1">
      <alignment horizontal="center" vertical="center"/>
      <protection/>
    </xf>
    <xf numFmtId="166" fontId="4" fillId="5" borderId="27" xfId="21" applyNumberFormat="1" applyFont="1" applyFill="1" applyBorder="1" applyAlignment="1">
      <alignment horizontal="center" vertical="center"/>
      <protection/>
    </xf>
    <xf numFmtId="49" fontId="4" fillId="5" borderId="3" xfId="21" applyNumberFormat="1" applyFont="1" applyFill="1" applyBorder="1" applyAlignment="1">
      <alignment horizontal="center" vertical="center"/>
      <protection/>
    </xf>
    <xf numFmtId="0" fontId="4" fillId="5" borderId="3" xfId="21" applyFont="1" applyFill="1" applyBorder="1" applyAlignment="1">
      <alignment horizontal="center" vertical="center"/>
      <protection/>
    </xf>
    <xf numFmtId="1" fontId="4" fillId="5" borderId="27" xfId="21" applyNumberFormat="1" applyFont="1" applyFill="1" applyBorder="1" applyAlignment="1">
      <alignment horizontal="center" vertical="center"/>
      <protection/>
    </xf>
    <xf numFmtId="0" fontId="4" fillId="5" borderId="23" xfId="21" applyFont="1" applyFill="1" applyBorder="1" applyAlignment="1">
      <alignment horizontal="center" vertical="center"/>
      <protection/>
    </xf>
    <xf numFmtId="2" fontId="4" fillId="5" borderId="27" xfId="21" applyNumberFormat="1" applyFont="1" applyFill="1" applyBorder="1" applyAlignment="1">
      <alignment horizontal="center" vertical="center"/>
      <protection/>
    </xf>
    <xf numFmtId="0" fontId="4" fillId="5" borderId="28" xfId="21" applyFont="1" applyFill="1" applyBorder="1" applyAlignment="1">
      <alignment horizontal="center" vertical="center"/>
      <protection/>
    </xf>
    <xf numFmtId="0" fontId="7" fillId="5" borderId="0" xfId="21" applyFont="1" applyFill="1">
      <alignment/>
      <protection/>
    </xf>
    <xf numFmtId="172" fontId="7" fillId="5" borderId="27" xfId="21" applyNumberFormat="1" applyFont="1" applyFill="1" applyBorder="1">
      <alignment/>
      <protection/>
    </xf>
    <xf numFmtId="172" fontId="7" fillId="5" borderId="28" xfId="21" applyNumberFormat="1" applyFont="1" applyFill="1" applyBorder="1">
      <alignment/>
      <protection/>
    </xf>
    <xf numFmtId="0" fontId="4" fillId="5" borderId="27" xfId="21" applyFont="1" applyFill="1" applyBorder="1" applyAlignment="1">
      <alignment horizontal="center" vertical="center" wrapText="1"/>
      <protection/>
    </xf>
    <xf numFmtId="10" fontId="20" fillId="0" borderId="23" xfId="21" applyNumberFormat="1" applyFont="1" applyBorder="1" applyAlignment="1">
      <alignment wrapText="1"/>
      <protection/>
    </xf>
    <xf numFmtId="10" fontId="21" fillId="0" borderId="23" xfId="0" applyNumberFormat="1" applyFont="1" applyBorder="1" applyAlignment="1">
      <alignment wrapText="1"/>
    </xf>
    <xf numFmtId="10" fontId="21" fillId="0" borderId="27" xfId="0" applyNumberFormat="1" applyFont="1" applyBorder="1" applyAlignment="1">
      <alignment wrapText="1"/>
    </xf>
    <xf numFmtId="10" fontId="20" fillId="0" borderId="26" xfId="21" applyNumberFormat="1" applyFont="1" applyBorder="1" applyAlignment="1">
      <alignment wrapText="1"/>
      <protection/>
    </xf>
    <xf numFmtId="10" fontId="21" fillId="0" borderId="26" xfId="0" applyNumberFormat="1" applyFont="1" applyBorder="1" applyAlignment="1">
      <alignment wrapText="1"/>
    </xf>
    <xf numFmtId="10" fontId="21" fillId="0" borderId="28" xfId="0" applyNumberFormat="1" applyFont="1" applyBorder="1" applyAlignment="1">
      <alignment wrapText="1"/>
    </xf>
    <xf numFmtId="10" fontId="18" fillId="0" borderId="19" xfId="21" applyNumberFormat="1" applyFont="1" applyBorder="1" applyAlignment="1">
      <alignment horizontal="center"/>
      <protection/>
    </xf>
    <xf numFmtId="10" fontId="18" fillId="0" borderId="24" xfId="21" applyNumberFormat="1" applyFont="1" applyBorder="1" applyAlignment="1">
      <alignment horizontal="center"/>
      <protection/>
    </xf>
    <xf numFmtId="10" fontId="0" fillId="0" borderId="24" xfId="0" applyNumberFormat="1" applyBorder="1" applyAlignment="1">
      <alignment horizontal="center"/>
    </xf>
    <xf numFmtId="10" fontId="0" fillId="0" borderId="25" xfId="0" applyNumberFormat="1" applyBorder="1" applyAlignment="1">
      <alignment horizontal="center"/>
    </xf>
    <xf numFmtId="0" fontId="6" fillId="0" borderId="0" xfId="21" applyFont="1" applyBorder="1" applyAlignment="1">
      <alignment horizontal="right"/>
      <protection/>
    </xf>
    <xf numFmtId="0" fontId="0" fillId="0" borderId="0" xfId="0" applyAlignment="1">
      <alignment horizontal="right"/>
    </xf>
    <xf numFmtId="0" fontId="6" fillId="0" borderId="9" xfId="21" applyFont="1" applyBorder="1" applyAlignment="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2" fontId="10" fillId="0" borderId="31" xfId="21" applyNumberFormat="1" applyFont="1" applyBorder="1" applyAlignment="1">
      <alignment horizontal="center" wrapText="1"/>
      <protection/>
    </xf>
    <xf numFmtId="0" fontId="0" fillId="0" borderId="32" xfId="0" applyBorder="1" applyAlignment="1">
      <alignment horizontal="center" wrapText="1"/>
    </xf>
    <xf numFmtId="10" fontId="20" fillId="0" borderId="7" xfId="21" applyNumberFormat="1" applyFont="1" applyBorder="1" applyAlignment="1">
      <alignment horizontal="center" wrapText="1"/>
      <protection/>
    </xf>
    <xf numFmtId="10" fontId="21" fillId="0" borderId="7" xfId="0" applyNumberFormat="1" applyFont="1" applyBorder="1" applyAlignment="1">
      <alignment horizontal="center" wrapText="1"/>
    </xf>
    <xf numFmtId="10" fontId="21" fillId="0" borderId="8" xfId="0" applyNumberFormat="1"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PS_8_28_98.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87"/>
  <sheetViews>
    <sheetView tabSelected="1" view="pageBreakPreview" zoomScaleNormal="75" zoomScaleSheetLayoutView="100" workbookViewId="0" topLeftCell="A1">
      <selection activeCell="F18" sqref="F18"/>
    </sheetView>
  </sheetViews>
  <sheetFormatPr defaultColWidth="9.00390625" defaultRowHeight="12.75"/>
  <cols>
    <col min="1" max="1" width="21.625" style="85" customWidth="1"/>
    <col min="2" max="2" width="12.25390625" style="85" bestFit="1" customWidth="1"/>
    <col min="3" max="3" width="6.375" style="85" customWidth="1"/>
    <col min="4" max="4" width="8.75390625" style="93" customWidth="1"/>
    <col min="5" max="5" width="10.75390625" style="94" customWidth="1"/>
    <col min="6" max="6" width="8.75390625" style="108" customWidth="1"/>
    <col min="7" max="7" width="8.25390625" style="95" bestFit="1" customWidth="1"/>
    <col min="8" max="8" width="6.625" style="85" bestFit="1" customWidth="1"/>
    <col min="9" max="9" width="6.00390625" style="85" customWidth="1"/>
    <col min="10" max="10" width="7.625" style="159" bestFit="1" customWidth="1"/>
    <col min="11" max="11" width="7.75390625" style="94" customWidth="1"/>
    <col min="12" max="13" width="6.00390625" style="85" customWidth="1"/>
    <col min="14" max="15" width="7.75390625" style="93" customWidth="1"/>
    <col min="16" max="16" width="9.25390625" style="85" bestFit="1" customWidth="1"/>
    <col min="17" max="17" width="6.00390625" style="85" bestFit="1" customWidth="1"/>
    <col min="18" max="18" width="6.875" style="82" customWidth="1"/>
    <col min="19" max="19" width="7.625" style="82" bestFit="1" customWidth="1"/>
    <col min="20" max="20" width="9.25390625" style="82" bestFit="1" customWidth="1"/>
    <col min="21" max="21" width="8.125" style="82" customWidth="1"/>
    <col min="22" max="22" width="8.75390625" style="82" bestFit="1" customWidth="1"/>
    <col min="23" max="23" width="16.25390625" style="85" customWidth="1"/>
    <col min="24" max="25" width="12.75390625" style="85" bestFit="1" customWidth="1"/>
    <col min="26" max="26" width="10.375" style="85" bestFit="1" customWidth="1"/>
    <col min="27" max="27" width="9.875" style="82" customWidth="1"/>
    <col min="28" max="28" width="12.75390625" style="82" bestFit="1" customWidth="1"/>
    <col min="29" max="29" width="7.75390625" style="82" customWidth="1"/>
    <col min="30" max="30" width="11.00390625" style="85" customWidth="1"/>
    <col min="31" max="31" width="1.75390625" style="13" customWidth="1"/>
    <col min="32" max="32" width="6.75390625" style="14" customWidth="1"/>
    <col min="33" max="33" width="7.375" style="14" customWidth="1"/>
    <col min="34" max="34" width="11.00390625" style="202" customWidth="1"/>
    <col min="35" max="35" width="10.875" style="202" customWidth="1"/>
    <col min="36" max="36" width="10.00390625" style="202" customWidth="1"/>
    <col min="37" max="37" width="7.625" style="202" customWidth="1"/>
    <col min="38" max="16384" width="7.625" style="0" customWidth="1"/>
  </cols>
  <sheetData>
    <row r="1" spans="1:37" ht="24" thickBot="1">
      <c r="A1" s="6" t="s">
        <v>52</v>
      </c>
      <c r="B1" s="7"/>
      <c r="C1" s="7"/>
      <c r="D1" s="8"/>
      <c r="E1" s="9"/>
      <c r="F1" s="96"/>
      <c r="G1" s="10"/>
      <c r="H1" s="7"/>
      <c r="I1" s="7"/>
      <c r="J1" s="146"/>
      <c r="K1" s="9"/>
      <c r="L1" s="7"/>
      <c r="M1" s="7"/>
      <c r="N1" s="8"/>
      <c r="O1" s="8"/>
      <c r="P1" s="7"/>
      <c r="Q1" s="7"/>
      <c r="R1" s="11"/>
      <c r="S1" s="11"/>
      <c r="T1" s="11"/>
      <c r="U1" s="11"/>
      <c r="V1" s="11"/>
      <c r="W1" s="7"/>
      <c r="X1" s="7"/>
      <c r="Y1" s="7"/>
      <c r="Z1" s="7"/>
      <c r="AA1" s="11"/>
      <c r="AB1" s="11"/>
      <c r="AC1" s="11"/>
      <c r="AD1" s="12"/>
      <c r="AH1" s="394" t="s">
        <v>91</v>
      </c>
      <c r="AI1" s="395"/>
      <c r="AJ1" s="396"/>
      <c r="AK1" s="397"/>
    </row>
    <row r="2" spans="1:37" ht="19.5" customHeight="1" thickBot="1">
      <c r="A2" s="398" t="s">
        <v>97</v>
      </c>
      <c r="B2" s="399"/>
      <c r="C2" s="16">
        <v>1.9</v>
      </c>
      <c r="D2" s="19" t="s">
        <v>98</v>
      </c>
      <c r="E2" s="17">
        <v>35901</v>
      </c>
      <c r="F2" s="97"/>
      <c r="G2" s="18"/>
      <c r="H2" s="19"/>
      <c r="I2" s="19"/>
      <c r="J2" s="147"/>
      <c r="K2" s="21"/>
      <c r="L2" s="19"/>
      <c r="M2" s="19"/>
      <c r="N2" s="22"/>
      <c r="O2" s="22"/>
      <c r="P2" s="19"/>
      <c r="Q2" s="19"/>
      <c r="R2" s="20"/>
      <c r="S2" s="20"/>
      <c r="T2" s="20"/>
      <c r="U2" s="20"/>
      <c r="V2" s="20"/>
      <c r="W2" s="19"/>
      <c r="X2" s="19"/>
      <c r="Y2" s="19"/>
      <c r="Z2" s="19"/>
      <c r="AA2" s="20"/>
      <c r="AB2" s="20"/>
      <c r="AC2" s="20"/>
      <c r="AD2" s="19"/>
      <c r="AF2" s="165" t="s">
        <v>92</v>
      </c>
      <c r="AG2" s="198"/>
      <c r="AH2" s="405" t="s">
        <v>94</v>
      </c>
      <c r="AI2" s="388" t="s">
        <v>132</v>
      </c>
      <c r="AJ2" s="388" t="s">
        <v>5</v>
      </c>
      <c r="AK2" s="391" t="s">
        <v>132</v>
      </c>
    </row>
    <row r="3" spans="1:37" ht="15.75" customHeight="1">
      <c r="A3" s="400" t="s">
        <v>75</v>
      </c>
      <c r="B3" s="1"/>
      <c r="C3" s="1"/>
      <c r="D3" s="4" t="s">
        <v>11</v>
      </c>
      <c r="E3" s="3" t="s">
        <v>11</v>
      </c>
      <c r="F3" s="102" t="s">
        <v>11</v>
      </c>
      <c r="G3" s="188" t="s">
        <v>12</v>
      </c>
      <c r="H3" s="189"/>
      <c r="I3" s="189"/>
      <c r="J3" s="190"/>
      <c r="K3" s="191"/>
      <c r="L3" s="189" t="s">
        <v>130</v>
      </c>
      <c r="M3" s="189"/>
      <c r="N3" s="123" t="s">
        <v>13</v>
      </c>
      <c r="O3" s="123" t="s">
        <v>13</v>
      </c>
      <c r="P3" s="233" t="s">
        <v>10</v>
      </c>
      <c r="Q3" s="1" t="s">
        <v>14</v>
      </c>
      <c r="R3" s="49"/>
      <c r="S3" s="49" t="s">
        <v>10</v>
      </c>
      <c r="T3" s="344" t="s">
        <v>61</v>
      </c>
      <c r="U3" s="49" t="s">
        <v>62</v>
      </c>
      <c r="V3" s="49" t="s">
        <v>10</v>
      </c>
      <c r="W3" s="192" t="s">
        <v>63</v>
      </c>
      <c r="X3" s="189"/>
      <c r="Y3" s="189"/>
      <c r="Z3" s="189"/>
      <c r="AA3" s="49" t="s">
        <v>129</v>
      </c>
      <c r="AB3" s="49" t="s">
        <v>64</v>
      </c>
      <c r="AC3" s="124" t="s">
        <v>65</v>
      </c>
      <c r="AD3" s="36" t="s">
        <v>66</v>
      </c>
      <c r="AF3" s="403" t="s">
        <v>3</v>
      </c>
      <c r="AG3" s="404"/>
      <c r="AH3" s="406"/>
      <c r="AI3" s="388"/>
      <c r="AJ3" s="388"/>
      <c r="AK3" s="391"/>
    </row>
    <row r="4" spans="1:37" ht="15.75" customHeight="1">
      <c r="A4" s="401"/>
      <c r="B4" s="23" t="s">
        <v>67</v>
      </c>
      <c r="C4" s="23" t="s">
        <v>41</v>
      </c>
      <c r="D4" s="5" t="s">
        <v>72</v>
      </c>
      <c r="E4" s="24" t="s">
        <v>23</v>
      </c>
      <c r="F4" s="98" t="s">
        <v>39</v>
      </c>
      <c r="G4" s="28" t="s">
        <v>24</v>
      </c>
      <c r="H4" s="23" t="s">
        <v>41</v>
      </c>
      <c r="I4" s="23" t="s">
        <v>25</v>
      </c>
      <c r="J4" s="148" t="s">
        <v>26</v>
      </c>
      <c r="K4" s="24" t="s">
        <v>23</v>
      </c>
      <c r="L4" s="23" t="s">
        <v>131</v>
      </c>
      <c r="M4" s="23" t="s">
        <v>26</v>
      </c>
      <c r="N4" s="25" t="s">
        <v>27</v>
      </c>
      <c r="O4" s="25" t="s">
        <v>73</v>
      </c>
      <c r="P4" s="234" t="s">
        <v>28</v>
      </c>
      <c r="Q4" s="23" t="s">
        <v>29</v>
      </c>
      <c r="R4" s="27" t="s">
        <v>30</v>
      </c>
      <c r="S4" s="27" t="s">
        <v>31</v>
      </c>
      <c r="T4" s="345" t="s">
        <v>28</v>
      </c>
      <c r="U4" s="27" t="s">
        <v>40</v>
      </c>
      <c r="V4" s="27" t="s">
        <v>32</v>
      </c>
      <c r="W4" s="23" t="s">
        <v>24</v>
      </c>
      <c r="X4" s="23" t="s">
        <v>33</v>
      </c>
      <c r="Y4" s="23" t="s">
        <v>29</v>
      </c>
      <c r="Z4" s="23" t="s">
        <v>128</v>
      </c>
      <c r="AA4" s="27" t="s">
        <v>32</v>
      </c>
      <c r="AB4" s="27" t="s">
        <v>34</v>
      </c>
      <c r="AC4" s="126" t="s">
        <v>64</v>
      </c>
      <c r="AD4" s="36" t="s">
        <v>35</v>
      </c>
      <c r="AF4" s="109" t="s">
        <v>43</v>
      </c>
      <c r="AG4" s="199" t="s">
        <v>45</v>
      </c>
      <c r="AH4" s="406"/>
      <c r="AI4" s="389"/>
      <c r="AJ4" s="389"/>
      <c r="AK4" s="392"/>
    </row>
    <row r="5" spans="1:37" ht="15.75" customHeight="1" thickBot="1">
      <c r="A5" s="402"/>
      <c r="B5" s="29" t="s">
        <v>24</v>
      </c>
      <c r="C5" s="29" t="s">
        <v>88</v>
      </c>
      <c r="D5" s="30" t="s">
        <v>110</v>
      </c>
      <c r="E5" s="31" t="s">
        <v>111</v>
      </c>
      <c r="F5" s="100" t="s">
        <v>82</v>
      </c>
      <c r="G5" s="32" t="s">
        <v>112</v>
      </c>
      <c r="H5" s="29" t="s">
        <v>76</v>
      </c>
      <c r="I5" s="29" t="s">
        <v>77</v>
      </c>
      <c r="J5" s="149" t="s">
        <v>78</v>
      </c>
      <c r="K5" s="31" t="s">
        <v>77</v>
      </c>
      <c r="L5" s="29" t="s">
        <v>77</v>
      </c>
      <c r="M5" s="29" t="s">
        <v>74</v>
      </c>
      <c r="N5" s="30" t="s">
        <v>77</v>
      </c>
      <c r="O5" s="30" t="s">
        <v>74</v>
      </c>
      <c r="P5" s="235" t="s">
        <v>79</v>
      </c>
      <c r="Q5" s="29" t="s">
        <v>79</v>
      </c>
      <c r="R5" s="33" t="s">
        <v>80</v>
      </c>
      <c r="S5" s="33" t="s">
        <v>81</v>
      </c>
      <c r="T5" s="346" t="s">
        <v>79</v>
      </c>
      <c r="U5" s="33" t="s">
        <v>82</v>
      </c>
      <c r="V5" s="33" t="s">
        <v>82</v>
      </c>
      <c r="W5" s="29" t="s">
        <v>114</v>
      </c>
      <c r="X5" s="29" t="s">
        <v>81</v>
      </c>
      <c r="Y5" s="29" t="s">
        <v>79</v>
      </c>
      <c r="Z5" s="29" t="s">
        <v>82</v>
      </c>
      <c r="AA5" s="33" t="s">
        <v>82</v>
      </c>
      <c r="AB5" s="33" t="s">
        <v>115</v>
      </c>
      <c r="AC5" s="128" t="s">
        <v>115</v>
      </c>
      <c r="AD5" s="36" t="s">
        <v>116</v>
      </c>
      <c r="AF5" s="110" t="s">
        <v>44</v>
      </c>
      <c r="AG5" s="200" t="s">
        <v>46</v>
      </c>
      <c r="AH5" s="407"/>
      <c r="AI5" s="390"/>
      <c r="AJ5" s="390"/>
      <c r="AK5" s="393"/>
    </row>
    <row r="6" spans="1:36" ht="19.5" customHeight="1" thickBot="1">
      <c r="A6" s="175"/>
      <c r="B6" s="81"/>
      <c r="C6" s="81"/>
      <c r="D6" s="80"/>
      <c r="E6" s="177"/>
      <c r="F6" s="99"/>
      <c r="G6" s="178"/>
      <c r="H6" s="81"/>
      <c r="I6" s="81"/>
      <c r="J6" s="179"/>
      <c r="K6" s="177"/>
      <c r="L6" s="81"/>
      <c r="M6" s="81"/>
      <c r="N6" s="80"/>
      <c r="O6" s="80"/>
      <c r="P6" s="236"/>
      <c r="Q6" s="81"/>
      <c r="R6" s="180"/>
      <c r="S6" s="180"/>
      <c r="T6" s="347"/>
      <c r="U6" s="180"/>
      <c r="V6" s="180"/>
      <c r="W6" s="81"/>
      <c r="X6" s="81"/>
      <c r="Y6" s="81"/>
      <c r="Z6" s="81"/>
      <c r="AA6" s="180"/>
      <c r="AB6" s="180"/>
      <c r="AC6" s="180"/>
      <c r="AD6" s="23" t="s">
        <v>120</v>
      </c>
      <c r="AF6" s="171" t="s">
        <v>7</v>
      </c>
      <c r="AG6" s="171"/>
      <c r="AH6" s="201"/>
      <c r="AJ6" s="202" t="s">
        <v>93</v>
      </c>
    </row>
    <row r="7" spans="1:37" ht="19.5" customHeight="1">
      <c r="A7" s="183" t="s">
        <v>9</v>
      </c>
      <c r="B7" s="181"/>
      <c r="C7" s="181"/>
      <c r="D7" s="184"/>
      <c r="E7" s="185"/>
      <c r="F7" s="186"/>
      <c r="G7" s="181"/>
      <c r="H7" s="181"/>
      <c r="I7" s="181"/>
      <c r="J7" s="187"/>
      <c r="K7" s="185"/>
      <c r="L7" s="184"/>
      <c r="M7" s="184"/>
      <c r="N7" s="181"/>
      <c r="O7" s="181"/>
      <c r="P7" s="237"/>
      <c r="Q7" s="181"/>
      <c r="R7" s="181"/>
      <c r="S7" s="181"/>
      <c r="T7" s="348"/>
      <c r="U7" s="181"/>
      <c r="V7" s="181"/>
      <c r="W7" s="181"/>
      <c r="X7" s="181"/>
      <c r="Y7" s="181"/>
      <c r="Z7" s="181"/>
      <c r="AA7" s="181"/>
      <c r="AB7" s="181"/>
      <c r="AC7" s="174"/>
      <c r="AD7" s="193"/>
      <c r="AE7" s="168"/>
      <c r="AF7" s="167"/>
      <c r="AG7" s="205"/>
      <c r="AH7" s="213"/>
      <c r="AI7" s="214"/>
      <c r="AJ7" s="214" t="s">
        <v>6</v>
      </c>
      <c r="AK7" s="215"/>
    </row>
    <row r="8" spans="1:37" ht="15.75" customHeight="1">
      <c r="A8" s="143" t="s">
        <v>47</v>
      </c>
      <c r="B8" s="23" t="s">
        <v>104</v>
      </c>
      <c r="C8" s="23">
        <v>3</v>
      </c>
      <c r="D8" s="5"/>
      <c r="E8" s="24"/>
      <c r="F8" s="98"/>
      <c r="G8" s="28"/>
      <c r="H8" s="23"/>
      <c r="I8" s="23"/>
      <c r="J8" s="148"/>
      <c r="K8" s="24"/>
      <c r="L8" s="5"/>
      <c r="M8" s="5"/>
      <c r="N8" s="5"/>
      <c r="O8" s="5"/>
      <c r="P8" s="238"/>
      <c r="Q8" s="23"/>
      <c r="R8" s="27"/>
      <c r="S8" s="27"/>
      <c r="T8" s="345"/>
      <c r="U8" s="27"/>
      <c r="V8" s="27"/>
      <c r="W8" s="23"/>
      <c r="X8" s="23"/>
      <c r="Y8" s="23"/>
      <c r="Z8" s="23"/>
      <c r="AA8" s="27"/>
      <c r="AB8" s="27"/>
      <c r="AC8" s="126"/>
      <c r="AD8" s="36"/>
      <c r="AE8" s="196"/>
      <c r="AF8" s="166"/>
      <c r="AG8" s="206"/>
      <c r="AH8" s="216"/>
      <c r="AI8" s="210"/>
      <c r="AJ8" s="210"/>
      <c r="AK8" s="217"/>
    </row>
    <row r="9" spans="1:37" ht="13.5" customHeight="1">
      <c r="A9" s="313" t="s">
        <v>172</v>
      </c>
      <c r="B9" s="314" t="s">
        <v>118</v>
      </c>
      <c r="C9" s="314">
        <v>1</v>
      </c>
      <c r="D9" s="315">
        <v>0.017</v>
      </c>
      <c r="E9" s="316">
        <v>0.013</v>
      </c>
      <c r="F9" s="317"/>
      <c r="G9" s="318">
        <v>500</v>
      </c>
      <c r="H9" s="314">
        <v>2</v>
      </c>
      <c r="I9" s="315">
        <v>0.026</v>
      </c>
      <c r="J9" s="319">
        <v>132.3</v>
      </c>
      <c r="K9" s="316">
        <f aca="true" t="shared" si="0" ref="K9:K16">2*J9*(I9/H9)/1000</f>
        <v>0.0034398</v>
      </c>
      <c r="L9" s="315">
        <v>0.002</v>
      </c>
      <c r="M9" s="315">
        <v>0.001</v>
      </c>
      <c r="N9" s="315">
        <f aca="true" t="shared" si="1" ref="N9:N16">(C9*E9+K9+L9)</f>
        <v>0.0184398</v>
      </c>
      <c r="O9" s="315">
        <f aca="true" t="shared" si="2" ref="O9:O16">C9*D9+M9</f>
        <v>0.018000000000000002</v>
      </c>
      <c r="P9" s="314">
        <f>1445*0.53</f>
        <v>765.85</v>
      </c>
      <c r="Q9" s="314">
        <v>0</v>
      </c>
      <c r="R9" s="319" t="s">
        <v>103</v>
      </c>
      <c r="S9" s="319">
        <v>200</v>
      </c>
      <c r="T9" s="319">
        <v>400</v>
      </c>
      <c r="U9" s="319">
        <f aca="true" t="shared" si="3" ref="U9:U16">(T9)^2*E9/1000</f>
        <v>2.08</v>
      </c>
      <c r="V9" s="319">
        <f aca="true" t="shared" si="4" ref="V9:V16">P9*S9/1000</f>
        <v>153.17</v>
      </c>
      <c r="W9" s="320" t="s">
        <v>119</v>
      </c>
      <c r="X9" s="320">
        <v>200</v>
      </c>
      <c r="Y9" s="320">
        <v>2500</v>
      </c>
      <c r="Z9" s="321">
        <f>0.05*(X9*T9)/1000</f>
        <v>4</v>
      </c>
      <c r="AA9" s="319">
        <f aca="true" t="shared" si="5" ref="AA9:AA29">N9*T9^2/1000+Z9</f>
        <v>6.950368</v>
      </c>
      <c r="AB9" s="319">
        <f aca="true" t="shared" si="6" ref="AB9:AB29">T9*X9/1000*1.4</f>
        <v>112</v>
      </c>
      <c r="AC9" s="322">
        <f aca="true" t="shared" si="7" ref="AC9:AC29">P9*X9/1000*1.4</f>
        <v>214.43799999999996</v>
      </c>
      <c r="AD9" s="119" t="s">
        <v>120</v>
      </c>
      <c r="AE9" s="197"/>
      <c r="AF9" s="169">
        <f>S9/(2*SQRT((2*3.14*720*O9)^2+N9^2))</f>
        <v>1.2286702523372994</v>
      </c>
      <c r="AG9" s="207">
        <f>100*AF9/P9</f>
        <v>0.16043223246553495</v>
      </c>
      <c r="AH9" s="218">
        <v>0.001</v>
      </c>
      <c r="AI9" s="211">
        <f>(AH9*Y9)/P9</f>
        <v>0.0032643468042044786</v>
      </c>
      <c r="AJ9" s="211">
        <v>0.0001</v>
      </c>
      <c r="AK9" s="219">
        <f>(AJ9*Y9)/P9</f>
        <v>0.00032643468042044786</v>
      </c>
    </row>
    <row r="10" spans="1:37" ht="15.75" customHeight="1">
      <c r="A10" s="161" t="s">
        <v>173</v>
      </c>
      <c r="B10" s="113" t="s">
        <v>118</v>
      </c>
      <c r="C10" s="113">
        <v>2</v>
      </c>
      <c r="D10" s="114">
        <v>0.017</v>
      </c>
      <c r="E10" s="115">
        <v>0.013</v>
      </c>
      <c r="F10" s="116"/>
      <c r="G10" s="117">
        <v>500</v>
      </c>
      <c r="H10" s="113">
        <v>3</v>
      </c>
      <c r="I10" s="114">
        <v>0.026</v>
      </c>
      <c r="J10" s="145">
        <v>153.66026</v>
      </c>
      <c r="K10" s="115">
        <f>2*J10*(I10/H10)/1000</f>
        <v>0.0026634445066666666</v>
      </c>
      <c r="L10" s="114">
        <v>0.002</v>
      </c>
      <c r="M10" s="114">
        <v>0.001</v>
      </c>
      <c r="N10" s="114">
        <f>(C10*E10+K10+L10)</f>
        <v>0.030663444506666665</v>
      </c>
      <c r="O10" s="114">
        <f>C10*D10+M10</f>
        <v>0.035</v>
      </c>
      <c r="P10" s="239">
        <f>1445*1.25</f>
        <v>1806.25</v>
      </c>
      <c r="Q10" s="113">
        <v>0</v>
      </c>
      <c r="R10" s="118" t="s">
        <v>134</v>
      </c>
      <c r="S10" s="118">
        <v>200</v>
      </c>
      <c r="T10" s="349">
        <v>794</v>
      </c>
      <c r="U10" s="118">
        <f>(T10)^2*E10/1000</f>
        <v>8.195668</v>
      </c>
      <c r="V10" s="118">
        <f>P10*S10/1000</f>
        <v>361.25</v>
      </c>
      <c r="W10" s="120" t="s">
        <v>119</v>
      </c>
      <c r="X10" s="120">
        <v>200</v>
      </c>
      <c r="Y10" s="120">
        <v>2500</v>
      </c>
      <c r="Z10" s="121">
        <f>0.05*(X10*T10)/1000</f>
        <v>7.94</v>
      </c>
      <c r="AA10" s="118">
        <f>N10*T10^2/1000+Z10</f>
        <v>27.271339301004904</v>
      </c>
      <c r="AB10" s="118">
        <f>T10*X10/1000*1.4</f>
        <v>222.32</v>
      </c>
      <c r="AC10" s="129">
        <f>P10*X10/1000*1.4</f>
        <v>505.74999999999994</v>
      </c>
      <c r="AD10" s="119" t="s">
        <v>135</v>
      </c>
      <c r="AE10" s="197"/>
      <c r="AF10" s="169">
        <f>S10/(2*SQRT((2*3.14*720*O10)^2+N10^2))</f>
        <v>0.6318875627014603</v>
      </c>
      <c r="AG10" s="207">
        <f>100*AF10/P10</f>
        <v>0.03498339447482133</v>
      </c>
      <c r="AH10" s="218">
        <v>0.001</v>
      </c>
      <c r="AI10" s="211">
        <f aca="true" t="shared" si="8" ref="AI10:AI16">(AH10*Y10)/P10</f>
        <v>0.001384083044982699</v>
      </c>
      <c r="AJ10" s="211">
        <v>0.0001</v>
      </c>
      <c r="AK10" s="219">
        <f>(AJ10*Y10)/P10</f>
        <v>0.0001384083044982699</v>
      </c>
    </row>
    <row r="11" spans="1:37" ht="15.75" customHeight="1">
      <c r="A11" s="323" t="s">
        <v>48</v>
      </c>
      <c r="B11" s="324" t="s">
        <v>121</v>
      </c>
      <c r="C11" s="324">
        <v>1</v>
      </c>
      <c r="D11" s="325">
        <v>0.002</v>
      </c>
      <c r="E11" s="326">
        <v>0.007</v>
      </c>
      <c r="F11" s="327"/>
      <c r="G11" s="328">
        <v>500</v>
      </c>
      <c r="H11" s="314">
        <v>5</v>
      </c>
      <c r="I11" s="324">
        <v>0.026</v>
      </c>
      <c r="J11" s="319">
        <v>165.24468</v>
      </c>
      <c r="K11" s="326">
        <f t="shared" si="0"/>
        <v>0.0017185446719999997</v>
      </c>
      <c r="L11" s="325">
        <v>0.002</v>
      </c>
      <c r="M11" s="325">
        <v>0.001</v>
      </c>
      <c r="N11" s="325">
        <f t="shared" si="1"/>
        <v>0.010718544671999999</v>
      </c>
      <c r="O11" s="325">
        <f t="shared" si="2"/>
        <v>0.003</v>
      </c>
      <c r="P11" s="324">
        <f>2786*1.25</f>
        <v>3482.5</v>
      </c>
      <c r="Q11" s="324">
        <v>0</v>
      </c>
      <c r="R11" s="329" t="s">
        <v>103</v>
      </c>
      <c r="S11" s="329">
        <v>50</v>
      </c>
      <c r="T11" s="329">
        <v>1560</v>
      </c>
      <c r="U11" s="329">
        <f t="shared" si="3"/>
        <v>17.0352</v>
      </c>
      <c r="V11" s="329">
        <f t="shared" si="4"/>
        <v>174.125</v>
      </c>
      <c r="W11" s="330" t="s">
        <v>119</v>
      </c>
      <c r="X11" s="330">
        <v>50</v>
      </c>
      <c r="Y11" s="330">
        <v>5000</v>
      </c>
      <c r="Z11" s="331">
        <f aca="true" t="shared" si="9" ref="Z11:Z29">0.05*(X11*T11)/1000</f>
        <v>3.9</v>
      </c>
      <c r="AA11" s="329">
        <f t="shared" si="5"/>
        <v>29.9846503137792</v>
      </c>
      <c r="AB11" s="329">
        <f t="shared" si="6"/>
        <v>109.19999999999999</v>
      </c>
      <c r="AC11" s="332">
        <f t="shared" si="7"/>
        <v>243.77499999999998</v>
      </c>
      <c r="AD11" s="36" t="s">
        <v>120</v>
      </c>
      <c r="AE11" s="168"/>
      <c r="AF11" s="170">
        <f>S11/(2*SQRT((2*3.14*720*O11)^2+N11^2))</f>
        <v>1.8430048504458485</v>
      </c>
      <c r="AG11" s="208">
        <f>100*AF11/P11</f>
        <v>0.05292189089578891</v>
      </c>
      <c r="AH11" s="220">
        <v>0.001</v>
      </c>
      <c r="AI11" s="211">
        <f t="shared" si="8"/>
        <v>0.0014357501794687725</v>
      </c>
      <c r="AJ11" s="211">
        <v>0.0001</v>
      </c>
      <c r="AK11" s="219">
        <f>(AJ11*Y11)/P11</f>
        <v>0.00014357501794687725</v>
      </c>
    </row>
    <row r="12" spans="1:37" ht="15.75" customHeight="1">
      <c r="A12" s="125" t="s">
        <v>49</v>
      </c>
      <c r="B12" s="23" t="s">
        <v>122</v>
      </c>
      <c r="C12" s="23">
        <v>1</v>
      </c>
      <c r="D12" s="5">
        <v>1.5</v>
      </c>
      <c r="E12" s="24">
        <v>2.25</v>
      </c>
      <c r="F12" s="98">
        <v>24.1</v>
      </c>
      <c r="G12" s="28" t="s">
        <v>105</v>
      </c>
      <c r="H12" s="23">
        <v>1</v>
      </c>
      <c r="I12" s="23">
        <v>0.125</v>
      </c>
      <c r="J12" s="145">
        <v>97.91139</v>
      </c>
      <c r="K12" s="24">
        <f>2*J12*(I12/H12)/1000</f>
        <v>0.0244778475</v>
      </c>
      <c r="L12" s="5">
        <v>0</v>
      </c>
      <c r="M12" s="5">
        <v>0</v>
      </c>
      <c r="N12" s="5">
        <f>(C12*E12+K12+L12)</f>
        <v>2.2744778475</v>
      </c>
      <c r="O12" s="5">
        <f>C12*D12+M12</f>
        <v>1.5</v>
      </c>
      <c r="P12" s="309">
        <v>64.64</v>
      </c>
      <c r="Q12" s="23">
        <f>P12</f>
        <v>64.64</v>
      </c>
      <c r="R12" s="27">
        <f>(P12-Q12)/($C$2/2)</f>
        <v>0</v>
      </c>
      <c r="S12" s="27">
        <f>N12*P12+C12*R12*D12</f>
        <v>147.0222480624</v>
      </c>
      <c r="T12" s="345">
        <f>SQRT(Q12^2+Q12*(P12-Q12)+(1/3)*(P12-Q12)^2)</f>
        <v>64.64</v>
      </c>
      <c r="U12" s="27">
        <f>(T12)^2*E12/1000</f>
        <v>9.401241599999999</v>
      </c>
      <c r="V12" s="27">
        <f>P12*S12/1000</f>
        <v>9.503518114753534</v>
      </c>
      <c r="W12" s="23" t="s">
        <v>106</v>
      </c>
      <c r="X12" s="23">
        <v>200</v>
      </c>
      <c r="Y12" s="23">
        <v>100</v>
      </c>
      <c r="Z12" s="37">
        <f>0.05*(X12*T12)/1000</f>
        <v>0.6464000000000001</v>
      </c>
      <c r="AA12" s="27">
        <f>N12*T12^2/1000+Z12</f>
        <v>10.149918114753536</v>
      </c>
      <c r="AB12" s="27">
        <f>T12*X12/1000*1.4</f>
        <v>18.0992</v>
      </c>
      <c r="AC12" s="126">
        <f>P12*X12/1000*1.4</f>
        <v>18.0992</v>
      </c>
      <c r="AD12" s="36" t="s">
        <v>120</v>
      </c>
      <c r="AE12" s="168"/>
      <c r="AF12" s="170"/>
      <c r="AG12" s="208"/>
      <c r="AH12" s="249">
        <v>0.0005</v>
      </c>
      <c r="AI12" s="250">
        <f>(AH12*Y12)/P12</f>
        <v>0.0007735148514851486</v>
      </c>
      <c r="AJ12" s="212"/>
      <c r="AK12" s="221"/>
    </row>
    <row r="13" spans="1:37" ht="15.75" customHeight="1">
      <c r="A13" s="323" t="s">
        <v>149</v>
      </c>
      <c r="B13" s="324" t="s">
        <v>107</v>
      </c>
      <c r="C13" s="324">
        <v>6</v>
      </c>
      <c r="D13" s="325">
        <v>0.03</v>
      </c>
      <c r="E13" s="326">
        <v>0.0175</v>
      </c>
      <c r="F13" s="327">
        <v>50</v>
      </c>
      <c r="G13" s="328">
        <v>500</v>
      </c>
      <c r="H13" s="314">
        <v>3</v>
      </c>
      <c r="I13" s="324">
        <v>0.026</v>
      </c>
      <c r="J13" s="319">
        <v>243.57515</v>
      </c>
      <c r="K13" s="326">
        <f t="shared" si="0"/>
        <v>0.004221969266666666</v>
      </c>
      <c r="L13" s="325">
        <v>0.002</v>
      </c>
      <c r="M13" s="325">
        <v>0.001</v>
      </c>
      <c r="N13" s="325">
        <f t="shared" si="1"/>
        <v>0.11122196926666668</v>
      </c>
      <c r="O13" s="325">
        <f t="shared" si="2"/>
        <v>0.181</v>
      </c>
      <c r="P13" s="324">
        <v>1645.67</v>
      </c>
      <c r="Q13" s="324">
        <v>0</v>
      </c>
      <c r="R13" s="329" t="s">
        <v>103</v>
      </c>
      <c r="S13" s="329">
        <v>600</v>
      </c>
      <c r="T13" s="329">
        <v>914</v>
      </c>
      <c r="U13" s="329">
        <f t="shared" si="3"/>
        <v>14.619430000000001</v>
      </c>
      <c r="V13" s="329">
        <f t="shared" si="4"/>
        <v>987.402</v>
      </c>
      <c r="W13" s="330" t="s">
        <v>108</v>
      </c>
      <c r="X13" s="330">
        <v>600</v>
      </c>
      <c r="Y13" s="330">
        <v>2500</v>
      </c>
      <c r="Z13" s="331">
        <f t="shared" si="9"/>
        <v>27.42</v>
      </c>
      <c r="AA13" s="329">
        <f t="shared" si="5"/>
        <v>120.33438823749627</v>
      </c>
      <c r="AB13" s="329">
        <f t="shared" si="6"/>
        <v>767.7599999999999</v>
      </c>
      <c r="AC13" s="332">
        <f t="shared" si="7"/>
        <v>1382.3627999999999</v>
      </c>
      <c r="AD13" s="36" t="s">
        <v>120</v>
      </c>
      <c r="AE13" s="168"/>
      <c r="AF13" s="170">
        <f>S13/(2*SQRT((2*3.14*720*O13)^2+N13^2))</f>
        <v>0.3665646116928165</v>
      </c>
      <c r="AG13" s="208">
        <f>100*AF13/P13</f>
        <v>0.022274490735859343</v>
      </c>
      <c r="AH13" s="220">
        <v>0.001</v>
      </c>
      <c r="AI13" s="211">
        <f>(AH13*Y13)/P13</f>
        <v>0.001519138101806559</v>
      </c>
      <c r="AJ13" s="211">
        <v>0.0001</v>
      </c>
      <c r="AK13" s="219">
        <f>(AJ13*Y13)/P13</f>
        <v>0.0001519138101806559</v>
      </c>
    </row>
    <row r="14" spans="1:37" ht="15.75">
      <c r="A14" s="130" t="s">
        <v>150</v>
      </c>
      <c r="B14" s="50" t="s">
        <v>95</v>
      </c>
      <c r="C14" s="50">
        <v>1</v>
      </c>
      <c r="D14" s="51">
        <v>0.95</v>
      </c>
      <c r="E14" s="52">
        <v>4.4</v>
      </c>
      <c r="F14" s="103"/>
      <c r="G14" s="53" t="s">
        <v>55</v>
      </c>
      <c r="H14" s="23">
        <v>1</v>
      </c>
      <c r="I14" s="23">
        <v>1.2</v>
      </c>
      <c r="J14" s="145">
        <v>196.63236</v>
      </c>
      <c r="K14" s="24">
        <f>2*J14*(I14/H14)/1000</f>
        <v>0.471917664</v>
      </c>
      <c r="L14" s="5">
        <v>0</v>
      </c>
      <c r="M14" s="5">
        <v>0</v>
      </c>
      <c r="N14" s="5">
        <f>(C14*E14+K14+L14)</f>
        <v>4.871917664000001</v>
      </c>
      <c r="O14" s="5">
        <f>C14*D14+M14</f>
        <v>0.95</v>
      </c>
      <c r="P14" s="311">
        <v>25</v>
      </c>
      <c r="Q14" s="23">
        <v>0</v>
      </c>
      <c r="R14" s="27">
        <f>(P14-Q14)/($C$2/2)</f>
        <v>26.315789473684212</v>
      </c>
      <c r="S14" s="27">
        <f>N14*P14+C14*R14*D14</f>
        <v>146.7979416</v>
      </c>
      <c r="T14" s="345">
        <f>SQRT(Q14^2+Q14*(P14-Q14)+(1/3)*(P14-Q14)^2)</f>
        <v>14.433756729740644</v>
      </c>
      <c r="U14" s="27">
        <f>(T14)^2*E14/1000</f>
        <v>0.9166666666666666</v>
      </c>
      <c r="V14" s="27">
        <f>P14*S14/1000</f>
        <v>3.66994854</v>
      </c>
      <c r="W14" s="50" t="s">
        <v>42</v>
      </c>
      <c r="X14" s="50">
        <v>150</v>
      </c>
      <c r="Y14" s="50">
        <v>15</v>
      </c>
      <c r="Z14" s="37">
        <f>0.05*(X14*T14)/1000</f>
        <v>0.10825317547305484</v>
      </c>
      <c r="AA14" s="27">
        <f>N14*T14^2/1000+Z14</f>
        <v>1.1232360221397215</v>
      </c>
      <c r="AB14" s="27">
        <f>T14*X14/1000*1.4</f>
        <v>3.0310889132455348</v>
      </c>
      <c r="AC14" s="126">
        <f>P14*X14/1000*1.4</f>
        <v>5.25</v>
      </c>
      <c r="AD14" s="36" t="s">
        <v>120</v>
      </c>
      <c r="AE14" s="168"/>
      <c r="AF14" s="170"/>
      <c r="AG14" s="208"/>
      <c r="AH14" s="220">
        <v>0.001</v>
      </c>
      <c r="AI14" s="211">
        <f>(AH14*Y14)/P14</f>
        <v>0.0006</v>
      </c>
      <c r="AJ14" s="212"/>
      <c r="AK14" s="221"/>
    </row>
    <row r="15" spans="1:37" ht="15.75" customHeight="1">
      <c r="A15" s="125" t="s">
        <v>50</v>
      </c>
      <c r="B15" s="23" t="s">
        <v>122</v>
      </c>
      <c r="C15" s="23">
        <v>1</v>
      </c>
      <c r="D15" s="5">
        <v>1.5</v>
      </c>
      <c r="E15" s="24">
        <v>2.25</v>
      </c>
      <c r="F15" s="98">
        <v>24.1</v>
      </c>
      <c r="G15" s="28" t="s">
        <v>105</v>
      </c>
      <c r="H15" s="23">
        <v>1</v>
      </c>
      <c r="I15" s="23">
        <v>0.125</v>
      </c>
      <c r="J15" s="145">
        <v>148.49173</v>
      </c>
      <c r="K15" s="24">
        <f t="shared" si="0"/>
        <v>0.0371229325</v>
      </c>
      <c r="L15" s="5">
        <v>0</v>
      </c>
      <c r="M15" s="5">
        <v>0</v>
      </c>
      <c r="N15" s="5">
        <f t="shared" si="1"/>
        <v>2.2871229325</v>
      </c>
      <c r="O15" s="5">
        <f t="shared" si="2"/>
        <v>1.5</v>
      </c>
      <c r="P15" s="309">
        <v>64.64</v>
      </c>
      <c r="Q15" s="23">
        <f>P15</f>
        <v>64.64</v>
      </c>
      <c r="R15" s="27">
        <f aca="true" t="shared" si="10" ref="R15:R29">(P15-Q15)/($C$2/2)</f>
        <v>0</v>
      </c>
      <c r="S15" s="27">
        <f aca="true" t="shared" si="11" ref="S15:S29">N15*P15+C15*R15*D15</f>
        <v>147.8396263568</v>
      </c>
      <c r="T15" s="345">
        <f aca="true" t="shared" si="12" ref="T15:T29">SQRT(Q15^2+Q15*(P15-Q15)+(1/3)*(P15-Q15)^2)</f>
        <v>64.64</v>
      </c>
      <c r="U15" s="27">
        <f t="shared" si="3"/>
        <v>9.401241599999999</v>
      </c>
      <c r="V15" s="27">
        <f t="shared" si="4"/>
        <v>9.556353447703554</v>
      </c>
      <c r="W15" s="23" t="s">
        <v>106</v>
      </c>
      <c r="X15" s="23">
        <v>200</v>
      </c>
      <c r="Y15" s="23">
        <v>100</v>
      </c>
      <c r="Z15" s="37">
        <f t="shared" si="9"/>
        <v>0.6464000000000001</v>
      </c>
      <c r="AA15" s="27">
        <f t="shared" si="5"/>
        <v>10.202753447703552</v>
      </c>
      <c r="AB15" s="27">
        <f t="shared" si="6"/>
        <v>18.0992</v>
      </c>
      <c r="AC15" s="126">
        <f t="shared" si="7"/>
        <v>18.0992</v>
      </c>
      <c r="AD15" s="36" t="s">
        <v>120</v>
      </c>
      <c r="AE15" s="168"/>
      <c r="AF15" s="170"/>
      <c r="AG15" s="208"/>
      <c r="AH15" s="249">
        <v>0.0005</v>
      </c>
      <c r="AI15" s="250">
        <f t="shared" si="8"/>
        <v>0.0007735148514851486</v>
      </c>
      <c r="AJ15" s="212"/>
      <c r="AK15" s="221"/>
    </row>
    <row r="16" spans="1:37" ht="15.75" customHeight="1">
      <c r="A16" s="125" t="s">
        <v>51</v>
      </c>
      <c r="B16" s="23" t="s">
        <v>122</v>
      </c>
      <c r="C16" s="23">
        <v>1</v>
      </c>
      <c r="D16" s="5">
        <v>1.5</v>
      </c>
      <c r="E16" s="24">
        <v>2.25</v>
      </c>
      <c r="F16" s="98">
        <v>24.1</v>
      </c>
      <c r="G16" s="28" t="s">
        <v>105</v>
      </c>
      <c r="H16" s="23">
        <v>1</v>
      </c>
      <c r="I16" s="23">
        <v>0.125</v>
      </c>
      <c r="J16" s="145">
        <v>205.70018</v>
      </c>
      <c r="K16" s="24">
        <f t="shared" si="0"/>
        <v>0.051425044999999996</v>
      </c>
      <c r="L16" s="5">
        <v>0</v>
      </c>
      <c r="M16" s="5">
        <v>0</v>
      </c>
      <c r="N16" s="5">
        <f t="shared" si="1"/>
        <v>2.301425045</v>
      </c>
      <c r="O16" s="5">
        <f t="shared" si="2"/>
        <v>1.5</v>
      </c>
      <c r="P16" s="309">
        <v>72.36</v>
      </c>
      <c r="Q16" s="23">
        <f>P16</f>
        <v>72.36</v>
      </c>
      <c r="R16" s="27">
        <f t="shared" si="10"/>
        <v>0</v>
      </c>
      <c r="S16" s="27">
        <f t="shared" si="11"/>
        <v>166.5311162562</v>
      </c>
      <c r="T16" s="345">
        <f t="shared" si="12"/>
        <v>72.36</v>
      </c>
      <c r="U16" s="27">
        <f t="shared" si="3"/>
        <v>11.7809316</v>
      </c>
      <c r="V16" s="27">
        <f t="shared" si="4"/>
        <v>12.050191572298631</v>
      </c>
      <c r="W16" s="23" t="s">
        <v>106</v>
      </c>
      <c r="X16" s="23">
        <v>200</v>
      </c>
      <c r="Y16" s="23">
        <v>100</v>
      </c>
      <c r="Z16" s="37">
        <f t="shared" si="9"/>
        <v>0.7236</v>
      </c>
      <c r="AA16" s="27">
        <f t="shared" si="5"/>
        <v>12.77379157229863</v>
      </c>
      <c r="AB16" s="27">
        <f t="shared" si="6"/>
        <v>20.2608</v>
      </c>
      <c r="AC16" s="126">
        <f t="shared" si="7"/>
        <v>20.2608</v>
      </c>
      <c r="AD16" s="36" t="s">
        <v>120</v>
      </c>
      <c r="AE16" s="168"/>
      <c r="AF16" s="170"/>
      <c r="AG16" s="208"/>
      <c r="AH16" s="249">
        <v>0.0005</v>
      </c>
      <c r="AI16" s="250">
        <f t="shared" si="8"/>
        <v>0.0006909894969596462</v>
      </c>
      <c r="AJ16" s="212"/>
      <c r="AK16" s="221"/>
    </row>
    <row r="17" spans="1:37" ht="15.75">
      <c r="A17" s="130" t="s">
        <v>151</v>
      </c>
      <c r="B17" s="50" t="s">
        <v>95</v>
      </c>
      <c r="C17" s="50">
        <v>1</v>
      </c>
      <c r="D17" s="51">
        <v>0.95</v>
      </c>
      <c r="E17" s="52">
        <v>4.4</v>
      </c>
      <c r="F17" s="103"/>
      <c r="G17" s="53" t="s">
        <v>55</v>
      </c>
      <c r="H17" s="23">
        <v>1</v>
      </c>
      <c r="I17" s="23">
        <v>1.2</v>
      </c>
      <c r="J17" s="145">
        <v>266.55955</v>
      </c>
      <c r="K17" s="24">
        <f>2*J17*(I17/H17)/1000</f>
        <v>0.63974292</v>
      </c>
      <c r="L17" s="5">
        <v>0</v>
      </c>
      <c r="M17" s="5">
        <v>0</v>
      </c>
      <c r="N17" s="5">
        <f aca="true" t="shared" si="13" ref="N17:N24">(C17*E17+K17+L17)</f>
        <v>5.03974292</v>
      </c>
      <c r="O17" s="5">
        <f aca="true" t="shared" si="14" ref="O17:O24">C17*D17+M17</f>
        <v>0.95</v>
      </c>
      <c r="P17" s="311">
        <v>25</v>
      </c>
      <c r="Q17" s="23">
        <v>0</v>
      </c>
      <c r="R17" s="27">
        <f>(P17-Q17)/($C$2/2)</f>
        <v>26.315789473684212</v>
      </c>
      <c r="S17" s="27">
        <f>N17*P17+C17*R17*D17</f>
        <v>150.993573</v>
      </c>
      <c r="T17" s="345">
        <f>SQRT(Q17^2+Q17*(P17-Q17)+(1/3)*(P17-Q17)^2)</f>
        <v>14.433756729740644</v>
      </c>
      <c r="U17" s="27">
        <f>(T17)^2*E17/1000</f>
        <v>0.9166666666666666</v>
      </c>
      <c r="V17" s="27">
        <f>P17*S17/1000</f>
        <v>3.774839325</v>
      </c>
      <c r="W17" s="50" t="s">
        <v>42</v>
      </c>
      <c r="X17" s="50">
        <v>150</v>
      </c>
      <c r="Y17" s="50">
        <v>15</v>
      </c>
      <c r="Z17" s="37">
        <f>0.05*(X17*T17)/1000</f>
        <v>0.10825317547305484</v>
      </c>
      <c r="AA17" s="27">
        <f>N17*T17^2/1000+Z17</f>
        <v>1.1581996171397213</v>
      </c>
      <c r="AB17" s="27">
        <f>T17*X17/1000*1.4</f>
        <v>3.0310889132455348</v>
      </c>
      <c r="AC17" s="126">
        <f>P17*X17/1000*1.4</f>
        <v>5.25</v>
      </c>
      <c r="AD17" s="36" t="s">
        <v>120</v>
      </c>
      <c r="AE17" s="168"/>
      <c r="AF17" s="170"/>
      <c r="AG17" s="208"/>
      <c r="AH17" s="220">
        <v>0.001</v>
      </c>
      <c r="AI17" s="211">
        <f>(AH17*Y17)/P17</f>
        <v>0.0006</v>
      </c>
      <c r="AJ17" s="212"/>
      <c r="AK17" s="221"/>
    </row>
    <row r="18" spans="1:37" ht="15.75" customHeight="1">
      <c r="A18" s="125" t="s">
        <v>16</v>
      </c>
      <c r="B18" s="252" t="s">
        <v>4</v>
      </c>
      <c r="C18" s="23">
        <v>1</v>
      </c>
      <c r="D18" s="5">
        <v>1.1</v>
      </c>
      <c r="E18" s="24">
        <v>1.6</v>
      </c>
      <c r="F18" s="98">
        <v>17</v>
      </c>
      <c r="G18" s="28" t="s">
        <v>105</v>
      </c>
      <c r="H18" s="23">
        <v>1</v>
      </c>
      <c r="I18" s="23">
        <v>0.125</v>
      </c>
      <c r="J18" s="145">
        <v>224.703</v>
      </c>
      <c r="K18" s="24">
        <f aca="true" t="shared" si="15" ref="K18:K29">2*J18*(I18/H18)/1000</f>
        <v>0.05617575</v>
      </c>
      <c r="L18" s="5">
        <v>0</v>
      </c>
      <c r="M18" s="5">
        <v>0</v>
      </c>
      <c r="N18" s="5">
        <f t="shared" si="13"/>
        <v>1.65617575</v>
      </c>
      <c r="O18" s="5">
        <f t="shared" si="14"/>
        <v>1.1</v>
      </c>
      <c r="P18" s="309">
        <v>33.68</v>
      </c>
      <c r="Q18" s="23">
        <f>P18</f>
        <v>33.68</v>
      </c>
      <c r="R18" s="27">
        <f>(P18-Q18)/($C$2/2)</f>
        <v>0</v>
      </c>
      <c r="S18" s="118">
        <f>N18*P18+C18*R18*D18</f>
        <v>55.779999260000004</v>
      </c>
      <c r="T18" s="345">
        <f>SQRT(Q18^2+Q18*(P18-Q18)+(1/3)*(P18-Q18)^2)</f>
        <v>33.68</v>
      </c>
      <c r="U18" s="27">
        <f aca="true" t="shared" si="16" ref="U18:U29">(T18)^2*E18/1000</f>
        <v>1.81494784</v>
      </c>
      <c r="V18" s="27">
        <f aca="true" t="shared" si="17" ref="V18:V29">P18*S18/1000</f>
        <v>1.8786703750768001</v>
      </c>
      <c r="W18" s="23" t="s">
        <v>106</v>
      </c>
      <c r="X18" s="372">
        <v>100</v>
      </c>
      <c r="Y18" s="372">
        <v>200</v>
      </c>
      <c r="Z18" s="37">
        <f>0.05*(X18*T18)/1000</f>
        <v>0.1684</v>
      </c>
      <c r="AA18" s="27">
        <f>N18*T18^2/1000+Z18</f>
        <v>2.0470703750768</v>
      </c>
      <c r="AB18" s="27">
        <f>T18*X18/1000*1.4</f>
        <v>4.715199999999999</v>
      </c>
      <c r="AC18" s="126">
        <f>P18*X18/1000*1.4</f>
        <v>4.715199999999999</v>
      </c>
      <c r="AD18" s="36" t="s">
        <v>120</v>
      </c>
      <c r="AE18" s="168"/>
      <c r="AF18" s="170"/>
      <c r="AG18" s="208"/>
      <c r="AH18" s="249">
        <v>0.0005</v>
      </c>
      <c r="AI18" s="250">
        <f aca="true" t="shared" si="18" ref="AI18:AI29">(AH18*Y18)/P18</f>
        <v>0.002969121140142518</v>
      </c>
      <c r="AJ18" s="212"/>
      <c r="AK18" s="221"/>
    </row>
    <row r="19" spans="1:37" ht="32.25" thickBot="1">
      <c r="A19" s="373" t="s">
        <v>152</v>
      </c>
      <c r="B19" s="387" t="s">
        <v>171</v>
      </c>
      <c r="C19" s="374">
        <v>1</v>
      </c>
      <c r="D19" s="375">
        <v>1.5</v>
      </c>
      <c r="E19" s="376">
        <v>2.25</v>
      </c>
      <c r="F19" s="377">
        <v>24.1</v>
      </c>
      <c r="G19" s="378" t="s">
        <v>105</v>
      </c>
      <c r="H19" s="379">
        <v>1</v>
      </c>
      <c r="I19" s="374">
        <v>0.125</v>
      </c>
      <c r="J19" s="380">
        <v>250</v>
      </c>
      <c r="K19" s="376">
        <f t="shared" si="15"/>
        <v>0.0625</v>
      </c>
      <c r="L19" s="375">
        <v>0</v>
      </c>
      <c r="M19" s="375">
        <v>0</v>
      </c>
      <c r="N19" s="375">
        <f>(C19*E19+K19+L19)</f>
        <v>2.3125</v>
      </c>
      <c r="O19" s="375">
        <f>C19*D19+M19</f>
        <v>1.5</v>
      </c>
      <c r="P19" s="374">
        <v>80</v>
      </c>
      <c r="Q19" s="374">
        <f>P19</f>
        <v>80</v>
      </c>
      <c r="R19" s="380"/>
      <c r="S19" s="380">
        <f>N19*P19+C19*R19*D19</f>
        <v>185</v>
      </c>
      <c r="T19" s="380">
        <f>SQRT(Q19^2+Q19*(P19-Q19)+(1/3)*(P19-Q19)^2)</f>
        <v>80</v>
      </c>
      <c r="U19" s="380">
        <f t="shared" si="16"/>
        <v>14.4</v>
      </c>
      <c r="V19" s="380">
        <f t="shared" si="17"/>
        <v>14.8</v>
      </c>
      <c r="W19" s="374" t="s">
        <v>106</v>
      </c>
      <c r="X19" s="381">
        <v>200</v>
      </c>
      <c r="Y19" s="381">
        <v>100</v>
      </c>
      <c r="Z19" s="382">
        <f>0.05*(X19*T19)/1000</f>
        <v>0.8</v>
      </c>
      <c r="AA19" s="380">
        <f>N19*T19^2/1000+Z19</f>
        <v>15.600000000000001</v>
      </c>
      <c r="AB19" s="380">
        <f>T19*X19/1000*1.4</f>
        <v>22.4</v>
      </c>
      <c r="AC19" s="380">
        <f>P19*X19/1000*1.4</f>
        <v>22.4</v>
      </c>
      <c r="AD19" s="383" t="s">
        <v>120</v>
      </c>
      <c r="AE19" s="384"/>
      <c r="AF19" s="170">
        <f>S19/(2*SQRT((2*3.14*720*O19)^2+N19^2))</f>
        <v>0.013638239358249569</v>
      </c>
      <c r="AG19" s="208">
        <f>100*AF19/P19</f>
        <v>0.01704779919781196</v>
      </c>
      <c r="AH19" s="385">
        <v>0.0005</v>
      </c>
      <c r="AI19" s="385">
        <f t="shared" si="18"/>
        <v>0.000625</v>
      </c>
      <c r="AJ19" s="385"/>
      <c r="AK19" s="386"/>
    </row>
    <row r="20" spans="1:37" ht="13.5" customHeight="1">
      <c r="A20" s="130" t="s">
        <v>153</v>
      </c>
      <c r="B20" s="50" t="s">
        <v>95</v>
      </c>
      <c r="C20" s="50">
        <v>1</v>
      </c>
      <c r="D20" s="51">
        <v>0.95</v>
      </c>
      <c r="E20" s="52">
        <v>4.4</v>
      </c>
      <c r="F20" s="103"/>
      <c r="G20" s="53" t="s">
        <v>55</v>
      </c>
      <c r="H20" s="23">
        <v>1</v>
      </c>
      <c r="I20" s="23">
        <v>1.2</v>
      </c>
      <c r="J20" s="145">
        <v>301.11785</v>
      </c>
      <c r="K20" s="24">
        <f t="shared" si="15"/>
        <v>0.7226828399999999</v>
      </c>
      <c r="L20" s="5">
        <v>0</v>
      </c>
      <c r="M20" s="5">
        <v>0</v>
      </c>
      <c r="N20" s="5">
        <f t="shared" si="13"/>
        <v>5.12268284</v>
      </c>
      <c r="O20" s="5">
        <f t="shared" si="14"/>
        <v>0.95</v>
      </c>
      <c r="P20" s="311">
        <v>25</v>
      </c>
      <c r="Q20" s="23">
        <v>0</v>
      </c>
      <c r="R20" s="27">
        <f t="shared" si="10"/>
        <v>26.315789473684212</v>
      </c>
      <c r="S20" s="27">
        <f t="shared" si="11"/>
        <v>153.067071</v>
      </c>
      <c r="T20" s="345">
        <f t="shared" si="12"/>
        <v>14.433756729740644</v>
      </c>
      <c r="U20" s="27">
        <f t="shared" si="16"/>
        <v>0.9166666666666666</v>
      </c>
      <c r="V20" s="27">
        <f t="shared" si="17"/>
        <v>3.8266767749999997</v>
      </c>
      <c r="W20" s="50" t="s">
        <v>42</v>
      </c>
      <c r="X20" s="50">
        <v>150</v>
      </c>
      <c r="Y20" s="50">
        <v>15</v>
      </c>
      <c r="Z20" s="37">
        <f t="shared" si="9"/>
        <v>0.10825317547305484</v>
      </c>
      <c r="AA20" s="27">
        <f t="shared" si="5"/>
        <v>1.1754787671397215</v>
      </c>
      <c r="AB20" s="27">
        <f t="shared" si="6"/>
        <v>3.0310889132455348</v>
      </c>
      <c r="AC20" s="126">
        <f t="shared" si="7"/>
        <v>5.25</v>
      </c>
      <c r="AD20" s="36" t="s">
        <v>120</v>
      </c>
      <c r="AE20" s="168"/>
      <c r="AF20" s="170"/>
      <c r="AG20" s="208"/>
      <c r="AH20" s="220">
        <v>0.001</v>
      </c>
      <c r="AI20" s="211">
        <f t="shared" si="18"/>
        <v>0.0006</v>
      </c>
      <c r="AJ20" s="212"/>
      <c r="AK20" s="221"/>
    </row>
    <row r="21" spans="1:37" ht="15.75" customHeight="1">
      <c r="A21" s="125" t="s">
        <v>17</v>
      </c>
      <c r="B21" s="23" t="s">
        <v>122</v>
      </c>
      <c r="C21" s="23">
        <v>1</v>
      </c>
      <c r="D21" s="5">
        <v>1.5</v>
      </c>
      <c r="E21" s="24">
        <v>2.25</v>
      </c>
      <c r="F21" s="98">
        <v>24.1</v>
      </c>
      <c r="G21" s="28" t="s">
        <v>105</v>
      </c>
      <c r="H21" s="23">
        <v>1</v>
      </c>
      <c r="I21" s="23">
        <v>0.125</v>
      </c>
      <c r="J21" s="145">
        <v>252.97719</v>
      </c>
      <c r="K21" s="24">
        <f t="shared" si="15"/>
        <v>0.0632442975</v>
      </c>
      <c r="L21" s="5">
        <v>0</v>
      </c>
      <c r="M21" s="5">
        <v>0</v>
      </c>
      <c r="N21" s="5">
        <f t="shared" si="13"/>
        <v>2.3132442975</v>
      </c>
      <c r="O21" s="5">
        <f t="shared" si="14"/>
        <v>1.5</v>
      </c>
      <c r="P21" s="309">
        <v>60.04</v>
      </c>
      <c r="Q21" s="23">
        <f>P21</f>
        <v>60.04</v>
      </c>
      <c r="R21" s="27">
        <f>(P21-Q21)/($C$2/2)</f>
        <v>0</v>
      </c>
      <c r="S21" s="27">
        <f>N21*P21+C21*R21*D21</f>
        <v>138.88718762189998</v>
      </c>
      <c r="T21" s="345">
        <f>SQRT(Q21^2+Q21*(P21-Q21)+(1/3)*(P21-Q21)^2)</f>
        <v>60.04</v>
      </c>
      <c r="U21" s="27">
        <f t="shared" si="16"/>
        <v>8.110803599999999</v>
      </c>
      <c r="V21" s="27">
        <f t="shared" si="17"/>
        <v>8.338786744818876</v>
      </c>
      <c r="W21" s="23" t="s">
        <v>106</v>
      </c>
      <c r="X21" s="23">
        <v>200</v>
      </c>
      <c r="Y21" s="23">
        <v>100</v>
      </c>
      <c r="Z21" s="37">
        <f>0.05*(X21*T21)/1000</f>
        <v>0.6003999999999999</v>
      </c>
      <c r="AA21" s="27">
        <f>N21*T21^2/1000+Z21</f>
        <v>8.939186744818876</v>
      </c>
      <c r="AB21" s="27">
        <f>T21*X21/1000*1.4</f>
        <v>16.8112</v>
      </c>
      <c r="AC21" s="126">
        <f>P21*X21/1000*1.4</f>
        <v>16.8112</v>
      </c>
      <c r="AD21" s="36" t="s">
        <v>120</v>
      </c>
      <c r="AE21" s="168"/>
      <c r="AF21" s="170"/>
      <c r="AG21" s="208"/>
      <c r="AH21" s="249">
        <v>0.0005</v>
      </c>
      <c r="AI21" s="250">
        <f t="shared" si="18"/>
        <v>0.0008327781479013991</v>
      </c>
      <c r="AJ21" s="212"/>
      <c r="AK21" s="221"/>
    </row>
    <row r="22" spans="1:37" ht="15" customHeight="1">
      <c r="A22" s="130" t="s">
        <v>154</v>
      </c>
      <c r="B22" s="50" t="s">
        <v>95</v>
      </c>
      <c r="C22" s="50">
        <v>1</v>
      </c>
      <c r="D22" s="51">
        <v>0.95</v>
      </c>
      <c r="E22" s="52">
        <v>4.4</v>
      </c>
      <c r="F22" s="103"/>
      <c r="G22" s="53" t="s">
        <v>55</v>
      </c>
      <c r="H22" s="23">
        <v>1</v>
      </c>
      <c r="I22" s="23">
        <v>1.2</v>
      </c>
      <c r="J22" s="145">
        <v>357.6662</v>
      </c>
      <c r="K22" s="24">
        <f>2*J22*(I22/H22)/1000</f>
        <v>0.85839888</v>
      </c>
      <c r="L22" s="5">
        <v>0</v>
      </c>
      <c r="M22" s="5">
        <v>0</v>
      </c>
      <c r="N22" s="5">
        <f t="shared" si="13"/>
        <v>5.2583988800000006</v>
      </c>
      <c r="O22" s="5">
        <f t="shared" si="14"/>
        <v>0.95</v>
      </c>
      <c r="P22" s="311">
        <v>25</v>
      </c>
      <c r="Q22" s="23">
        <v>0</v>
      </c>
      <c r="R22" s="27">
        <f>(P22-Q22)/($C$2/2)</f>
        <v>26.315789473684212</v>
      </c>
      <c r="S22" s="27">
        <f>N22*P22+C22*R22*D22</f>
        <v>156.45997200000002</v>
      </c>
      <c r="T22" s="345">
        <f>SQRT(Q22^2+Q22*(P22-Q22)+(1/3)*(P22-Q22)^2)</f>
        <v>14.433756729740644</v>
      </c>
      <c r="U22" s="27">
        <f>(T22)^2*E22/1000</f>
        <v>0.9166666666666666</v>
      </c>
      <c r="V22" s="27">
        <f>P22*S22/1000</f>
        <v>3.9114993000000005</v>
      </c>
      <c r="W22" s="50" t="s">
        <v>42</v>
      </c>
      <c r="X22" s="50">
        <v>150</v>
      </c>
      <c r="Y22" s="50">
        <v>15</v>
      </c>
      <c r="Z22" s="37">
        <f>0.05*(X22*T22)/1000</f>
        <v>0.10825317547305484</v>
      </c>
      <c r="AA22" s="27">
        <f>N22*T22^2/1000+Z22</f>
        <v>1.2037529421397215</v>
      </c>
      <c r="AB22" s="27">
        <f>T22*X22/1000*1.4</f>
        <v>3.0310889132455348</v>
      </c>
      <c r="AC22" s="126">
        <f>P22*X22/1000*1.4</f>
        <v>5.25</v>
      </c>
      <c r="AD22" s="36"/>
      <c r="AE22" s="168"/>
      <c r="AF22" s="170"/>
      <c r="AG22" s="208"/>
      <c r="AH22" s="220">
        <v>0.001</v>
      </c>
      <c r="AI22" s="211">
        <f>(AH22*Y22)/P22</f>
        <v>0.0006</v>
      </c>
      <c r="AJ22" s="212"/>
      <c r="AK22" s="221"/>
    </row>
    <row r="23" spans="1:37" ht="15.75" customHeight="1">
      <c r="A23" s="125" t="s">
        <v>18</v>
      </c>
      <c r="B23" s="23" t="s">
        <v>122</v>
      </c>
      <c r="C23" s="23">
        <v>1</v>
      </c>
      <c r="D23" s="5">
        <v>1.5</v>
      </c>
      <c r="E23" s="24">
        <v>2.25</v>
      </c>
      <c r="F23" s="98">
        <v>24.1</v>
      </c>
      <c r="G23" s="28" t="s">
        <v>105</v>
      </c>
      <c r="H23" s="23">
        <v>1</v>
      </c>
      <c r="I23" s="23">
        <v>0.125</v>
      </c>
      <c r="J23" s="145">
        <v>309.52557</v>
      </c>
      <c r="K23" s="24">
        <f t="shared" si="15"/>
        <v>0.0773813925</v>
      </c>
      <c r="L23" s="5">
        <v>0</v>
      </c>
      <c r="M23" s="5">
        <v>0</v>
      </c>
      <c r="N23" s="5">
        <f t="shared" si="13"/>
        <v>2.3273813925</v>
      </c>
      <c r="O23" s="5">
        <f t="shared" si="14"/>
        <v>1.5</v>
      </c>
      <c r="P23" s="309">
        <v>60.04</v>
      </c>
      <c r="Q23" s="23">
        <f>P23</f>
        <v>60.04</v>
      </c>
      <c r="R23" s="27">
        <f>(P23-Q23)/($C$2/2)</f>
        <v>0</v>
      </c>
      <c r="S23" s="27">
        <f>N23*P23+C23*R23*D23</f>
        <v>139.7359788057</v>
      </c>
      <c r="T23" s="345">
        <f>SQRT(Q23^2+Q23*(P23-Q23)+(1/3)*(P23-Q23)^2)</f>
        <v>60.04</v>
      </c>
      <c r="U23" s="27">
        <f t="shared" si="16"/>
        <v>8.110803599999999</v>
      </c>
      <c r="V23" s="27">
        <f t="shared" si="17"/>
        <v>8.38974816749423</v>
      </c>
      <c r="W23" s="23" t="s">
        <v>106</v>
      </c>
      <c r="X23" s="23">
        <v>200</v>
      </c>
      <c r="Y23" s="23">
        <v>100</v>
      </c>
      <c r="Z23" s="37">
        <f>0.05*(X23*T23)/1000</f>
        <v>0.6003999999999999</v>
      </c>
      <c r="AA23" s="27">
        <f>N23*T23^2/1000+Z23</f>
        <v>8.99014816749423</v>
      </c>
      <c r="AB23" s="27">
        <f>T23*X23/1000*1.4</f>
        <v>16.8112</v>
      </c>
      <c r="AC23" s="126">
        <f>P23*X23/1000*1.4</f>
        <v>16.8112</v>
      </c>
      <c r="AD23" s="36" t="s">
        <v>120</v>
      </c>
      <c r="AE23" s="168"/>
      <c r="AF23" s="170"/>
      <c r="AG23" s="208"/>
      <c r="AH23" s="249">
        <v>0.0005</v>
      </c>
      <c r="AI23" s="250">
        <f t="shared" si="18"/>
        <v>0.0008327781479013991</v>
      </c>
      <c r="AJ23" s="212"/>
      <c r="AK23" s="221"/>
    </row>
    <row r="24" spans="1:37" ht="15.75" customHeight="1">
      <c r="A24" s="130" t="s">
        <v>155</v>
      </c>
      <c r="B24" s="50" t="s">
        <v>95</v>
      </c>
      <c r="C24" s="50">
        <v>1</v>
      </c>
      <c r="D24" s="51">
        <v>0.95</v>
      </c>
      <c r="E24" s="52">
        <v>4.4</v>
      </c>
      <c r="F24" s="103"/>
      <c r="G24" s="53" t="s">
        <v>55</v>
      </c>
      <c r="H24" s="23">
        <v>1</v>
      </c>
      <c r="I24" s="23">
        <v>1.2</v>
      </c>
      <c r="J24" s="145">
        <v>414.21457</v>
      </c>
      <c r="K24" s="24">
        <f t="shared" si="15"/>
        <v>0.9941149679999999</v>
      </c>
      <c r="L24" s="5">
        <v>0</v>
      </c>
      <c r="M24" s="5">
        <v>0</v>
      </c>
      <c r="N24" s="5">
        <f t="shared" si="13"/>
        <v>5.394114968</v>
      </c>
      <c r="O24" s="5">
        <f t="shared" si="14"/>
        <v>0.95</v>
      </c>
      <c r="P24" s="311">
        <v>25</v>
      </c>
      <c r="Q24" s="23">
        <v>0</v>
      </c>
      <c r="R24" s="27">
        <f t="shared" si="10"/>
        <v>26.315789473684212</v>
      </c>
      <c r="S24" s="27">
        <f t="shared" si="11"/>
        <v>159.8528742</v>
      </c>
      <c r="T24" s="345">
        <f t="shared" si="12"/>
        <v>14.433756729740644</v>
      </c>
      <c r="U24" s="27">
        <f t="shared" si="16"/>
        <v>0.9166666666666666</v>
      </c>
      <c r="V24" s="27">
        <f t="shared" si="17"/>
        <v>3.996321855</v>
      </c>
      <c r="W24" s="50" t="s">
        <v>42</v>
      </c>
      <c r="X24" s="50">
        <v>150</v>
      </c>
      <c r="Y24" s="50">
        <v>15</v>
      </c>
      <c r="Z24" s="37">
        <f t="shared" si="9"/>
        <v>0.10825317547305484</v>
      </c>
      <c r="AA24" s="27">
        <f t="shared" si="5"/>
        <v>1.2320271271397214</v>
      </c>
      <c r="AB24" s="27">
        <f t="shared" si="6"/>
        <v>3.0310889132455348</v>
      </c>
      <c r="AC24" s="126">
        <f t="shared" si="7"/>
        <v>5.25</v>
      </c>
      <c r="AD24" s="36"/>
      <c r="AE24" s="168"/>
      <c r="AF24" s="170"/>
      <c r="AG24" s="208"/>
      <c r="AH24" s="220">
        <v>0.001</v>
      </c>
      <c r="AI24" s="211">
        <f t="shared" si="18"/>
        <v>0.0006</v>
      </c>
      <c r="AJ24" s="212"/>
      <c r="AK24" s="221"/>
    </row>
    <row r="25" spans="1:37" ht="15.75">
      <c r="A25" s="130" t="s">
        <v>156</v>
      </c>
      <c r="B25" s="50" t="s">
        <v>95</v>
      </c>
      <c r="C25" s="50">
        <v>1</v>
      </c>
      <c r="D25" s="51">
        <v>0.95</v>
      </c>
      <c r="E25" s="52">
        <v>4.4</v>
      </c>
      <c r="F25" s="103"/>
      <c r="G25" s="53" t="s">
        <v>55</v>
      </c>
      <c r="H25" s="23">
        <v>1</v>
      </c>
      <c r="I25" s="23">
        <v>1.2</v>
      </c>
      <c r="J25" s="145">
        <v>470.76295</v>
      </c>
      <c r="K25" s="24">
        <f>2*J25*(I25/H25)/1000</f>
        <v>1.12983108</v>
      </c>
      <c r="L25" s="5">
        <v>0</v>
      </c>
      <c r="M25" s="5">
        <v>0</v>
      </c>
      <c r="N25" s="5">
        <f>(C25*E25+K25)</f>
        <v>5.52983108</v>
      </c>
      <c r="O25" s="5">
        <f>C25*D25</f>
        <v>0.95</v>
      </c>
      <c r="P25" s="311">
        <v>25</v>
      </c>
      <c r="Q25" s="23">
        <v>0</v>
      </c>
      <c r="R25" s="27">
        <f>(P25-Q25)/($C$2/2)</f>
        <v>26.315789473684212</v>
      </c>
      <c r="S25" s="27">
        <f>N25*P25+C25*R25*D25</f>
        <v>163.245777</v>
      </c>
      <c r="T25" s="345">
        <f>SQRT(Q25^2+Q25*(P25-Q25)+(1/3)*(P25-Q25)^2)</f>
        <v>14.433756729740644</v>
      </c>
      <c r="U25" s="27">
        <f>(T25)^2*E25/1000</f>
        <v>0.9166666666666666</v>
      </c>
      <c r="V25" s="27">
        <f>P25*S25/1000</f>
        <v>4.081144425</v>
      </c>
      <c r="W25" s="50" t="s">
        <v>42</v>
      </c>
      <c r="X25" s="50">
        <v>150</v>
      </c>
      <c r="Y25" s="50">
        <v>15</v>
      </c>
      <c r="Z25" s="37">
        <f>0.05*(X25*T25)/1000</f>
        <v>0.10825317547305484</v>
      </c>
      <c r="AA25" s="27">
        <f>N25*T25^2/1000+Z25</f>
        <v>1.2603013171397215</v>
      </c>
      <c r="AB25" s="27">
        <f>T25*X25/1000*1.4</f>
        <v>3.0310889132455348</v>
      </c>
      <c r="AC25" s="126">
        <f>P25*X25/1000*1.4</f>
        <v>5.25</v>
      </c>
      <c r="AD25" s="36" t="s">
        <v>120</v>
      </c>
      <c r="AE25" s="168"/>
      <c r="AF25" s="170"/>
      <c r="AG25" s="208"/>
      <c r="AH25" s="220">
        <v>0.001</v>
      </c>
      <c r="AI25" s="211">
        <f>(AH25*Y25)/P25</f>
        <v>0.0006</v>
      </c>
      <c r="AJ25" s="212"/>
      <c r="AK25" s="221"/>
    </row>
    <row r="26" spans="1:37" ht="15.75">
      <c r="A26" s="130" t="s">
        <v>157</v>
      </c>
      <c r="B26" s="50" t="s">
        <v>95</v>
      </c>
      <c r="C26" s="50">
        <v>1</v>
      </c>
      <c r="D26" s="51">
        <v>0.95</v>
      </c>
      <c r="E26" s="52">
        <v>4.4</v>
      </c>
      <c r="F26" s="103"/>
      <c r="G26" s="53" t="s">
        <v>55</v>
      </c>
      <c r="H26" s="23">
        <v>1</v>
      </c>
      <c r="I26" s="23">
        <v>1.2</v>
      </c>
      <c r="J26" s="145">
        <v>527.3124399999999</v>
      </c>
      <c r="K26" s="24">
        <f t="shared" si="15"/>
        <v>1.2655498559999998</v>
      </c>
      <c r="L26" s="5">
        <v>0</v>
      </c>
      <c r="M26" s="5">
        <v>0</v>
      </c>
      <c r="N26" s="5">
        <f>(C26*E26+K26)</f>
        <v>5.665549856</v>
      </c>
      <c r="O26" s="5">
        <f>C26*D26</f>
        <v>0.95</v>
      </c>
      <c r="P26" s="311">
        <v>25</v>
      </c>
      <c r="Q26" s="23">
        <v>0</v>
      </c>
      <c r="R26" s="27">
        <f t="shared" si="10"/>
        <v>26.315789473684212</v>
      </c>
      <c r="S26" s="27">
        <f t="shared" si="11"/>
        <v>166.6387464</v>
      </c>
      <c r="T26" s="345">
        <f t="shared" si="12"/>
        <v>14.433756729740644</v>
      </c>
      <c r="U26" s="27">
        <f t="shared" si="16"/>
        <v>0.9166666666666666</v>
      </c>
      <c r="V26" s="27">
        <f t="shared" si="17"/>
        <v>4.165968660000001</v>
      </c>
      <c r="W26" s="50" t="s">
        <v>42</v>
      </c>
      <c r="X26" s="50">
        <v>150</v>
      </c>
      <c r="Y26" s="50">
        <v>15</v>
      </c>
      <c r="Z26" s="37">
        <f t="shared" si="9"/>
        <v>0.10825317547305484</v>
      </c>
      <c r="AA26" s="27">
        <f t="shared" si="5"/>
        <v>1.2885760621397215</v>
      </c>
      <c r="AB26" s="27">
        <f t="shared" si="6"/>
        <v>3.0310889132455348</v>
      </c>
      <c r="AC26" s="126">
        <f t="shared" si="7"/>
        <v>5.25</v>
      </c>
      <c r="AD26" s="36" t="s">
        <v>120</v>
      </c>
      <c r="AE26" s="168"/>
      <c r="AF26" s="170"/>
      <c r="AG26" s="208"/>
      <c r="AH26" s="220">
        <v>0.001</v>
      </c>
      <c r="AI26" s="211">
        <f t="shared" si="18"/>
        <v>0.0006</v>
      </c>
      <c r="AJ26" s="212"/>
      <c r="AK26" s="221"/>
    </row>
    <row r="27" spans="1:37" ht="15.75" customHeight="1">
      <c r="A27" s="130" t="s">
        <v>158</v>
      </c>
      <c r="B27" s="50" t="s">
        <v>95</v>
      </c>
      <c r="C27" s="50">
        <v>1</v>
      </c>
      <c r="D27" s="51">
        <v>0.95</v>
      </c>
      <c r="E27" s="52">
        <v>4.4</v>
      </c>
      <c r="F27" s="103"/>
      <c r="G27" s="53" t="s">
        <v>55</v>
      </c>
      <c r="H27" s="23">
        <v>1</v>
      </c>
      <c r="I27" s="23">
        <v>1.2</v>
      </c>
      <c r="J27" s="145">
        <v>583.0321799999999</v>
      </c>
      <c r="K27" s="24">
        <f t="shared" si="15"/>
        <v>1.3992772319999998</v>
      </c>
      <c r="L27" s="5">
        <v>0</v>
      </c>
      <c r="M27" s="5">
        <v>0</v>
      </c>
      <c r="N27" s="5">
        <f>(C27*E27+K27)</f>
        <v>5.799277232</v>
      </c>
      <c r="O27" s="5">
        <f>C27*D27</f>
        <v>0.95</v>
      </c>
      <c r="P27" s="311">
        <v>25</v>
      </c>
      <c r="Q27" s="23">
        <v>0</v>
      </c>
      <c r="R27" s="27">
        <f t="shared" si="10"/>
        <v>26.315789473684212</v>
      </c>
      <c r="S27" s="27">
        <f t="shared" si="11"/>
        <v>169.9819308</v>
      </c>
      <c r="T27" s="345">
        <f t="shared" si="12"/>
        <v>14.433756729740644</v>
      </c>
      <c r="U27" s="27">
        <f t="shared" si="16"/>
        <v>0.9166666666666666</v>
      </c>
      <c r="V27" s="27">
        <f t="shared" si="17"/>
        <v>4.249548269999999</v>
      </c>
      <c r="W27" s="50" t="s">
        <v>42</v>
      </c>
      <c r="X27" s="50">
        <v>150</v>
      </c>
      <c r="Y27" s="50">
        <v>15</v>
      </c>
      <c r="Z27" s="37">
        <f t="shared" si="9"/>
        <v>0.10825317547305484</v>
      </c>
      <c r="AA27" s="27">
        <f t="shared" si="5"/>
        <v>1.3164359321397214</v>
      </c>
      <c r="AB27" s="27">
        <f t="shared" si="6"/>
        <v>3.0310889132455348</v>
      </c>
      <c r="AC27" s="126">
        <f t="shared" si="7"/>
        <v>5.25</v>
      </c>
      <c r="AD27" s="36" t="s">
        <v>120</v>
      </c>
      <c r="AE27" s="168"/>
      <c r="AF27" s="170"/>
      <c r="AG27" s="208"/>
      <c r="AH27" s="220">
        <v>0.001</v>
      </c>
      <c r="AI27" s="211">
        <f t="shared" si="18"/>
        <v>0.0006</v>
      </c>
      <c r="AJ27" s="212"/>
      <c r="AK27" s="221"/>
    </row>
    <row r="28" spans="1:37" ht="15.75">
      <c r="A28" s="130" t="s">
        <v>159</v>
      </c>
      <c r="B28" s="50" t="s">
        <v>95</v>
      </c>
      <c r="C28" s="50">
        <v>1</v>
      </c>
      <c r="D28" s="51">
        <v>0.95</v>
      </c>
      <c r="E28" s="52">
        <v>4.4</v>
      </c>
      <c r="F28" s="103"/>
      <c r="G28" s="53" t="s">
        <v>55</v>
      </c>
      <c r="H28" s="23">
        <v>1</v>
      </c>
      <c r="I28" s="23">
        <v>1.2</v>
      </c>
      <c r="J28" s="145">
        <v>645.96027</v>
      </c>
      <c r="K28" s="24">
        <f t="shared" si="15"/>
        <v>1.550304648</v>
      </c>
      <c r="L28" s="5">
        <v>0</v>
      </c>
      <c r="M28" s="5">
        <v>0</v>
      </c>
      <c r="N28" s="5">
        <f>(C28*E28+K28)</f>
        <v>5.950304648</v>
      </c>
      <c r="O28" s="5">
        <f>C28*D28</f>
        <v>0.95</v>
      </c>
      <c r="P28" s="311">
        <v>25</v>
      </c>
      <c r="Q28" s="23">
        <v>0</v>
      </c>
      <c r="R28" s="27">
        <f t="shared" si="10"/>
        <v>26.315789473684212</v>
      </c>
      <c r="S28" s="27">
        <f t="shared" si="11"/>
        <v>173.7576162</v>
      </c>
      <c r="T28" s="345">
        <f t="shared" si="12"/>
        <v>14.433756729740644</v>
      </c>
      <c r="U28" s="27">
        <f t="shared" si="16"/>
        <v>0.9166666666666666</v>
      </c>
      <c r="V28" s="27">
        <f t="shared" si="17"/>
        <v>4.343940405000001</v>
      </c>
      <c r="W28" s="50" t="s">
        <v>42</v>
      </c>
      <c r="X28" s="50">
        <v>150</v>
      </c>
      <c r="Y28" s="50">
        <v>15</v>
      </c>
      <c r="Z28" s="37">
        <f t="shared" si="9"/>
        <v>0.10825317547305484</v>
      </c>
      <c r="AA28" s="27">
        <f t="shared" si="5"/>
        <v>1.3478999771397215</v>
      </c>
      <c r="AB28" s="27">
        <f t="shared" si="6"/>
        <v>3.0310889132455348</v>
      </c>
      <c r="AC28" s="126">
        <f t="shared" si="7"/>
        <v>5.25</v>
      </c>
      <c r="AD28" s="194"/>
      <c r="AE28" s="168"/>
      <c r="AF28" s="170"/>
      <c r="AG28" s="208"/>
      <c r="AH28" s="220">
        <v>0.001</v>
      </c>
      <c r="AI28" s="211">
        <f t="shared" si="18"/>
        <v>0.0006</v>
      </c>
      <c r="AJ28" s="212"/>
      <c r="AK28" s="221"/>
    </row>
    <row r="29" spans="1:37" ht="16.5" thickBot="1">
      <c r="A29" s="131" t="s">
        <v>160</v>
      </c>
      <c r="B29" s="54" t="s">
        <v>95</v>
      </c>
      <c r="C29" s="54">
        <v>1</v>
      </c>
      <c r="D29" s="55">
        <v>0.95</v>
      </c>
      <c r="E29" s="56">
        <v>4.4</v>
      </c>
      <c r="F29" s="104"/>
      <c r="G29" s="57" t="s">
        <v>55</v>
      </c>
      <c r="H29" s="29">
        <v>1</v>
      </c>
      <c r="I29" s="133">
        <v>1.2</v>
      </c>
      <c r="J29" s="366">
        <v>661.85046</v>
      </c>
      <c r="K29" s="365">
        <f t="shared" si="15"/>
        <v>1.588441104</v>
      </c>
      <c r="L29" s="30">
        <v>0</v>
      </c>
      <c r="M29" s="30">
        <v>0</v>
      </c>
      <c r="N29" s="30">
        <f>(C29*E29+K29)</f>
        <v>5.9884411040000005</v>
      </c>
      <c r="O29" s="30">
        <f>C29*D29</f>
        <v>0.95</v>
      </c>
      <c r="P29" s="312">
        <v>25</v>
      </c>
      <c r="Q29" s="29">
        <v>0</v>
      </c>
      <c r="R29" s="33">
        <f t="shared" si="10"/>
        <v>26.315789473684212</v>
      </c>
      <c r="S29" s="33">
        <f t="shared" si="11"/>
        <v>174.71102760000002</v>
      </c>
      <c r="T29" s="346">
        <f t="shared" si="12"/>
        <v>14.433756729740644</v>
      </c>
      <c r="U29" s="33">
        <f t="shared" si="16"/>
        <v>0.9166666666666666</v>
      </c>
      <c r="V29" s="33">
        <f t="shared" si="17"/>
        <v>4.36777569</v>
      </c>
      <c r="W29" s="54" t="s">
        <v>42</v>
      </c>
      <c r="X29" s="54">
        <v>150</v>
      </c>
      <c r="Y29" s="54">
        <v>15</v>
      </c>
      <c r="Z29" s="34">
        <f t="shared" si="9"/>
        <v>0.10825317547305484</v>
      </c>
      <c r="AA29" s="33">
        <f t="shared" si="5"/>
        <v>1.3558450721397215</v>
      </c>
      <c r="AB29" s="33">
        <f t="shared" si="6"/>
        <v>3.0310889132455348</v>
      </c>
      <c r="AC29" s="128">
        <f t="shared" si="7"/>
        <v>5.25</v>
      </c>
      <c r="AD29" s="195"/>
      <c r="AE29" s="168"/>
      <c r="AF29" s="172"/>
      <c r="AG29" s="209"/>
      <c r="AH29" s="222">
        <v>0.001</v>
      </c>
      <c r="AI29" s="229">
        <f t="shared" si="18"/>
        <v>0.0006</v>
      </c>
      <c r="AJ29" s="223"/>
      <c r="AK29" s="224"/>
    </row>
    <row r="30" spans="1:37" ht="15.75" customHeight="1">
      <c r="A30" s="164"/>
      <c r="B30" s="39"/>
      <c r="C30" s="39"/>
      <c r="D30" s="40"/>
      <c r="E30" s="41"/>
      <c r="F30" s="101"/>
      <c r="G30" s="42"/>
      <c r="H30" s="39"/>
      <c r="I30" s="39"/>
      <c r="J30" s="152"/>
      <c r="K30" s="41"/>
      <c r="L30" s="39"/>
      <c r="M30" s="39"/>
      <c r="N30" s="40"/>
      <c r="O30" s="40"/>
      <c r="P30" s="240"/>
      <c r="Q30" s="39"/>
      <c r="R30" s="43"/>
      <c r="S30" s="43"/>
      <c r="T30" s="350"/>
      <c r="U30" s="43"/>
      <c r="V30" s="43"/>
      <c r="W30" s="44"/>
      <c r="X30" s="45"/>
      <c r="Y30" s="163" t="s">
        <v>68</v>
      </c>
      <c r="Z30" s="46">
        <f>SUM(Z9:Z29)</f>
        <v>48.52813175473052</v>
      </c>
      <c r="AA30" s="47">
        <f>SUM(AA9:AA29)</f>
        <v>265.7053671108232</v>
      </c>
      <c r="AB30" s="47">
        <f>SUM(AB9:AB29)</f>
        <v>1358.7876891324568</v>
      </c>
      <c r="AC30" s="47">
        <f>SUM(AC9:AC29)</f>
        <v>2516.0226000000002</v>
      </c>
      <c r="AD30" s="39"/>
      <c r="AF30" s="171"/>
      <c r="AG30" s="171"/>
      <c r="AH30" s="203"/>
      <c r="AI30" s="204"/>
      <c r="AJ30" s="204"/>
      <c r="AK30" s="204"/>
    </row>
    <row r="31" spans="1:37" ht="19.5" customHeight="1" thickBot="1">
      <c r="A31" s="175"/>
      <c r="B31" s="176"/>
      <c r="C31" s="81"/>
      <c r="D31" s="80"/>
      <c r="E31" s="177"/>
      <c r="F31" s="99"/>
      <c r="G31" s="178"/>
      <c r="H31" s="81"/>
      <c r="I31" s="81"/>
      <c r="J31" s="179"/>
      <c r="K31" s="177"/>
      <c r="L31" s="81"/>
      <c r="M31" s="81"/>
      <c r="N31" s="80"/>
      <c r="O31" s="80"/>
      <c r="P31" s="236"/>
      <c r="Q31" s="81"/>
      <c r="R31" s="180"/>
      <c r="S31" s="180"/>
      <c r="T31" s="347"/>
      <c r="U31" s="180"/>
      <c r="V31" s="180"/>
      <c r="W31" s="81"/>
      <c r="X31" s="81"/>
      <c r="Y31" s="81"/>
      <c r="Z31" s="81"/>
      <c r="AA31" s="180"/>
      <c r="AB31" s="180"/>
      <c r="AC31" s="180"/>
      <c r="AD31" s="81"/>
      <c r="AF31" s="171"/>
      <c r="AG31" s="171"/>
      <c r="AH31" s="203"/>
      <c r="AI31" s="204"/>
      <c r="AJ31" s="204"/>
      <c r="AK31" s="204"/>
    </row>
    <row r="32" spans="1:37" ht="19.5" customHeight="1">
      <c r="A32" s="287" t="s">
        <v>69</v>
      </c>
      <c r="B32" s="288"/>
      <c r="C32" s="289"/>
      <c r="D32" s="290"/>
      <c r="E32" s="291"/>
      <c r="F32" s="292"/>
      <c r="G32" s="293"/>
      <c r="H32" s="289"/>
      <c r="I32" s="289"/>
      <c r="J32" s="294"/>
      <c r="K32" s="291"/>
      <c r="L32" s="289"/>
      <c r="M32" s="289"/>
      <c r="N32" s="290"/>
      <c r="O32" s="290"/>
      <c r="P32" s="295"/>
      <c r="Q32" s="289"/>
      <c r="R32" s="296"/>
      <c r="S32" s="296"/>
      <c r="T32" s="351"/>
      <c r="U32" s="296"/>
      <c r="V32" s="296"/>
      <c r="W32" s="289"/>
      <c r="X32" s="289"/>
      <c r="Y32" s="289"/>
      <c r="Z32" s="289"/>
      <c r="AA32" s="296"/>
      <c r="AB32" s="296"/>
      <c r="AC32" s="296"/>
      <c r="AD32" s="297"/>
      <c r="AE32" s="286"/>
      <c r="AF32" s="257"/>
      <c r="AG32" s="258"/>
      <c r="AH32" s="227"/>
      <c r="AI32" s="227"/>
      <c r="AJ32" s="227"/>
      <c r="AK32" s="228"/>
    </row>
    <row r="33" spans="1:37" ht="15.75" customHeight="1" thickBot="1">
      <c r="A33" s="127" t="s">
        <v>19</v>
      </c>
      <c r="B33" s="29" t="s">
        <v>122</v>
      </c>
      <c r="C33" s="29">
        <v>1</v>
      </c>
      <c r="D33" s="30">
        <v>1.5</v>
      </c>
      <c r="E33" s="31">
        <v>2.25</v>
      </c>
      <c r="F33" s="100">
        <v>24.1</v>
      </c>
      <c r="G33" s="32" t="s">
        <v>105</v>
      </c>
      <c r="H33" s="29">
        <v>1</v>
      </c>
      <c r="I33" s="29">
        <v>0.125</v>
      </c>
      <c r="J33" s="364">
        <v>662</v>
      </c>
      <c r="K33" s="31">
        <f>2*J33*(I33/H33)/1000</f>
        <v>0.1655</v>
      </c>
      <c r="L33" s="30">
        <v>0</v>
      </c>
      <c r="M33" s="30">
        <v>0</v>
      </c>
      <c r="N33" s="30">
        <f>(C33*E33+K33+L33)</f>
        <v>2.4155</v>
      </c>
      <c r="O33" s="30">
        <f>C33*D33+M33</f>
        <v>1.5</v>
      </c>
      <c r="P33" s="357">
        <v>60.04</v>
      </c>
      <c r="Q33" s="29">
        <f>P33</f>
        <v>60.04</v>
      </c>
      <c r="R33" s="33">
        <f>(P33-Q33)/($C$2/2)</f>
        <v>0</v>
      </c>
      <c r="S33" s="33">
        <f>N33*P33+C33*R33*D33</f>
        <v>145.02662</v>
      </c>
      <c r="T33" s="346">
        <f>SQRT(Q33^2+Q33*(P33-Q33)+(1/3)*(P33-Q33)^2)</f>
        <v>60.04</v>
      </c>
      <c r="U33" s="33">
        <f>(T33)^2*E33/1000</f>
        <v>8.110803599999999</v>
      </c>
      <c r="V33" s="33">
        <f>P33*S33/1000</f>
        <v>8.7073982648</v>
      </c>
      <c r="W33" s="29" t="s">
        <v>106</v>
      </c>
      <c r="X33" s="29">
        <v>200</v>
      </c>
      <c r="Y33" s="29">
        <v>100</v>
      </c>
      <c r="Z33" s="34">
        <f>0.05*(X33*T33)/1000</f>
        <v>0.6003999999999999</v>
      </c>
      <c r="AA33" s="33">
        <f>N33*T33^2/1000+Z33</f>
        <v>9.3077982648</v>
      </c>
      <c r="AB33" s="33">
        <f>T33*X33/1000*1.4</f>
        <v>16.8112</v>
      </c>
      <c r="AC33" s="128">
        <f>P33*X33/1000*1.4</f>
        <v>16.8112</v>
      </c>
      <c r="AD33" s="358" t="s">
        <v>120</v>
      </c>
      <c r="AE33" s="168"/>
      <c r="AF33" s="170"/>
      <c r="AG33" s="208"/>
      <c r="AH33" s="249">
        <v>0.0005</v>
      </c>
      <c r="AI33" s="250">
        <f>(AH33*Y33)/P33</f>
        <v>0.0008327781479013991</v>
      </c>
      <c r="AJ33" s="212"/>
      <c r="AK33" s="221"/>
    </row>
    <row r="34" spans="1:37" ht="15.75" customHeight="1">
      <c r="A34" s="298" t="s">
        <v>20</v>
      </c>
      <c r="B34" s="270" t="s">
        <v>122</v>
      </c>
      <c r="C34" s="270">
        <v>1</v>
      </c>
      <c r="D34" s="271">
        <v>1.5</v>
      </c>
      <c r="E34" s="272">
        <v>2.25</v>
      </c>
      <c r="F34" s="273">
        <v>24.1</v>
      </c>
      <c r="G34" s="274" t="s">
        <v>105</v>
      </c>
      <c r="H34" s="270">
        <v>1</v>
      </c>
      <c r="I34" s="270">
        <v>0.125</v>
      </c>
      <c r="J34" s="275">
        <v>637.3776700000001</v>
      </c>
      <c r="K34" s="272">
        <f aca="true" t="shared" si="19" ref="K34:K39">2*J34*(I34/H34)/1000</f>
        <v>0.15934441750000003</v>
      </c>
      <c r="L34" s="271">
        <v>0</v>
      </c>
      <c r="M34" s="271">
        <v>0</v>
      </c>
      <c r="N34" s="271">
        <f aca="true" t="shared" si="20" ref="N34:N39">(C34*E34+K34+L34)</f>
        <v>2.4093444175</v>
      </c>
      <c r="O34" s="271">
        <f aca="true" t="shared" si="21" ref="O34:O39">C34*D34+M34</f>
        <v>1.5</v>
      </c>
      <c r="P34" s="276">
        <v>60.04</v>
      </c>
      <c r="Q34" s="23">
        <f>P34</f>
        <v>60.04</v>
      </c>
      <c r="R34" s="277">
        <f>(P34-Q34)/($C$2/2)</f>
        <v>0</v>
      </c>
      <c r="S34" s="277">
        <f>N34*P34+C34*R34*D34</f>
        <v>144.6570388267</v>
      </c>
      <c r="T34" s="352">
        <f>SQRT(Q34^2+Q34*(P34-Q34)+(1/3)*(P34-Q34)^2)</f>
        <v>60.04</v>
      </c>
      <c r="U34" s="277">
        <f aca="true" t="shared" si="22" ref="U34:U39">(T34)^2*E34/1000</f>
        <v>8.110803599999999</v>
      </c>
      <c r="V34" s="277">
        <f aca="true" t="shared" si="23" ref="V34:V39">P34*S34/1000</f>
        <v>8.685208611155067</v>
      </c>
      <c r="W34" s="270" t="s">
        <v>106</v>
      </c>
      <c r="X34" s="270">
        <v>200</v>
      </c>
      <c r="Y34" s="270">
        <v>100</v>
      </c>
      <c r="Z34" s="278">
        <f>0.05*(X34*T34)/1000</f>
        <v>0.6003999999999999</v>
      </c>
      <c r="AA34" s="277">
        <f aca="true" t="shared" si="24" ref="AA34:AA39">N34*T34^2/1000+Z34</f>
        <v>9.285608611155068</v>
      </c>
      <c r="AB34" s="277">
        <f>T34*X34/1000*1.4</f>
        <v>16.8112</v>
      </c>
      <c r="AC34" s="277">
        <f>P34*X34/1000*1.4</f>
        <v>16.8112</v>
      </c>
      <c r="AD34" s="299" t="s">
        <v>120</v>
      </c>
      <c r="AE34" s="286"/>
      <c r="AF34" s="259"/>
      <c r="AG34" s="255"/>
      <c r="AH34" s="250">
        <v>0.0005</v>
      </c>
      <c r="AI34" s="250">
        <f aca="true" t="shared" si="25" ref="AI34:AI39">(AH34*Y34)/P34</f>
        <v>0.0008327781479013991</v>
      </c>
      <c r="AJ34" s="212"/>
      <c r="AK34" s="221"/>
    </row>
    <row r="35" spans="1:37" ht="15.75" customHeight="1">
      <c r="A35" s="333" t="s">
        <v>175</v>
      </c>
      <c r="B35" s="334" t="s">
        <v>60</v>
      </c>
      <c r="C35" s="334">
        <v>6</v>
      </c>
      <c r="D35" s="335">
        <v>0.008</v>
      </c>
      <c r="E35" s="336">
        <v>0.00718</v>
      </c>
      <c r="F35" s="337">
        <v>162</v>
      </c>
      <c r="G35" s="338" t="s">
        <v>70</v>
      </c>
      <c r="H35" s="339">
        <v>8</v>
      </c>
      <c r="I35" s="334">
        <v>0.026</v>
      </c>
      <c r="J35" s="340">
        <v>624.2979700000001</v>
      </c>
      <c r="K35" s="336">
        <f t="shared" si="19"/>
        <v>0.0040579368050000005</v>
      </c>
      <c r="L35" s="335">
        <v>0.002</v>
      </c>
      <c r="M35" s="335">
        <v>0.001</v>
      </c>
      <c r="N35" s="335">
        <f t="shared" si="20"/>
        <v>0.049137936805000004</v>
      </c>
      <c r="O35" s="335">
        <f t="shared" si="21"/>
        <v>0.049</v>
      </c>
      <c r="P35" s="334">
        <v>4446.98</v>
      </c>
      <c r="Q35" s="334">
        <v>0</v>
      </c>
      <c r="R35" s="340" t="s">
        <v>103</v>
      </c>
      <c r="S35" s="340">
        <v>400</v>
      </c>
      <c r="T35" s="340">
        <v>2360</v>
      </c>
      <c r="U35" s="340">
        <f t="shared" si="22"/>
        <v>39.98972799999999</v>
      </c>
      <c r="V35" s="340">
        <f t="shared" si="23"/>
        <v>1778.7919999999997</v>
      </c>
      <c r="W35" s="341" t="s">
        <v>109</v>
      </c>
      <c r="X35" s="341">
        <v>470</v>
      </c>
      <c r="Y35" s="341">
        <v>5000</v>
      </c>
      <c r="Z35" s="342">
        <f>0.006*(X35*T35)/1000</f>
        <v>6.6552</v>
      </c>
      <c r="AA35" s="340">
        <f t="shared" si="24"/>
        <v>280.33385282912803</v>
      </c>
      <c r="AB35" s="340">
        <f>T35*X35*1.4/1000</f>
        <v>1552.88</v>
      </c>
      <c r="AC35" s="340">
        <f>P35*X35*1.4/1000</f>
        <v>2926.11284</v>
      </c>
      <c r="AD35" s="299" t="s">
        <v>120</v>
      </c>
      <c r="AE35" s="286"/>
      <c r="AF35" s="259">
        <f>S35/(2*SQRT((2*3.14*720*O35)^2+N35^2))</f>
        <v>0.9026965128887922</v>
      </c>
      <c r="AG35" s="255">
        <f>100*AF35/P35</f>
        <v>0.02029909090863445</v>
      </c>
      <c r="AH35" s="212">
        <v>0.001</v>
      </c>
      <c r="AI35" s="211">
        <f t="shared" si="25"/>
        <v>0.0011243585534452597</v>
      </c>
      <c r="AJ35" s="211">
        <v>0.0001</v>
      </c>
      <c r="AK35" s="219">
        <f>(AJ35*Y35)/P35</f>
        <v>0.00011243585534452596</v>
      </c>
    </row>
    <row r="36" spans="1:37" ht="15.75" customHeight="1">
      <c r="A36" s="298" t="s">
        <v>21</v>
      </c>
      <c r="B36" s="270" t="s">
        <v>122</v>
      </c>
      <c r="C36" s="270">
        <v>1</v>
      </c>
      <c r="D36" s="271">
        <v>1.5</v>
      </c>
      <c r="E36" s="272">
        <v>2.25</v>
      </c>
      <c r="F36" s="273">
        <v>24.1</v>
      </c>
      <c r="G36" s="274" t="s">
        <v>105</v>
      </c>
      <c r="H36" s="270">
        <v>1</v>
      </c>
      <c r="I36" s="270">
        <v>0.125</v>
      </c>
      <c r="J36" s="275">
        <v>580.82821</v>
      </c>
      <c r="K36" s="272">
        <f t="shared" si="19"/>
        <v>0.14520705250000002</v>
      </c>
      <c r="L36" s="271">
        <v>0</v>
      </c>
      <c r="M36" s="271">
        <v>0</v>
      </c>
      <c r="N36" s="271">
        <f t="shared" si="20"/>
        <v>2.3952070525</v>
      </c>
      <c r="O36" s="271">
        <f t="shared" si="21"/>
        <v>1.5</v>
      </c>
      <c r="P36" s="276">
        <v>60.04</v>
      </c>
      <c r="Q36" s="23">
        <f>P36</f>
        <v>60.04</v>
      </c>
      <c r="R36" s="277">
        <f>(P36-Q36)/($C$2/2)</f>
        <v>0</v>
      </c>
      <c r="S36" s="277">
        <f>N36*P36+C36*R36*D36</f>
        <v>143.8082314321</v>
      </c>
      <c r="T36" s="352">
        <f>SQRT(Q36^2+Q36*(P36-Q36)+(1/3)*(P36-Q36)^2)</f>
        <v>60.04</v>
      </c>
      <c r="U36" s="277">
        <f t="shared" si="22"/>
        <v>8.110803599999999</v>
      </c>
      <c r="V36" s="277">
        <f t="shared" si="23"/>
        <v>8.634246215183284</v>
      </c>
      <c r="W36" s="270" t="s">
        <v>106</v>
      </c>
      <c r="X36" s="270">
        <v>200</v>
      </c>
      <c r="Y36" s="270">
        <v>100</v>
      </c>
      <c r="Z36" s="278">
        <f>0.05*(X36*T36)/1000</f>
        <v>0.6003999999999999</v>
      </c>
      <c r="AA36" s="277">
        <f t="shared" si="24"/>
        <v>9.234646215183284</v>
      </c>
      <c r="AB36" s="277">
        <f>T36*X36/1000*1.4</f>
        <v>16.8112</v>
      </c>
      <c r="AC36" s="277">
        <f>P36*X36/1000*1.4</f>
        <v>16.8112</v>
      </c>
      <c r="AD36" s="299" t="s">
        <v>120</v>
      </c>
      <c r="AE36" s="286"/>
      <c r="AF36" s="259"/>
      <c r="AG36" s="255"/>
      <c r="AH36" s="256">
        <v>0.0005</v>
      </c>
      <c r="AI36" s="250">
        <f t="shared" si="25"/>
        <v>0.0008327781479013991</v>
      </c>
      <c r="AJ36" s="212"/>
      <c r="AK36" s="221"/>
    </row>
    <row r="37" spans="1:37" ht="15.75" customHeight="1">
      <c r="A37" s="125" t="s">
        <v>22</v>
      </c>
      <c r="B37" s="252" t="s">
        <v>4</v>
      </c>
      <c r="C37" s="23">
        <v>1</v>
      </c>
      <c r="D37" s="5">
        <v>1.1</v>
      </c>
      <c r="E37" s="24">
        <v>1.6</v>
      </c>
      <c r="F37" s="98">
        <v>17</v>
      </c>
      <c r="G37" s="28" t="s">
        <v>105</v>
      </c>
      <c r="H37" s="23">
        <v>1</v>
      </c>
      <c r="I37" s="23">
        <v>0.125</v>
      </c>
      <c r="J37" s="275">
        <v>525.10844</v>
      </c>
      <c r="K37" s="24">
        <f t="shared" si="19"/>
        <v>0.13127711</v>
      </c>
      <c r="L37" s="5">
        <v>0</v>
      </c>
      <c r="M37" s="5">
        <v>0</v>
      </c>
      <c r="N37" s="5">
        <f t="shared" si="20"/>
        <v>1.7312771100000002</v>
      </c>
      <c r="O37" s="5">
        <f t="shared" si="21"/>
        <v>1.1</v>
      </c>
      <c r="P37" s="309">
        <v>24.69</v>
      </c>
      <c r="Q37" s="23">
        <f>P37</f>
        <v>24.69</v>
      </c>
      <c r="R37" s="27">
        <f>(P37-Q37)/($C$2/2)</f>
        <v>0</v>
      </c>
      <c r="S37" s="118">
        <f>N37*P37+C37*R37*D37</f>
        <v>42.74523184590001</v>
      </c>
      <c r="T37" s="345">
        <f>SQRT(Q37^2+Q37*(P37-Q37)+(1/3)*(P37-Q37)^2)</f>
        <v>24.69</v>
      </c>
      <c r="U37" s="27">
        <f t="shared" si="22"/>
        <v>0.9753537600000002</v>
      </c>
      <c r="V37" s="27">
        <f t="shared" si="23"/>
        <v>1.0553797742752713</v>
      </c>
      <c r="W37" s="23" t="s">
        <v>106</v>
      </c>
      <c r="X37" s="372">
        <v>100</v>
      </c>
      <c r="Y37" s="372">
        <v>200</v>
      </c>
      <c r="Z37" s="37">
        <f>0.05*(X37*T37)/1000</f>
        <v>0.12345</v>
      </c>
      <c r="AA37" s="27">
        <f t="shared" si="24"/>
        <v>1.1788297742752714</v>
      </c>
      <c r="AB37" s="27">
        <f>T37*X37/1000*1.4</f>
        <v>3.4565999999999995</v>
      </c>
      <c r="AC37" s="126">
        <f>P37*X37/1000*1.4</f>
        <v>3.4565999999999995</v>
      </c>
      <c r="AD37" s="36" t="s">
        <v>120</v>
      </c>
      <c r="AE37" s="168"/>
      <c r="AF37" s="170"/>
      <c r="AG37" s="208"/>
      <c r="AH37" s="249">
        <v>0.0005</v>
      </c>
      <c r="AI37" s="250">
        <f t="shared" si="25"/>
        <v>0.004050222762251924</v>
      </c>
      <c r="AJ37" s="212"/>
      <c r="AK37" s="221"/>
    </row>
    <row r="38" spans="1:37" ht="15.75" customHeight="1">
      <c r="A38" s="298" t="s">
        <v>137</v>
      </c>
      <c r="B38" s="270" t="s">
        <v>122</v>
      </c>
      <c r="C38" s="270">
        <v>1</v>
      </c>
      <c r="D38" s="271">
        <v>1.5</v>
      </c>
      <c r="E38" s="272">
        <v>2.25</v>
      </c>
      <c r="F38" s="273">
        <v>24.1</v>
      </c>
      <c r="G38" s="274" t="s">
        <v>105</v>
      </c>
      <c r="H38" s="270">
        <v>1</v>
      </c>
      <c r="I38" s="270">
        <v>0.125</v>
      </c>
      <c r="J38" s="275">
        <v>520.1009</v>
      </c>
      <c r="K38" s="272">
        <f t="shared" si="19"/>
        <v>0.130025225</v>
      </c>
      <c r="L38" s="271">
        <v>0</v>
      </c>
      <c r="M38" s="271">
        <v>0</v>
      </c>
      <c r="N38" s="271">
        <f t="shared" si="20"/>
        <v>2.380025225</v>
      </c>
      <c r="O38" s="271">
        <f t="shared" si="21"/>
        <v>1.5</v>
      </c>
      <c r="P38" s="276">
        <v>55.99</v>
      </c>
      <c r="Q38" s="23">
        <f>P38</f>
        <v>55.99</v>
      </c>
      <c r="R38" s="277">
        <f>(P38-Q38)/($C$2/2)</f>
        <v>0</v>
      </c>
      <c r="S38" s="277">
        <f>N38*P38+C38*R38*D38</f>
        <v>133.25761234774998</v>
      </c>
      <c r="T38" s="352">
        <f>SQRT(Q38^2+Q38*(P38-Q38)+(1/3)*(P38-Q38)^2)</f>
        <v>55.99</v>
      </c>
      <c r="U38" s="277">
        <f t="shared" si="22"/>
        <v>7.053480225000001</v>
      </c>
      <c r="V38" s="277">
        <f t="shared" si="23"/>
        <v>7.461093715350522</v>
      </c>
      <c r="W38" s="270" t="s">
        <v>106</v>
      </c>
      <c r="X38" s="270">
        <v>200</v>
      </c>
      <c r="Y38" s="270">
        <v>100</v>
      </c>
      <c r="Z38" s="278">
        <f>0.05*(X38*T38)/1000</f>
        <v>0.5599</v>
      </c>
      <c r="AA38" s="277">
        <f t="shared" si="24"/>
        <v>8.020993715350523</v>
      </c>
      <c r="AB38" s="277">
        <f>T38*X38/1000*1.4</f>
        <v>15.6772</v>
      </c>
      <c r="AC38" s="277">
        <f>P38*X38/1000*1.4</f>
        <v>15.6772</v>
      </c>
      <c r="AD38" s="299" t="s">
        <v>120</v>
      </c>
      <c r="AE38" s="286"/>
      <c r="AF38" s="259"/>
      <c r="AG38" s="255"/>
      <c r="AH38" s="256">
        <v>0.0005</v>
      </c>
      <c r="AI38" s="250">
        <f t="shared" si="25"/>
        <v>0.000893016610108948</v>
      </c>
      <c r="AJ38" s="212"/>
      <c r="AK38" s="221"/>
    </row>
    <row r="39" spans="1:37" ht="15.75" customHeight="1">
      <c r="A39" s="298" t="s">
        <v>138</v>
      </c>
      <c r="B39" s="270" t="s">
        <v>122</v>
      </c>
      <c r="C39" s="270">
        <v>1</v>
      </c>
      <c r="D39" s="271">
        <v>1.5</v>
      </c>
      <c r="E39" s="272">
        <v>2.25</v>
      </c>
      <c r="F39" s="273">
        <v>24.1</v>
      </c>
      <c r="G39" s="274" t="s">
        <v>105</v>
      </c>
      <c r="H39" s="270">
        <v>1</v>
      </c>
      <c r="I39" s="270">
        <v>0.125</v>
      </c>
      <c r="J39" s="275">
        <v>541.85046</v>
      </c>
      <c r="K39" s="272">
        <f t="shared" si="19"/>
        <v>0.135462615</v>
      </c>
      <c r="L39" s="271">
        <v>0</v>
      </c>
      <c r="M39" s="271">
        <v>0</v>
      </c>
      <c r="N39" s="271">
        <f t="shared" si="20"/>
        <v>2.385462615</v>
      </c>
      <c r="O39" s="271">
        <f t="shared" si="21"/>
        <v>1.5</v>
      </c>
      <c r="P39" s="276">
        <v>59.03</v>
      </c>
      <c r="Q39" s="23">
        <f>P39</f>
        <v>59.03</v>
      </c>
      <c r="R39" s="277">
        <f>(P39-Q39)/($C$2/2)</f>
        <v>0</v>
      </c>
      <c r="S39" s="277">
        <f>N39*P39+C39*R39*D39</f>
        <v>140.81385816345</v>
      </c>
      <c r="T39" s="352">
        <f>SQRT(Q39^2+Q39*(P39-Q39)+(1/3)*(P39-Q39)^2)</f>
        <v>59.03</v>
      </c>
      <c r="U39" s="277">
        <f t="shared" si="22"/>
        <v>7.840217025</v>
      </c>
      <c r="V39" s="277">
        <f t="shared" si="23"/>
        <v>8.312242047388454</v>
      </c>
      <c r="W39" s="270" t="s">
        <v>106</v>
      </c>
      <c r="X39" s="270">
        <v>200</v>
      </c>
      <c r="Y39" s="270">
        <v>100</v>
      </c>
      <c r="Z39" s="278">
        <f>0.05*(X39*T39)/1000</f>
        <v>0.5903</v>
      </c>
      <c r="AA39" s="277">
        <f t="shared" si="24"/>
        <v>8.902542047388451</v>
      </c>
      <c r="AB39" s="277">
        <f>T39*X39/1000*1.4</f>
        <v>16.528399999999998</v>
      </c>
      <c r="AC39" s="277">
        <f>P39*X39/1000*1.4</f>
        <v>16.528399999999998</v>
      </c>
      <c r="AD39" s="299" t="s">
        <v>120</v>
      </c>
      <c r="AE39" s="286"/>
      <c r="AF39" s="259"/>
      <c r="AG39" s="255"/>
      <c r="AH39" s="256">
        <v>0.0005</v>
      </c>
      <c r="AI39" s="250">
        <f t="shared" si="25"/>
        <v>0.0008470269354565476</v>
      </c>
      <c r="AJ39" s="212"/>
      <c r="AK39" s="221"/>
    </row>
    <row r="40" spans="1:37" ht="15" customHeight="1">
      <c r="A40" s="39"/>
      <c r="B40" s="254"/>
      <c r="C40" s="254"/>
      <c r="D40" s="80"/>
      <c r="E40" s="177"/>
      <c r="F40" s="99"/>
      <c r="G40" s="178"/>
      <c r="H40" s="39"/>
      <c r="I40" s="81"/>
      <c r="J40" s="179"/>
      <c r="K40" s="177"/>
      <c r="L40" s="81"/>
      <c r="M40" s="81"/>
      <c r="N40" s="80"/>
      <c r="O40" s="80"/>
      <c r="P40" s="236"/>
      <c r="Q40" s="81"/>
      <c r="R40" s="43"/>
      <c r="S40" s="180"/>
      <c r="T40" s="347"/>
      <c r="U40" s="180"/>
      <c r="V40" s="180"/>
      <c r="W40" s="44"/>
      <c r="X40" s="45"/>
      <c r="Y40" s="163" t="s">
        <v>56</v>
      </c>
      <c r="Z40" s="46">
        <f>SUM(Z34:Z39)</f>
        <v>9.129649999999998</v>
      </c>
      <c r="AA40" s="47">
        <f>SUM(AA34:AA39)</f>
        <v>316.9564731924806</v>
      </c>
      <c r="AB40" s="47">
        <f>SUM(AB34:AB39)</f>
        <v>1622.1646000000003</v>
      </c>
      <c r="AC40" s="47">
        <f>SUM(AC34:AC39)</f>
        <v>2995.39744</v>
      </c>
      <c r="AD40" s="23"/>
      <c r="AF40" s="171"/>
      <c r="AG40" s="171"/>
      <c r="AH40" s="203"/>
      <c r="AI40" s="204"/>
      <c r="AJ40" s="204"/>
      <c r="AK40" s="204"/>
    </row>
    <row r="41" spans="1:37" ht="19.5" customHeight="1" thickBot="1">
      <c r="A41" s="175"/>
      <c r="B41" s="81"/>
      <c r="C41" s="81"/>
      <c r="D41" s="80"/>
      <c r="E41" s="177"/>
      <c r="F41" s="99"/>
      <c r="G41" s="178"/>
      <c r="H41" s="81"/>
      <c r="I41" s="81"/>
      <c r="J41" s="179"/>
      <c r="K41" s="177"/>
      <c r="L41" s="81"/>
      <c r="M41" s="81"/>
      <c r="N41" s="80"/>
      <c r="O41" s="80"/>
      <c r="P41" s="236"/>
      <c r="Q41" s="81"/>
      <c r="R41" s="180"/>
      <c r="S41" s="180"/>
      <c r="T41" s="347"/>
      <c r="U41" s="180"/>
      <c r="V41" s="180"/>
      <c r="W41" s="310" t="s">
        <v>133</v>
      </c>
      <c r="X41" s="81"/>
      <c r="Y41" s="81"/>
      <c r="Z41" s="180"/>
      <c r="AA41" s="180"/>
      <c r="AB41" s="180"/>
      <c r="AC41" s="180"/>
      <c r="AD41" s="23"/>
      <c r="AF41" s="171"/>
      <c r="AG41" s="171"/>
      <c r="AH41" s="203"/>
      <c r="AI41" s="204"/>
      <c r="AJ41" s="204"/>
      <c r="AK41" s="204"/>
    </row>
    <row r="42" spans="1:37" ht="19.5" customHeight="1">
      <c r="A42" s="182" t="s">
        <v>57</v>
      </c>
      <c r="B42" s="1"/>
      <c r="C42" s="1"/>
      <c r="D42" s="4"/>
      <c r="E42" s="3"/>
      <c r="F42" s="102"/>
      <c r="G42" s="48"/>
      <c r="H42" s="1"/>
      <c r="I42" s="1"/>
      <c r="J42" s="153"/>
      <c r="K42" s="3"/>
      <c r="L42" s="1"/>
      <c r="M42" s="1"/>
      <c r="N42" s="4"/>
      <c r="O42" s="4"/>
      <c r="P42" s="241"/>
      <c r="Q42" s="1"/>
      <c r="R42" s="49"/>
      <c r="S42" s="49"/>
      <c r="T42" s="344"/>
      <c r="U42" s="49"/>
      <c r="V42" s="49"/>
      <c r="W42" s="1"/>
      <c r="X42" s="1"/>
      <c r="Y42" s="1"/>
      <c r="Z42" s="1"/>
      <c r="AA42" s="49"/>
      <c r="AB42" s="49"/>
      <c r="AC42" s="124"/>
      <c r="AD42" s="134" t="s">
        <v>120</v>
      </c>
      <c r="AE42" s="168"/>
      <c r="AF42" s="173"/>
      <c r="AG42" s="225"/>
      <c r="AH42" s="226"/>
      <c r="AI42" s="227"/>
      <c r="AJ42" s="227"/>
      <c r="AK42" s="228"/>
    </row>
    <row r="43" spans="1:37" ht="15.75" customHeight="1">
      <c r="A43" s="298" t="s">
        <v>139</v>
      </c>
      <c r="B43" s="270" t="s">
        <v>122</v>
      </c>
      <c r="C43" s="270">
        <v>1</v>
      </c>
      <c r="D43" s="271">
        <v>1.5</v>
      </c>
      <c r="E43" s="272">
        <v>2.25</v>
      </c>
      <c r="F43" s="273">
        <v>24.1</v>
      </c>
      <c r="G43" s="274" t="s">
        <v>105</v>
      </c>
      <c r="H43" s="270">
        <v>1</v>
      </c>
      <c r="I43" s="270">
        <v>0.125</v>
      </c>
      <c r="J43" s="275">
        <v>732.06666</v>
      </c>
      <c r="K43" s="272">
        <f aca="true" t="shared" si="26" ref="K43:K62">2*J43*(I43/H43)/1000</f>
        <v>0.183016665</v>
      </c>
      <c r="L43" s="271">
        <v>0</v>
      </c>
      <c r="M43" s="271">
        <v>0</v>
      </c>
      <c r="N43" s="271">
        <f>(C43*E43+K43+L43)</f>
        <v>2.433016665</v>
      </c>
      <c r="O43" s="271">
        <f>C43*D43+M43</f>
        <v>1.5</v>
      </c>
      <c r="P43" s="276">
        <v>59.03</v>
      </c>
      <c r="Q43" s="23">
        <f>P43</f>
        <v>59.03</v>
      </c>
      <c r="R43" s="277">
        <f>(P43-Q43)/($C$2/2)</f>
        <v>0</v>
      </c>
      <c r="S43" s="277">
        <f aca="true" t="shared" si="27" ref="S43:S55">N43*P43+C43*R43*D43</f>
        <v>143.62097373494998</v>
      </c>
      <c r="T43" s="352">
        <f aca="true" t="shared" si="28" ref="T43:T55">SQRT(Q43^2+Q43*(P43-Q43)+(1/3)*(P43-Q43)^2)</f>
        <v>59.03</v>
      </c>
      <c r="U43" s="277">
        <f aca="true" t="shared" si="29" ref="U43:U63">(T43)^2*E43/1000</f>
        <v>7.840217025</v>
      </c>
      <c r="V43" s="277">
        <f aca="true" t="shared" si="30" ref="V43:V63">P43*S43/1000</f>
        <v>8.477946079574098</v>
      </c>
      <c r="W43" s="270" t="s">
        <v>106</v>
      </c>
      <c r="X43" s="270">
        <v>200</v>
      </c>
      <c r="Y43" s="270">
        <v>100</v>
      </c>
      <c r="Z43" s="278">
        <f aca="true" t="shared" si="31" ref="Z43:Z55">0.05*(X43*T43)/1000</f>
        <v>0.5903</v>
      </c>
      <c r="AA43" s="277">
        <f aca="true" t="shared" si="32" ref="AA43:AA62">N43*T43^2/1000+Z43</f>
        <v>9.068246079574099</v>
      </c>
      <c r="AB43" s="277">
        <f aca="true" t="shared" si="33" ref="AB43:AB55">T43*X43/1000*1.4</f>
        <v>16.528399999999998</v>
      </c>
      <c r="AC43" s="277">
        <f aca="true" t="shared" si="34" ref="AC43:AC55">P43*X43/1000*1.4</f>
        <v>16.528399999999998</v>
      </c>
      <c r="AD43" s="299" t="s">
        <v>120</v>
      </c>
      <c r="AE43" s="286"/>
      <c r="AF43" s="259"/>
      <c r="AG43" s="255"/>
      <c r="AH43" s="256">
        <v>0.0005</v>
      </c>
      <c r="AI43" s="250">
        <f aca="true" t="shared" si="35" ref="AI43:AI62">(AH43*Y43)/P43</f>
        <v>0.0008470269354565476</v>
      </c>
      <c r="AJ43" s="212"/>
      <c r="AK43" s="221"/>
    </row>
    <row r="44" spans="1:37" ht="15.75">
      <c r="A44" s="130" t="s">
        <v>161</v>
      </c>
      <c r="B44" s="50" t="s">
        <v>95</v>
      </c>
      <c r="C44" s="50">
        <v>1</v>
      </c>
      <c r="D44" s="51">
        <v>0.95</v>
      </c>
      <c r="E44" s="52">
        <v>4.4</v>
      </c>
      <c r="F44" s="103"/>
      <c r="G44" s="53" t="s">
        <v>55</v>
      </c>
      <c r="H44" s="23">
        <v>1</v>
      </c>
      <c r="I44" s="23">
        <v>1.2</v>
      </c>
      <c r="J44" s="151">
        <v>701.2073</v>
      </c>
      <c r="K44" s="24">
        <f t="shared" si="26"/>
        <v>1.68289752</v>
      </c>
      <c r="L44" s="5">
        <v>0</v>
      </c>
      <c r="M44" s="5">
        <v>0</v>
      </c>
      <c r="N44" s="5">
        <f>(C44*E44+K44)</f>
        <v>6.08289752</v>
      </c>
      <c r="O44" s="5">
        <f>C44*D44</f>
        <v>0.95</v>
      </c>
      <c r="P44" s="311">
        <v>25</v>
      </c>
      <c r="Q44" s="23">
        <v>0</v>
      </c>
      <c r="R44" s="27">
        <f>(P44-Q44)/($C$2/2)</f>
        <v>26.315789473684212</v>
      </c>
      <c r="S44" s="27">
        <f t="shared" si="27"/>
        <v>177.072438</v>
      </c>
      <c r="T44" s="345">
        <f t="shared" si="28"/>
        <v>14.433756729740644</v>
      </c>
      <c r="U44" s="27">
        <f t="shared" si="29"/>
        <v>0.9166666666666666</v>
      </c>
      <c r="V44" s="27">
        <f t="shared" si="30"/>
        <v>4.42681095</v>
      </c>
      <c r="W44" s="50" t="s">
        <v>42</v>
      </c>
      <c r="X44" s="50">
        <v>150</v>
      </c>
      <c r="Y44" s="50">
        <v>15</v>
      </c>
      <c r="Z44" s="37">
        <f t="shared" si="31"/>
        <v>0.10825317547305484</v>
      </c>
      <c r="AA44" s="27">
        <f t="shared" si="32"/>
        <v>1.3755234921397215</v>
      </c>
      <c r="AB44" s="27">
        <f t="shared" si="33"/>
        <v>3.0310889132455348</v>
      </c>
      <c r="AC44" s="126">
        <f t="shared" si="34"/>
        <v>5.25</v>
      </c>
      <c r="AD44" s="36" t="s">
        <v>120</v>
      </c>
      <c r="AE44" s="168"/>
      <c r="AF44" s="170"/>
      <c r="AG44" s="208"/>
      <c r="AH44" s="220">
        <v>0.001</v>
      </c>
      <c r="AI44" s="211">
        <f t="shared" si="35"/>
        <v>0.0006</v>
      </c>
      <c r="AJ44" s="212"/>
      <c r="AK44" s="221"/>
    </row>
    <row r="45" spans="1:37" ht="15.75" customHeight="1">
      <c r="A45" s="130" t="s">
        <v>162</v>
      </c>
      <c r="B45" s="50" t="s">
        <v>95</v>
      </c>
      <c r="C45" s="50">
        <v>1</v>
      </c>
      <c r="D45" s="51">
        <v>0.95</v>
      </c>
      <c r="E45" s="52">
        <v>4.4</v>
      </c>
      <c r="F45" s="103"/>
      <c r="G45" s="367" t="s">
        <v>55</v>
      </c>
      <c r="H45" s="355">
        <v>1</v>
      </c>
      <c r="I45" s="23">
        <v>1.2</v>
      </c>
      <c r="J45" s="151">
        <v>692.17644</v>
      </c>
      <c r="K45" s="24">
        <f t="shared" si="26"/>
        <v>1.6612234559999999</v>
      </c>
      <c r="L45" s="5">
        <v>0</v>
      </c>
      <c r="M45" s="5">
        <v>0</v>
      </c>
      <c r="N45" s="5">
        <f>(C45*E45+K45)</f>
        <v>6.0612234560000005</v>
      </c>
      <c r="O45" s="5">
        <f>C45*D45</f>
        <v>0.95</v>
      </c>
      <c r="P45" s="311">
        <v>25</v>
      </c>
      <c r="Q45" s="23">
        <v>0</v>
      </c>
      <c r="R45" s="27">
        <f>(P45-Q45)/($C$2/2)</f>
        <v>26.315789473684212</v>
      </c>
      <c r="S45" s="27">
        <f t="shared" si="27"/>
        <v>176.5305864</v>
      </c>
      <c r="T45" s="345">
        <f t="shared" si="28"/>
        <v>14.433756729740644</v>
      </c>
      <c r="U45" s="27">
        <f t="shared" si="29"/>
        <v>0.9166666666666666</v>
      </c>
      <c r="V45" s="27">
        <f t="shared" si="30"/>
        <v>4.413264659999999</v>
      </c>
      <c r="W45" s="50" t="s">
        <v>42</v>
      </c>
      <c r="X45" s="50">
        <v>150</v>
      </c>
      <c r="Y45" s="50">
        <v>15</v>
      </c>
      <c r="Z45" s="37">
        <f t="shared" si="31"/>
        <v>0.10825317547305484</v>
      </c>
      <c r="AA45" s="27">
        <f t="shared" si="32"/>
        <v>1.3710080621397216</v>
      </c>
      <c r="AB45" s="27">
        <f t="shared" si="33"/>
        <v>3.0310889132455348</v>
      </c>
      <c r="AC45" s="126">
        <f t="shared" si="34"/>
        <v>5.25</v>
      </c>
      <c r="AD45" s="36" t="s">
        <v>120</v>
      </c>
      <c r="AE45" s="168"/>
      <c r="AF45" s="170"/>
      <c r="AG45" s="208"/>
      <c r="AH45" s="220">
        <v>0.001</v>
      </c>
      <c r="AI45" s="211">
        <f t="shared" si="35"/>
        <v>0.0006</v>
      </c>
      <c r="AJ45" s="212"/>
      <c r="AK45" s="221"/>
    </row>
    <row r="46" spans="1:37" ht="15" customHeight="1">
      <c r="A46" s="298" t="s">
        <v>140</v>
      </c>
      <c r="B46" s="280" t="s">
        <v>122</v>
      </c>
      <c r="C46" s="280">
        <v>1</v>
      </c>
      <c r="D46" s="281">
        <v>1.5</v>
      </c>
      <c r="E46" s="282">
        <v>2.25</v>
      </c>
      <c r="F46" s="283">
        <v>24.1</v>
      </c>
      <c r="G46" s="274" t="s">
        <v>105</v>
      </c>
      <c r="H46" s="270">
        <v>1</v>
      </c>
      <c r="I46" s="280">
        <v>0.125</v>
      </c>
      <c r="J46" s="275">
        <v>710.31706</v>
      </c>
      <c r="K46" s="282">
        <f t="shared" si="26"/>
        <v>0.177579265</v>
      </c>
      <c r="L46" s="281">
        <v>0</v>
      </c>
      <c r="M46" s="281">
        <v>0</v>
      </c>
      <c r="N46" s="281">
        <f>(C46*E46+K46+L46)</f>
        <v>2.427579265</v>
      </c>
      <c r="O46" s="281">
        <f>C46*D46+M46</f>
        <v>1.5</v>
      </c>
      <c r="P46" s="284">
        <v>55.99</v>
      </c>
      <c r="Q46" s="23">
        <f>P46</f>
        <v>55.99</v>
      </c>
      <c r="R46" s="285"/>
      <c r="S46" s="285">
        <f t="shared" si="27"/>
        <v>135.92016304735</v>
      </c>
      <c r="T46" s="353">
        <f t="shared" si="28"/>
        <v>55.99</v>
      </c>
      <c r="U46" s="285">
        <f t="shared" si="29"/>
        <v>7.053480225000001</v>
      </c>
      <c r="V46" s="285">
        <f t="shared" si="30"/>
        <v>7.6101699290211275</v>
      </c>
      <c r="W46" s="280" t="s">
        <v>106</v>
      </c>
      <c r="X46" s="270">
        <v>200</v>
      </c>
      <c r="Y46" s="270">
        <v>100</v>
      </c>
      <c r="Z46" s="279">
        <f t="shared" si="31"/>
        <v>0.5599</v>
      </c>
      <c r="AA46" s="285">
        <f t="shared" si="32"/>
        <v>8.170069929021128</v>
      </c>
      <c r="AB46" s="285">
        <f t="shared" si="33"/>
        <v>15.6772</v>
      </c>
      <c r="AC46" s="285">
        <f t="shared" si="34"/>
        <v>15.6772</v>
      </c>
      <c r="AD46" s="300" t="s">
        <v>120</v>
      </c>
      <c r="AF46" s="260"/>
      <c r="AG46" s="261"/>
      <c r="AH46" s="262">
        <v>0.0005</v>
      </c>
      <c r="AI46" s="262">
        <f t="shared" si="35"/>
        <v>0.000893016610108948</v>
      </c>
      <c r="AJ46" s="263"/>
      <c r="AK46" s="264"/>
    </row>
    <row r="47" spans="1:37" ht="15.75" customHeight="1">
      <c r="A47" s="130" t="s">
        <v>163</v>
      </c>
      <c r="B47" s="50" t="s">
        <v>95</v>
      </c>
      <c r="C47" s="50">
        <v>1</v>
      </c>
      <c r="D47" s="51">
        <v>0.95</v>
      </c>
      <c r="E47" s="52">
        <v>4.4</v>
      </c>
      <c r="F47" s="103"/>
      <c r="G47" s="53" t="s">
        <v>55</v>
      </c>
      <c r="H47" s="23">
        <v>1</v>
      </c>
      <c r="I47" s="23">
        <v>1.2</v>
      </c>
      <c r="J47" s="151">
        <v>636.96822</v>
      </c>
      <c r="K47" s="24">
        <f t="shared" si="26"/>
        <v>1.528723728</v>
      </c>
      <c r="L47" s="5">
        <v>0</v>
      </c>
      <c r="M47" s="5">
        <v>0</v>
      </c>
      <c r="N47" s="5">
        <f>(C47*E47+K47)</f>
        <v>5.9287237280000005</v>
      </c>
      <c r="O47" s="5">
        <f>C47*D47</f>
        <v>0.95</v>
      </c>
      <c r="P47" s="311">
        <v>25</v>
      </c>
      <c r="Q47" s="23">
        <v>0</v>
      </c>
      <c r="R47" s="27">
        <f>(P47-Q47)/($C$2/2)</f>
        <v>26.315789473684212</v>
      </c>
      <c r="S47" s="27">
        <f t="shared" si="27"/>
        <v>173.2180932</v>
      </c>
      <c r="T47" s="345">
        <f t="shared" si="28"/>
        <v>14.433756729740644</v>
      </c>
      <c r="U47" s="27">
        <f t="shared" si="29"/>
        <v>0.9166666666666666</v>
      </c>
      <c r="V47" s="27">
        <f t="shared" si="30"/>
        <v>4.33045233</v>
      </c>
      <c r="W47" s="50" t="s">
        <v>42</v>
      </c>
      <c r="X47" s="50">
        <v>150</v>
      </c>
      <c r="Y47" s="50">
        <v>15</v>
      </c>
      <c r="Z47" s="37">
        <f t="shared" si="31"/>
        <v>0.10825317547305484</v>
      </c>
      <c r="AA47" s="27">
        <f t="shared" si="32"/>
        <v>1.3434039521397214</v>
      </c>
      <c r="AB47" s="27">
        <f t="shared" si="33"/>
        <v>3.0310889132455348</v>
      </c>
      <c r="AC47" s="126">
        <f t="shared" si="34"/>
        <v>5.25</v>
      </c>
      <c r="AD47" s="36" t="s">
        <v>120</v>
      </c>
      <c r="AE47" s="168"/>
      <c r="AF47" s="170"/>
      <c r="AG47" s="208"/>
      <c r="AH47" s="220">
        <v>0.001</v>
      </c>
      <c r="AI47" s="211">
        <f t="shared" si="35"/>
        <v>0.0006</v>
      </c>
      <c r="AJ47" s="212"/>
      <c r="AK47" s="221"/>
    </row>
    <row r="48" spans="1:37" ht="15.75" customHeight="1">
      <c r="A48" s="125" t="s">
        <v>141</v>
      </c>
      <c r="B48" s="252" t="s">
        <v>4</v>
      </c>
      <c r="C48" s="23">
        <v>1</v>
      </c>
      <c r="D48" s="5">
        <v>1.1</v>
      </c>
      <c r="E48" s="24">
        <v>1.6</v>
      </c>
      <c r="F48" s="98">
        <v>17</v>
      </c>
      <c r="G48" s="28" t="s">
        <v>105</v>
      </c>
      <c r="H48" s="23">
        <v>1</v>
      </c>
      <c r="I48" s="23">
        <v>0.125</v>
      </c>
      <c r="J48" s="275">
        <v>655.10887</v>
      </c>
      <c r="K48" s="24">
        <f t="shared" si="26"/>
        <v>0.16377721750000002</v>
      </c>
      <c r="L48" s="5">
        <v>0</v>
      </c>
      <c r="M48" s="5">
        <v>0</v>
      </c>
      <c r="N48" s="5">
        <f>(C48*E48+K48+L48)</f>
        <v>1.7637772175000002</v>
      </c>
      <c r="O48" s="5">
        <f>C48*D48+M48</f>
        <v>1.1</v>
      </c>
      <c r="P48" s="309">
        <v>24.69</v>
      </c>
      <c r="Q48" s="23">
        <f>P48</f>
        <v>24.69</v>
      </c>
      <c r="R48" s="27">
        <f>(P48-Q48)/($C$2/2)</f>
        <v>0</v>
      </c>
      <c r="S48" s="118">
        <f t="shared" si="27"/>
        <v>43.54765950007501</v>
      </c>
      <c r="T48" s="345">
        <f t="shared" si="28"/>
        <v>24.69</v>
      </c>
      <c r="U48" s="27">
        <f t="shared" si="29"/>
        <v>0.9753537600000002</v>
      </c>
      <c r="V48" s="27">
        <f t="shared" si="30"/>
        <v>1.075191713056852</v>
      </c>
      <c r="W48" s="23" t="s">
        <v>106</v>
      </c>
      <c r="X48" s="372">
        <v>100</v>
      </c>
      <c r="Y48" s="372">
        <v>200</v>
      </c>
      <c r="Z48" s="37">
        <f t="shared" si="31"/>
        <v>0.12345</v>
      </c>
      <c r="AA48" s="27">
        <f t="shared" si="32"/>
        <v>1.198641713056852</v>
      </c>
      <c r="AB48" s="27">
        <f t="shared" si="33"/>
        <v>3.4565999999999995</v>
      </c>
      <c r="AC48" s="126">
        <f t="shared" si="34"/>
        <v>3.4565999999999995</v>
      </c>
      <c r="AD48" s="36" t="s">
        <v>120</v>
      </c>
      <c r="AE48" s="168"/>
      <c r="AF48" s="170"/>
      <c r="AG48" s="208"/>
      <c r="AH48" s="249">
        <v>0.0005</v>
      </c>
      <c r="AI48" s="250">
        <f t="shared" si="35"/>
        <v>0.004050222762251924</v>
      </c>
      <c r="AJ48" s="212"/>
      <c r="AK48" s="221"/>
    </row>
    <row r="49" spans="1:37" ht="15.75">
      <c r="A49" s="130" t="s">
        <v>164</v>
      </c>
      <c r="B49" s="50" t="s">
        <v>95</v>
      </c>
      <c r="C49" s="50">
        <v>1</v>
      </c>
      <c r="D49" s="51">
        <v>0.95</v>
      </c>
      <c r="E49" s="52">
        <v>4.4</v>
      </c>
      <c r="F49" s="103"/>
      <c r="G49" s="53" t="s">
        <v>55</v>
      </c>
      <c r="H49" s="23">
        <v>1</v>
      </c>
      <c r="I49" s="23">
        <v>1.2</v>
      </c>
      <c r="J49" s="151">
        <v>590.35063</v>
      </c>
      <c r="K49" s="24">
        <f t="shared" si="26"/>
        <v>1.416841512</v>
      </c>
      <c r="L49" s="5">
        <v>0</v>
      </c>
      <c r="M49" s="5">
        <v>0</v>
      </c>
      <c r="N49" s="5">
        <f>(C49*E49+K49)</f>
        <v>5.816841512</v>
      </c>
      <c r="O49" s="5">
        <f>C49*D49</f>
        <v>0.95</v>
      </c>
      <c r="P49" s="311">
        <v>25</v>
      </c>
      <c r="Q49" s="23">
        <v>0</v>
      </c>
      <c r="R49" s="27">
        <f>(P49-Q49)/($C$2/2)</f>
        <v>26.315789473684212</v>
      </c>
      <c r="S49" s="27">
        <f t="shared" si="27"/>
        <v>170.4210378</v>
      </c>
      <c r="T49" s="345">
        <f t="shared" si="28"/>
        <v>14.433756729740644</v>
      </c>
      <c r="U49" s="27">
        <f t="shared" si="29"/>
        <v>0.9166666666666666</v>
      </c>
      <c r="V49" s="27">
        <f t="shared" si="30"/>
        <v>4.2605259449999995</v>
      </c>
      <c r="W49" s="50" t="s">
        <v>42</v>
      </c>
      <c r="X49" s="50">
        <v>150</v>
      </c>
      <c r="Y49" s="50">
        <v>15</v>
      </c>
      <c r="Z49" s="37">
        <f t="shared" si="31"/>
        <v>0.10825317547305484</v>
      </c>
      <c r="AA49" s="27">
        <f t="shared" si="32"/>
        <v>1.3200951571397215</v>
      </c>
      <c r="AB49" s="27">
        <f t="shared" si="33"/>
        <v>3.0310889132455348</v>
      </c>
      <c r="AC49" s="126">
        <f t="shared" si="34"/>
        <v>5.25</v>
      </c>
      <c r="AD49" s="36" t="s">
        <v>120</v>
      </c>
      <c r="AE49" s="168"/>
      <c r="AF49" s="170"/>
      <c r="AG49" s="208"/>
      <c r="AH49" s="220">
        <v>0.001</v>
      </c>
      <c r="AI49" s="211">
        <f t="shared" si="35"/>
        <v>0.0006</v>
      </c>
      <c r="AJ49" s="212"/>
      <c r="AK49" s="221"/>
    </row>
    <row r="50" spans="1:37" ht="15" customHeight="1">
      <c r="A50" s="298" t="s">
        <v>142</v>
      </c>
      <c r="B50" s="360" t="s">
        <v>122</v>
      </c>
      <c r="C50" s="280">
        <v>1</v>
      </c>
      <c r="D50" s="281">
        <v>1.5</v>
      </c>
      <c r="E50" s="282">
        <v>2.25</v>
      </c>
      <c r="F50" s="283">
        <v>24.1</v>
      </c>
      <c r="G50" s="356" t="s">
        <v>105</v>
      </c>
      <c r="H50" s="355">
        <v>1</v>
      </c>
      <c r="I50" s="280">
        <v>0.125</v>
      </c>
      <c r="J50" s="275">
        <v>608.49125</v>
      </c>
      <c r="K50" s="282">
        <f t="shared" si="26"/>
        <v>0.1521228125</v>
      </c>
      <c r="L50" s="281">
        <v>0</v>
      </c>
      <c r="M50" s="281">
        <v>0</v>
      </c>
      <c r="N50" s="281">
        <f>(C50*E50+K50+L50)</f>
        <v>2.4021228125</v>
      </c>
      <c r="O50" s="281">
        <f>C50*D50+M50</f>
        <v>1.5</v>
      </c>
      <c r="P50" s="284">
        <v>80.98</v>
      </c>
      <c r="Q50" s="270">
        <f>P50</f>
        <v>80.98</v>
      </c>
      <c r="R50" s="285"/>
      <c r="S50" s="285">
        <f t="shared" si="27"/>
        <v>194.52390535625003</v>
      </c>
      <c r="T50" s="353">
        <f t="shared" si="28"/>
        <v>80.98</v>
      </c>
      <c r="U50" s="285">
        <f t="shared" si="29"/>
        <v>14.754960900000002</v>
      </c>
      <c r="V50" s="285">
        <f t="shared" si="30"/>
        <v>15.752545855749128</v>
      </c>
      <c r="W50" s="280" t="s">
        <v>106</v>
      </c>
      <c r="X50" s="270">
        <v>200</v>
      </c>
      <c r="Y50" s="270">
        <v>100</v>
      </c>
      <c r="Z50" s="279">
        <f t="shared" si="31"/>
        <v>0.8098000000000001</v>
      </c>
      <c r="AA50" s="285">
        <f t="shared" si="32"/>
        <v>16.56234585574913</v>
      </c>
      <c r="AB50" s="285">
        <f t="shared" si="33"/>
        <v>22.674400000000002</v>
      </c>
      <c r="AC50" s="285">
        <f t="shared" si="34"/>
        <v>22.674400000000002</v>
      </c>
      <c r="AD50" s="300" t="s">
        <v>120</v>
      </c>
      <c r="AF50" s="260"/>
      <c r="AG50" s="261"/>
      <c r="AH50" s="262">
        <v>0.0005</v>
      </c>
      <c r="AI50" s="262">
        <f t="shared" si="35"/>
        <v>0.0006174364040503828</v>
      </c>
      <c r="AJ50" s="263"/>
      <c r="AK50" s="264"/>
    </row>
    <row r="51" spans="1:37" ht="16.5" customHeight="1">
      <c r="A51" s="130" t="s">
        <v>165</v>
      </c>
      <c r="B51" s="361" t="s">
        <v>95</v>
      </c>
      <c r="C51" s="50">
        <v>1</v>
      </c>
      <c r="D51" s="51">
        <v>0.95</v>
      </c>
      <c r="E51" s="52">
        <v>4.4</v>
      </c>
      <c r="F51" s="103"/>
      <c r="G51" s="368" t="s">
        <v>55</v>
      </c>
      <c r="H51" s="369">
        <v>1</v>
      </c>
      <c r="I51" s="23">
        <v>1.2</v>
      </c>
      <c r="J51" s="151">
        <v>518.44749</v>
      </c>
      <c r="K51" s="24">
        <f t="shared" si="26"/>
        <v>1.244273976</v>
      </c>
      <c r="L51" s="5">
        <v>0</v>
      </c>
      <c r="M51" s="5">
        <v>0</v>
      </c>
      <c r="N51" s="5">
        <f>(C51*E51+K51)</f>
        <v>5.644273976</v>
      </c>
      <c r="O51" s="5">
        <f>C51*D51</f>
        <v>0.95</v>
      </c>
      <c r="P51" s="311">
        <v>25</v>
      </c>
      <c r="Q51" s="23">
        <v>0</v>
      </c>
      <c r="R51" s="27">
        <f>(P51-Q51)/($C$2/2)</f>
        <v>26.315789473684212</v>
      </c>
      <c r="S51" s="27">
        <f t="shared" si="27"/>
        <v>166.1068494</v>
      </c>
      <c r="T51" s="345">
        <f t="shared" si="28"/>
        <v>14.433756729740644</v>
      </c>
      <c r="U51" s="27">
        <f t="shared" si="29"/>
        <v>0.9166666666666666</v>
      </c>
      <c r="V51" s="27">
        <f t="shared" si="30"/>
        <v>4.152671235</v>
      </c>
      <c r="W51" s="50" t="s">
        <v>42</v>
      </c>
      <c r="X51" s="50">
        <v>150</v>
      </c>
      <c r="Y51" s="50">
        <v>15</v>
      </c>
      <c r="Z51" s="37">
        <f t="shared" si="31"/>
        <v>0.10825317547305484</v>
      </c>
      <c r="AA51" s="27">
        <f t="shared" si="32"/>
        <v>1.2841435871397213</v>
      </c>
      <c r="AB51" s="27">
        <f t="shared" si="33"/>
        <v>3.0310889132455348</v>
      </c>
      <c r="AC51" s="126">
        <f t="shared" si="34"/>
        <v>5.25</v>
      </c>
      <c r="AD51" s="36" t="s">
        <v>120</v>
      </c>
      <c r="AE51" s="168"/>
      <c r="AF51" s="170"/>
      <c r="AG51" s="208"/>
      <c r="AH51" s="220">
        <v>0.001</v>
      </c>
      <c r="AI51" s="211">
        <f t="shared" si="35"/>
        <v>0.0006</v>
      </c>
      <c r="AJ51" s="212"/>
      <c r="AK51" s="221"/>
    </row>
    <row r="52" spans="1:37" ht="32.25" customHeight="1" thickBot="1">
      <c r="A52" s="373" t="s">
        <v>166</v>
      </c>
      <c r="B52" s="387" t="s">
        <v>171</v>
      </c>
      <c r="C52" s="374">
        <v>1</v>
      </c>
      <c r="D52" s="375">
        <v>1.5</v>
      </c>
      <c r="E52" s="376">
        <v>2.25</v>
      </c>
      <c r="F52" s="377">
        <v>24.1</v>
      </c>
      <c r="G52" s="378" t="s">
        <v>105</v>
      </c>
      <c r="H52" s="379">
        <v>1</v>
      </c>
      <c r="I52" s="374">
        <v>0.125</v>
      </c>
      <c r="J52" s="380">
        <v>518.44749</v>
      </c>
      <c r="K52" s="376">
        <f>2*J52*(I52/H52)/1000</f>
        <v>0.1296118725</v>
      </c>
      <c r="L52" s="375">
        <v>0</v>
      </c>
      <c r="M52" s="375">
        <v>0</v>
      </c>
      <c r="N52" s="375">
        <f>(C52*E52+K52+L52)</f>
        <v>2.3796118725</v>
      </c>
      <c r="O52" s="375">
        <f>C52*D52+M52</f>
        <v>1.5</v>
      </c>
      <c r="P52" s="374">
        <v>80</v>
      </c>
      <c r="Q52" s="374">
        <f>P52</f>
        <v>80</v>
      </c>
      <c r="R52" s="380"/>
      <c r="S52" s="380">
        <f>N52*P52+C52*R52*D52</f>
        <v>190.3689498</v>
      </c>
      <c r="T52" s="380">
        <f>SQRT(Q52^2+Q52*(P52-Q52)+(1/3)*(P52-Q52)^2)</f>
        <v>80</v>
      </c>
      <c r="U52" s="380">
        <f>(T52)^2*E52/1000</f>
        <v>14.4</v>
      </c>
      <c r="V52" s="380">
        <f>P52*S52/1000</f>
        <v>15.229515983999999</v>
      </c>
      <c r="W52" s="374" t="s">
        <v>106</v>
      </c>
      <c r="X52" s="381">
        <v>200</v>
      </c>
      <c r="Y52" s="381">
        <v>100</v>
      </c>
      <c r="Z52" s="382">
        <f>0.05*(X52*T52)/1000</f>
        <v>0.8</v>
      </c>
      <c r="AA52" s="380">
        <f>N52*T52^2/1000+Z52</f>
        <v>16.029515984</v>
      </c>
      <c r="AB52" s="380">
        <f>T52*X52/1000*1.4</f>
        <v>22.4</v>
      </c>
      <c r="AC52" s="380">
        <f>P52*X52/1000*1.4</f>
        <v>22.4</v>
      </c>
      <c r="AD52" s="383" t="s">
        <v>120</v>
      </c>
      <c r="AE52" s="384"/>
      <c r="AF52" s="170">
        <f>S52/(2*SQRT((2*3.14*720*O52)^2+N52^2))</f>
        <v>0.014034039431700583</v>
      </c>
      <c r="AG52" s="208">
        <f>100*AF52/P52</f>
        <v>0.017542549289625727</v>
      </c>
      <c r="AH52" s="385">
        <v>0.0005</v>
      </c>
      <c r="AI52" s="385">
        <f>(AH52*Y52)/P52</f>
        <v>0.000625</v>
      </c>
      <c r="AJ52" s="385"/>
      <c r="AK52" s="386"/>
    </row>
    <row r="53" spans="1:37" ht="14.25" customHeight="1" thickBot="1">
      <c r="A53" s="359" t="s">
        <v>143</v>
      </c>
      <c r="B53" s="362" t="s">
        <v>122</v>
      </c>
      <c r="C53" s="301">
        <v>1</v>
      </c>
      <c r="D53" s="302">
        <v>1.5</v>
      </c>
      <c r="E53" s="303">
        <v>2.25</v>
      </c>
      <c r="F53" s="304">
        <v>24.1</v>
      </c>
      <c r="G53" s="32" t="s">
        <v>105</v>
      </c>
      <c r="H53" s="29">
        <v>1</v>
      </c>
      <c r="I53" s="301">
        <v>0.125</v>
      </c>
      <c r="J53" s="370">
        <v>536.58815</v>
      </c>
      <c r="K53" s="303">
        <f t="shared" si="26"/>
        <v>0.1341470375</v>
      </c>
      <c r="L53" s="302">
        <v>0</v>
      </c>
      <c r="M53" s="302">
        <v>0</v>
      </c>
      <c r="N53" s="302">
        <f>(C53*E53+K53+L53)</f>
        <v>2.3841470375</v>
      </c>
      <c r="O53" s="302">
        <f>C53*D53+M53</f>
        <v>1.5</v>
      </c>
      <c r="P53" s="305">
        <v>64.14</v>
      </c>
      <c r="Q53" s="363">
        <f>P53</f>
        <v>64.14</v>
      </c>
      <c r="R53" s="306"/>
      <c r="S53" s="306">
        <f t="shared" si="27"/>
        <v>152.91919098525</v>
      </c>
      <c r="T53" s="354">
        <f t="shared" si="28"/>
        <v>64.14</v>
      </c>
      <c r="U53" s="306">
        <f t="shared" si="29"/>
        <v>9.256364099999999</v>
      </c>
      <c r="V53" s="306">
        <f t="shared" si="30"/>
        <v>9.808236909793935</v>
      </c>
      <c r="W53" s="301" t="s">
        <v>106</v>
      </c>
      <c r="X53" s="270">
        <v>200</v>
      </c>
      <c r="Y53" s="270">
        <v>100</v>
      </c>
      <c r="Z53" s="307">
        <f t="shared" si="31"/>
        <v>0.6414000000000001</v>
      </c>
      <c r="AA53" s="306">
        <f t="shared" si="32"/>
        <v>10.449636909793934</v>
      </c>
      <c r="AB53" s="306">
        <f t="shared" si="33"/>
        <v>17.9592</v>
      </c>
      <c r="AC53" s="306">
        <f t="shared" si="34"/>
        <v>17.9592</v>
      </c>
      <c r="AD53" s="308" t="s">
        <v>120</v>
      </c>
      <c r="AF53" s="265"/>
      <c r="AG53" s="266"/>
      <c r="AH53" s="267">
        <v>0.0005</v>
      </c>
      <c r="AI53" s="267">
        <f t="shared" si="35"/>
        <v>0.0007795447458684129</v>
      </c>
      <c r="AJ53" s="268"/>
      <c r="AK53" s="269"/>
    </row>
    <row r="54" spans="1:37" ht="15.75">
      <c r="A54" s="130" t="s">
        <v>167</v>
      </c>
      <c r="B54" s="50" t="s">
        <v>95</v>
      </c>
      <c r="C54" s="50">
        <v>1</v>
      </c>
      <c r="D54" s="51">
        <v>0.95</v>
      </c>
      <c r="E54" s="52">
        <v>4.4</v>
      </c>
      <c r="F54" s="103"/>
      <c r="G54" s="53" t="s">
        <v>55</v>
      </c>
      <c r="H54" s="23">
        <v>1</v>
      </c>
      <c r="I54" s="23">
        <v>1.2</v>
      </c>
      <c r="J54" s="151">
        <v>496.99911</v>
      </c>
      <c r="K54" s="24">
        <f t="shared" si="26"/>
        <v>1.1927978639999999</v>
      </c>
      <c r="L54" s="5">
        <v>0</v>
      </c>
      <c r="M54" s="5">
        <v>0</v>
      </c>
      <c r="N54" s="5">
        <f>(C54*E54+K54)</f>
        <v>5.5927978640000005</v>
      </c>
      <c r="O54" s="5">
        <f>C54*D54</f>
        <v>0.95</v>
      </c>
      <c r="P54" s="311">
        <v>25</v>
      </c>
      <c r="Q54" s="23">
        <v>0</v>
      </c>
      <c r="R54" s="27">
        <f>(P54-Q54)/($C$2/2)</f>
        <v>26.315789473684212</v>
      </c>
      <c r="S54" s="27">
        <f t="shared" si="27"/>
        <v>164.8199466</v>
      </c>
      <c r="T54" s="345">
        <f t="shared" si="28"/>
        <v>14.433756729740644</v>
      </c>
      <c r="U54" s="27">
        <f t="shared" si="29"/>
        <v>0.9166666666666666</v>
      </c>
      <c r="V54" s="27">
        <f t="shared" si="30"/>
        <v>4.120498665</v>
      </c>
      <c r="W54" s="50" t="s">
        <v>42</v>
      </c>
      <c r="X54" s="50">
        <v>150</v>
      </c>
      <c r="Y54" s="50">
        <v>15</v>
      </c>
      <c r="Z54" s="37">
        <f t="shared" si="31"/>
        <v>0.10825317547305484</v>
      </c>
      <c r="AA54" s="27">
        <f t="shared" si="32"/>
        <v>1.2734193971397216</v>
      </c>
      <c r="AB54" s="27">
        <f t="shared" si="33"/>
        <v>3.0310889132455348</v>
      </c>
      <c r="AC54" s="126">
        <f t="shared" si="34"/>
        <v>5.25</v>
      </c>
      <c r="AD54" s="36" t="s">
        <v>120</v>
      </c>
      <c r="AE54" s="168"/>
      <c r="AF54" s="170"/>
      <c r="AG54" s="208"/>
      <c r="AH54" s="220">
        <v>0.001</v>
      </c>
      <c r="AI54" s="211">
        <f t="shared" si="35"/>
        <v>0.0006</v>
      </c>
      <c r="AJ54" s="212"/>
      <c r="AK54" s="221"/>
    </row>
    <row r="55" spans="1:37" ht="15" customHeight="1">
      <c r="A55" s="125" t="s">
        <v>144</v>
      </c>
      <c r="B55" s="23" t="s">
        <v>122</v>
      </c>
      <c r="C55" s="23">
        <v>1</v>
      </c>
      <c r="D55" s="5">
        <v>1.5</v>
      </c>
      <c r="E55" s="24">
        <v>2.25</v>
      </c>
      <c r="F55" s="98">
        <v>24.1</v>
      </c>
      <c r="G55" s="28" t="s">
        <v>105</v>
      </c>
      <c r="H55" s="23">
        <v>1</v>
      </c>
      <c r="I55" s="23">
        <v>0.125</v>
      </c>
      <c r="J55" s="275">
        <v>515.13976</v>
      </c>
      <c r="K55" s="24">
        <f t="shared" si="26"/>
        <v>0.12878494000000001</v>
      </c>
      <c r="L55" s="5">
        <v>0</v>
      </c>
      <c r="M55" s="5">
        <v>0</v>
      </c>
      <c r="N55" s="5">
        <f>(C55*E55+K55)</f>
        <v>2.37878494</v>
      </c>
      <c r="O55" s="5">
        <f>C55*D55</f>
        <v>1.5</v>
      </c>
      <c r="P55" s="238">
        <v>71.22</v>
      </c>
      <c r="Q55" s="23">
        <f>P55</f>
        <v>71.22</v>
      </c>
      <c r="R55" s="27">
        <f>(P55-Q55)/($C$2/2)</f>
        <v>0</v>
      </c>
      <c r="S55" s="27">
        <f t="shared" si="27"/>
        <v>169.4170634268</v>
      </c>
      <c r="T55" s="345">
        <f t="shared" si="28"/>
        <v>71.22</v>
      </c>
      <c r="U55" s="27">
        <f t="shared" si="29"/>
        <v>11.412648899999999</v>
      </c>
      <c r="V55" s="27">
        <f t="shared" si="30"/>
        <v>12.065883257256697</v>
      </c>
      <c r="W55" s="23" t="s">
        <v>106</v>
      </c>
      <c r="X55" s="23">
        <v>200</v>
      </c>
      <c r="Y55" s="23">
        <v>100</v>
      </c>
      <c r="Z55" s="37">
        <f t="shared" si="31"/>
        <v>0.7122</v>
      </c>
      <c r="AA55" s="27">
        <f t="shared" si="32"/>
        <v>12.778083257256695</v>
      </c>
      <c r="AB55" s="27">
        <f t="shared" si="33"/>
        <v>19.941599999999998</v>
      </c>
      <c r="AC55" s="126">
        <f t="shared" si="34"/>
        <v>19.941599999999998</v>
      </c>
      <c r="AD55" s="36" t="s">
        <v>120</v>
      </c>
      <c r="AE55" s="168"/>
      <c r="AF55" s="170"/>
      <c r="AG55" s="208"/>
      <c r="AH55" s="251">
        <v>0.0005</v>
      </c>
      <c r="AI55" s="250">
        <f t="shared" si="35"/>
        <v>0.0007020499859590004</v>
      </c>
      <c r="AJ55" s="212"/>
      <c r="AK55" s="221"/>
    </row>
    <row r="56" spans="1:37" ht="15.75" customHeight="1">
      <c r="A56" s="333" t="s">
        <v>174</v>
      </c>
      <c r="B56" s="334" t="s">
        <v>60</v>
      </c>
      <c r="C56" s="334">
        <v>4</v>
      </c>
      <c r="D56" s="335">
        <v>0.008</v>
      </c>
      <c r="E56" s="336">
        <v>0.00718</v>
      </c>
      <c r="F56" s="337">
        <v>162</v>
      </c>
      <c r="G56" s="338" t="s">
        <v>70</v>
      </c>
      <c r="H56" s="339">
        <v>7</v>
      </c>
      <c r="I56" s="334">
        <v>0.026</v>
      </c>
      <c r="J56" s="371">
        <v>482.88978999999995</v>
      </c>
      <c r="K56" s="336">
        <f t="shared" si="26"/>
        <v>0.003587181297142857</v>
      </c>
      <c r="L56" s="335">
        <v>0.002</v>
      </c>
      <c r="M56" s="335">
        <v>0.001</v>
      </c>
      <c r="N56" s="335">
        <f>(C56*E56+K56+L56)</f>
        <v>0.03430718129714286</v>
      </c>
      <c r="O56" s="335">
        <f>C56*D56+M56</f>
        <v>0.033</v>
      </c>
      <c r="P56" s="334">
        <v>4142.08</v>
      </c>
      <c r="Q56" s="334">
        <v>0</v>
      </c>
      <c r="R56" s="340" t="s">
        <v>103</v>
      </c>
      <c r="S56" s="340">
        <v>400</v>
      </c>
      <c r="T56" s="340">
        <v>1945</v>
      </c>
      <c r="U56" s="340">
        <f t="shared" si="29"/>
        <v>27.1621195</v>
      </c>
      <c r="V56" s="340">
        <f t="shared" si="30"/>
        <v>1656.832</v>
      </c>
      <c r="W56" s="343" t="s">
        <v>136</v>
      </c>
      <c r="X56" s="330">
        <v>400</v>
      </c>
      <c r="Y56" s="330">
        <v>5000</v>
      </c>
      <c r="Z56" s="342">
        <f>0.006*(X56*T56)/1000</f>
        <v>4.668</v>
      </c>
      <c r="AA56" s="340">
        <f t="shared" si="32"/>
        <v>134.45292452662386</v>
      </c>
      <c r="AB56" s="340">
        <f>T56*X56*1.4/1000</f>
        <v>1089.2</v>
      </c>
      <c r="AC56" s="340">
        <f>P56*X56*1.4/1000</f>
        <v>2319.5647999999997</v>
      </c>
      <c r="AD56" s="299" t="s">
        <v>120</v>
      </c>
      <c r="AE56" s="286"/>
      <c r="AF56" s="259">
        <f>S56/(2*SQRT((2*3.14*720*O56)^2+N56^2))</f>
        <v>1.3403675469773761</v>
      </c>
      <c r="AG56" s="255">
        <f>100*AF56/P56</f>
        <v>0.0323597696562446</v>
      </c>
      <c r="AH56" s="212">
        <v>0.001</v>
      </c>
      <c r="AI56" s="211">
        <f t="shared" si="35"/>
        <v>0.0012071229913473425</v>
      </c>
      <c r="AJ56" s="211">
        <v>0.0001</v>
      </c>
      <c r="AK56" s="219">
        <f>(AJ56*Y56)/P56</f>
        <v>0.00012071229913473424</v>
      </c>
    </row>
    <row r="57" spans="1:37" ht="15.75" customHeight="1">
      <c r="A57" s="130" t="s">
        <v>168</v>
      </c>
      <c r="B57" s="50" t="s">
        <v>95</v>
      </c>
      <c r="C57" s="50">
        <v>1</v>
      </c>
      <c r="D57" s="51">
        <v>0.95</v>
      </c>
      <c r="E57" s="52">
        <v>4.4</v>
      </c>
      <c r="F57" s="103"/>
      <c r="G57" s="53" t="s">
        <v>55</v>
      </c>
      <c r="H57" s="23">
        <v>1</v>
      </c>
      <c r="I57" s="23">
        <v>1.2</v>
      </c>
      <c r="J57" s="151">
        <v>441.2795</v>
      </c>
      <c r="K57" s="24">
        <f t="shared" si="26"/>
        <v>1.0590708</v>
      </c>
      <c r="L57" s="5">
        <v>0</v>
      </c>
      <c r="M57" s="5">
        <v>0</v>
      </c>
      <c r="N57" s="5">
        <f>(C57*E57+K57)</f>
        <v>5.4590708</v>
      </c>
      <c r="O57" s="5">
        <f>C57*D57</f>
        <v>0.95</v>
      </c>
      <c r="P57" s="311">
        <v>25</v>
      </c>
      <c r="Q57" s="23">
        <v>0</v>
      </c>
      <c r="R57" s="27">
        <f aca="true" t="shared" si="36" ref="R57:R63">(P57-Q57)/($C$2/2)</f>
        <v>26.315789473684212</v>
      </c>
      <c r="S57" s="27">
        <f aca="true" t="shared" si="37" ref="S57:S62">N57*P57+C57*R57*D57</f>
        <v>161.47677000000002</v>
      </c>
      <c r="T57" s="345">
        <f aca="true" t="shared" si="38" ref="T57:T62">SQRT(Q57^2+Q57*(P57-Q57)+(1/3)*(P57-Q57)^2)</f>
        <v>14.433756729740644</v>
      </c>
      <c r="U57" s="27">
        <f t="shared" si="29"/>
        <v>0.9166666666666666</v>
      </c>
      <c r="V57" s="27">
        <f t="shared" si="30"/>
        <v>4.03691925</v>
      </c>
      <c r="W57" s="50" t="s">
        <v>42</v>
      </c>
      <c r="X57" s="50">
        <v>150</v>
      </c>
      <c r="Y57" s="50">
        <v>15</v>
      </c>
      <c r="Z57" s="37">
        <f aca="true" t="shared" si="39" ref="Z57:Z63">0.05*(X57*T57)/1000</f>
        <v>0.10825317547305484</v>
      </c>
      <c r="AA57" s="27">
        <f t="shared" si="32"/>
        <v>1.2455595921397216</v>
      </c>
      <c r="AB57" s="27">
        <f aca="true" t="shared" si="40" ref="AB57:AB63">T57*X57/1000*1.4</f>
        <v>3.0310889132455348</v>
      </c>
      <c r="AC57" s="126">
        <f aca="true" t="shared" si="41" ref="AC57:AC63">P57*X57/1000*1.4</f>
        <v>5.25</v>
      </c>
      <c r="AD57" s="36" t="s">
        <v>120</v>
      </c>
      <c r="AE57" s="168"/>
      <c r="AF57" s="170"/>
      <c r="AG57" s="208"/>
      <c r="AH57" s="220">
        <v>0.001</v>
      </c>
      <c r="AI57" s="211">
        <f t="shared" si="35"/>
        <v>0.0006</v>
      </c>
      <c r="AJ57" s="212"/>
      <c r="AK57" s="221"/>
    </row>
    <row r="58" spans="1:37" ht="15.75" customHeight="1">
      <c r="A58" s="125" t="s">
        <v>145</v>
      </c>
      <c r="B58" s="252" t="s">
        <v>4</v>
      </c>
      <c r="C58" s="23">
        <v>1</v>
      </c>
      <c r="D58" s="5">
        <v>1.1</v>
      </c>
      <c r="E58" s="24">
        <v>1.6</v>
      </c>
      <c r="F58" s="98">
        <v>17</v>
      </c>
      <c r="G58" s="28" t="s">
        <v>105</v>
      </c>
      <c r="H58" s="23">
        <v>1</v>
      </c>
      <c r="I58" s="23">
        <v>0.125</v>
      </c>
      <c r="J58" s="275">
        <v>459.42013</v>
      </c>
      <c r="K58" s="24">
        <f t="shared" si="26"/>
        <v>0.1148550325</v>
      </c>
      <c r="L58" s="5">
        <v>0</v>
      </c>
      <c r="M58" s="5">
        <v>0</v>
      </c>
      <c r="N58" s="5">
        <f>(C58*E58+K58+L58)</f>
        <v>1.7148550325</v>
      </c>
      <c r="O58" s="5">
        <f>C58*D58+M58</f>
        <v>1.1</v>
      </c>
      <c r="P58" s="309">
        <v>48.09</v>
      </c>
      <c r="Q58" s="23">
        <f>P58</f>
        <v>48.09</v>
      </c>
      <c r="R58" s="27">
        <f t="shared" si="36"/>
        <v>0</v>
      </c>
      <c r="S58" s="118">
        <f t="shared" si="37"/>
        <v>82.46737851292501</v>
      </c>
      <c r="T58" s="345">
        <f t="shared" si="38"/>
        <v>48.09</v>
      </c>
      <c r="U58" s="27">
        <f t="shared" si="29"/>
        <v>3.7002369600000007</v>
      </c>
      <c r="V58" s="27">
        <f t="shared" si="30"/>
        <v>3.965856232686564</v>
      </c>
      <c r="W58" s="23" t="s">
        <v>106</v>
      </c>
      <c r="X58" s="248">
        <v>200</v>
      </c>
      <c r="Y58" s="238">
        <v>100</v>
      </c>
      <c r="Z58" s="37">
        <f t="shared" si="39"/>
        <v>0.48090000000000005</v>
      </c>
      <c r="AA58" s="27">
        <f t="shared" si="32"/>
        <v>4.446756232686564</v>
      </c>
      <c r="AB58" s="27">
        <f t="shared" si="40"/>
        <v>13.4652</v>
      </c>
      <c r="AC58" s="126">
        <f t="shared" si="41"/>
        <v>13.4652</v>
      </c>
      <c r="AD58" s="36" t="s">
        <v>120</v>
      </c>
      <c r="AE58" s="168"/>
      <c r="AF58" s="170"/>
      <c r="AG58" s="208"/>
      <c r="AH58" s="249">
        <v>0.0005</v>
      </c>
      <c r="AI58" s="250">
        <f t="shared" si="35"/>
        <v>0.001039717196922437</v>
      </c>
      <c r="AJ58" s="212"/>
      <c r="AK58" s="221"/>
    </row>
    <row r="59" spans="1:37" ht="15.75" customHeight="1">
      <c r="A59" s="125" t="s">
        <v>146</v>
      </c>
      <c r="B59" s="113" t="s">
        <v>122</v>
      </c>
      <c r="C59" s="252">
        <v>1</v>
      </c>
      <c r="D59" s="253">
        <v>1.5</v>
      </c>
      <c r="E59" s="24">
        <v>2.25</v>
      </c>
      <c r="F59" s="98">
        <v>24.1</v>
      </c>
      <c r="G59" s="28" t="s">
        <v>105</v>
      </c>
      <c r="H59" s="23">
        <v>1</v>
      </c>
      <c r="I59" s="23">
        <v>0.125</v>
      </c>
      <c r="J59" s="275">
        <v>398.75308999999993</v>
      </c>
      <c r="K59" s="24">
        <f t="shared" si="26"/>
        <v>0.09968827249999998</v>
      </c>
      <c r="L59" s="5">
        <v>0</v>
      </c>
      <c r="M59" s="5">
        <v>0</v>
      </c>
      <c r="N59" s="5">
        <f>(C59*E59+K59)</f>
        <v>2.3496882725</v>
      </c>
      <c r="O59" s="5">
        <f>C59*D59</f>
        <v>1.5</v>
      </c>
      <c r="P59" s="238">
        <v>73.63</v>
      </c>
      <c r="Q59" s="23">
        <f>P59</f>
        <v>73.63</v>
      </c>
      <c r="R59" s="27">
        <f t="shared" si="36"/>
        <v>0</v>
      </c>
      <c r="S59" s="27">
        <f t="shared" si="37"/>
        <v>173.007547504175</v>
      </c>
      <c r="T59" s="345">
        <f t="shared" si="38"/>
        <v>73.63</v>
      </c>
      <c r="U59" s="27">
        <f t="shared" si="29"/>
        <v>12.198098025</v>
      </c>
      <c r="V59" s="27">
        <f t="shared" si="30"/>
        <v>12.738545722732404</v>
      </c>
      <c r="W59" s="23" t="s">
        <v>106</v>
      </c>
      <c r="X59" s="23">
        <v>200</v>
      </c>
      <c r="Y59" s="23">
        <v>100</v>
      </c>
      <c r="Z59" s="37">
        <f t="shared" si="39"/>
        <v>0.7363000000000001</v>
      </c>
      <c r="AA59" s="27">
        <f t="shared" si="32"/>
        <v>13.474845722732402</v>
      </c>
      <c r="AB59" s="27">
        <f t="shared" si="40"/>
        <v>20.6164</v>
      </c>
      <c r="AC59" s="126">
        <f t="shared" si="41"/>
        <v>20.6164</v>
      </c>
      <c r="AD59" s="36" t="s">
        <v>120</v>
      </c>
      <c r="AE59" s="168"/>
      <c r="AF59" s="170"/>
      <c r="AG59" s="208"/>
      <c r="AH59" s="249">
        <v>0.0005</v>
      </c>
      <c r="AI59" s="250">
        <f t="shared" si="35"/>
        <v>0.0006790710308298249</v>
      </c>
      <c r="AJ59" s="212"/>
      <c r="AK59" s="221"/>
    </row>
    <row r="60" spans="1:37" ht="15.75">
      <c r="A60" s="125" t="s">
        <v>147</v>
      </c>
      <c r="B60" s="113" t="s">
        <v>122</v>
      </c>
      <c r="C60" s="23">
        <v>1</v>
      </c>
      <c r="D60" s="253">
        <v>1.5</v>
      </c>
      <c r="E60" s="24">
        <v>2.25</v>
      </c>
      <c r="F60" s="98">
        <v>24.1</v>
      </c>
      <c r="G60" s="28" t="s">
        <v>105</v>
      </c>
      <c r="H60" s="23">
        <v>1</v>
      </c>
      <c r="I60" s="23">
        <v>0.125</v>
      </c>
      <c r="J60" s="275">
        <v>405.25307</v>
      </c>
      <c r="K60" s="24">
        <f t="shared" si="26"/>
        <v>0.1013132675</v>
      </c>
      <c r="L60" s="5">
        <v>0</v>
      </c>
      <c r="M60" s="5">
        <v>0</v>
      </c>
      <c r="N60" s="5">
        <f>(C60*E60+K60)</f>
        <v>2.3513132675</v>
      </c>
      <c r="O60" s="5">
        <f>C60*D60</f>
        <v>1.5</v>
      </c>
      <c r="P60" s="238">
        <v>73.44</v>
      </c>
      <c r="Q60" s="23">
        <f>P60</f>
        <v>73.44</v>
      </c>
      <c r="R60" s="27">
        <f t="shared" si="36"/>
        <v>0</v>
      </c>
      <c r="S60" s="27">
        <f t="shared" si="37"/>
        <v>172.6804463652</v>
      </c>
      <c r="T60" s="345">
        <f t="shared" si="38"/>
        <v>73.44</v>
      </c>
      <c r="U60" s="27">
        <f t="shared" si="29"/>
        <v>12.135225599999998</v>
      </c>
      <c r="V60" s="27">
        <f t="shared" si="30"/>
        <v>12.681651981060288</v>
      </c>
      <c r="W60" s="111" t="s">
        <v>106</v>
      </c>
      <c r="X60" s="23">
        <v>200</v>
      </c>
      <c r="Y60" s="36">
        <v>100</v>
      </c>
      <c r="Z60" s="37">
        <f t="shared" si="39"/>
        <v>0.7344</v>
      </c>
      <c r="AA60" s="27">
        <f t="shared" si="32"/>
        <v>13.416051981060289</v>
      </c>
      <c r="AB60" s="27">
        <f t="shared" si="40"/>
        <v>20.5632</v>
      </c>
      <c r="AC60" s="126">
        <f t="shared" si="41"/>
        <v>20.5632</v>
      </c>
      <c r="AD60" s="36" t="s">
        <v>120</v>
      </c>
      <c r="AE60" s="168"/>
      <c r="AF60" s="170"/>
      <c r="AG60" s="208"/>
      <c r="AH60" s="249">
        <v>0.0005</v>
      </c>
      <c r="AI60" s="250">
        <f t="shared" si="35"/>
        <v>0.0006808278867102397</v>
      </c>
      <c r="AJ60" s="212"/>
      <c r="AK60" s="221"/>
    </row>
    <row r="61" spans="1:37" ht="15.75" customHeight="1">
      <c r="A61" s="130" t="s">
        <v>169</v>
      </c>
      <c r="B61" s="361" t="s">
        <v>95</v>
      </c>
      <c r="C61" s="50">
        <v>1</v>
      </c>
      <c r="D61" s="51">
        <v>0.95</v>
      </c>
      <c r="E61" s="52">
        <v>4.4</v>
      </c>
      <c r="F61" s="103"/>
      <c r="G61" s="53" t="s">
        <v>55</v>
      </c>
      <c r="H61" s="23">
        <v>1</v>
      </c>
      <c r="I61" s="23">
        <v>1.2</v>
      </c>
      <c r="J61" s="151">
        <v>346.97660999999994</v>
      </c>
      <c r="K61" s="24">
        <f t="shared" si="26"/>
        <v>0.8327438639999998</v>
      </c>
      <c r="L61" s="5">
        <v>0</v>
      </c>
      <c r="M61" s="5">
        <v>0</v>
      </c>
      <c r="N61" s="5">
        <f>(C61*E61+K61)</f>
        <v>5.232743864</v>
      </c>
      <c r="O61" s="5">
        <f>C61*D61</f>
        <v>0.95</v>
      </c>
      <c r="P61" s="311">
        <v>25</v>
      </c>
      <c r="Q61" s="23">
        <v>0</v>
      </c>
      <c r="R61" s="27">
        <f t="shared" si="36"/>
        <v>26.315789473684212</v>
      </c>
      <c r="S61" s="27">
        <f t="shared" si="37"/>
        <v>155.81859659999998</v>
      </c>
      <c r="T61" s="345">
        <f t="shared" si="38"/>
        <v>14.433756729740644</v>
      </c>
      <c r="U61" s="27">
        <f t="shared" si="29"/>
        <v>0.9166666666666666</v>
      </c>
      <c r="V61" s="27">
        <f t="shared" si="30"/>
        <v>3.8954649149999994</v>
      </c>
      <c r="W61" s="50" t="s">
        <v>42</v>
      </c>
      <c r="X61" s="50">
        <v>150</v>
      </c>
      <c r="Y61" s="50">
        <v>15</v>
      </c>
      <c r="Z61" s="37">
        <f t="shared" si="39"/>
        <v>0.10825317547305484</v>
      </c>
      <c r="AA61" s="27">
        <f t="shared" si="32"/>
        <v>1.1984081471397214</v>
      </c>
      <c r="AB61" s="27">
        <f t="shared" si="40"/>
        <v>3.0310889132455348</v>
      </c>
      <c r="AC61" s="126">
        <f t="shared" si="41"/>
        <v>5.25</v>
      </c>
      <c r="AD61" s="36" t="s">
        <v>120</v>
      </c>
      <c r="AE61" s="168"/>
      <c r="AF61" s="170"/>
      <c r="AG61" s="208"/>
      <c r="AH61" s="220">
        <v>0.001</v>
      </c>
      <c r="AI61" s="211">
        <f t="shared" si="35"/>
        <v>0.0006</v>
      </c>
      <c r="AJ61" s="212"/>
      <c r="AK61" s="221"/>
    </row>
    <row r="62" spans="1:37" ht="15.75">
      <c r="A62" s="130" t="s">
        <v>170</v>
      </c>
      <c r="B62" s="50" t="s">
        <v>95</v>
      </c>
      <c r="C62" s="50">
        <v>1</v>
      </c>
      <c r="D62" s="51">
        <v>0.95</v>
      </c>
      <c r="E62" s="52">
        <v>4.4</v>
      </c>
      <c r="F62" s="103"/>
      <c r="G62" s="53" t="s">
        <v>55</v>
      </c>
      <c r="H62" s="23">
        <v>1</v>
      </c>
      <c r="I62" s="23">
        <v>1.2</v>
      </c>
      <c r="J62" s="151">
        <v>345.47660999999994</v>
      </c>
      <c r="K62" s="24">
        <f t="shared" si="26"/>
        <v>0.8291438639999997</v>
      </c>
      <c r="L62" s="5">
        <v>0</v>
      </c>
      <c r="M62" s="5">
        <v>0</v>
      </c>
      <c r="N62" s="5">
        <f>(C62*E62+K62)</f>
        <v>5.229143864</v>
      </c>
      <c r="O62" s="5">
        <f>C62*D62</f>
        <v>0.95</v>
      </c>
      <c r="P62" s="311">
        <v>25</v>
      </c>
      <c r="Q62" s="23">
        <v>0</v>
      </c>
      <c r="R62" s="27">
        <f t="shared" si="36"/>
        <v>26.315789473684212</v>
      </c>
      <c r="S62" s="27">
        <f t="shared" si="37"/>
        <v>155.7285966</v>
      </c>
      <c r="T62" s="345">
        <f t="shared" si="38"/>
        <v>14.433756729740644</v>
      </c>
      <c r="U62" s="27">
        <f t="shared" si="29"/>
        <v>0.9166666666666666</v>
      </c>
      <c r="V62" s="27">
        <f t="shared" si="30"/>
        <v>3.893214915</v>
      </c>
      <c r="W62" s="50" t="s">
        <v>42</v>
      </c>
      <c r="X62" s="50">
        <v>150</v>
      </c>
      <c r="Y62" s="50">
        <v>15</v>
      </c>
      <c r="Z62" s="37">
        <f t="shared" si="39"/>
        <v>0.10825317547305484</v>
      </c>
      <c r="AA62" s="27">
        <f t="shared" si="32"/>
        <v>1.1976581471397214</v>
      </c>
      <c r="AB62" s="27">
        <f t="shared" si="40"/>
        <v>3.0310889132455348</v>
      </c>
      <c r="AC62" s="126">
        <f t="shared" si="41"/>
        <v>5.25</v>
      </c>
      <c r="AD62" s="36" t="s">
        <v>120</v>
      </c>
      <c r="AE62" s="168"/>
      <c r="AF62" s="170"/>
      <c r="AG62" s="208"/>
      <c r="AH62" s="220">
        <v>0.001</v>
      </c>
      <c r="AI62" s="211">
        <f t="shared" si="35"/>
        <v>0.0006</v>
      </c>
      <c r="AJ62" s="212"/>
      <c r="AK62" s="221"/>
    </row>
    <row r="63" spans="1:37" ht="16.5" thickBot="1">
      <c r="A63" s="160" t="s">
        <v>100</v>
      </c>
      <c r="B63" s="29" t="s">
        <v>101</v>
      </c>
      <c r="C63" s="29">
        <v>2</v>
      </c>
      <c r="D63" s="30">
        <v>3.655</v>
      </c>
      <c r="E63" s="31">
        <v>0.932</v>
      </c>
      <c r="F63" s="100"/>
      <c r="G63" s="32" t="s">
        <v>36</v>
      </c>
      <c r="H63" s="29">
        <v>1</v>
      </c>
      <c r="I63" s="29"/>
      <c r="J63" s="149"/>
      <c r="K63" s="31"/>
      <c r="L63" s="30">
        <v>0</v>
      </c>
      <c r="M63" s="30">
        <v>0</v>
      </c>
      <c r="N63" s="30">
        <f>E63/1000</f>
        <v>0.0009320000000000001</v>
      </c>
      <c r="O63" s="30">
        <f>D63</f>
        <v>3.655</v>
      </c>
      <c r="P63" s="242">
        <v>300</v>
      </c>
      <c r="Q63" s="29">
        <v>0</v>
      </c>
      <c r="R63" s="33">
        <f t="shared" si="36"/>
        <v>315.7894736842105</v>
      </c>
      <c r="S63" s="33">
        <v>700</v>
      </c>
      <c r="T63" s="346">
        <f>P63</f>
        <v>300</v>
      </c>
      <c r="U63" s="33">
        <f t="shared" si="29"/>
        <v>83.88</v>
      </c>
      <c r="V63" s="33">
        <f t="shared" si="30"/>
        <v>210</v>
      </c>
      <c r="W63" s="58" t="s">
        <v>37</v>
      </c>
      <c r="X63" s="58">
        <v>1000</v>
      </c>
      <c r="Y63" s="58">
        <v>300</v>
      </c>
      <c r="Z63" s="34">
        <f t="shared" si="39"/>
        <v>15</v>
      </c>
      <c r="AA63" s="33">
        <f>T63*S63/1000</f>
        <v>210</v>
      </c>
      <c r="AB63" s="33">
        <f t="shared" si="40"/>
        <v>420</v>
      </c>
      <c r="AC63" s="128">
        <f t="shared" si="41"/>
        <v>420</v>
      </c>
      <c r="AD63" s="195"/>
      <c r="AE63" s="168"/>
      <c r="AF63" s="172"/>
      <c r="AG63" s="209"/>
      <c r="AH63" s="230"/>
      <c r="AI63" s="231"/>
      <c r="AJ63" s="231"/>
      <c r="AK63" s="232"/>
    </row>
    <row r="64" spans="1:30" ht="18">
      <c r="A64" s="12"/>
      <c r="B64" s="12"/>
      <c r="C64" s="12"/>
      <c r="D64" s="59"/>
      <c r="E64" s="60"/>
      <c r="F64" s="105"/>
      <c r="G64" s="61"/>
      <c r="H64" s="12"/>
      <c r="I64" s="12"/>
      <c r="J64" s="154"/>
      <c r="K64" s="60"/>
      <c r="L64" s="12"/>
      <c r="M64" s="12"/>
      <c r="N64" s="59"/>
      <c r="O64" s="59"/>
      <c r="P64" s="243"/>
      <c r="Q64" s="12"/>
      <c r="R64" s="62"/>
      <c r="S64" s="62"/>
      <c r="T64" s="15"/>
      <c r="U64" s="15"/>
      <c r="V64" s="63"/>
      <c r="W64" s="64"/>
      <c r="X64" s="64"/>
      <c r="Y64" s="162" t="s">
        <v>102</v>
      </c>
      <c r="Z64" s="2">
        <f>SUM(Z43:Z63)</f>
        <v>26.830928579257495</v>
      </c>
      <c r="AA64" s="2">
        <f>SUM(AA43:AA63)</f>
        <v>461.6563377258125</v>
      </c>
      <c r="AB64" s="2">
        <f>SUM(AB43:AB63)</f>
        <v>1709.7620002192102</v>
      </c>
      <c r="AC64" s="2">
        <f>SUM(AC43:AC63)</f>
        <v>2960.0969999999998</v>
      </c>
      <c r="AD64" s="12"/>
    </row>
    <row r="65" spans="1:30" ht="18" customHeight="1" thickBot="1">
      <c r="A65" s="66" t="s">
        <v>90</v>
      </c>
      <c r="B65" s="67"/>
      <c r="C65" s="67"/>
      <c r="D65" s="68"/>
      <c r="E65" s="71"/>
      <c r="F65" s="106"/>
      <c r="G65" s="72"/>
      <c r="H65" s="73"/>
      <c r="I65" s="73"/>
      <c r="J65" s="155"/>
      <c r="K65" s="71"/>
      <c r="L65" s="73"/>
      <c r="M65" s="73"/>
      <c r="N65" s="75"/>
      <c r="O65" s="75"/>
      <c r="P65" s="244"/>
      <c r="Q65" s="73"/>
      <c r="R65" s="74"/>
      <c r="S65" s="74"/>
      <c r="T65" s="74"/>
      <c r="U65" s="74"/>
      <c r="V65" s="74"/>
      <c r="W65" s="73"/>
      <c r="X65" s="73"/>
      <c r="Y65" s="73"/>
      <c r="Z65" s="74"/>
      <c r="AA65" s="74"/>
      <c r="AB65" s="74"/>
      <c r="AC65" s="74"/>
      <c r="AD65" s="12"/>
    </row>
    <row r="66" spans="1:32" ht="15.75">
      <c r="A66" s="122" t="s">
        <v>83</v>
      </c>
      <c r="B66" s="1" t="s">
        <v>107</v>
      </c>
      <c r="C66" s="1">
        <v>2</v>
      </c>
      <c r="D66" s="4">
        <v>0.03</v>
      </c>
      <c r="E66" s="3">
        <v>0.0175</v>
      </c>
      <c r="F66" s="102"/>
      <c r="G66" s="132" t="s">
        <v>70</v>
      </c>
      <c r="H66" s="113">
        <v>2</v>
      </c>
      <c r="I66" s="135">
        <v>0.026</v>
      </c>
      <c r="J66" s="156">
        <v>400</v>
      </c>
      <c r="K66" s="136">
        <f>2*J66*(I66/H66)/1000</f>
        <v>0.0104</v>
      </c>
      <c r="L66" s="1"/>
      <c r="M66" s="135"/>
      <c r="N66" s="35">
        <f>(C66*E66+K66)</f>
        <v>0.0454</v>
      </c>
      <c r="O66" s="5">
        <f>C66*D66</f>
        <v>0.06</v>
      </c>
      <c r="P66" s="245">
        <v>1000</v>
      </c>
      <c r="Q66" s="1">
        <v>0</v>
      </c>
      <c r="R66" s="49">
        <f>(P66-Q66)/($C$2/2)</f>
        <v>1052.6315789473686</v>
      </c>
      <c r="S66" s="49">
        <f>N66*P66+C66*R66*D66</f>
        <v>108.55789473684212</v>
      </c>
      <c r="T66" s="49">
        <f>SQRT(Q66^2+Q66*(P66-Q66)+(1/3)*(P66-Q66)^2)</f>
        <v>577.3502691896257</v>
      </c>
      <c r="U66" s="49">
        <f>(T66)^2*E66/1000</f>
        <v>5.833333333333332</v>
      </c>
      <c r="V66" s="49">
        <f>P66*S66/1000</f>
        <v>108.55789473684212</v>
      </c>
      <c r="W66" s="76" t="s">
        <v>119</v>
      </c>
      <c r="X66" s="1">
        <v>200</v>
      </c>
      <c r="Y66" s="1">
        <v>2500</v>
      </c>
      <c r="Z66" s="139">
        <f>0.05*(X66*T66)/1000</f>
        <v>5.773502691896257</v>
      </c>
      <c r="AA66" s="27">
        <f>N66*T66^2/1000+Z66</f>
        <v>20.906836025229588</v>
      </c>
      <c r="AB66" s="141">
        <f>T66*X66/1000*1.4</f>
        <v>161.6580753730952</v>
      </c>
      <c r="AC66" s="124">
        <f>P66*X66/1000*1.4</f>
        <v>280</v>
      </c>
      <c r="AD66" s="12"/>
      <c r="AF66" s="14" t="s">
        <v>117</v>
      </c>
    </row>
    <row r="67" spans="1:32" ht="15.75">
      <c r="A67" s="125" t="s">
        <v>84</v>
      </c>
      <c r="B67" s="23" t="s">
        <v>84</v>
      </c>
      <c r="C67" s="23">
        <v>1</v>
      </c>
      <c r="D67" s="5">
        <v>0.03</v>
      </c>
      <c r="E67" s="24">
        <v>0.0175</v>
      </c>
      <c r="F67" s="98"/>
      <c r="G67" s="111">
        <v>500</v>
      </c>
      <c r="H67" s="113">
        <v>2</v>
      </c>
      <c r="I67" s="111">
        <v>0.026</v>
      </c>
      <c r="J67" s="150">
        <v>400</v>
      </c>
      <c r="K67" s="112">
        <f>2*J67*(I67/H67)/1000</f>
        <v>0.0104</v>
      </c>
      <c r="L67" s="23" t="s">
        <v>59</v>
      </c>
      <c r="M67" s="111" t="s">
        <v>59</v>
      </c>
      <c r="N67" s="35">
        <f>(C67*E67+K67)</f>
        <v>0.0279</v>
      </c>
      <c r="O67" s="5">
        <f>C67*D67</f>
        <v>0.03</v>
      </c>
      <c r="P67" s="246">
        <v>1000</v>
      </c>
      <c r="Q67" s="23">
        <v>0</v>
      </c>
      <c r="R67" s="27">
        <f>(P67-Q67)/($C$2/2)</f>
        <v>1052.6315789473686</v>
      </c>
      <c r="S67" s="38">
        <v>100</v>
      </c>
      <c r="T67" s="27">
        <f>SQRT(Q67^2+Q67*(P67-Q67)+(1/3)*(P67-Q67)^2)</f>
        <v>577.3502691896257</v>
      </c>
      <c r="U67" s="78">
        <v>148</v>
      </c>
      <c r="V67" s="27">
        <f>P67*S67/1000</f>
        <v>100</v>
      </c>
      <c r="W67" s="26" t="s">
        <v>119</v>
      </c>
      <c r="X67" s="23">
        <v>200</v>
      </c>
      <c r="Y67" s="23">
        <v>2500</v>
      </c>
      <c r="Z67" s="77">
        <f>0.05*(X67*T67)/1000</f>
        <v>5.773502691896257</v>
      </c>
      <c r="AA67" s="27">
        <f>N67*T67^2/1000+Z67</f>
        <v>15.073502691896255</v>
      </c>
      <c r="AB67" s="78">
        <f>T67*X67/1000*1.4</f>
        <v>161.6580753730952</v>
      </c>
      <c r="AC67" s="126">
        <f>P67*X67/1000*1.4</f>
        <v>280</v>
      </c>
      <c r="AD67" s="12"/>
      <c r="AF67" s="14" t="s">
        <v>117</v>
      </c>
    </row>
    <row r="68" spans="1:32" ht="16.5" thickBot="1">
      <c r="A68" s="127" t="s">
        <v>53</v>
      </c>
      <c r="B68" s="29" t="s">
        <v>85</v>
      </c>
      <c r="C68" s="29">
        <v>1</v>
      </c>
      <c r="D68" s="30">
        <v>0.03</v>
      </c>
      <c r="E68" s="31">
        <v>0.0175</v>
      </c>
      <c r="F68" s="100"/>
      <c r="G68" s="133">
        <v>500</v>
      </c>
      <c r="H68" s="144">
        <v>2</v>
      </c>
      <c r="I68" s="133">
        <v>0.026</v>
      </c>
      <c r="J68" s="157">
        <v>400</v>
      </c>
      <c r="K68" s="137">
        <f>2*J68*(I68/H68)/1000</f>
        <v>0.0104</v>
      </c>
      <c r="L68" s="29" t="s">
        <v>59</v>
      </c>
      <c r="M68" s="133" t="s">
        <v>59</v>
      </c>
      <c r="N68" s="138">
        <f>(C68*E68+K68)</f>
        <v>0.0279</v>
      </c>
      <c r="O68" s="30">
        <f>C68*D68</f>
        <v>0.03</v>
      </c>
      <c r="P68" s="247">
        <v>1000</v>
      </c>
      <c r="Q68" s="29">
        <v>0</v>
      </c>
      <c r="R68" s="33">
        <f>(P68-Q68)/($C$2/2)</f>
        <v>1052.6315789473686</v>
      </c>
      <c r="S68" s="33">
        <v>100</v>
      </c>
      <c r="T68" s="33">
        <f>SQRT(Q68^2+Q68*(P68-Q68)+(1/3)*(P68-Q68)^2)</f>
        <v>577.3502691896257</v>
      </c>
      <c r="U68" s="33">
        <v>78</v>
      </c>
      <c r="V68" s="33">
        <f>P68*S68/1000</f>
        <v>100</v>
      </c>
      <c r="W68" s="58" t="s">
        <v>119</v>
      </c>
      <c r="X68" s="29">
        <v>200</v>
      </c>
      <c r="Y68" s="29">
        <v>2500</v>
      </c>
      <c r="Z68" s="140">
        <f>0.05*(X68*T68)/1000</f>
        <v>5.773502691896257</v>
      </c>
      <c r="AA68" s="33">
        <f>N68*T68^2/1000+Z68</f>
        <v>15.073502691896255</v>
      </c>
      <c r="AB68" s="142">
        <f>T68*X68/1000*1.4</f>
        <v>161.6580753730952</v>
      </c>
      <c r="AC68" s="128">
        <f>P68*X68/1000*1.4</f>
        <v>280</v>
      </c>
      <c r="AD68" s="12"/>
      <c r="AF68" s="14" t="s">
        <v>117</v>
      </c>
    </row>
    <row r="69" spans="1:29" ht="18.75">
      <c r="A69" s="79" t="s">
        <v>86</v>
      </c>
      <c r="B69" s="12"/>
      <c r="C69" s="12"/>
      <c r="D69" s="59"/>
      <c r="E69" s="60"/>
      <c r="F69" s="105"/>
      <c r="G69" s="61"/>
      <c r="H69" s="12"/>
      <c r="I69" s="12"/>
      <c r="J69" s="154"/>
      <c r="K69" s="60"/>
      <c r="L69" s="12"/>
      <c r="M69" s="12"/>
      <c r="N69" s="80"/>
      <c r="O69" s="80"/>
      <c r="P69" s="81"/>
      <c r="Q69" s="81"/>
      <c r="S69" s="63"/>
      <c r="T69" s="83"/>
      <c r="U69" s="83"/>
      <c r="V69" s="84"/>
      <c r="W69" s="64"/>
      <c r="X69" s="64"/>
      <c r="Y69" s="162" t="s">
        <v>123</v>
      </c>
      <c r="Z69" s="65">
        <f>SUM(Z66:Z68)</f>
        <v>17.32050807568877</v>
      </c>
      <c r="AA69" s="2">
        <f>SUM(AA66:AA68)</f>
        <v>51.0538414090221</v>
      </c>
      <c r="AB69" s="2">
        <f>SUM(AB66:AB68)</f>
        <v>484.97422611928556</v>
      </c>
      <c r="AC69" s="2">
        <f>SUM(AC66:AC68)</f>
        <v>840</v>
      </c>
    </row>
    <row r="70" spans="1:29" ht="18.75">
      <c r="A70" s="86" t="s">
        <v>125</v>
      </c>
      <c r="B70" s="12"/>
      <c r="C70" s="12"/>
      <c r="D70" s="59"/>
      <c r="E70" s="60"/>
      <c r="F70" s="69" t="s">
        <v>1</v>
      </c>
      <c r="G70" s="61"/>
      <c r="H70" s="12"/>
      <c r="I70" s="12"/>
      <c r="J70" s="154"/>
      <c r="K70" s="60"/>
      <c r="L70" s="12"/>
      <c r="M70" s="12"/>
      <c r="N70" s="59"/>
      <c r="O70" s="59"/>
      <c r="P70" s="12"/>
      <c r="Q70" s="12"/>
      <c r="S70" s="63"/>
      <c r="T70" s="83"/>
      <c r="U70" s="83"/>
      <c r="V70" s="84"/>
      <c r="W70" s="64"/>
      <c r="X70" s="64"/>
      <c r="Y70" s="162" t="s">
        <v>126</v>
      </c>
      <c r="Z70" s="65">
        <f>SUM(Z64+Z69)</f>
        <v>44.15143665494627</v>
      </c>
      <c r="AA70" s="2">
        <f>SUM(AA64+AA69)</f>
        <v>512.7101791348346</v>
      </c>
      <c r="AB70" s="2">
        <f>SUM(AB64+AB69)</f>
        <v>2194.7362263384957</v>
      </c>
      <c r="AC70" s="2">
        <f>SUM(AC64+AC69)</f>
        <v>3800.0969999999998</v>
      </c>
    </row>
    <row r="71" spans="1:29" ht="15.75">
      <c r="A71" s="87"/>
      <c r="C71" s="12"/>
      <c r="D71" s="59"/>
      <c r="E71" s="60"/>
      <c r="F71" s="69" t="s">
        <v>2</v>
      </c>
      <c r="G71" s="61"/>
      <c r="H71" s="12"/>
      <c r="I71" s="12"/>
      <c r="J71" s="154"/>
      <c r="K71" s="60"/>
      <c r="L71" s="12"/>
      <c r="M71" s="12"/>
      <c r="N71" s="59"/>
      <c r="O71" s="59"/>
      <c r="P71" s="12"/>
      <c r="Q71" s="12"/>
      <c r="R71" s="62"/>
      <c r="S71" s="62"/>
      <c r="T71" s="62"/>
      <c r="U71" s="62"/>
      <c r="V71" s="62"/>
      <c r="W71" s="12"/>
      <c r="X71" s="12"/>
      <c r="Y71" s="12"/>
      <c r="Z71" s="12"/>
      <c r="AA71" s="62"/>
      <c r="AB71" s="62"/>
      <c r="AC71" s="62"/>
    </row>
    <row r="72" spans="1:29" ht="15.75">
      <c r="A72" s="87"/>
      <c r="C72" s="12"/>
      <c r="D72" s="59"/>
      <c r="E72" s="60"/>
      <c r="F72" s="69" t="s">
        <v>113</v>
      </c>
      <c r="G72" s="61"/>
      <c r="H72" s="12"/>
      <c r="I72" s="12"/>
      <c r="J72" s="154"/>
      <c r="K72" s="60"/>
      <c r="L72" s="12"/>
      <c r="M72" s="12"/>
      <c r="N72" s="59"/>
      <c r="O72" s="59"/>
      <c r="P72" s="12"/>
      <c r="Q72" s="12"/>
      <c r="R72" s="62"/>
      <c r="S72" s="62"/>
      <c r="T72" s="62"/>
      <c r="U72" s="62"/>
      <c r="V72" s="62"/>
      <c r="W72" s="12"/>
      <c r="X72" s="12"/>
      <c r="Y72" s="12"/>
      <c r="Z72" s="12"/>
      <c r="AA72" s="62"/>
      <c r="AB72" s="62"/>
      <c r="AC72" s="62"/>
    </row>
    <row r="73" spans="1:29" ht="15.75">
      <c r="A73" s="86" t="s">
        <v>87</v>
      </c>
      <c r="B73" s="69"/>
      <c r="C73" s="12"/>
      <c r="D73" s="59"/>
      <c r="E73" s="60"/>
      <c r="F73" s="105"/>
      <c r="G73" s="61"/>
      <c r="H73" s="12"/>
      <c r="I73" s="12"/>
      <c r="J73" s="154"/>
      <c r="K73" s="60"/>
      <c r="L73" s="12"/>
      <c r="M73" s="12"/>
      <c r="N73" s="59"/>
      <c r="O73" s="59"/>
      <c r="P73" s="12"/>
      <c r="Q73" s="12"/>
      <c r="R73" s="62"/>
      <c r="S73" s="62"/>
      <c r="T73" s="62"/>
      <c r="U73" s="62"/>
      <c r="V73" s="62"/>
      <c r="W73" s="12"/>
      <c r="X73" s="12"/>
      <c r="Y73" s="12"/>
      <c r="Z73" s="12"/>
      <c r="AA73" s="62"/>
      <c r="AB73" s="62"/>
      <c r="AC73" s="62"/>
    </row>
    <row r="74" spans="1:29" ht="15.75">
      <c r="A74" s="88" t="s">
        <v>38</v>
      </c>
      <c r="B74" s="70"/>
      <c r="C74" s="70"/>
      <c r="D74" s="89"/>
      <c r="E74" s="90"/>
      <c r="F74" s="107"/>
      <c r="G74" s="69"/>
      <c r="H74" s="69"/>
      <c r="I74" s="70"/>
      <c r="J74" s="158"/>
      <c r="K74" s="90"/>
      <c r="L74" s="70"/>
      <c r="M74" s="70"/>
      <c r="N74" s="59"/>
      <c r="O74" s="59"/>
      <c r="P74" s="12"/>
      <c r="Q74" s="12"/>
      <c r="R74" s="62"/>
      <c r="S74" s="62"/>
      <c r="T74" s="62"/>
      <c r="U74" s="62"/>
      <c r="V74" s="62"/>
      <c r="W74" s="69"/>
      <c r="X74" s="91"/>
      <c r="Y74" s="91"/>
      <c r="Z74" s="91"/>
      <c r="AA74" s="92"/>
      <c r="AB74" s="92"/>
      <c r="AC74" s="92"/>
    </row>
    <row r="75" spans="1:23" ht="15.75">
      <c r="A75" s="88" t="s">
        <v>15</v>
      </c>
      <c r="B75" s="70"/>
      <c r="C75" s="70"/>
      <c r="D75" s="89"/>
      <c r="E75" s="90"/>
      <c r="F75" s="107"/>
      <c r="G75" s="69"/>
      <c r="H75" s="69"/>
      <c r="I75" s="70"/>
      <c r="J75" s="158"/>
      <c r="K75" s="90"/>
      <c r="L75" s="70"/>
      <c r="M75" s="70"/>
      <c r="N75" s="12"/>
      <c r="O75" s="12"/>
      <c r="P75" s="15"/>
      <c r="Q75" s="12"/>
      <c r="R75" s="62"/>
      <c r="S75" s="70"/>
      <c r="T75" s="70"/>
      <c r="U75" s="70"/>
      <c r="V75" s="70"/>
      <c r="W75" s="12"/>
    </row>
    <row r="76" spans="1:22" ht="15.75">
      <c r="A76" s="86" t="s">
        <v>99</v>
      </c>
      <c r="B76" s="70"/>
      <c r="C76" s="70"/>
      <c r="D76" s="89"/>
      <c r="E76" s="90"/>
      <c r="F76" s="107"/>
      <c r="G76" s="69"/>
      <c r="H76" s="69"/>
      <c r="I76" s="70"/>
      <c r="J76" s="158"/>
      <c r="K76" s="90"/>
      <c r="L76" s="70"/>
      <c r="M76" s="70"/>
      <c r="N76" s="12"/>
      <c r="O76" s="12"/>
      <c r="P76" s="15"/>
      <c r="Q76" s="12"/>
      <c r="R76" s="62"/>
      <c r="S76" s="62"/>
      <c r="T76" s="62"/>
      <c r="U76" s="62"/>
      <c r="V76" s="62"/>
    </row>
    <row r="77" spans="1:29" ht="15.75">
      <c r="A77" s="86" t="s">
        <v>89</v>
      </c>
      <c r="N77" s="12"/>
      <c r="O77" s="12"/>
      <c r="P77" s="15"/>
      <c r="Q77" s="12"/>
      <c r="R77" s="62"/>
      <c r="S77" s="62"/>
      <c r="T77" s="62"/>
      <c r="U77" s="62"/>
      <c r="V77" s="62"/>
      <c r="AB77" s="92"/>
      <c r="AC77" s="92"/>
    </row>
    <row r="78" spans="1:29" ht="15.75">
      <c r="A78" s="86" t="s">
        <v>127</v>
      </c>
      <c r="N78" s="86" t="s">
        <v>58</v>
      </c>
      <c r="AB78" s="92"/>
      <c r="AC78" s="92"/>
    </row>
    <row r="79" spans="14:29" ht="15.75">
      <c r="N79" s="86" t="s">
        <v>8</v>
      </c>
      <c r="AB79" s="92"/>
      <c r="AC79" s="92"/>
    </row>
    <row r="80" spans="1:29" ht="15.75">
      <c r="A80" s="86" t="s">
        <v>124</v>
      </c>
      <c r="O80" s="86" t="s">
        <v>0</v>
      </c>
      <c r="AB80" s="92"/>
      <c r="AC80" s="92"/>
    </row>
    <row r="81" ht="15.75">
      <c r="O81" s="86" t="s">
        <v>8</v>
      </c>
    </row>
    <row r="82" spans="1:29" ht="15.75">
      <c r="A82" s="15" t="s">
        <v>54</v>
      </c>
      <c r="O82" s="13"/>
      <c r="AB82" s="92"/>
      <c r="AC82" s="92"/>
    </row>
    <row r="83" ht="15.75">
      <c r="A83" s="69" t="s">
        <v>176</v>
      </c>
    </row>
    <row r="84" ht="15.75">
      <c r="A84" s="69" t="s">
        <v>71</v>
      </c>
    </row>
    <row r="85" ht="15.75">
      <c r="A85" s="86" t="s">
        <v>96</v>
      </c>
    </row>
    <row r="86" spans="1:29" ht="15.75">
      <c r="A86" s="86" t="s">
        <v>148</v>
      </c>
      <c r="O86" s="86" t="s">
        <v>58</v>
      </c>
      <c r="AB86" s="92"/>
      <c r="AC86" s="92"/>
    </row>
    <row r="87" ht="15.75">
      <c r="O87" s="86" t="s">
        <v>8</v>
      </c>
    </row>
  </sheetData>
  <mergeCells count="8">
    <mergeCell ref="AJ2:AJ5"/>
    <mergeCell ref="AK2:AK5"/>
    <mergeCell ref="AH1:AK1"/>
    <mergeCell ref="A2:B2"/>
    <mergeCell ref="A3:A5"/>
    <mergeCell ref="AF3:AG3"/>
    <mergeCell ref="AH2:AH5"/>
    <mergeCell ref="AI2:AI5"/>
  </mergeCells>
  <printOptions gridLines="1"/>
  <pageMargins left="1.17" right="0.21" top="1" bottom="1" header="0.5" footer="0.5"/>
  <pageSetup fitToHeight="1" fitToWidth="1" horizontalDpi="600" verticalDpi="600" orientation="landscape" paperSize="17"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NuMi</dc:title>
  <dc:subject>NuMi Cables</dc:subject>
  <dc:creator>Tassotto</dc:creator>
  <cp:keywords/>
  <dc:description/>
  <cp:lastModifiedBy>NuMI/Minos</cp:lastModifiedBy>
  <cp:lastPrinted>2003-05-13T22:03:17Z</cp:lastPrinted>
  <dcterms:created xsi:type="dcterms:W3CDTF">1998-10-07T16:20:24Z</dcterms:created>
  <dcterms:modified xsi:type="dcterms:W3CDTF">2003-05-13T22:43:17Z</dcterms:modified>
  <cp:category/>
  <cp:version/>
  <cp:contentType/>
  <cp:contentStatus/>
</cp:coreProperties>
</file>