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17400" windowHeight="11415" activeTab="0"/>
  </bookViews>
  <sheets>
    <sheet name="Cost and Labor Summary" sheetId="1" r:id="rId1"/>
    <sheet name="WBS 1.4.1 Booster-AGS" sheetId="2" r:id="rId2"/>
    <sheet name="WBS 1.4.1 Dictionary" sheetId="3" r:id="rId3"/>
    <sheet name="WBS 1.4.2 Switchyard" sheetId="4" r:id="rId4"/>
    <sheet name="WBS 1.4.3 K0PI0 B-Line" sheetId="5" r:id="rId5"/>
    <sheet name="WBS 1.4.4 MECO A-Line" sheetId="6" r:id="rId6"/>
    <sheet name="WBS 1.4.5 Project Office" sheetId="7" r:id="rId7"/>
    <sheet name="RSVP  pre-ops Summary Sheet" sheetId="8" r:id="rId8"/>
    <sheet name="RSVP ops cost (construction)" sheetId="9" r:id="rId9"/>
    <sheet name="Labor and Indirect Rates (NSF)" sheetId="10" r:id="rId10"/>
    <sheet name="Resource Categories" sheetId="11" r:id="rId11"/>
    <sheet name="K0PI0 manpower - NSF" sheetId="12" r:id="rId12"/>
    <sheet name="MECO manpower - NSF" sheetId="13" r:id="rId13"/>
    <sheet name="K0PI0 alacart Operations" sheetId="14" r:id="rId14"/>
    <sheet name="MECO alacart Operations" sheetId="15" r:id="rId15"/>
    <sheet name="K0PI0 D6 Operations Cost" sheetId="16" r:id="rId16"/>
  </sheets>
  <externalReferences>
    <externalReference r:id="rId19"/>
    <externalReference r:id="rId20"/>
    <externalReference r:id="rId21"/>
    <externalReference r:id="rId22"/>
  </externalReferences>
  <definedNames>
    <definedName name="_Order1" hidden="1">255</definedName>
    <definedName name="bnl_design">#REF!</definedName>
    <definedName name="bnl_dts">#REF!</definedName>
    <definedName name="bnl_eng">#REF!</definedName>
    <definedName name="bnl_eng_base">#REF!</definedName>
    <definedName name="bnl_indirect">#REF!</definedName>
    <definedName name="bnl_sci">#REF!</definedName>
    <definedName name="bnl_sci_base">#REF!</definedName>
    <definedName name="bnl_shops">#REF!</definedName>
    <definedName name="bnl_shops_base">#REF!</definedName>
    <definedName name="bnl_tech">#REF!</definedName>
    <definedName name="bnl_tech_base">#REF!</definedName>
    <definedName name="bu_indirect" localSheetId="1">'[3]Roll-up'!#REF!</definedName>
    <definedName name="bu_indirect" localSheetId="2">'[3]Roll-up'!#REF!</definedName>
    <definedName name="bu_indirect" localSheetId="3">'[2]Roll-up'!#REF!</definedName>
    <definedName name="bu_indirect" localSheetId="4">'[2]Roll-up'!#REF!</definedName>
    <definedName name="bu_indirect" localSheetId="5">'[2]Roll-up'!#REF!</definedName>
    <definedName name="bu_indirect" localSheetId="6">'[2]Roll-up'!#REF!</definedName>
    <definedName name="bu_indirect">#REF!</definedName>
    <definedName name="designerbase">#REF!</definedName>
    <definedName name="DTS_Base">#REF!</definedName>
    <definedName name="HTML_CodePage" hidden="1">1252</definedName>
    <definedName name="HTML_Control" localSheetId="13" hidden="1">{"'FY97 AGS Schedule (Latest)'!$A$1:$S$72"}</definedName>
    <definedName name="HTML_Control" localSheetId="15" hidden="1">{"'FY97 AGS Schedule (Latest)'!$A$1:$S$72"}</definedName>
    <definedName name="HTML_Control" localSheetId="11" hidden="1">{"'FY97 AGS Schedule (Latest)'!$A$1:$S$72"}</definedName>
    <definedName name="HTML_Control" localSheetId="9" hidden="1">{"'FY97 AGS Schedule (Latest)'!$A$1:$S$72"}</definedName>
    <definedName name="HTML_Control" localSheetId="14" hidden="1">{"'FY97 AGS Schedule (Latest)'!$A$1:$S$72"}</definedName>
    <definedName name="HTML_Control" localSheetId="12" hidden="1">{"'FY97 AGS Schedule (Latest)'!$A$1:$S$72"}</definedName>
    <definedName name="HTML_Control" localSheetId="7" hidden="1">{"'FY97 AGS Schedule (Latest)'!$A$1:$S$72"}</definedName>
    <definedName name="HTML_Control" localSheetId="8" hidden="1">{"'FY97 AGS Schedule (Latest)'!$A$1:$S$72"}</definedName>
    <definedName name="HTML_Control" localSheetId="1" hidden="1">{"'FY97 AGS Schedule (Latest)'!$A$1:$S$72"}</definedName>
    <definedName name="HTML_Control" localSheetId="2" hidden="1">{"'FY97 AGS Schedule (Latest)'!$A$1:$S$72"}</definedName>
    <definedName name="HTML_Control" localSheetId="3" hidden="1">{"'FY97 AGS Schedule (Latest)'!$A$1:$S$72"}</definedName>
    <definedName name="HTML_Control" localSheetId="4" hidden="1">{"'FY97 AGS Schedule (Latest)'!$A$1:$S$72"}</definedName>
    <definedName name="HTML_Control" localSheetId="5" hidden="1">{"'FY97 AGS Schedule (Latest)'!$A$1:$S$72"}</definedName>
    <definedName name="HTML_Control" localSheetId="6" hidden="1">{"'FY97 AGS Schedule (Latest)'!$A$1:$S$72"}</definedName>
    <definedName name="HTML_Control" hidden="1">{"'FY97 AGS Schedule (Latest)'!$A$1:$S$72"}</definedName>
    <definedName name="HTML_Description" hidden="1">""</definedName>
    <definedName name="HTML_Email" hidden="1">""</definedName>
    <definedName name="HTML_Header" hidden="1">"FY97 AGS Schedule (Latest)"</definedName>
    <definedName name="HTML_LastUpdate" hidden="1">"3/13/97"</definedName>
    <definedName name="HTML_LineAfter" hidden="1">FALSE</definedName>
    <definedName name="HTML_LineBefore" hidden="1">FALSE</definedName>
    <definedName name="HTML_Name" hidden="1">"Philip H. Pile"</definedName>
    <definedName name="HTML_OBDlg2" hidden="1">TRUE</definedName>
    <definedName name="HTML_OBDlg4" hidden="1">TRUE</definedName>
    <definedName name="HTML_OS" hidden="1">0</definedName>
    <definedName name="HTML_PathFile" hidden="1">"C:\My Documents\AGS Schedules\FY97_AGS_run_work.html"</definedName>
    <definedName name="HTML_Title" hidden="1">"FY97_AGS_run_work"</definedName>
    <definedName name="inf">#REF!</definedName>
    <definedName name="LIL_SUMR">#REF!</definedName>
    <definedName name="LIL_WINT">#REF!</definedName>
    <definedName name="loadfactor">#REF!</definedName>
    <definedName name="Marcy">#REF!</definedName>
    <definedName name="MoDemand">'[1]Monthly Energy Est'!$A$9:$GH$51</definedName>
    <definedName name="NYPA">#REF!</definedName>
    <definedName name="nyparate">#REF!</definedName>
    <definedName name="_xlnm.Print_Area" localSheetId="13">'K0PI0 alacart Operations'!$A$1:$E$55</definedName>
    <definedName name="_xlnm.Print_Area" localSheetId="15">'K0PI0 D6 Operations Cost'!$A$1:$E$55</definedName>
    <definedName name="_xlnm.Print_Area" localSheetId="11">'K0PI0 manpower - NSF'!$C$3:$O$45</definedName>
    <definedName name="_xlnm.Print_Area" localSheetId="14">'MECO alacart Operations'!$A$1:$E$55</definedName>
    <definedName name="_xlnm.Print_Area" localSheetId="12">'MECO manpower - NSF'!$C$3:$O$45</definedName>
    <definedName name="_xlnm.Print_Area" localSheetId="7">'RSVP  pre-ops Summary Sheet'!$B$3:$F$80</definedName>
    <definedName name="_xlnm.Print_Area" localSheetId="8">'RSVP ops cost (construction)'!$B$3:$F$80</definedName>
    <definedName name="_xlnm.Print_Area" localSheetId="1">'WBS 1.4.1 Booster-AGS'!$A$1:$Z$138</definedName>
    <definedName name="_xlnm.Print_Area" localSheetId="2">'WBS 1.4.1 Dictionary'!$A$4:$W$115</definedName>
    <definedName name="_xlnm.Print_Area" localSheetId="3">'WBS 1.4.2 Switchyard'!$A$1:$W$173</definedName>
    <definedName name="_xlnm.Print_Area" localSheetId="4">'WBS 1.4.3 K0PI0 B-Line'!$A$1:$Z$217</definedName>
    <definedName name="_xlnm.Print_Area" localSheetId="5">'WBS 1.4.4 MECO A-Line'!$A$1:$Y$523</definedName>
    <definedName name="_xlnm.Print_Area" localSheetId="6">'WBS 1.4.5 Project Office'!$A$1:$AB$23</definedName>
    <definedName name="SiteDemand">#REF!</definedName>
    <definedName name="surcharge">#REF!</definedName>
    <definedName name="uci_eng" localSheetId="1">'[3]Roll-up'!#REF!</definedName>
    <definedName name="uci_eng" localSheetId="2">'[3]Roll-up'!#REF!</definedName>
    <definedName name="uci_eng" localSheetId="3">'[2]Roll-up'!#REF!</definedName>
    <definedName name="uci_eng" localSheetId="4">'[2]Roll-up'!#REF!</definedName>
    <definedName name="uci_eng" localSheetId="5">'[2]Roll-up'!#REF!</definedName>
    <definedName name="uci_eng" localSheetId="6">'[2]Roll-up'!#REF!</definedName>
    <definedName name="uci_eng">#REF!</definedName>
    <definedName name="uci_indirect" localSheetId="1">'[3]Roll-up'!#REF!</definedName>
    <definedName name="uci_indirect" localSheetId="2">'[3]Roll-up'!#REF!</definedName>
    <definedName name="uci_indirect" localSheetId="3">'[2]Roll-up'!#REF!</definedName>
    <definedName name="uci_indirect" localSheetId="4">'[2]Roll-up'!#REF!</definedName>
    <definedName name="uci_indirect" localSheetId="5">'[2]Roll-up'!#REF!</definedName>
    <definedName name="uci_indirect" localSheetId="6">'[2]Roll-up'!#REF!</definedName>
    <definedName name="uci_indirect">#REF!</definedName>
    <definedName name="uh_indirect" localSheetId="1">'[3]Roll-up'!#REF!</definedName>
    <definedName name="uh_indirect" localSheetId="2">'[3]Roll-up'!#REF!</definedName>
    <definedName name="uh_indirect" localSheetId="3">'[2]Roll-up'!#REF!</definedName>
    <definedName name="uh_indirect" localSheetId="4">'[2]Roll-up'!#REF!</definedName>
    <definedName name="uh_indirect" localSheetId="5">'[2]Roll-up'!#REF!</definedName>
    <definedName name="uh_indirect" localSheetId="6">'[2]Roll-up'!#REF!</definedName>
    <definedName name="uh_indirect">#REF!</definedName>
  </definedNames>
  <calcPr fullCalcOnLoad="1"/>
</workbook>
</file>

<file path=xl/sharedStrings.xml><?xml version="1.0" encoding="utf-8"?>
<sst xmlns="http://schemas.openxmlformats.org/spreadsheetml/2006/main" count="3005" uniqueCount="1994">
  <si>
    <t xml:space="preserve">Pitching magnet for final alignment on the Production Target. Integral field of 4kG-M. </t>
  </si>
  <si>
    <t xml:space="preserve">Pitching magnet for final alignment on the Production Target. Integral field of 8kG-M. </t>
  </si>
  <si>
    <t>Survey prior to the start of installation.</t>
  </si>
  <si>
    <t>1.4.4.1.1</t>
  </si>
  <si>
    <t>1.4.4.1.2</t>
  </si>
  <si>
    <t>1.4.4.1.3</t>
  </si>
  <si>
    <t>1.4.4.2.1.1</t>
  </si>
  <si>
    <t>1.4.4.2.1.2</t>
  </si>
  <si>
    <t>1.4.4.2.2.1</t>
  </si>
  <si>
    <t>1.4.4.2.2.1.1</t>
  </si>
  <si>
    <t>1.4.4.2.2.1.2</t>
  </si>
  <si>
    <t>1.4.4.2.2.1.3</t>
  </si>
  <si>
    <t>1.4.4.2.2.1.4</t>
  </si>
  <si>
    <t>1.4.4.2.2.1.5</t>
  </si>
  <si>
    <t>1.4.4.2.2.2</t>
  </si>
  <si>
    <t>1.4.4.2.2.2.1</t>
  </si>
  <si>
    <t>1.4.4.2.2.2.2</t>
  </si>
  <si>
    <t>1.4.4.2.2.2.3</t>
  </si>
  <si>
    <t>1.4.4.2.2.2.4</t>
  </si>
  <si>
    <t>1.4.4.2.2.2.5</t>
  </si>
  <si>
    <t>1.4.4.2.2.2.6</t>
  </si>
  <si>
    <t>1.4.4.2.2.2.7</t>
  </si>
  <si>
    <t>1.4.4.2.2.2.8</t>
  </si>
  <si>
    <t>1.4.4.2.3</t>
  </si>
  <si>
    <t>1.4.4.2.3.1</t>
  </si>
  <si>
    <t>1.4.4.2.3.1.1</t>
  </si>
  <si>
    <t>1.4.4.2.3.1.1.1</t>
  </si>
  <si>
    <t>1.4.4.2.3.1.1.2</t>
  </si>
  <si>
    <t>1.4.4.2.3.1.1.3</t>
  </si>
  <si>
    <t>1.4.4.2.3.1.1.4</t>
  </si>
  <si>
    <t>1.4.4.2.3.1.1.5</t>
  </si>
  <si>
    <t>1.4.4.2.3.1.1.6</t>
  </si>
  <si>
    <t>1.4.4.2.3.1.1.7</t>
  </si>
  <si>
    <t>1.4.4.2.3.1.2</t>
  </si>
  <si>
    <t>1.4.4.2.3.1.2.1</t>
  </si>
  <si>
    <t>1.4.4.2.3.1.2.2</t>
  </si>
  <si>
    <t>1.4.4.2.3.1.2.3</t>
  </si>
  <si>
    <t>1.4.4.2.3.1.2.4</t>
  </si>
  <si>
    <t>1.4.4.2.3.1.2.5</t>
  </si>
  <si>
    <t>1.4.4.2.3.1.2.6</t>
  </si>
  <si>
    <t>1.4.4.2.3.1.2.7</t>
  </si>
  <si>
    <t>1.4.4.2.3.1.3</t>
  </si>
  <si>
    <t>1.4.4.2.3.1.3.1</t>
  </si>
  <si>
    <t>1.4.4.2.3.1.3.2</t>
  </si>
  <si>
    <t>1.4.4.2.3.1.3.3</t>
  </si>
  <si>
    <t>1.4.4.2.3.1.3.4</t>
  </si>
  <si>
    <t>1.4.4.2.3.1.3.5</t>
  </si>
  <si>
    <t>1.4.4.2.3.1.4</t>
  </si>
  <si>
    <t>1.4.4.2.3.1.4.1</t>
  </si>
  <si>
    <t>1.4.4.2.3.1.4.2</t>
  </si>
  <si>
    <t>1.4.4.2.3.1.4.3</t>
  </si>
  <si>
    <t>1.4.4.2.3.1.4.4</t>
  </si>
  <si>
    <t>1.4.4.2.3.1.4.5</t>
  </si>
  <si>
    <t>1.4.4.2.3.1.4.6</t>
  </si>
  <si>
    <t>1.4.4.2.3.1.4.7</t>
  </si>
  <si>
    <t>1.4.4.2.3.1.4.8</t>
  </si>
  <si>
    <t>1.4.4.2.3.1.5</t>
  </si>
  <si>
    <t>1.4.4.2.3.2</t>
  </si>
  <si>
    <t>1.4.4.2.3.2.1</t>
  </si>
  <si>
    <r>
      <t xml:space="preserve">4. </t>
    </r>
    <r>
      <rPr>
        <strike/>
        <sz val="10"/>
        <rFont val="Arial"/>
        <family val="2"/>
      </rPr>
      <t>MECO Magnet and Refrigerator Infrastructure Support</t>
    </r>
    <r>
      <rPr>
        <sz val="10"/>
        <rFont val="Arial"/>
        <family val="0"/>
      </rPr>
      <t xml:space="preserve">, </t>
    </r>
    <r>
      <rPr>
        <strike/>
        <sz val="10"/>
        <rFont val="Arial"/>
        <family val="2"/>
      </rPr>
      <t>controls</t>
    </r>
    <r>
      <rPr>
        <sz val="10"/>
        <rFont val="Arial"/>
        <family val="0"/>
      </rPr>
      <t xml:space="preserve"> </t>
    </r>
  </si>
  <si>
    <r>
      <t xml:space="preserve">5. </t>
    </r>
    <r>
      <rPr>
        <strike/>
        <sz val="10"/>
        <rFont val="Arial"/>
        <family val="2"/>
      </rPr>
      <t>MECO - experiment area (detectors, cosmic shield, target, counting house etc)</t>
    </r>
  </si>
  <si>
    <t>1.4.4.2.3.2.2</t>
  </si>
  <si>
    <t>1.4.4.2.3.2.3</t>
  </si>
  <si>
    <t>1.4.4.2.3.2.4</t>
  </si>
  <si>
    <t>1.4.4.2.3.2.5</t>
  </si>
  <si>
    <t>1.4.4.2.3.2.6</t>
  </si>
  <si>
    <t>1.4.4.2.3.3</t>
  </si>
  <si>
    <t>1.4.4.2.3.3.1</t>
  </si>
  <si>
    <t>1.4.4.2.3.3.1.1</t>
  </si>
  <si>
    <t>1.4.4.2.3.3.1.2</t>
  </si>
  <si>
    <t>1.4.4.2.3.3.1.3</t>
  </si>
  <si>
    <t>1.4.4.2.3.3.2</t>
  </si>
  <si>
    <t>1.4.4.2.3.3.2.1</t>
  </si>
  <si>
    <t>1.4.4.2.3.3.2.2</t>
  </si>
  <si>
    <t>1.4.4.2.3.3.3</t>
  </si>
  <si>
    <t>1.4.4.2.3.3.3.1</t>
  </si>
  <si>
    <t>1.4.4.2.3.3.3.2</t>
  </si>
  <si>
    <t>1.4.4.2.3.3.4</t>
  </si>
  <si>
    <t>1.4.4.2.3.3.4.1</t>
  </si>
  <si>
    <t>1.4.4.2.3.3.4.2</t>
  </si>
  <si>
    <t>1.4.4.2.3.3.4.3</t>
  </si>
  <si>
    <t>1.4.4.2.3.3.4.4</t>
  </si>
  <si>
    <t>1.4.4.2.3.3.4.5</t>
  </si>
  <si>
    <t>1.4.4.2.3.4</t>
  </si>
  <si>
    <t>1.4.4.2.3.4.1</t>
  </si>
  <si>
    <t>1.4.4.2.3.4.1.1</t>
  </si>
  <si>
    <t>1.4.4.2.3.4.1.2</t>
  </si>
  <si>
    <t>1.4.4.2.3.4.1.3</t>
  </si>
  <si>
    <t>1.4.4.2.3.4.1.4</t>
  </si>
  <si>
    <t>1.4.4.2.3.4.1.5</t>
  </si>
  <si>
    <t>1.4.4.2.3.4.2</t>
  </si>
  <si>
    <t>1.4.4.2.3.4.2.1</t>
  </si>
  <si>
    <t>1.4.4.2.3.4.2.1.1</t>
  </si>
  <si>
    <t>1.4.4.2.3.4.2.1.2</t>
  </si>
  <si>
    <t>1.4.4.2.3.4.2.1.3</t>
  </si>
  <si>
    <t>1.4.4.2.3.4.2.2</t>
  </si>
  <si>
    <t>1.4.4.2.3.4.2.2.1</t>
  </si>
  <si>
    <t>1.4.4.2.3.4.2.2.2</t>
  </si>
  <si>
    <t>1.4.4.2.3.4.2.2.3</t>
  </si>
  <si>
    <t>1.4.4.2.3.4.2.2.4</t>
  </si>
  <si>
    <t>1.4.4.2.3.4.2.2.5</t>
  </si>
  <si>
    <t>1.4.4.2.3.4.3</t>
  </si>
  <si>
    <t>1.4.4.2.3.4.3.1</t>
  </si>
  <si>
    <t>1.4.4.2.3.4.3.1.1</t>
  </si>
  <si>
    <t>1.4.4.2.3.4.3.1.1.1</t>
  </si>
  <si>
    <t>1.4.4.2.3.4.3.1.1.2</t>
  </si>
  <si>
    <t>1.4.4.2.3.4.3.1.1.3</t>
  </si>
  <si>
    <t>1.4.4.2.3.4.3.1.2</t>
  </si>
  <si>
    <t>1.4.4.2.3.4.3.1.2.1</t>
  </si>
  <si>
    <t>1.4.4.2.3.4.3.1.2.2</t>
  </si>
  <si>
    <t>1.4.4.2.3.4.3.1.2.3</t>
  </si>
  <si>
    <t>1.4.4.2.3.4.3.1.2.4</t>
  </si>
  <si>
    <t>1.4.4.2.3.4.3.1.3</t>
  </si>
  <si>
    <t>1.4.4.2.3.4.3.1.3.1</t>
  </si>
  <si>
    <t>1.4.4.2.3.4.3.1.3.2</t>
  </si>
  <si>
    <t>1.4.4.2.3.4.3.1.3.3</t>
  </si>
  <si>
    <t>1.4.4.2.3.4.3.1.3.4</t>
  </si>
  <si>
    <t>1.4.4.2.3.4.3.1.4</t>
  </si>
  <si>
    <t>1.4.4.2.3.4.3.1.4.1</t>
  </si>
  <si>
    <t>1.4.4.2.3.4.3.1.4.2</t>
  </si>
  <si>
    <t>1.4.4.2.3.4.3.1.4.3</t>
  </si>
  <si>
    <t>Total (Direct w/o cont')</t>
  </si>
  <si>
    <t>1.4.4.3.1</t>
  </si>
  <si>
    <t>1.4.4.3.2</t>
  </si>
  <si>
    <t>1.4.4.3.2.1</t>
  </si>
  <si>
    <t>1.4.4.3.2.2</t>
  </si>
  <si>
    <t>1.4.4.3.2.3</t>
  </si>
  <si>
    <t>1.4.4.3.2.4</t>
  </si>
  <si>
    <t>1.4.4.3.3</t>
  </si>
  <si>
    <t>1.4.4.3.3.1</t>
  </si>
  <si>
    <t>1.4.4.3.3.2</t>
  </si>
  <si>
    <t>1.4.4.3.3.3</t>
  </si>
  <si>
    <t>SWIC's</t>
  </si>
  <si>
    <t>1.4.4.2.3.1.2.8</t>
  </si>
  <si>
    <t>1.4.4.2.3.1.4.9</t>
  </si>
  <si>
    <t>1.4.4.2.3.1.4.10</t>
  </si>
  <si>
    <t>1.4.4.2.3.1.4.11</t>
  </si>
  <si>
    <t>Build Final Layout</t>
  </si>
  <si>
    <t>Remove Temp Dump</t>
  </si>
  <si>
    <t>1.4.4.2.3.7.9.1</t>
  </si>
  <si>
    <t>Refurbish 1 ea Royal</t>
  </si>
  <si>
    <t>Vacuum - Fab &amp; Procurement</t>
  </si>
  <si>
    <t>Installation supervision</t>
  </si>
  <si>
    <t>Installation Supervision</t>
  </si>
  <si>
    <t xml:space="preserve">Cosmic Ray Heavy Conc Blk </t>
  </si>
  <si>
    <t>Cosmic Ray Hvy Conc Beams</t>
  </si>
  <si>
    <t>Pole Tip Vacuum Boxes</t>
  </si>
  <si>
    <t>Fab Coil Tooling</t>
  </si>
  <si>
    <t>Purchase</t>
  </si>
  <si>
    <t>Pull Magnet Monitor Cable</t>
  </si>
  <si>
    <t>Terminate Mag Mon Cables</t>
  </si>
  <si>
    <t>Oxygen Deficiency Hazard</t>
  </si>
  <si>
    <t>ODH Classification</t>
  </si>
  <si>
    <t>Dehumid Engineering</t>
  </si>
  <si>
    <t xml:space="preserve"> Dehumid Design</t>
  </si>
  <si>
    <t>Dehumid Procurement</t>
  </si>
  <si>
    <t>Dehumid Installation</t>
  </si>
  <si>
    <t>Engineering &amp; Design</t>
  </si>
  <si>
    <t>1.4.4.2.3.4.3.1.4.4</t>
  </si>
  <si>
    <t>1.4.4.2.3.4.3.1.4.5</t>
  </si>
  <si>
    <t>1.4.4.2.3.4.3.1.4.6</t>
  </si>
  <si>
    <t>1.4.4.2.3.4.3.2</t>
  </si>
  <si>
    <t>1.4.4.2.3.4.3.2.1</t>
  </si>
  <si>
    <t>1.4.4.2.3.4.3.2.1.1</t>
  </si>
  <si>
    <t>1.4.4.2.3.4.3.2.1.2</t>
  </si>
  <si>
    <t>1.4.4.2.3.4.3.2.1.3</t>
  </si>
  <si>
    <t>1.4.4.2.3.4.3.2.2</t>
  </si>
  <si>
    <t>1.4.4.2.3.4.3.2.2.1</t>
  </si>
  <si>
    <t>1.4.4.2.3.4.3.2.2.2</t>
  </si>
  <si>
    <t>1.4.4.2.3.4.3.2.2.3</t>
  </si>
  <si>
    <t>1.4.4.2.3.4.3.2.2.4</t>
  </si>
  <si>
    <t>1.4.4.2.3.4.3.2.3</t>
  </si>
  <si>
    <t>1.4.4.2.3.4.3.2.3.1</t>
  </si>
  <si>
    <t>1.4.4.2.3.4.3.2.3.2</t>
  </si>
  <si>
    <t>1.4.4.2.3.4.3.2.3.3</t>
  </si>
  <si>
    <t>1.4.4.2.3.4.3.2.3.4</t>
  </si>
  <si>
    <t>1.4.4.2.3.4.3.2.4</t>
  </si>
  <si>
    <t>1.4.4.2.3.4.3.2.4.1</t>
  </si>
  <si>
    <t>1.4.4.2.3.4.3.2.4.2</t>
  </si>
  <si>
    <t>1.4.4.2.3.4.3.2.4.3</t>
  </si>
  <si>
    <t>1.4.4.2.3.4.3.2.4.4</t>
  </si>
  <si>
    <t>1.4.4.2.3.4.3.2.4.5</t>
  </si>
  <si>
    <t>1.4.4.2.3.4.3.2.4.6</t>
  </si>
  <si>
    <t>1.4.4.2.3.5</t>
  </si>
  <si>
    <t>1.4.4.2.3.5.1</t>
  </si>
  <si>
    <t>1.4.4.2.3.5.1.1</t>
  </si>
  <si>
    <t>1.4.4.2.3.5.1.1.1</t>
  </si>
  <si>
    <t>1.4.4.2.3.5.1.1.2</t>
  </si>
  <si>
    <t>1.4.4.2.3.5.1.2</t>
  </si>
  <si>
    <t>1.4.4.2.3.5.1.2.1</t>
  </si>
  <si>
    <t>1.4.4.2.3.5.1.2.2</t>
  </si>
  <si>
    <t>1.4.4.2.3.5.1.3</t>
  </si>
  <si>
    <t>1.4.4.2.3.5.1.3.1</t>
  </si>
  <si>
    <t>1.4.4.2.3.5.1.3.2</t>
  </si>
  <si>
    <t>1.4.4.2.3.5.1.4</t>
  </si>
  <si>
    <t>1.4.4.2.3.5.1.4.1</t>
  </si>
  <si>
    <t>1.4.4.2.3.5.1.4.2</t>
  </si>
  <si>
    <t>1.4.4.2.3.5.1.4.3</t>
  </si>
  <si>
    <t>1.4.4.2.3.5.2</t>
  </si>
  <si>
    <t>1.4.4.2.3.5.2.1</t>
  </si>
  <si>
    <t>1.4.4.2.3.5.2.1.1</t>
  </si>
  <si>
    <t>1.4.4.2.3.5.2.1.2</t>
  </si>
  <si>
    <t>1.4.4.2.3.5.2.2</t>
  </si>
  <si>
    <t>1.4.4.2.3.5.2.2.1</t>
  </si>
  <si>
    <t>1.4.4.2.3.5.2.2.2</t>
  </si>
  <si>
    <t>1.4.4.2.3.5.2.3</t>
  </si>
  <si>
    <t>1.4.4.2.3.5.2.3.1</t>
  </si>
  <si>
    <t>1.4.4.2.3.5.2.3.2</t>
  </si>
  <si>
    <t>1.4.4.2.3.5.2.4</t>
  </si>
  <si>
    <t>1.4.4.2.3.5.2.4.1</t>
  </si>
  <si>
    <t>1.4.4.2.3.5.2.4.2</t>
  </si>
  <si>
    <t>1.4.4.2.3.5.2.4.3</t>
  </si>
  <si>
    <t>1.4.4.2.3.6</t>
  </si>
  <si>
    <t>1.4.4.2.3.6.1</t>
  </si>
  <si>
    <t>1.4.4.2.3.7</t>
  </si>
  <si>
    <t>1.4.4.2.3.7.1</t>
  </si>
  <si>
    <t>1.4.4.2.3.7.1.1</t>
  </si>
  <si>
    <t>1.4.4.2.3.7.1.1.1</t>
  </si>
  <si>
    <t>1.4.4.2.3.7.1.1.2</t>
  </si>
  <si>
    <t>1.4.4.2.3.7.1.1.3</t>
  </si>
  <si>
    <t>1.4.4.2.3.7.1.1.4</t>
  </si>
  <si>
    <t>1.4.4.2.3.7.1.1.5</t>
  </si>
  <si>
    <t>1.4.4.2.3.7.1.2</t>
  </si>
  <si>
    <t>1.4.4.2.3.7.1.2.1</t>
  </si>
  <si>
    <t>1.4.4.2.3.7.1.2.2</t>
  </si>
  <si>
    <t>1.4.4.2.3.7.1.2.3</t>
  </si>
  <si>
    <t>1.4.4.2.3.7.1.2.4</t>
  </si>
  <si>
    <t>1.4.4.2.3.7.1.2.5</t>
  </si>
  <si>
    <t>1.4.4.2.3.7.1.3</t>
  </si>
  <si>
    <t>1.4.4.2.3.7.1.3.1</t>
  </si>
  <si>
    <t>1.4.4.2.3.7.1.3.2</t>
  </si>
  <si>
    <t>1.4.4.2.3.7.1.4</t>
  </si>
  <si>
    <t>1.4.4.2.3.7.2</t>
  </si>
  <si>
    <t>1.4.4.2.3.7.2.1</t>
  </si>
  <si>
    <t>1.4.4.2.3.7.2.2</t>
  </si>
  <si>
    <t>1.4.4.2.3.7.3</t>
  </si>
  <si>
    <t>1.4.4.2.3.7.3.1</t>
  </si>
  <si>
    <t>1.4.4.2.3.7.3.2</t>
  </si>
  <si>
    <t>1.4.4.2.3.7.3.3</t>
  </si>
  <si>
    <t>RSVP - MECO</t>
  </si>
  <si>
    <t>1.4.4.2.3.7.3.4</t>
  </si>
  <si>
    <t>1.4.4.2.3.7.3.5</t>
  </si>
  <si>
    <t>1.4.4.2.3.7.3.6</t>
  </si>
  <si>
    <t>1.4.4.2.3.7.3.7</t>
  </si>
  <si>
    <t>1.4.4.2.3.7.4</t>
  </si>
  <si>
    <t>1.4.4.2.3.7.4.1</t>
  </si>
  <si>
    <t>1.4.4.2.3.7.4.2</t>
  </si>
  <si>
    <t>1.4.4.2.3.7.5</t>
  </si>
  <si>
    <t>1.4.4.2.3.7.5.1</t>
  </si>
  <si>
    <t>1.4.4.2.3.7.5.2</t>
  </si>
  <si>
    <t>1.4.4.2.3.7.5.3</t>
  </si>
  <si>
    <t>1.4.4.2.3.7.6</t>
  </si>
  <si>
    <t>1.4.4.2.3.7.6.1</t>
  </si>
  <si>
    <t>1.4.4.2.3.7.6.2</t>
  </si>
  <si>
    <t>1.4.4.2.3.7.6.3</t>
  </si>
  <si>
    <t>1.4.4.2.3.7.7</t>
  </si>
  <si>
    <t>1.4.4.2.3.7.7.1</t>
  </si>
  <si>
    <t>1.4.4.2.3.7.7.2</t>
  </si>
  <si>
    <t>1.4.4.2.3.7.8</t>
  </si>
  <si>
    <t>1.4.4.2.3.7.8.1</t>
  </si>
  <si>
    <t>1.4.4.2.3.7.8.2</t>
  </si>
  <si>
    <t>1.4.4.2.3.7.8.3</t>
  </si>
  <si>
    <t>1.4.4.2.3.7.8.4</t>
  </si>
  <si>
    <t>1.4.4.2.3.7.8.5</t>
  </si>
  <si>
    <t>1.4.4.2.3.8</t>
  </si>
  <si>
    <t>1.4.4.2.3.8.1</t>
  </si>
  <si>
    <t>1.4.4.2.3.8.1.1</t>
  </si>
  <si>
    <t>1.4.4.2.3.8.1.2</t>
  </si>
  <si>
    <t>1.4.4.2.3.8.1.3</t>
  </si>
  <si>
    <t>1.4.4.2.3.8.1.4</t>
  </si>
  <si>
    <t>1.4.4.2.3.8.1.5</t>
  </si>
  <si>
    <t>1.4.4.2.3.8.1.6</t>
  </si>
  <si>
    <t>1.4.4.2.3.8.2</t>
  </si>
  <si>
    <t>1.4.4.2.3.8.2.1</t>
  </si>
  <si>
    <t>1.4.4.2.3.8.2.2</t>
  </si>
  <si>
    <t>1.4.4.2.3.8.2.3</t>
  </si>
  <si>
    <t>1.4.4.2.3.8.2.4</t>
  </si>
  <si>
    <t>1.4.4.2.3.8.3</t>
  </si>
  <si>
    <t>1.4.4.2.3.8.3.1</t>
  </si>
  <si>
    <t>1.4.4.2.3.8.3.2</t>
  </si>
  <si>
    <t>1.4.4.2.3.8.3.3</t>
  </si>
  <si>
    <t>1.4.4.2.3.8.4</t>
  </si>
  <si>
    <t>MECO Experiment</t>
  </si>
  <si>
    <t>Target Systems</t>
  </si>
  <si>
    <t>Production Target</t>
  </si>
  <si>
    <t>Verify Design</t>
  </si>
  <si>
    <t>Engineering Design</t>
  </si>
  <si>
    <t>Finite Element Analysis</t>
  </si>
  <si>
    <t>Target tests in A-Line</t>
  </si>
  <si>
    <t>Fab Test Beam Target</t>
  </si>
  <si>
    <t>Assemble Beam Test Target</t>
  </si>
  <si>
    <t>Install Test Target</t>
  </si>
  <si>
    <t>Install Target</t>
  </si>
  <si>
    <t>Instrumentation Set-up</t>
  </si>
  <si>
    <t>Evaluate Tests &amp; Adjust Design</t>
  </si>
  <si>
    <t>Fabricate Target</t>
  </si>
  <si>
    <t>Fab Target &amp; Housing</t>
  </si>
  <si>
    <t>Assemble Target</t>
  </si>
  <si>
    <t>Survey Target</t>
  </si>
  <si>
    <t>Bench Test Target</t>
  </si>
  <si>
    <t>Mounting, Handling &amp; Storage System</t>
  </si>
  <si>
    <t>Interface with Heat &amp; Rad Shield</t>
  </si>
  <si>
    <t>Target Trolley &amp; Motion</t>
  </si>
  <si>
    <t>Motion Test</t>
  </si>
  <si>
    <t>Fab Set-up</t>
  </si>
  <si>
    <t>Test Motion</t>
  </si>
  <si>
    <t>Survey Test</t>
  </si>
  <si>
    <t>Target Storage System</t>
  </si>
  <si>
    <t>Fabrication</t>
  </si>
  <si>
    <t>Target Cooling System</t>
  </si>
  <si>
    <t>Fabrication &amp; Assembly</t>
  </si>
  <si>
    <t>Fab Frame</t>
  </si>
  <si>
    <t>Purchase Components</t>
  </si>
  <si>
    <t>Weld Pipes</t>
  </si>
  <si>
    <t>Install Skid at Beamline</t>
  </si>
  <si>
    <t>Electric Hook-up</t>
  </si>
  <si>
    <t>Tower Connection</t>
  </si>
  <si>
    <t>Set-up &amp; Check-out</t>
  </si>
  <si>
    <t>Piping to Target</t>
  </si>
  <si>
    <t xml:space="preserve">1.4 Solenoids </t>
  </si>
  <si>
    <t>MDMG Support</t>
  </si>
  <si>
    <t>Physics Support</t>
  </si>
  <si>
    <t>Engineering Support</t>
  </si>
  <si>
    <t>Building Space</t>
  </si>
  <si>
    <t>Compressor Building</t>
  </si>
  <si>
    <t>Sound Proofing</t>
  </si>
  <si>
    <t>Painting</t>
  </si>
  <si>
    <t>912 Floor Space</t>
  </si>
  <si>
    <t>Solid Steel Trench Covers</t>
  </si>
  <si>
    <t>Paint Floor</t>
  </si>
  <si>
    <t>Areas for Cryo Pipe Runs</t>
  </si>
  <si>
    <t>Install Supports</t>
  </si>
  <si>
    <t>Compressor Power</t>
  </si>
  <si>
    <t>Spec Power Layout</t>
  </si>
  <si>
    <t>Purchase Motor Starter</t>
  </si>
  <si>
    <t>Install Motor Starter</t>
  </si>
  <si>
    <t>Hook-up Compressor AC</t>
  </si>
  <si>
    <t>Install Manifolds</t>
  </si>
  <si>
    <t>Hook-up Compressor</t>
  </si>
  <si>
    <t>Compressed Air</t>
  </si>
  <si>
    <t>Hook-up to Instrument Air</t>
  </si>
  <si>
    <t>LN2 Supply Tank</t>
  </si>
  <si>
    <t>Layout Design</t>
  </si>
  <si>
    <t>Digging Permit for Footings</t>
  </si>
  <si>
    <t>Install Tank &amp; Piping Footings</t>
  </si>
  <si>
    <t>Purchase LN2 Tank</t>
  </si>
  <si>
    <t>Install LN2 Tank</t>
  </si>
  <si>
    <t>Verify Magnet Location</t>
  </si>
  <si>
    <t>Remote Operations Tie-in</t>
  </si>
  <si>
    <t>Power Supply Hook-up</t>
  </si>
  <si>
    <t>Install Power Supplies</t>
  </si>
  <si>
    <t xml:space="preserve">Install Cable AC &amp; DC Tray </t>
  </si>
  <si>
    <t>Power Supply AC Hook-up</t>
  </si>
  <si>
    <t>Experimental Infrastructure</t>
  </si>
  <si>
    <t>Electric Power and Tray</t>
  </si>
  <si>
    <t>Purchase Parts</t>
  </si>
  <si>
    <t>Power &amp; Tray Installation</t>
  </si>
  <si>
    <t>Electronics Hut</t>
  </si>
  <si>
    <t>Spec Building</t>
  </si>
  <si>
    <t>Purchase Building</t>
  </si>
  <si>
    <t>Install Building</t>
  </si>
  <si>
    <t>Fire Alarm Hook-up</t>
  </si>
  <si>
    <t>Rolling Frame &amp; Access Way</t>
  </si>
  <si>
    <t>Cooling Water Installation</t>
  </si>
  <si>
    <t>New Counting House</t>
  </si>
  <si>
    <t>Pour Footings</t>
  </si>
  <si>
    <t>Purchase Landings</t>
  </si>
  <si>
    <t>Experimental Safety System</t>
  </si>
  <si>
    <t>Assemble &amp; Install System</t>
  </si>
  <si>
    <t>Hook-up Power Trip</t>
  </si>
  <si>
    <t>Clean Room</t>
  </si>
  <si>
    <t>Spec Clean Room</t>
  </si>
  <si>
    <t>Purchase Clean Room</t>
  </si>
  <si>
    <t>Install Clean Room</t>
  </si>
  <si>
    <t>1.4.4.2.3.8.5</t>
  </si>
  <si>
    <t>Provides for installation labor, materials, &amp; testing for 5 new magnets in the A line</t>
  </si>
  <si>
    <t>Provides for installation labor, materials, &amp; testing for 3 new magnets in the B line</t>
  </si>
  <si>
    <t>Provides for installation labor, materials &amp; testing of the beam plugs</t>
  </si>
  <si>
    <t>Provides for preparation &amp; painting of the SYG floor</t>
  </si>
  <si>
    <t>25 MHz RF cavity (C-AD Part)</t>
  </si>
  <si>
    <t xml:space="preserve">        Cavity *</t>
  </si>
  <si>
    <t xml:space="preserve">        Tuner *</t>
  </si>
  <si>
    <t xml:space="preserve">         Vacuum *</t>
  </si>
  <si>
    <t xml:space="preserve">         Power Amplifier *</t>
  </si>
  <si>
    <t xml:space="preserve">         Damper *</t>
  </si>
  <si>
    <t xml:space="preserve">         Shipping *</t>
  </si>
  <si>
    <t>* Off Project - CFI TRIUMF Work,</t>
  </si>
  <si>
    <t xml:space="preserve"> not included in totals</t>
  </si>
  <si>
    <r>
      <t xml:space="preserve">     </t>
    </r>
    <r>
      <rPr>
        <sz val="10"/>
        <rFont val="Arial"/>
        <family val="2"/>
      </rPr>
      <t>Cable Trays</t>
    </r>
  </si>
  <si>
    <t>Direct Total</t>
  </si>
  <si>
    <t>(level 4)</t>
  </si>
  <si>
    <t>(level 5)</t>
  </si>
  <si>
    <t>RSVP - AGS Project Office</t>
  </si>
  <si>
    <t xml:space="preserve">10/05/04 - </t>
  </si>
  <si>
    <t>RSVP AGS Project Office</t>
  </si>
  <si>
    <t>Travel</t>
  </si>
  <si>
    <t>RSVP Resource Categories</t>
  </si>
  <si>
    <t>Category</t>
  </si>
  <si>
    <t>Code</t>
  </si>
  <si>
    <t>O/H Rate</t>
  </si>
  <si>
    <t>PH</t>
  </si>
  <si>
    <t>Mechanical Engineer</t>
  </si>
  <si>
    <t>ME</t>
  </si>
  <si>
    <t>Electrical Engineer</t>
  </si>
  <si>
    <t>EE</t>
  </si>
  <si>
    <t>Mechanical Designer</t>
  </si>
  <si>
    <t>MD</t>
  </si>
  <si>
    <t>Electrical Designer</t>
  </si>
  <si>
    <t>ED</t>
  </si>
  <si>
    <t>IT Professional</t>
  </si>
  <si>
    <t>IT</t>
  </si>
  <si>
    <t>Administrative</t>
  </si>
  <si>
    <t>ADM</t>
  </si>
  <si>
    <t>Management</t>
  </si>
  <si>
    <t>MGT</t>
  </si>
  <si>
    <t>Supervisor</t>
  </si>
  <si>
    <t>SPV</t>
  </si>
  <si>
    <t>Electrical Technician</t>
  </si>
  <si>
    <t>ET</t>
  </si>
  <si>
    <t>Mechanical Technician</t>
  </si>
  <si>
    <t>MT</t>
  </si>
  <si>
    <t>Pulsed Power Technician</t>
  </si>
  <si>
    <t>PPT</t>
  </si>
  <si>
    <t>Access Controls Technician</t>
  </si>
  <si>
    <t>ACT</t>
  </si>
  <si>
    <t>PS Systems Technician</t>
  </si>
  <si>
    <t>PST</t>
  </si>
  <si>
    <t>Coordinators</t>
  </si>
  <si>
    <t>MCC</t>
  </si>
  <si>
    <t>Operators</t>
  </si>
  <si>
    <t>MCO</t>
  </si>
  <si>
    <t>Vacuum Technician</t>
  </si>
  <si>
    <t>VT</t>
  </si>
  <si>
    <t>RF Technician</t>
  </si>
  <si>
    <t>RFT</t>
  </si>
  <si>
    <t>Instrumentation Beam Technician</t>
  </si>
  <si>
    <t>IBT</t>
  </si>
  <si>
    <t>Cryogenic Technician</t>
  </si>
  <si>
    <t>CT</t>
  </si>
  <si>
    <t>Controls Technician</t>
  </si>
  <si>
    <t>CNT</t>
  </si>
  <si>
    <t>Beam Service Technician</t>
  </si>
  <si>
    <t>BST</t>
  </si>
  <si>
    <t>Collider Accelerator Support Technician</t>
  </si>
  <si>
    <t>CAS</t>
  </si>
  <si>
    <t>Mechanical Service Technician (FES)</t>
  </si>
  <si>
    <t>MST</t>
  </si>
  <si>
    <t>Survey</t>
  </si>
  <si>
    <t>S</t>
  </si>
  <si>
    <t>Electronics Service Technician (FES)</t>
  </si>
  <si>
    <t>EST</t>
  </si>
  <si>
    <t>Water Systems Technician (FES)</t>
  </si>
  <si>
    <t>WST</t>
  </si>
  <si>
    <t>Post Docs</t>
  </si>
  <si>
    <t>PD</t>
  </si>
  <si>
    <t>Other Labor</t>
  </si>
  <si>
    <t>Scientific Distributed Labor</t>
  </si>
  <si>
    <t>SD</t>
  </si>
  <si>
    <t>Contract Labor</t>
  </si>
  <si>
    <t>CL</t>
  </si>
  <si>
    <t>Per Contract</t>
  </si>
  <si>
    <t>Consultants/Collaborators</t>
  </si>
  <si>
    <t>CC</t>
  </si>
  <si>
    <t>Support Labor</t>
  </si>
  <si>
    <t>Central Shops</t>
  </si>
  <si>
    <t>CS</t>
  </si>
  <si>
    <t>Building Trades (Standard)</t>
  </si>
  <si>
    <t>BTS</t>
  </si>
  <si>
    <t>Building Trades Engineer</t>
  </si>
  <si>
    <t>BTE</t>
  </si>
  <si>
    <t>Building Trades Carpenter</t>
  </si>
  <si>
    <t>BTC</t>
  </si>
  <si>
    <t>Building Trades Electrician</t>
  </si>
  <si>
    <t>Building Trades Rigger</t>
  </si>
  <si>
    <t>BTR</t>
  </si>
  <si>
    <t>Low Value (Less Than $25K)</t>
  </si>
  <si>
    <t>LV</t>
  </si>
  <si>
    <t>Per PO</t>
  </si>
  <si>
    <t>High Value (Over $25K)</t>
  </si>
  <si>
    <t>HV</t>
  </si>
  <si>
    <t>Large Procurement (Over $600K)</t>
  </si>
  <si>
    <t>LP</t>
  </si>
  <si>
    <t>Only First $600K</t>
  </si>
  <si>
    <t>Capital Equipment</t>
  </si>
  <si>
    <t>CE</t>
  </si>
  <si>
    <t>TV</t>
  </si>
  <si>
    <t>Per Trip</t>
  </si>
  <si>
    <t>FY05 (D. Sappo, 9/30/04)</t>
  </si>
  <si>
    <t>1.4.5.1</t>
  </si>
  <si>
    <t>Project Head</t>
  </si>
  <si>
    <t>1.4.5.2</t>
  </si>
  <si>
    <t>Deputy Project Head</t>
  </si>
  <si>
    <t>1.4.5.3</t>
  </si>
  <si>
    <t>Fiscal</t>
  </si>
  <si>
    <t>1.4.5.4</t>
  </si>
  <si>
    <t>0.5 FTE per year x 5 years</t>
  </si>
  <si>
    <t>0.25 FTE per year x 5 years</t>
  </si>
  <si>
    <t>$10,000  per year x 5 years</t>
  </si>
  <si>
    <t>WBS Level 4</t>
  </si>
  <si>
    <t>Total (Direct w/cont')</t>
  </si>
  <si>
    <t xml:space="preserve">        New F10 (1)</t>
  </si>
  <si>
    <t xml:space="preserve">8. MECO DS cosmic and TS shield </t>
  </si>
  <si>
    <t># does not include FTE's for beam development</t>
  </si>
  <si>
    <r>
      <t xml:space="preserve">1. </t>
    </r>
    <r>
      <rPr>
        <strike/>
        <sz val="10"/>
        <rFont val="Arial"/>
        <family val="2"/>
      </rPr>
      <t>RSVP Project Office</t>
    </r>
  </si>
  <si>
    <r>
      <t xml:space="preserve">2. </t>
    </r>
    <r>
      <rPr>
        <strike/>
        <sz val="10"/>
        <rFont val="Arial"/>
        <family val="2"/>
      </rPr>
      <t>AGS/Booster Shield CAPS, several incomplete WBS items</t>
    </r>
  </si>
  <si>
    <t>RSVP AGS WBS Total</t>
  </si>
  <si>
    <t>Re-installs the existing SYG roof taken off for beam line modifications</t>
  </si>
  <si>
    <t>Provides for a new welded vacuum d/s of CQ4. assumes rough vacuum</t>
  </si>
  <si>
    <t>Provides for a new "A" line vacuum system in the SYG.assumes rough vacuum</t>
  </si>
  <si>
    <t>Provides for labor, materials for vacuum in C&amp;B lines.assumes rough vacuum</t>
  </si>
  <si>
    <t>This re-configures the existing vacuum PLC rack for the new vacuum system</t>
  </si>
  <si>
    <t>Provides for labor &amp; materials for tray cable fire protection</t>
  </si>
  <si>
    <t>Provides for a air conditioned enclosure for controls and instrumentation</t>
  </si>
  <si>
    <t>Keeps the SYG cave below 85% RH</t>
  </si>
  <si>
    <t>Provides for a removable section of B vacuum system for NASA running</t>
  </si>
  <si>
    <t>Builds an enclosure in the SYG for NASA experiments</t>
  </si>
  <si>
    <t>Provides AC in the enclosure for NASA</t>
  </si>
  <si>
    <t>Comments/WBS Dictionary</t>
  </si>
  <si>
    <t>1.4.2.2.1</t>
  </si>
  <si>
    <t>1.4.2.2.2</t>
  </si>
  <si>
    <t>6/29/04 - AP with security and instrumentation, wbs dictionary (partial) 9/29/04</t>
  </si>
  <si>
    <t>10 % eng management, 20% technical management</t>
  </si>
  <si>
    <t>1.0 LE, .5 LP</t>
  </si>
  <si>
    <t xml:space="preserve">        Magnet Design, Fabracation, Installation</t>
  </si>
  <si>
    <t xml:space="preserve">        Magnet Water Cooling</t>
  </si>
  <si>
    <t xml:space="preserve">        Cavity</t>
  </si>
  <si>
    <t xml:space="preserve">        Tuner</t>
  </si>
  <si>
    <t xml:space="preserve">         Vacuum</t>
  </si>
  <si>
    <t xml:space="preserve">         Power Amplifier</t>
  </si>
  <si>
    <t xml:space="preserve">         Damper</t>
  </si>
  <si>
    <t xml:space="preserve">         Driver</t>
  </si>
  <si>
    <t xml:space="preserve">         Low Level Control</t>
  </si>
  <si>
    <t xml:space="preserve">         Controls</t>
  </si>
  <si>
    <t xml:space="preserve">         Access Controls</t>
  </si>
  <si>
    <t xml:space="preserve">        Controls</t>
  </si>
  <si>
    <t xml:space="preserve">        Conventional</t>
  </si>
  <si>
    <t xml:space="preserve">       Tunnel Penetration</t>
  </si>
  <si>
    <t xml:space="preserve">        Interface/Installation</t>
  </si>
  <si>
    <t xml:space="preserve">        Micro-bunched extraction</t>
  </si>
  <si>
    <t>X &amp; Y Collimator, 4 jaws =  4 axis</t>
  </si>
  <si>
    <t>Current Transformer</t>
  </si>
  <si>
    <t>CT at C036</t>
  </si>
  <si>
    <t>Secondary Emission Chamber</t>
  </si>
  <si>
    <t xml:space="preserve">C10 SEC </t>
  </si>
  <si>
    <t>Cable &amp; Racks</t>
  </si>
  <si>
    <t>Rad-Damaged &amp; old replaced</t>
  </si>
  <si>
    <t>Relocation</t>
  </si>
  <si>
    <t>Switchyard Security modifications</t>
  </si>
  <si>
    <t>PLC Systems</t>
  </si>
  <si>
    <t>PLC will be located in 911A cage. Some modules will resides locally.</t>
  </si>
  <si>
    <t>Programming</t>
  </si>
  <si>
    <t>PLC &amp; Racks</t>
  </si>
  <si>
    <t>R/IO Blocks</t>
  </si>
  <si>
    <t>UPS and Phoenix connectors</t>
  </si>
  <si>
    <t>Fiber converters (R/IO &amp; DH+ comm)(6)</t>
  </si>
  <si>
    <t>Gates (Incl. 3 gates)</t>
  </si>
  <si>
    <t>The existing gates will be used.</t>
  </si>
  <si>
    <t>Gates Boxes</t>
  </si>
  <si>
    <t>Limit switches (10)</t>
  </si>
  <si>
    <t>Electric strikes (2)</t>
  </si>
  <si>
    <t>Card Readers (2)</t>
  </si>
  <si>
    <t>Key Tree &amp; Iris Scanner</t>
  </si>
  <si>
    <t>Cables 18/c (3000ft)</t>
  </si>
  <si>
    <t>Cables 12/c (3000ft)</t>
  </si>
  <si>
    <t>Cables 8/c (3000ft)</t>
  </si>
  <si>
    <t>Cables 4/c (3000ft)</t>
  </si>
  <si>
    <t>Crash cables (1000ft)</t>
  </si>
  <si>
    <t>DH+ Comm cables (1000ft)</t>
  </si>
  <si>
    <t>CATV</t>
  </si>
  <si>
    <t>Bobcat switch 16*2 mux (2)</t>
  </si>
  <si>
    <t>Lee Data 1*1 Fiber Optics Transmitter (2)</t>
  </si>
  <si>
    <t>Lee Data 1*1 Fiber Optics Receiver (2)</t>
  </si>
  <si>
    <t>Digital Cameras (6)</t>
  </si>
  <si>
    <t>Will use existing chipmunks and DAQ hardware.</t>
  </si>
  <si>
    <t>Chipmunks (0 units)</t>
  </si>
  <si>
    <t>VME SIS Scaler board</t>
  </si>
  <si>
    <t>Weather proof enclusure</t>
  </si>
  <si>
    <t>Coaxial cables (1000 ft)</t>
  </si>
  <si>
    <t>Crash, Sweep &amp; Alarms</t>
  </si>
  <si>
    <t>Check station boxes</t>
  </si>
  <si>
    <t>Crash Actuators</t>
  </si>
  <si>
    <t>Crash Stations and Alarms</t>
  </si>
  <si>
    <t>B-line Security System modifications</t>
  </si>
  <si>
    <t>EPM's/Plunging SWIC's (4)</t>
  </si>
  <si>
    <t>Includes device &amp; electronics</t>
  </si>
  <si>
    <t>LM's, IC's(4 in picture frame config.)</t>
  </si>
  <si>
    <t>Special chassis</t>
  </si>
  <si>
    <t>Mount, Lamps</t>
  </si>
  <si>
    <t>Camera Lens, ND Filter, driver.</t>
  </si>
  <si>
    <t>90 Target Tel (Scint/PMT assy &amp; mount)</t>
  </si>
  <si>
    <t>Tel Elec &amp; Bias (amps, discr counter)</t>
  </si>
  <si>
    <t>IC's (4 in picture frame config.)</t>
  </si>
  <si>
    <t>LM VME FE electronics, Controls I/F</t>
  </si>
  <si>
    <t>Interface to machine protect system</t>
  </si>
  <si>
    <t>Neutral beam</t>
  </si>
  <si>
    <t>Target Station</t>
  </si>
  <si>
    <t>D1 sweeper</t>
  </si>
  <si>
    <t>D2 sweeper</t>
  </si>
  <si>
    <t>D3 sweeper</t>
  </si>
  <si>
    <t>Collimator</t>
  </si>
  <si>
    <t>Vacuum box</t>
  </si>
  <si>
    <t>Heavy met liner</t>
  </si>
  <si>
    <t>Steel shielding</t>
  </si>
  <si>
    <t>Power supplies</t>
  </si>
  <si>
    <t>Detector pit</t>
  </si>
  <si>
    <t>shielding</t>
  </si>
  <si>
    <t>counting house</t>
  </si>
  <si>
    <t>Fast electronics area</t>
  </si>
  <si>
    <t>A-Line Security modifications</t>
  </si>
  <si>
    <t>SWIC's (4 locations)</t>
  </si>
  <si>
    <t>Plunging Vac SWIC (32x32) (4" pipe)</t>
  </si>
  <si>
    <t xml:space="preserve">   HV Bias</t>
  </si>
  <si>
    <t xml:space="preserve">   RHIC Style VME</t>
  </si>
  <si>
    <t xml:space="preserve">   Cables (Sig and HV)</t>
  </si>
  <si>
    <t xml:space="preserve">   Interface to machine protect system</t>
  </si>
  <si>
    <t xml:space="preserve">Flags &amp; Video </t>
  </si>
  <si>
    <t>Camera Pan, remote cntrl</t>
  </si>
  <si>
    <t>RSVP - Switchyard Modifications with instrumentation and security included 8/5/04</t>
  </si>
  <si>
    <t>RSVP - Booster/AGS Modifications</t>
  </si>
  <si>
    <t>RF System modifications</t>
  </si>
  <si>
    <t xml:space="preserve">        Collimators</t>
  </si>
  <si>
    <t xml:space="preserve">        Instrumentation Interfaces</t>
  </si>
  <si>
    <t xml:space="preserve">        Software &amp; Database</t>
  </si>
  <si>
    <t>Safety</t>
  </si>
  <si>
    <t xml:space="preserve">        Shield Caps</t>
  </si>
  <si>
    <t xml:space="preserve">        New F5 (2)</t>
  </si>
  <si>
    <t xml:space="preserve">        New F10 (2)</t>
  </si>
  <si>
    <t xml:space="preserve">        New H20 (2)</t>
  </si>
  <si>
    <t xml:space="preserve">        Sextupole Coils**</t>
  </si>
  <si>
    <t xml:space="preserve">        Motion Systems</t>
  </si>
  <si>
    <t>Scope defined by instrumentation needs</t>
  </si>
  <si>
    <t xml:space="preserve">               Software &amp; Database</t>
  </si>
  <si>
    <t>Needed to help detect shorts caused by hign intensity rf effects</t>
  </si>
  <si>
    <t xml:space="preserve">        Power Supply Interfaces</t>
  </si>
  <si>
    <t>Need to replace obsolete extraction element controls</t>
  </si>
  <si>
    <t>Vacuum</t>
  </si>
  <si>
    <t xml:space="preserve">        Cable Repair/Replacement</t>
  </si>
  <si>
    <t xml:space="preserve">        Spare Booster F6</t>
  </si>
  <si>
    <t xml:space="preserve">        Booster Injection</t>
  </si>
  <si>
    <t>Instrumentation</t>
  </si>
  <si>
    <t xml:space="preserve">        AGS RC Networks</t>
  </si>
  <si>
    <t>Controls</t>
  </si>
  <si>
    <t>Labor</t>
  </si>
  <si>
    <t>Total</t>
  </si>
  <si>
    <t xml:space="preserve">        Loss Monitors</t>
  </si>
  <si>
    <t xml:space="preserve">        J10 Bump; Low ripple P.S.</t>
  </si>
  <si>
    <t>Booster</t>
  </si>
  <si>
    <t>Materials</t>
  </si>
  <si>
    <t>Detectors</t>
  </si>
  <si>
    <t>Electronics</t>
  </si>
  <si>
    <t>Cables</t>
  </si>
  <si>
    <t>AGS</t>
  </si>
  <si>
    <t>Gas system distributed.</t>
  </si>
  <si>
    <t>EPM's</t>
  </si>
  <si>
    <t xml:space="preserve">Biasing for all </t>
  </si>
  <si>
    <t>Cabling (round to flat)</t>
  </si>
  <si>
    <t>Plunge capability</t>
  </si>
  <si>
    <t>Device</t>
  </si>
  <si>
    <t xml:space="preserve">Cabling </t>
  </si>
  <si>
    <t>Bias</t>
  </si>
  <si>
    <t>New targets</t>
  </si>
  <si>
    <t xml:space="preserve">        Cables</t>
  </si>
  <si>
    <t xml:space="preserve">        BTA</t>
  </si>
  <si>
    <t xml:space="preserve">        Wall Current Monitor</t>
  </si>
  <si>
    <t xml:space="preserve">        Video</t>
  </si>
  <si>
    <t xml:space="preserve">        Ring Grounds</t>
  </si>
  <si>
    <t>Labor Hours</t>
  </si>
  <si>
    <t>Tech</t>
  </si>
  <si>
    <t xml:space="preserve"> </t>
  </si>
  <si>
    <t>10/18/04 from Darlene</t>
  </si>
  <si>
    <t>RSVP pre-operations costs per week, FY 2005 $'s with reduced NSF Indirects</t>
  </si>
  <si>
    <t>Fixed Personnel Costs (per-ops only)</t>
  </si>
  <si>
    <t>AGS SEB Experimental area MSTC (50% of Operations Cost)</t>
  </si>
  <si>
    <t>MECO MSTC (50% of Operations Cost)</t>
  </si>
  <si>
    <t>MECO Experiment Specific Costs/week</t>
  </si>
  <si>
    <t>K0PI0 MSTC (50% of Operations Cost)</t>
  </si>
  <si>
    <t>Example RSVP Beam Development Plan</t>
  </si>
  <si>
    <t>Assumptions</t>
  </si>
  <si>
    <t>(1) AGS not available for RSVP during 1st 7 weeks of RHIC operations and for 4 weeks/additional beam during a given year</t>
  </si>
  <si>
    <t>Example (Nov 04 plan)</t>
  </si>
  <si>
    <t xml:space="preserve">        Collimator, LTB</t>
  </si>
  <si>
    <t xml:space="preserve">        Collimators, AGS (?)</t>
  </si>
  <si>
    <t xml:space="preserve">        Collimators, Booster (?)</t>
  </si>
  <si>
    <t>last revision</t>
  </si>
  <si>
    <t>RSVP AGS Infrastructure Cost Summary (fully burdened)</t>
  </si>
  <si>
    <r>
      <t>3. AGS/</t>
    </r>
    <r>
      <rPr>
        <sz val="10"/>
        <rFont val="Arial"/>
        <family val="2"/>
      </rPr>
      <t>Booster</t>
    </r>
    <r>
      <rPr>
        <sz val="10"/>
        <rFont val="Arial"/>
        <family val="0"/>
      </rPr>
      <t>/</t>
    </r>
    <r>
      <rPr>
        <strike/>
        <sz val="10"/>
        <rFont val="Arial"/>
        <family val="2"/>
      </rPr>
      <t>Switchyard</t>
    </r>
    <r>
      <rPr>
        <sz val="10"/>
        <rFont val="Arial"/>
        <family val="0"/>
      </rPr>
      <t xml:space="preserve"> Collimators</t>
    </r>
  </si>
  <si>
    <t>(2) Last week of RHIC operations is considered running outside RHIC operations since this is cryo warm-up week (injectors not running)</t>
  </si>
  <si>
    <t>(3) AGS is available for RSVP the balance of the time after reserving 15 weeks for shutdown work</t>
  </si>
  <si>
    <t>(4) 80 hours/week are available for RSVP experiments during RHIC Operations</t>
  </si>
  <si>
    <t>(5) 120 hours/week are available for RSVP experiments outside RHIC Operations</t>
  </si>
  <si>
    <t>(6) RHIC Cryo Operations based on "Constant Effort" budget - 27 weeks per year</t>
  </si>
  <si>
    <t>Installation/Survey</t>
  </si>
  <si>
    <t>Beam Position Monitors</t>
  </si>
  <si>
    <t xml:space="preserve">        WCM Upgrade (D6)</t>
  </si>
  <si>
    <t xml:space="preserve">        Inflector protection (C3)</t>
  </si>
  <si>
    <t>Vacuum controls</t>
  </si>
  <si>
    <t>VME</t>
  </si>
  <si>
    <t>Cost</t>
  </si>
  <si>
    <t>I/O modules</t>
  </si>
  <si>
    <t>Sub-Total</t>
  </si>
  <si>
    <t>Gates</t>
  </si>
  <si>
    <t>Chipmunks</t>
  </si>
  <si>
    <t>Shops</t>
  </si>
  <si>
    <t xml:space="preserve">        Upgrade of PFN's</t>
  </si>
  <si>
    <t xml:space="preserve">        Magnet Coils - Mechanical</t>
  </si>
  <si>
    <t xml:space="preserve">        Active Filter</t>
  </si>
  <si>
    <t xml:space="preserve">        F10 Power Supply</t>
  </si>
  <si>
    <t>Rate</t>
  </si>
  <si>
    <t>Direct Cost</t>
  </si>
  <si>
    <t>Paid Absence Burden(PAB)</t>
  </si>
  <si>
    <t>Fringe on DC and PAB</t>
  </si>
  <si>
    <t>Nominal Salary Base (Direct Cost)</t>
  </si>
  <si>
    <t>Space Charge (SC) on DC,PAB and Fringe</t>
  </si>
  <si>
    <t>Organizational Burden(OB) on DC,PAB and Fr</t>
  </si>
  <si>
    <t>Power(Pwr) on DC, PAB and Fr</t>
  </si>
  <si>
    <t>Communications on DC, PAB and Fr (incl. in OB)</t>
  </si>
  <si>
    <t>ITD Contribution on DC, PAB and Fr</t>
  </si>
  <si>
    <t>Auto  on DC, PAB and Fr</t>
  </si>
  <si>
    <t>ESH on DC, PAB and Fr</t>
  </si>
  <si>
    <t xml:space="preserve"> Department Burden Total</t>
  </si>
  <si>
    <t>G&amp;A on DC</t>
  </si>
  <si>
    <t>G&amp;A on PAB</t>
  </si>
  <si>
    <t>G&amp;A on Fr</t>
  </si>
  <si>
    <t>G&amp;A on SC</t>
  </si>
  <si>
    <t>G&amp;A on OB</t>
  </si>
  <si>
    <t>G&amp;A on All else except power</t>
  </si>
  <si>
    <t>G&amp;A on Pwr</t>
  </si>
  <si>
    <t>BNL G&amp;A Total</t>
  </si>
  <si>
    <t>Department plus G&amp;A</t>
  </si>
  <si>
    <t>FCR (direct to DOE)</t>
  </si>
  <si>
    <t>Department plus G&amp;A plus FCR</t>
  </si>
  <si>
    <t>Indirect on Direct+PAB+Fringe ($100,000)</t>
  </si>
  <si>
    <t>Consultants/Jobshoppers</t>
  </si>
  <si>
    <t>Dept</t>
  </si>
  <si>
    <t>Lab</t>
  </si>
  <si>
    <t>DOE</t>
  </si>
  <si>
    <t>Direct Costs (DC)</t>
  </si>
  <si>
    <t>FCR</t>
  </si>
  <si>
    <t xml:space="preserve">Indirect </t>
  </si>
  <si>
    <t>DTS (Central Shops/Plant Engineering)</t>
  </si>
  <si>
    <t>MSTC (purchases)</t>
  </si>
  <si>
    <t>Direct Cost (DC)</t>
  </si>
  <si>
    <t>Material Handling (MH)</t>
  </si>
  <si>
    <t>G&amp;A on MH</t>
  </si>
  <si>
    <t>Indirect</t>
  </si>
  <si>
    <t>Subcontracts (Purchases &gt; 25K)</t>
  </si>
  <si>
    <t>G&amp;A on DC ("Traditional" only)</t>
  </si>
  <si>
    <t>Subcontracts (Purchases &gt; 600K) on the first $600k only</t>
  </si>
  <si>
    <t>Material Handling (MH) on DC-6.5% of $600K</t>
  </si>
  <si>
    <t>FIXED</t>
  </si>
  <si>
    <t>G&amp;A on DC-8% of $600K</t>
  </si>
  <si>
    <t>Indirect (Only on first $600K, prior approval required)</t>
  </si>
  <si>
    <t>Purchase Equipment (Turn-key Purchases &gt; 25K Gen CAP/HEEP)</t>
  </si>
  <si>
    <t>Purchase Equipment (Turn-Key, Purchases &gt; 600K) on first $600K only</t>
  </si>
  <si>
    <t>Labor Rates (direct, includes PAB and fringe)</t>
  </si>
  <si>
    <t>$/hr</t>
  </si>
  <si>
    <t>techs</t>
  </si>
  <si>
    <t>PER PRODUCTIVE HOUR</t>
  </si>
  <si>
    <t>engineers</t>
  </si>
  <si>
    <t>designers</t>
  </si>
  <si>
    <t>physicist</t>
  </si>
  <si>
    <t>DISTRIBUTED TECHNICAL SERVICES (DTS):</t>
  </si>
  <si>
    <t>CENTRAL SHOPS</t>
  </si>
  <si>
    <t>BLDG. TRADES</t>
  </si>
  <si>
    <t>CNST ENGR SERVICES</t>
  </si>
  <si>
    <t>DIRECT ASSIGNED</t>
  </si>
  <si>
    <t>GENERAL LABOR</t>
  </si>
  <si>
    <t>PRODUCTIVE HOURS  FOR 1 FTE</t>
  </si>
  <si>
    <t xml:space="preserve">        IPM Servo</t>
  </si>
  <si>
    <t>Switchyard Instrumentation</t>
  </si>
  <si>
    <t>A Transport Devices</t>
  </si>
  <si>
    <t>SWIC Electronics (32x32)</t>
  </si>
  <si>
    <t xml:space="preserve">Servo SWIC (32x32) (Air) </t>
  </si>
  <si>
    <t>Servo electronics</t>
  </si>
  <si>
    <t>Cables/connectors</t>
  </si>
  <si>
    <t>Gas Distribution (Argon-C02)</t>
  </si>
  <si>
    <t>Current Transformers</t>
  </si>
  <si>
    <t>Bergoz</t>
  </si>
  <si>
    <t>Includes BPM, cables, electronics</t>
  </si>
  <si>
    <t>Loss Monitors (various locations)</t>
  </si>
  <si>
    <t>Loss Monitors w/ mounts</t>
  </si>
  <si>
    <t>Loss monitor Electronics</t>
  </si>
  <si>
    <t>HV Bias</t>
  </si>
  <si>
    <t>Cables &amp; Connectors</t>
  </si>
  <si>
    <t>Target Instrumentation</t>
  </si>
  <si>
    <t>Pin Diodes</t>
  </si>
  <si>
    <t>Pin Diodes &amp; Mounts</t>
  </si>
  <si>
    <t>Control Chassis &amp; DCps</t>
  </si>
  <si>
    <t>SIS scalar</t>
  </si>
  <si>
    <t>90 Degree Telescope</t>
  </si>
  <si>
    <t>Detector - PMT/Base/Scint/mount</t>
  </si>
  <si>
    <t>Phillips counting electronics</t>
  </si>
  <si>
    <t>SIS Scalar counter</t>
  </si>
  <si>
    <t>NIM chassis</t>
  </si>
  <si>
    <t>Flag &amp; holder &amp; mount</t>
  </si>
  <si>
    <t>Video Camera</t>
  </si>
  <si>
    <t>ND Filter Assy &amp; Controls</t>
  </si>
  <si>
    <t>Lens &amp; Lamps</t>
  </si>
  <si>
    <t>B Transport Devices</t>
  </si>
  <si>
    <t>Device, with vacuum pump.</t>
  </si>
  <si>
    <t>Electronics (I/V, I/F, HV Bias, &amp; counter)</t>
  </si>
  <si>
    <t>Translation Table &amp; Controls</t>
  </si>
  <si>
    <t>Loss Monitors</t>
  </si>
  <si>
    <t>Long LM's</t>
  </si>
  <si>
    <t>1 Detector per magnet</t>
  </si>
  <si>
    <t>New B Target Devices</t>
  </si>
  <si>
    <t>B-SEC</t>
  </si>
  <si>
    <t>Target Temperature Monitor</t>
  </si>
  <si>
    <t>B Target Flag</t>
  </si>
  <si>
    <t>Rad-Hard video camera</t>
  </si>
  <si>
    <t>Cables, connectors, patch panels</t>
  </si>
  <si>
    <t>All Rack H/W and misc. items</t>
  </si>
  <si>
    <t xml:space="preserve">B Target Instrumentation Station </t>
  </si>
  <si>
    <t>Racks (5) installed at Instru Elec. Support location</t>
  </si>
  <si>
    <t>New Instru enclosed room with AC</t>
  </si>
  <si>
    <t>Labor Rates</t>
  </si>
  <si>
    <t>WBS</t>
  </si>
  <si>
    <t>Contingency Risk Factors</t>
  </si>
  <si>
    <t>Number</t>
  </si>
  <si>
    <t>Description</t>
  </si>
  <si>
    <t>&lt;$25000</t>
  </si>
  <si>
    <t>&gt;$25000</t>
  </si>
  <si>
    <t>&gt;$600000</t>
  </si>
  <si>
    <t>Mat'ls</t>
  </si>
  <si>
    <t>Eng'r</t>
  </si>
  <si>
    <t>Physicist</t>
  </si>
  <si>
    <t>Design</t>
  </si>
  <si>
    <t>DTS</t>
  </si>
  <si>
    <t>WF</t>
  </si>
  <si>
    <t>Sched</t>
  </si>
  <si>
    <t>Cont</t>
  </si>
  <si>
    <t>Cont $</t>
  </si>
  <si>
    <t>w/ Cont</t>
  </si>
  <si>
    <t>Comments</t>
  </si>
  <si>
    <t>Switchyard modifications</t>
  </si>
  <si>
    <t>project support</t>
  </si>
  <si>
    <t>installation supervision</t>
  </si>
  <si>
    <t>shielding modifications</t>
  </si>
  <si>
    <t>modify shielding at AD2</t>
  </si>
  <si>
    <t>rebuild d/s labyrinth</t>
  </si>
  <si>
    <t>Electrical modifications</t>
  </si>
  <si>
    <t>modify Royals (9)</t>
  </si>
  <si>
    <t xml:space="preserve">remove power </t>
  </si>
  <si>
    <t>provide power in cave</t>
  </si>
  <si>
    <t>provide power @VME stations</t>
  </si>
  <si>
    <t>modify PS's for new controls (20)</t>
  </si>
  <si>
    <t>power supply maintenance</t>
  </si>
  <si>
    <t>reconfigure interlock racks</t>
  </si>
  <si>
    <t>Mechanical modifications</t>
  </si>
  <si>
    <t>fabricate beam plugs (3)</t>
  </si>
  <si>
    <t>modify PS water cooling</t>
  </si>
  <si>
    <t>prepare magnets (4)</t>
  </si>
  <si>
    <t>Installation</t>
  </si>
  <si>
    <t>remove equipment in ring</t>
  </si>
  <si>
    <t>remove equipment in "A"</t>
  </si>
  <si>
    <t>remove equipment in "B"</t>
  </si>
  <si>
    <t>rad waste removal (100cu ft)</t>
  </si>
  <si>
    <t>install magnets in ring (2)</t>
  </si>
  <si>
    <t>install magnets in "A" line (5)</t>
  </si>
  <si>
    <t>install magnets in "B" line (3)</t>
  </si>
  <si>
    <t>install beam plugs (3)</t>
  </si>
  <si>
    <t>clear cave &amp; paint</t>
  </si>
  <si>
    <t>install roof</t>
  </si>
  <si>
    <t>install vacuum in ring (100')</t>
  </si>
  <si>
    <t>install vacuum in "A" line (100')</t>
  </si>
  <si>
    <t>install vacuum in "B" line (120')</t>
  </si>
  <si>
    <t>plc modifications</t>
  </si>
  <si>
    <t>Conventional</t>
  </si>
  <si>
    <t xml:space="preserve"> cable fire protection</t>
  </si>
  <si>
    <t>controls enclosure</t>
  </si>
  <si>
    <t>NASA relocation</t>
  </si>
  <si>
    <t>vacuum valves &amp; windows</t>
  </si>
  <si>
    <t>enclosure</t>
  </si>
  <si>
    <t>air conditioning</t>
  </si>
  <si>
    <t>Modify PSs for new controls (1)</t>
  </si>
  <si>
    <t xml:space="preserve">        Project Support</t>
  </si>
  <si>
    <t>w/o Cont</t>
  </si>
  <si>
    <t>FTE</t>
  </si>
  <si>
    <t>With Indirects</t>
  </si>
  <si>
    <t>.5 LE, .25 LP</t>
  </si>
  <si>
    <t>5% 0f Tech labor</t>
  </si>
  <si>
    <t>no cost if we do controls mods</t>
  </si>
  <si>
    <t xml:space="preserve">replace CT1 piping </t>
  </si>
  <si>
    <t>cave dehumidification</t>
  </si>
  <si>
    <t>location?</t>
  </si>
  <si>
    <t>TOTALS - DIRECT</t>
  </si>
  <si>
    <t>indirect %</t>
  </si>
  <si>
    <t>TOTAL</t>
  </si>
  <si>
    <t>Project Support</t>
  </si>
  <si>
    <t>Lambertson Magnets</t>
  </si>
  <si>
    <t>Thin Lambertson</t>
  </si>
  <si>
    <t>Equipment Removal</t>
  </si>
  <si>
    <t>A1-Line</t>
  </si>
  <si>
    <t>A2-Line</t>
  </si>
  <si>
    <t>A3-Line</t>
  </si>
  <si>
    <t>Power Supplies</t>
  </si>
  <si>
    <t>AC Power Distribution</t>
  </si>
  <si>
    <t>Refurbish Power Supplies</t>
  </si>
  <si>
    <t>Run &amp; Test Power Supplies</t>
  </si>
  <si>
    <t>Magnets</t>
  </si>
  <si>
    <t>Refurbish Magnets</t>
  </si>
  <si>
    <t>Magnet Installation</t>
  </si>
  <si>
    <t>Magnet DC Hook-up</t>
  </si>
  <si>
    <t>Shielding</t>
  </si>
  <si>
    <t>Build for Beam Tests</t>
  </si>
  <si>
    <t>Electric &amp; Tray</t>
  </si>
  <si>
    <t>Cooling Water</t>
  </si>
  <si>
    <t>Safety &amp; Facilities</t>
  </si>
  <si>
    <t>Dehumidification</t>
  </si>
  <si>
    <t>Fire Detection</t>
  </si>
  <si>
    <t>Primary Beam</t>
  </si>
  <si>
    <t>Common Equipment/Facilities</t>
  </si>
  <si>
    <t>&lt;$25,000</t>
  </si>
  <si>
    <t>&gt;$25,000</t>
  </si>
  <si>
    <t>&gt;$600,000</t>
  </si>
  <si>
    <t>Loss Monitor System</t>
  </si>
  <si>
    <t>Only long loss mons &amp; OLD 4ch NIM elec, will I/F to Controls V102 &amp; ADC's</t>
  </si>
  <si>
    <t>Upgrade and routing of supply &amp; return gas dist.</t>
  </si>
  <si>
    <t>New &amp; repair Long loss Mons (Cables)</t>
  </si>
  <si>
    <t>Repair, replace, relocate as needed.</t>
  </si>
  <si>
    <t>LM Inhibit system &amp; I/F</t>
  </si>
  <si>
    <t>Similar to H20 type.</t>
  </si>
  <si>
    <t xml:space="preserve">Profile Monitors </t>
  </si>
  <si>
    <t>SWYD (2) Mechanical</t>
  </si>
  <si>
    <t xml:space="preserve">            Electronics</t>
  </si>
  <si>
    <t>A line (2) Mechanical</t>
  </si>
  <si>
    <t>B Line (2) Mechanical</t>
  </si>
  <si>
    <t>Scanning Target</t>
  </si>
  <si>
    <t>Electronics (use existing)</t>
  </si>
  <si>
    <t>Bias (use existing)</t>
  </si>
  <si>
    <t>Device motion upgrade</t>
  </si>
  <si>
    <t>C011 Plunging SWIC</t>
  </si>
  <si>
    <t>SWIC Head</t>
  </si>
  <si>
    <t>Motion upgrade</t>
  </si>
  <si>
    <t>Use CF100 SWIC Electronics, minor modifications.</t>
  </si>
  <si>
    <t xml:space="preserve">Motion Control  </t>
  </si>
  <si>
    <t>Beam Plugs (3) A, B, &amp; C.</t>
  </si>
  <si>
    <t>connectors and I/F to Controls.  New axis includes cables and J-box.</t>
  </si>
  <si>
    <t>AGS/Booster</t>
  </si>
  <si>
    <t>Switchyard</t>
  </si>
  <si>
    <t>K0PI0</t>
  </si>
  <si>
    <t>MECO</t>
  </si>
  <si>
    <t>C-AD Total</t>
  </si>
  <si>
    <t>C-AD Labor</t>
  </si>
  <si>
    <t>DTS/Shops</t>
  </si>
  <si>
    <t>Contingency</t>
  </si>
  <si>
    <t>What's Missing from this</t>
  </si>
  <si>
    <t>$/year (FTE)</t>
  </si>
  <si>
    <t>7. Beam Development costs (AGS running)</t>
  </si>
  <si>
    <t>AGS Project Office</t>
  </si>
  <si>
    <t>MSTC</t>
  </si>
  <si>
    <t>Subtotal</t>
  </si>
  <si>
    <t>LE/LP</t>
  </si>
  <si>
    <t>1.4.4.2.3.2.7</t>
  </si>
  <si>
    <t>TSu Zinc Shielding</t>
  </si>
  <si>
    <t>1.4.4.2.3.2.8</t>
  </si>
  <si>
    <t>Cosmic Ray Zinc</t>
  </si>
  <si>
    <t>1.4.4.2.3.2.9</t>
  </si>
  <si>
    <t>1.4.4.2.3.2.10</t>
  </si>
  <si>
    <t>1.4.4.2.3.3.2.3</t>
  </si>
  <si>
    <t>1.4.4.2.3.3.2.4</t>
  </si>
  <si>
    <t>1.4.4.2.3.3.2.5</t>
  </si>
  <si>
    <t>Fabricate Parts</t>
  </si>
  <si>
    <t>1.4.4.2.3.3.2.6</t>
  </si>
  <si>
    <t>1.4.4.2.3.5.3</t>
  </si>
  <si>
    <t>PS Vacuum End Cap</t>
  </si>
  <si>
    <t>1.4.4.2.3.5.3.1</t>
  </si>
  <si>
    <t>Mechanical Design</t>
  </si>
  <si>
    <t>1.4.4.2.3.5.3.1.1</t>
  </si>
  <si>
    <t>1.4.4.2.3.5.3.1.2</t>
  </si>
  <si>
    <t>1.4.4.2.3.5.3.2</t>
  </si>
  <si>
    <t>1.4.4.2.3.5.3.2.1</t>
  </si>
  <si>
    <t>1.4.4.2.3.5.3.2.2</t>
  </si>
  <si>
    <t>1.4.4.2.3.5.4</t>
  </si>
  <si>
    <t>PS to Dump Helium Box</t>
  </si>
  <si>
    <t>1.4.4.2.3.5.4.1</t>
  </si>
  <si>
    <t>1.4.4.2.3.5.4.1.1</t>
  </si>
  <si>
    <t>1.4.4.2.3.5.4.1.2</t>
  </si>
  <si>
    <t>1.4.4.2.3.5.4.2</t>
  </si>
  <si>
    <t>1.4.4.2.3.5.4.2.1</t>
  </si>
  <si>
    <t>1.4.4.2.3.5.4.2.2</t>
  </si>
  <si>
    <t>1.4.4.2.3.7.1.2.6</t>
  </si>
  <si>
    <t>Install Cosmic Ray Shield</t>
  </si>
  <si>
    <t>1.4.4.2.3.7.8.6</t>
  </si>
  <si>
    <t>Rig PS End Cap</t>
  </si>
  <si>
    <t>1.4.4.2.3.7.8.7</t>
  </si>
  <si>
    <t>Install PS End Cap</t>
  </si>
  <si>
    <t>1.4.4.2.3.7.8.8</t>
  </si>
  <si>
    <t>Install Helium Box</t>
  </si>
  <si>
    <t>1.4.4.6.2.2.8</t>
  </si>
  <si>
    <t>1.4.4.6.2.2.8.1</t>
  </si>
  <si>
    <t>MECO Specific</t>
  </si>
  <si>
    <t>K0PI0 Specific</t>
  </si>
  <si>
    <t>AGS/Booster (Experiment Specific)</t>
  </si>
  <si>
    <t>AGS/Booster (Common)</t>
  </si>
  <si>
    <t>AGS/Booster TOTAL</t>
  </si>
  <si>
    <t>Direct w/o Contingency</t>
  </si>
  <si>
    <t>Neutral Beam</t>
  </si>
  <si>
    <t>Project Support and Integration</t>
  </si>
  <si>
    <t>Experimental Areas</t>
  </si>
  <si>
    <t>Common Equipment &amp; Facilities</t>
  </si>
  <si>
    <t>K0PI0 TOTAL</t>
  </si>
  <si>
    <t>MECO TOTAL</t>
  </si>
  <si>
    <t>Security</t>
  </si>
  <si>
    <t>reduced from 225K to 180 K 10/28/04 (JS Email)</t>
  </si>
  <si>
    <t>1.4.3.5.8</t>
  </si>
  <si>
    <t>Pump Skids</t>
  </si>
  <si>
    <t>Target, D1, D2 Pump Skid</t>
  </si>
  <si>
    <t>D3, D4 , Exp Pump Skid</t>
  </si>
  <si>
    <t>Chipmunks (2 units)</t>
  </si>
  <si>
    <t>1.4.3.5.9</t>
  </si>
  <si>
    <t>Modify PSs for new controls (4)</t>
  </si>
  <si>
    <t>pearson withneutral beam and chipmunk changesexperiment area and neutral beam</t>
  </si>
  <si>
    <t>1.4.4.6.1.1.2.4</t>
  </si>
  <si>
    <t>1.4.4.6.1.1.2.4.1</t>
  </si>
  <si>
    <t>1.4.4.6.1.1.2.4.2</t>
  </si>
  <si>
    <t>1.4.4.6.1.2</t>
  </si>
  <si>
    <t>1.4.4.6.1.2.1</t>
  </si>
  <si>
    <t>1.4.4.6.1.2.1.1</t>
  </si>
  <si>
    <t>1.4.4.6.1.2.1.2</t>
  </si>
  <si>
    <t>1.4.4.6.1.2.2</t>
  </si>
  <si>
    <t>1.4.4.6.1.2.2.1</t>
  </si>
  <si>
    <t>1.4.4.6.1.2.2.2</t>
  </si>
  <si>
    <t>1.4.4.6.1.2.2.3</t>
  </si>
  <si>
    <t>1.4.4.6.1.2.2.3.1</t>
  </si>
  <si>
    <t>1.4.4.6.1.2.2.3.2</t>
  </si>
  <si>
    <t>1.4.4.6.1.2.2.3.3</t>
  </si>
  <si>
    <t>1.4.4.6.1.2.2.3.4</t>
  </si>
  <si>
    <t>1.4.4.6.1.2.2.3.5</t>
  </si>
  <si>
    <t>1.4.4.6.1.2.3</t>
  </si>
  <si>
    <t>1.4.4.6.1.2.3.1</t>
  </si>
  <si>
    <t>1.4.4.6.1.2.3.2</t>
  </si>
  <si>
    <t>1.4.4.6.1.2.3.3</t>
  </si>
  <si>
    <t>1.4.4.6.1.2.3.3.1</t>
  </si>
  <si>
    <t>1.4.4.6.1.2.3.3.2</t>
  </si>
  <si>
    <t>1.4.4.6.1.3</t>
  </si>
  <si>
    <t>1.4.4.6.1.3.1</t>
  </si>
  <si>
    <t>1.4.4.6.1.3.2</t>
  </si>
  <si>
    <t>1.4.4.6.1.3.3</t>
  </si>
  <si>
    <t>1.4.4.6.1.3.3.1</t>
  </si>
  <si>
    <t>1.4.4.6.1.3.3.2</t>
  </si>
  <si>
    <t>1.4.4.6.1.3.3.3</t>
  </si>
  <si>
    <t>1.4.4.6.1.3.3.4</t>
  </si>
  <si>
    <t>1.4.4.6.1.3.4</t>
  </si>
  <si>
    <t>1.4.4.6.1.3.4.1</t>
  </si>
  <si>
    <t>1.4.4.6.1.3.4.2</t>
  </si>
  <si>
    <t>1.4.4.6.1.3.4.3</t>
  </si>
  <si>
    <t>1.4.4.6.1.3.4.4</t>
  </si>
  <si>
    <t>1.4.4.6.1.3.4.5</t>
  </si>
  <si>
    <t>1.4.4.6.1.3.4.6</t>
  </si>
  <si>
    <t>Solenoid Infrastructure</t>
  </si>
  <si>
    <t>Install Comp Air Manifolds</t>
  </si>
  <si>
    <t>Connection with Cryo Control</t>
  </si>
  <si>
    <t>Cryogenic Support</t>
  </si>
  <si>
    <t>Fire Detection Hook-up</t>
  </si>
  <si>
    <t>Pwr Sup/Magnet DC Hook-up</t>
  </si>
  <si>
    <t>1.4.4.2.3.7.9</t>
  </si>
  <si>
    <t>Installation Support</t>
  </si>
  <si>
    <t>1.4.4.6.2.2.8.2</t>
  </si>
  <si>
    <t>Acceptance Test Support</t>
  </si>
  <si>
    <t>1.4.1</t>
  </si>
  <si>
    <t>1.4.2</t>
  </si>
  <si>
    <t>1.4.4</t>
  </si>
  <si>
    <t>1.4.5</t>
  </si>
  <si>
    <t>Admin</t>
  </si>
  <si>
    <t>1.4.2.1</t>
  </si>
  <si>
    <t>1.4.2.1.1</t>
  </si>
  <si>
    <t>1.4.2.2</t>
  </si>
  <si>
    <t>1.4.2.3</t>
  </si>
  <si>
    <t>1.4.2.4</t>
  </si>
  <si>
    <t>1.4.2.3.1</t>
  </si>
  <si>
    <t>1.4.2.3.2</t>
  </si>
  <si>
    <t>1.4.2.3.3</t>
  </si>
  <si>
    <t>1.4.2.3.4</t>
  </si>
  <si>
    <t>1.4.2.3.5</t>
  </si>
  <si>
    <t>1.4.2.3.6</t>
  </si>
  <si>
    <t>1.4.2.3.7</t>
  </si>
  <si>
    <t>1.4.2.5</t>
  </si>
  <si>
    <t>1.4.2.6</t>
  </si>
  <si>
    <t>1.4.2.7</t>
  </si>
  <si>
    <t>1.4.2.8</t>
  </si>
  <si>
    <t>1.4.2.9</t>
  </si>
  <si>
    <t>1.4.2.8.1</t>
  </si>
  <si>
    <t>1.4.2.8.2</t>
  </si>
  <si>
    <t>1.4.2.8.3</t>
  </si>
  <si>
    <t>1.4.2.8.4</t>
  </si>
  <si>
    <t>1.4.2.8.5</t>
  </si>
  <si>
    <t>1.4.2.8.7</t>
  </si>
  <si>
    <t>1.4.2.8.6</t>
  </si>
  <si>
    <t>1.4.2.9.1</t>
  </si>
  <si>
    <t>1.4.2.9.2</t>
  </si>
  <si>
    <t>1.4.2.9.3</t>
  </si>
  <si>
    <t>1.4.2.9.4</t>
  </si>
  <si>
    <t>1.4.2.9.5</t>
  </si>
  <si>
    <t>1.4.2.4.1</t>
  </si>
  <si>
    <t>1.4.2.4.2</t>
  </si>
  <si>
    <t>1.4.2.4.3</t>
  </si>
  <si>
    <t>1.4.2.4.4</t>
  </si>
  <si>
    <t>1.4.2.5.1</t>
  </si>
  <si>
    <t>1.4.2.5.2</t>
  </si>
  <si>
    <t>1.4.2.5.3</t>
  </si>
  <si>
    <t>1.4.2.5.4</t>
  </si>
  <si>
    <t>1.4.2.5.5</t>
  </si>
  <si>
    <t>1.4.2.5.6</t>
  </si>
  <si>
    <t>1.4.2.5.7</t>
  </si>
  <si>
    <t>1.4.2.5.8</t>
  </si>
  <si>
    <t>1.4.2.5.9</t>
  </si>
  <si>
    <t>1.4.2.5.10</t>
  </si>
  <si>
    <t>1.5.2.10</t>
  </si>
  <si>
    <t>1.4.2.9.6</t>
  </si>
  <si>
    <t>1.4.2.9.7</t>
  </si>
  <si>
    <t>1.4.2.6.1</t>
  </si>
  <si>
    <t>1.4.2.6.2</t>
  </si>
  <si>
    <t>1.4.2.6.3</t>
  </si>
  <si>
    <t>1.4.2.6.4</t>
  </si>
  <si>
    <t>1.4.2.7.1</t>
  </si>
  <si>
    <t>1.4.2.7.2</t>
  </si>
  <si>
    <t>1.4.2.7.3</t>
  </si>
  <si>
    <t>1.4.2.8.1.1</t>
  </si>
  <si>
    <t>1.4.2.9.1.1</t>
  </si>
  <si>
    <t>1.4.2.8.3.1</t>
  </si>
  <si>
    <t>1.4.2.8.3.2</t>
  </si>
  <si>
    <t>1.4.2.8.3.3</t>
  </si>
  <si>
    <t>1.4.2.8.3.1.1</t>
  </si>
  <si>
    <t>1.4.2.8.3.1.2</t>
  </si>
  <si>
    <t>1.4.2.8.3.1.3</t>
  </si>
  <si>
    <t>1.4.2.8.3.1.4</t>
  </si>
  <si>
    <t>1.4.2.8.3.1.5</t>
  </si>
  <si>
    <t>1.4.2.8.3.2.1</t>
  </si>
  <si>
    <t>1.4.2.8.3.2.2</t>
  </si>
  <si>
    <t>1.4.2.8.3.2.3</t>
  </si>
  <si>
    <t>1.4.2.8.3.2.4</t>
  </si>
  <si>
    <t>1.4.2.8.3.2.5</t>
  </si>
  <si>
    <t>1.4.2.8.3.2.6</t>
  </si>
  <si>
    <t>1.4.2.8.3.3.1</t>
  </si>
  <si>
    <t>1.4.2.8.4.1</t>
  </si>
  <si>
    <t>1.4.2.8.5.1</t>
  </si>
  <si>
    <t>1.4.2.8.6.1</t>
  </si>
  <si>
    <t>1.4.2.8.6.2</t>
  </si>
  <si>
    <t>1.4.2.8.4.2</t>
  </si>
  <si>
    <t>1.4.2.8.5.2</t>
  </si>
  <si>
    <t>1.4.2.8.5.3</t>
  </si>
  <si>
    <t>1.4.2.8.3.3.2</t>
  </si>
  <si>
    <t>1.4.2.8.3.3.3</t>
  </si>
  <si>
    <t>1.4.2.8.6.3</t>
  </si>
  <si>
    <t>1.4.2.8.6.4</t>
  </si>
  <si>
    <t>1.4.2.8.6.5</t>
  </si>
  <si>
    <t>1.4.2.8.6.6</t>
  </si>
  <si>
    <t>1.4.2.8.7.1</t>
  </si>
  <si>
    <t>1.4.2.8.7.2</t>
  </si>
  <si>
    <t>1.4.2.9.2.1</t>
  </si>
  <si>
    <t>1.4.2.9.2.2</t>
  </si>
  <si>
    <t>1.4.2.9.2.3</t>
  </si>
  <si>
    <t>1.4.2.9.2.4</t>
  </si>
  <si>
    <t>1.4.2.9.2.5</t>
  </si>
  <si>
    <t>1.4.2.9.2.6</t>
  </si>
  <si>
    <t>1.4.2.9.3.1</t>
  </si>
  <si>
    <t>1.4.2.9.3.2</t>
  </si>
  <si>
    <t>1.4.2.9.3.3</t>
  </si>
  <si>
    <t>1.4.2.9.3.4</t>
  </si>
  <si>
    <t>1.4.2.9.3.5</t>
  </si>
  <si>
    <t>1.4.2.9.3.6</t>
  </si>
  <si>
    <t>1.4.2.9.4.1</t>
  </si>
  <si>
    <t>1.4.2.9.4.2</t>
  </si>
  <si>
    <t>1.4.2.9.4.3</t>
  </si>
  <si>
    <t>1.4.2.9.4.4</t>
  </si>
  <si>
    <t>1.4.2.9.4.5</t>
  </si>
  <si>
    <t>1.4.2.9.4.6</t>
  </si>
  <si>
    <t>1.4.2.9.5.1</t>
  </si>
  <si>
    <t>1.4.2.9.5.2</t>
  </si>
  <si>
    <t>1.4.2.9.5.3</t>
  </si>
  <si>
    <t>1.4.2.9.5.4</t>
  </si>
  <si>
    <t>1.4.2.9.6.1</t>
  </si>
  <si>
    <t>1.4.2.9.6.2</t>
  </si>
  <si>
    <t>1.4.2.9.6.3</t>
  </si>
  <si>
    <t>1.4.2.9.6.4</t>
  </si>
  <si>
    <t>1.4.2.9.7.1</t>
  </si>
  <si>
    <t>1.4.2.9.7.2</t>
  </si>
  <si>
    <t>1.4.2.9.7.3</t>
  </si>
  <si>
    <t>1.5.2.10.1</t>
  </si>
  <si>
    <t>1.5.2.10.2</t>
  </si>
  <si>
    <t>1.5.2.10.3</t>
  </si>
  <si>
    <t>1.4.2.8.2.1</t>
  </si>
  <si>
    <t>1.4.2.8.2.2</t>
  </si>
  <si>
    <t>1.4.2.8.2.3</t>
  </si>
  <si>
    <t>1.4.1.1</t>
  </si>
  <si>
    <t>1.4.1.1.1</t>
  </si>
  <si>
    <t>project support and integration</t>
  </si>
  <si>
    <t>1.4.1.2</t>
  </si>
  <si>
    <t>1.4.1.3</t>
  </si>
  <si>
    <t>1.4.3.1</t>
  </si>
  <si>
    <t>1.4.3.2</t>
  </si>
  <si>
    <t>Project support and Integration</t>
  </si>
  <si>
    <t>1.4.3.2.1</t>
  </si>
  <si>
    <t>1.4.3.2.2</t>
  </si>
  <si>
    <t>1.4.3.2.3</t>
  </si>
  <si>
    <t>1.4.3.2.4</t>
  </si>
  <si>
    <t>1.4.3.2.5</t>
  </si>
  <si>
    <t>1.4.3.2.6</t>
  </si>
  <si>
    <t>1.4.3.2.7</t>
  </si>
  <si>
    <t>1.4.3.3</t>
  </si>
  <si>
    <t>1.4.3.2.7.1</t>
  </si>
  <si>
    <t>1.4.3.2.7.2</t>
  </si>
  <si>
    <t>1.4.3.2.7.2.1</t>
  </si>
  <si>
    <t>1.4.3.2.7.2.2</t>
  </si>
  <si>
    <t>1.4.3.2.7.2.3</t>
  </si>
  <si>
    <t>1.4.3.2.7.2.3.1</t>
  </si>
  <si>
    <t>1.4.3.2.7.2.3.2</t>
  </si>
  <si>
    <t>90 deg telescope</t>
  </si>
  <si>
    <t>1.4.3.2.7.2.3.3</t>
  </si>
  <si>
    <t>1.4.3.2.7.2.3.4</t>
  </si>
  <si>
    <t>1.4.3.2.7.2.3.5</t>
  </si>
  <si>
    <t>1.4.3.2.7.2.3.6</t>
  </si>
  <si>
    <t>Cables and Racks</t>
  </si>
  <si>
    <t>Control/Instru enclosure</t>
  </si>
  <si>
    <t>Environmental Enclosures</t>
  </si>
  <si>
    <t>1.4.3.2.8</t>
  </si>
  <si>
    <t>1.4.3.2.9</t>
  </si>
  <si>
    <t>1.4.3.2.10</t>
  </si>
  <si>
    <t>1.4.3.5</t>
  </si>
  <si>
    <t>1.4.3.5.1</t>
  </si>
  <si>
    <t>1.4.3.5.2</t>
  </si>
  <si>
    <t>1.4.3.5.3</t>
  </si>
  <si>
    <t>1.4.3.5.4</t>
  </si>
  <si>
    <t>1.4.3.5.5</t>
  </si>
  <si>
    <t>1.4.3.6</t>
  </si>
  <si>
    <t>1.4.4.1</t>
  </si>
  <si>
    <t>1.4.4.2</t>
  </si>
  <si>
    <t>1.4.4.2.1</t>
  </si>
  <si>
    <t>1.4.4.2.2</t>
  </si>
  <si>
    <t>1.4.4.4</t>
  </si>
  <si>
    <t>1.4.4.3</t>
  </si>
  <si>
    <t>1.4.4.4.1</t>
  </si>
  <si>
    <t>1.4.4.4.2</t>
  </si>
  <si>
    <t>1.4.4.4.3</t>
  </si>
  <si>
    <t>1.4.4.4.4</t>
  </si>
  <si>
    <t>1.4.4.4.5</t>
  </si>
  <si>
    <t>1.4.4.4.6</t>
  </si>
  <si>
    <t>1.4.4.4.7</t>
  </si>
  <si>
    <t>1.4.4.5</t>
  </si>
  <si>
    <t>0.25 FTE</t>
  </si>
  <si>
    <t>BOOSTER/AGS MODIFICATIONS</t>
  </si>
  <si>
    <t xml:space="preserve">        installation supervision</t>
  </si>
  <si>
    <t>1.4.1.2.1</t>
  </si>
  <si>
    <r>
      <t xml:space="preserve">       </t>
    </r>
    <r>
      <rPr>
        <sz val="10"/>
        <rFont val="Arial"/>
        <family val="2"/>
      </rPr>
      <t xml:space="preserve"> Cable Trays</t>
    </r>
  </si>
  <si>
    <t>1.4.1.2.2</t>
  </si>
  <si>
    <t>1.4.1.2.3</t>
  </si>
  <si>
    <t>1.4.1.2.4</t>
  </si>
  <si>
    <t>1.4.1.2.5</t>
  </si>
  <si>
    <t>1.4.1.2.6</t>
  </si>
  <si>
    <t>1.4.1.3.1</t>
  </si>
  <si>
    <r>
      <t xml:space="preserve">        </t>
    </r>
    <r>
      <rPr>
        <sz val="10"/>
        <rFont val="Arial"/>
        <family val="2"/>
      </rPr>
      <t>Cable Trays</t>
    </r>
  </si>
  <si>
    <t xml:space="preserve">        F5 Power Supply</t>
  </si>
  <si>
    <t xml:space="preserve">        H20 Power Supply</t>
  </si>
  <si>
    <t>1.4.1.3.2</t>
  </si>
  <si>
    <t>1.4.1.3.3</t>
  </si>
  <si>
    <t>1.4.1.3.4</t>
  </si>
  <si>
    <r>
      <t xml:space="preserve">        </t>
    </r>
    <r>
      <rPr>
        <sz val="10"/>
        <rFont val="Arial"/>
        <family val="2"/>
      </rPr>
      <t>Ring Ground Interface</t>
    </r>
  </si>
  <si>
    <r>
      <t xml:space="preserve">               </t>
    </r>
    <r>
      <rPr>
        <sz val="10"/>
        <rFont val="Arial"/>
        <family val="2"/>
      </rPr>
      <t>Software &amp; DB</t>
    </r>
  </si>
  <si>
    <t>1.4.1.3.5</t>
  </si>
  <si>
    <t>1.4.1.4</t>
  </si>
  <si>
    <t>MECO AGS Modifications</t>
  </si>
  <si>
    <t>1.4.1.4.1</t>
  </si>
  <si>
    <t>AC-Dipole</t>
  </si>
  <si>
    <t>1.4.1.4.2</t>
  </si>
  <si>
    <t>Strip-line Kickers</t>
  </si>
  <si>
    <t>1.4.1.4.3</t>
  </si>
  <si>
    <t>Simulations</t>
  </si>
  <si>
    <t>1.4.1.5</t>
  </si>
  <si>
    <t>KOPIO AGS Modifications</t>
  </si>
  <si>
    <t>1.4.1.5.1</t>
  </si>
  <si>
    <t>Booster To AGS Kickers</t>
  </si>
  <si>
    <t>1.4.1.5.2</t>
  </si>
  <si>
    <t>25 MHz RF cavity</t>
  </si>
  <si>
    <t>1.4.1.5.3</t>
  </si>
  <si>
    <t>100 MHz RF Cavity</t>
  </si>
  <si>
    <t>1.4.1.5.4</t>
  </si>
  <si>
    <t>1.4.1.6</t>
  </si>
  <si>
    <t>Beam Development</t>
  </si>
  <si>
    <t>9/2/04 (K. Brown v2.2 with CAPs added 9/16/04)</t>
  </si>
  <si>
    <t>For non-DOE projects - includes safeguards tax (adds 2.7% to G&amp;A) and Full Cost Recovery fee (3%)</t>
  </si>
  <si>
    <t>Indirect for Capital Projects</t>
  </si>
  <si>
    <t>FY05</t>
  </si>
  <si>
    <t>Direct Salary and Wage</t>
  </si>
  <si>
    <t>Fuel Charge on Space Charge</t>
  </si>
  <si>
    <t>G&amp;A on Fuel</t>
  </si>
  <si>
    <t>Material Handling 7% of $600K (MH)</t>
  </si>
  <si>
    <t>BNL Administrative*</t>
  </si>
  <si>
    <t>BNL Management*</t>
  </si>
  <si>
    <t>* pp estimate</t>
  </si>
  <si>
    <t xml:space="preserve">        Shield Caps (PE Subcontract)</t>
  </si>
  <si>
    <t>1.4.3.4</t>
  </si>
  <si>
    <t>1.4.3.4.1</t>
  </si>
  <si>
    <t>1.4.3.4.2</t>
  </si>
  <si>
    <t>1.4.3.4.3</t>
  </si>
  <si>
    <t>1.4.3.4.4</t>
  </si>
  <si>
    <t>1.4.3.4.5</t>
  </si>
  <si>
    <t>1.4.3.4.6</t>
  </si>
  <si>
    <t xml:space="preserve">        Magnet </t>
  </si>
  <si>
    <t xml:space="preserve">        Power Supply</t>
  </si>
  <si>
    <t xml:space="preserve">        Installation</t>
  </si>
  <si>
    <t xml:space="preserve">        Strip-lines</t>
  </si>
  <si>
    <t xml:space="preserve">        Power Supply/Pulsers</t>
  </si>
  <si>
    <t xml:space="preserve">        Low Level Controls</t>
  </si>
  <si>
    <t xml:space="preserve">        Mini-bunched extraction</t>
  </si>
  <si>
    <t xml:space="preserve">     WBS</t>
  </si>
  <si>
    <t>WBS Dictionary Entry</t>
  </si>
  <si>
    <t>Booster and AGS modifications section to the AGS RSVP Project</t>
  </si>
  <si>
    <t>Booster Modifications</t>
  </si>
  <si>
    <t xml:space="preserve">Radiation or other environmentally damaged cables to be replaced or repaired </t>
  </si>
  <si>
    <t>Old and damaged cable trays to be repaired or replaced.</t>
  </si>
  <si>
    <t>Pulse forming network capacitor banks for the extraction kicker to be modified to reducing radiation damage during RSVP operations</t>
  </si>
  <si>
    <t>Costs for replacement of 6 Booster dipole coils.  Replace 1 per year during RSVP operations.</t>
  </si>
  <si>
    <t>Currently no Spare extraction septum for Booster.  This includes costs for having two spare septum magnets.</t>
  </si>
  <si>
    <t xml:space="preserve">Booster C5 (location of H- injection point) and C7 (just after H- stripping foil) magnet coils have failed once each. This covers protection of these magnets during H- injection. </t>
  </si>
  <si>
    <t>Beam loss limits currently keep the intensity in the Booster to &lt; 30 TP/sec.  Cost of multistage collimation to allow higher beam throughput.</t>
  </si>
  <si>
    <t>Cost of adding RF feedback for high intensity operation to Band II and Band III rf sytems.</t>
  </si>
  <si>
    <r>
      <t xml:space="preserve">    </t>
    </r>
    <r>
      <rPr>
        <sz val="10"/>
        <rFont val="Arial"/>
        <family val="2"/>
      </rPr>
      <t xml:space="preserve"> RF Feedback</t>
    </r>
  </si>
  <si>
    <r>
      <t xml:space="preserve">   </t>
    </r>
    <r>
      <rPr>
        <sz val="10"/>
        <rFont val="Arial"/>
        <family val="2"/>
      </rPr>
      <t xml:space="preserve">  RF Feedback</t>
    </r>
  </si>
  <si>
    <t>Booster Loss monitor system upgrade.  Critical for monitoring beam losses and keeping within preset limits.</t>
  </si>
  <si>
    <t>A new wall current monitor for high beam currents</t>
  </si>
  <si>
    <t>Protection of Heavy ion injection inflector from high intensity protons.</t>
  </si>
  <si>
    <t>Remote gain control for BTA instrumentation.</t>
  </si>
  <si>
    <t>Software and database support for instrumentation.</t>
  </si>
  <si>
    <t>Hardware Controls interface support for instrumention</t>
  </si>
  <si>
    <t>Cost of capping the Booster to prevent ground-water contamination.</t>
  </si>
  <si>
    <t>New active filter for improved (reduced) main magnet power supply ripple during extraction</t>
  </si>
  <si>
    <t>new thin septum power supply for new thin septum magnet</t>
  </si>
  <si>
    <t>new thick septum power supply for new thick septum magnet</t>
  </si>
  <si>
    <t>new electrostatic septum power supply for new electrostatic septum</t>
  </si>
  <si>
    <t>Liaison Physicist and Engineer for the design, fabrication and installation of the MECO Proton Beamline and Experiment at CA.</t>
  </si>
  <si>
    <t>Supervision of technicians for the fabrication and installation of the MECO Proton Beamline and Experiment at CA.</t>
  </si>
  <si>
    <t>The upstream Lambertson with a very thin separation between the field and non-field region.</t>
  </si>
  <si>
    <t>The downstream Lambertson with a thick separation between the field and non-field region.</t>
  </si>
  <si>
    <t>Purchases of new shielding to meet needs not filled by existing CA inventory.</t>
  </si>
  <si>
    <t>"Light" concrete blocks used to reduce background radiation in hagh activation areas.</t>
  </si>
  <si>
    <t>"Heavy" concrete used to shield the target area.</t>
  </si>
  <si>
    <t>Shield blocks with penetrations for electrical &amp; cooling water services.</t>
  </si>
  <si>
    <t>Concrete with boron added to stop neutrons around the TSu.</t>
  </si>
  <si>
    <t>Blocks used to reduce activation of the building floor and to make working at beam height easier.</t>
  </si>
  <si>
    <t>Blocks to raise the cave roof height due to increased beam height.</t>
  </si>
  <si>
    <t>Non-magnetic shielding to protect the TSu from primary beam loses.</t>
  </si>
  <si>
    <t>Non-magnetic shielding to close the downstream end of the DS.</t>
  </si>
  <si>
    <t>New (non-activated) sidewall shielding to enclose the DS.</t>
  </si>
  <si>
    <t>New (non-activated) roof shielding to enclose the DS.</t>
  </si>
  <si>
    <t>PLC for monitoring magnet and miscellaneous interlocks, includes assembly &amp; programming but not connections to magnets.</t>
  </si>
  <si>
    <t>Beamline magnets for focusing, bending &amp; pitching the beam.</t>
  </si>
  <si>
    <t>Refurbish existing magnets in preparation for installation in the beamline.</t>
  </si>
  <si>
    <t>New magnets to be made where existing CA magnets do meet meet requirements.</t>
  </si>
  <si>
    <t>Encloses primary proton beam from the Switchyard to the PS. Also includes PS downstream vacuum closure and Helium Box to beam dump.</t>
  </si>
  <si>
    <t>Vacuum through RFMM, 10**-6 Torr.</t>
  </si>
  <si>
    <t>10**-2 Torr.</t>
  </si>
  <si>
    <t>Closes downstream end of DS warm bore. With provisions for proton beam exit, beam instrumentation and target replacement.</t>
  </si>
  <si>
    <t>Beamline magnet cooling water.</t>
  </si>
  <si>
    <t>Installing shielding and beamline on experimental floor.</t>
  </si>
  <si>
    <t>Installation of shielding for proton beam and solenoid magnets.</t>
  </si>
  <si>
    <t>Initial installation with a temporary beam stop to allow RFMM beam tests while the solenoid magnets are being installed.</t>
  </si>
  <si>
    <t>Final shielding installation with solenoid magnets installed.</t>
  </si>
  <si>
    <t>Installation of anchors to restrain shield blocks during a seismic event.</t>
  </si>
  <si>
    <t>Installation of utility and instrumentation tray in primary beam cave.</t>
  </si>
  <si>
    <t>Providing platforms, placing power supplies and hooking up AC power from the disconnect switch.</t>
  </si>
  <si>
    <t>Place magnets in beamline.</t>
  </si>
  <si>
    <t>Installation of DC power cables/ water cooled buss to magnets.</t>
  </si>
  <si>
    <t>Installation of PLC system for monitoring magnet temperatures and other miscellaneous alarms.</t>
  </si>
  <si>
    <t>Installation and check-out of beamline vacuum.</t>
  </si>
  <si>
    <t>Installation of beamline safety systems and facilities.</t>
  </si>
  <si>
    <t>Oxygen deficiency hazard protection due to large amounts of cryogenic Helium in the DS.</t>
  </si>
  <si>
    <t>Dehumidification of primary beamline to increase reliability of beamline components.</t>
  </si>
  <si>
    <t>Primary beamline fire detection system.</t>
  </si>
  <si>
    <t>Air-conditioned space for beamline controls and instrumentation. Cost split with KOPIO.</t>
  </si>
  <si>
    <t>Air-conditioned space for RFMM controls.</t>
  </si>
  <si>
    <t>Personnel Access System to beam caves.</t>
  </si>
  <si>
    <t xml:space="preserve">Software programs written in Allen Bradley native ladder logic development system by two independent programmers. </t>
  </si>
  <si>
    <t>Allen Bradley processors of difference architecture (PLC5 and SLC)</t>
  </si>
  <si>
    <t>Allen Bradley local plug-in I/O units (16 inputs/outputs).</t>
  </si>
  <si>
    <t>Allen Bradley Remote I/O blocks(16 I/O)</t>
  </si>
  <si>
    <t>Best 3KVA online UPS and pheonix connectors.</t>
  </si>
  <si>
    <t>Pheonix Fiber converter module for remote I/O and DH+ communication.</t>
  </si>
  <si>
    <t xml:space="preserve">Standard PASS style gates boxes with gate/area status information and  access control key switches. </t>
  </si>
  <si>
    <t>Standard Onron 24VDC limit switches used in all ACS systems.</t>
  </si>
  <si>
    <t>Standard 24VDC electric strike lock with status information used in all ACS systems.</t>
  </si>
  <si>
    <t>Secura Key Entracomp card readers compatible with C-AD PASS access cards.</t>
  </si>
  <si>
    <t>LG Iris Scanners for training verification and Castell industrial style key system with key capture monitoring.</t>
  </si>
  <si>
    <t>All data cables are 18 gauge twisted pair types. The powers cables are 24VDC rated with low loss.</t>
  </si>
  <si>
    <t>These are three conductor cables used in Allen Bradley system for communication.</t>
  </si>
  <si>
    <t>Video multiplexers  use in routing gate camera video, used during controlled access, to MCR.</t>
  </si>
  <si>
    <t>Fiber converter modules use for PLC communication.</t>
  </si>
  <si>
    <t xml:space="preserve">Cameras for video system use during controlled access in beam enclosures. </t>
  </si>
  <si>
    <t>Will use existing chipmunks and DAQ hardware. If  required additional units purchase later.</t>
  </si>
  <si>
    <t xml:space="preserve">Custom hardware use for securing area of personnel prior to beam and showing sweep status information. </t>
  </si>
  <si>
    <t>Industrial style switches with wire pull plunges and reset arm.</t>
  </si>
  <si>
    <t>Custom hardware which shows crash and alarm status.</t>
  </si>
  <si>
    <t>Items of CA Responsibility for MECO Experiment.</t>
  </si>
  <si>
    <t>The Production Target and it's mounting, handling, storage and cooling.</t>
  </si>
  <si>
    <t>The primary proton beam target and it's cooling (cooling at the target only, not the cooling system).</t>
  </si>
  <si>
    <t>Target tests with the proton beam.</t>
  </si>
  <si>
    <t>Based on results from target beam test, reevaluate target design as necessary.</t>
  </si>
  <si>
    <t>Fabrication of final Target (does not include a spare Target).</t>
  </si>
  <si>
    <t>System for positioning, installing, removing and storing the production target.</t>
  </si>
  <si>
    <t>Design of the interface of the target mounting system with the Heat and Radiation Shield.</t>
  </si>
  <si>
    <t>Design and test of a "trolley" and drive system for installing and removing the target.</t>
  </si>
  <si>
    <t>Test of trolley and motion system.</t>
  </si>
  <si>
    <t>Design and fabrication of a storage pig for used targets.</t>
  </si>
  <si>
    <t>System to provide cooling water for the Target and Heat &amp; Radiation Shield.</t>
  </si>
  <si>
    <t>Area of CA responsibility for Solenoid Magnets</t>
  </si>
  <si>
    <t>Physicist support for the Magnet &amp; Cryo Systems, Engineering Support for the Cryo System.</t>
  </si>
  <si>
    <t>Preparing Building 912 Infrastructure for Solenoid and Cryo installation.</t>
  </si>
  <si>
    <t>Prepare building space for Solenoid and Cryo Installation.</t>
  </si>
  <si>
    <t>480 Vac power for cryo system compressors.</t>
  </si>
  <si>
    <t>Cooling water for compressors.</t>
  </si>
  <si>
    <t>Compressed air for valves and instrumentation.</t>
  </si>
  <si>
    <t>Liquid Nitrogen Storage Tank and piping supports.</t>
  </si>
  <si>
    <t>Establishment of survey controls for magnet vendor. Verification of magnet locations.</t>
  </si>
  <si>
    <t>Cryo controls installation in RHIC Cryo Control Room.</t>
  </si>
  <si>
    <t>Support for installation and acceptance of cryogenic system.</t>
  </si>
  <si>
    <t>Install Solenoid Magnet Power Supplies and their AC and DC power.</t>
  </si>
  <si>
    <t>Infrastructure for support of the MECO Experiment</t>
  </si>
  <si>
    <t>Power and Cable Tray for electronics and signal cables.</t>
  </si>
  <si>
    <t>Rolling Electronics Hut which moves with MECO Detectors when they are removed from the DS.</t>
  </si>
  <si>
    <t>Counting house for experimenters and computers, located outside Building 912.</t>
  </si>
  <si>
    <t>"Fire wire" monitoring system for electronics racks in Electronics Hut, which will trip power if a high temperature is detected.</t>
  </si>
  <si>
    <t>Clean room for working on detectors on the Building 912 Floor.</t>
  </si>
  <si>
    <t>Valid for operation during construction period, C-line costs</t>
  </si>
  <si>
    <t>Pulse forming network capacitor banks for the injection kicker to be modified to reducing radiation damage during RSVP operations</t>
  </si>
  <si>
    <t>Pre-emptive replacement of magnet coils in slow extraction region.</t>
  </si>
  <si>
    <t>New J10 bump power supply with low ripple, to improve slow extracted beam spill structure.</t>
  </si>
  <si>
    <t>Reduce overall AGS impedence  (avoid high intensity instabilities) and RC networks that can take the higher power image currents from high intensity beams</t>
  </si>
  <si>
    <t>new thin magnet septum and spare for slow extraction</t>
  </si>
  <si>
    <t>new thick magnetic septum and spare for slow extraction</t>
  </si>
  <si>
    <t>new electrostatic septum and spare for slow extraction</t>
  </si>
  <si>
    <t>Radio remote -- EEBA crane</t>
  </si>
  <si>
    <t>1.4.3.5.6</t>
  </si>
  <si>
    <t>Temporary Window</t>
  </si>
  <si>
    <t>1.4.3.5.7</t>
  </si>
  <si>
    <t>Target station</t>
  </si>
  <si>
    <t>D1 magnet</t>
  </si>
  <si>
    <t>D2 magnet</t>
  </si>
  <si>
    <t>D3 magnet</t>
  </si>
  <si>
    <t>Collimator &amp; shielding</t>
  </si>
  <si>
    <t>Experimental Area</t>
  </si>
  <si>
    <t>1.4.3.6.1</t>
  </si>
  <si>
    <t>MPS Removal</t>
  </si>
  <si>
    <t>Remove magnet</t>
  </si>
  <si>
    <t>Fill pit</t>
  </si>
  <si>
    <t>1.4.3.6.2</t>
  </si>
  <si>
    <t>1.4.3.6.3</t>
  </si>
  <si>
    <t>1.4.3.6.4</t>
  </si>
  <si>
    <t>Experimental power</t>
  </si>
  <si>
    <t>Modify royals</t>
  </si>
  <si>
    <t>480V power &amp; tray</t>
  </si>
  <si>
    <t>1.4.3.6.5</t>
  </si>
  <si>
    <t>1.4.3.6.6</t>
  </si>
  <si>
    <t>Required for experiment assembly</t>
  </si>
  <si>
    <t>Will use existing chipmunks and DAQ hardware. If  required</t>
  </si>
  <si>
    <t xml:space="preserve">    additional units purchase later.</t>
  </si>
  <si>
    <t>Use existing E802 counting house with minor changes</t>
  </si>
  <si>
    <t>Use modular system 20' X 60'</t>
  </si>
  <si>
    <r>
      <t>6.</t>
    </r>
    <r>
      <rPr>
        <strike/>
        <sz val="10"/>
        <rFont val="Arial"/>
        <family val="2"/>
      </rPr>
      <t xml:space="preserve"> K0PI0 - experiment area, counting house, fast electronics, controls etc..</t>
    </r>
  </si>
  <si>
    <t>Computer Controls</t>
  </si>
  <si>
    <t>1.4.2.10</t>
  </si>
  <si>
    <t>Beam loss limits currently limit the intensity.  Cost of multistage collimation to allow higher beam throughput.</t>
  </si>
  <si>
    <t>replace 16 AGS sextupole coils with new coils (current coils are very old and damaged is evident)</t>
  </si>
  <si>
    <t>Upgrade AGS long loss montitor system used to monitor beam efficiencies.</t>
  </si>
  <si>
    <t>Segmented wall current monitor for monitoring beam instabilites</t>
  </si>
  <si>
    <t>move controled leak hardware to low radiation area</t>
  </si>
  <si>
    <t>upgrade position controls for septa and AGS instrumentation to new controls and motors</t>
  </si>
  <si>
    <t>radiation hardened cameras for instrumentation in extraction systems</t>
  </si>
  <si>
    <t>upgrade ring grounds monitoring system</t>
  </si>
  <si>
    <t>hardware controls interfaces for instrumentation</t>
  </si>
  <si>
    <t>software and database support for instrumentation</t>
  </si>
  <si>
    <t>hardware controls support for ring grounds monitoring system</t>
  </si>
  <si>
    <t>software and database support for ring grounds system</t>
  </si>
  <si>
    <t>hardware controls interfaces for new power supplies</t>
  </si>
  <si>
    <t>hardware and software support for new power supplies</t>
  </si>
  <si>
    <t>Cost of capping the AGS to prevent ground-water contamination.</t>
  </si>
  <si>
    <t>Dipole magnet in which the field oscillates at the vertical betatron resonance frequency, rapidly pushing protons outside the RF buckets of interest out of the aperture of the machine.</t>
  </si>
  <si>
    <t>These cancel the sinusoidal activation of the AC dipole magnet for protons within the nominal beam buckets</t>
  </si>
  <si>
    <t>AGS studies required to achieve the beam characteristics needed for MECO</t>
  </si>
  <si>
    <t>Hardware and software support for AGS Modifications</t>
  </si>
  <si>
    <t>Instrumentation modifications in the AGS for RSVP, includes beam loss monitoring, new device positioning interfaces, ring grounds monitoring, and beam instabilities monitoring.</t>
  </si>
  <si>
    <t>Mechanical modifications to AGS equipment, includes upgrade to Vacuum chamber impedence, new extraction magnets, new sextupole coils, and collimators.</t>
  </si>
  <si>
    <t>Electrical systems modifications for the AGS, includes ripple improvement for slow extraction, new extraction devices power supplies, main magnet coil replacements, and modifications to injection kicker capicitor bank to reduce radiation damage.</t>
  </si>
  <si>
    <t>Safety system considerations, includes shield cap for the Booster</t>
  </si>
  <si>
    <t>Safety system considerations, includes capping the AGS ring shielding.</t>
  </si>
  <si>
    <t>Hardware and software controls support for Booster Modifciations.</t>
  </si>
  <si>
    <t>Instrumentation modifications for RSVP, includes upgrade to loss monitor system, new wall current monitor, heavy ion inflector protection,</t>
  </si>
  <si>
    <t>Tracking simulations of mini-bunched slow extraction.</t>
  </si>
  <si>
    <t>CFI project to upgrade the injection kickers to stabilized proton injection</t>
  </si>
  <si>
    <t>CFI project to build the 25 MHz RF cavity which will microbunch the slow extracted beam into &lt;300 psec bunches.</t>
  </si>
  <si>
    <t>Additional RF cavity to get even shorter bunches (&lt;250 psec).</t>
  </si>
  <si>
    <t>Microbunching tracking simulations of slow extraction.</t>
  </si>
  <si>
    <t>Bosoter RF System modifications for RSVP, include RF feedback to gain stability for high intensity acceleration.</t>
  </si>
  <si>
    <t>Scope defined by instrumentation needs (mainly obsolete Loss Mon system)</t>
  </si>
  <si>
    <t xml:space="preserve">10/15/04 - corrected tech weight factors for F5 and F10 Power Supplies (1--&gt;2), 10/4 controls update
</t>
  </si>
  <si>
    <t xml:space="preserve"> 10/4 controls update</t>
  </si>
  <si>
    <t>10/4 controls update</t>
  </si>
  <si>
    <t>Mechanical modifications of the Booster, include two spare extraction septa, projection C5 and C7 main magnet coils during H- injection, and collimators to allow higher throughput.</t>
  </si>
  <si>
    <t>Booster Electrical Systems Modifications, include cable repairs, upgrade of extraction kicker capicitor banks, and main magnet coil replacments.</t>
  </si>
  <si>
    <t>The base manpower estimate is comprised of the following:</t>
  </si>
  <si>
    <t>Direct</t>
  </si>
  <si>
    <t>BNL indirects</t>
  </si>
  <si>
    <t>Base</t>
  </si>
  <si>
    <t>w/Fringe &amp; PAB</t>
  </si>
  <si>
    <t>C-AD Org Burd</t>
  </si>
  <si>
    <t>w/3% Safeguards</t>
  </si>
  <si>
    <t>Engineering (mechanical, electrical)</t>
  </si>
  <si>
    <t>Vacuum systems</t>
  </si>
  <si>
    <t>Magnet systems</t>
  </si>
  <si>
    <t>Utilities (power, water, AC)</t>
  </si>
  <si>
    <t>Extraction systems</t>
  </si>
  <si>
    <t xml:space="preserve">ES&amp;H, QA, Admin, training (org. burden) </t>
  </si>
  <si>
    <t>Shift operations</t>
  </si>
  <si>
    <t>E940 manpower support</t>
  </si>
  <si>
    <t>Physicist, engineering</t>
  </si>
  <si>
    <t>Cryo systems engineering, technicians</t>
  </si>
  <si>
    <t>Technicians (instr., vacuum, magnet etc.)</t>
  </si>
  <si>
    <t>Accel Oprs (15% shift differential only) - 1 week</t>
  </si>
  <si>
    <t xml:space="preserve">   PERSONNEL (all shift work)</t>
  </si>
  <si>
    <t xml:space="preserve">     3 MCR </t>
  </si>
  <si>
    <t xml:space="preserve">     1 Scientific</t>
  </si>
  <si>
    <t xml:space="preserve">     1 SIEMENS</t>
  </si>
  <si>
    <t xml:space="preserve">     1 HP </t>
  </si>
  <si>
    <t>FY 03</t>
  </si>
  <si>
    <t>E926 manpower support</t>
  </si>
  <si>
    <t>RF systems engineering, technicians</t>
  </si>
  <si>
    <t>Personnel Costs assuming construction project indirect costs.</t>
  </si>
  <si>
    <t>FY 05</t>
  </si>
  <si>
    <t>The present NYPA contract expires in July 2005 and energy costs are expected to increase</t>
  </si>
  <si>
    <t>Assumed Energy Cost</t>
  </si>
  <si>
    <t>per MWhr</t>
  </si>
  <si>
    <t>FTE's</t>
  </si>
  <si>
    <t>Base FTE</t>
  </si>
  <si>
    <t>E940 FTE</t>
  </si>
  <si>
    <t>w/o RHIC</t>
  </si>
  <si>
    <t>w/RHIC HI</t>
  </si>
  <si>
    <t>w/RHIC pp</t>
  </si>
  <si>
    <t>SP</t>
  </si>
  <si>
    <t>Booster and AGS sub-total</t>
  </si>
  <si>
    <t>On time% (determined by RHIC needs)</t>
  </si>
  <si>
    <t>Shift Differential (5 seats)</t>
  </si>
  <si>
    <t>Linac</t>
  </si>
  <si>
    <t>Linac Sub-Total</t>
  </si>
  <si>
    <t>On time%</t>
  </si>
  <si>
    <t>Power (MW)</t>
  </si>
  <si>
    <t>Power Cost</t>
  </si>
  <si>
    <t>Cost/MWhr</t>
  </si>
  <si>
    <t xml:space="preserve">On time </t>
  </si>
  <si>
    <t>E926 FTE</t>
  </si>
  <si>
    <t>K0PI0 (E926) - DRAFT</t>
  </si>
  <si>
    <t>DEDICATED  tests - no HEP or RHIC base support (pre/post-ops not included)</t>
  </si>
  <si>
    <t>Cost for 1 week of operatons</t>
  </si>
  <si>
    <t>Clock time in hours</t>
  </si>
  <si>
    <t>Dept Charges</t>
  </si>
  <si>
    <t>G&amp;A</t>
  </si>
  <si>
    <t>Accel Oprs</t>
  </si>
  <si>
    <t xml:space="preserve">     1 Scientific/Professional (1/2 time)</t>
  </si>
  <si>
    <t>SCIENTIFIC</t>
  </si>
  <si>
    <t>PROFESSIONAL</t>
  </si>
  <si>
    <t>TECHNICAL</t>
  </si>
  <si>
    <t xml:space="preserve">   DTS</t>
  </si>
  <si>
    <t xml:space="preserve">   MSTC</t>
  </si>
  <si>
    <t xml:space="preserve">   SPEC PROC</t>
  </si>
  <si>
    <t>ES&amp;F</t>
  </si>
  <si>
    <t xml:space="preserve">   2 Shift Personnel (CAS watch)</t>
  </si>
  <si>
    <t xml:space="preserve">   2 Tech Support (separator and other, 75% time)</t>
  </si>
  <si>
    <t xml:space="preserve">   2 Prof Support (20 hrs per week each)</t>
  </si>
  <si>
    <t xml:space="preserve">   MSTC (D6)</t>
  </si>
  <si>
    <t>LINAC</t>
  </si>
  <si>
    <t xml:space="preserve">   Tech Support (1/4 time)</t>
  </si>
  <si>
    <t>TOTAL COST</t>
  </si>
  <si>
    <t>ELECTRICITY COSTS (Est. Only)</t>
  </si>
  <si>
    <t>Sub-TOTAL WEEKLY OPERATING COSTS</t>
  </si>
  <si>
    <t>TOTAL DIRECT COSTS</t>
  </si>
  <si>
    <t>HOURLY RATE</t>
  </si>
  <si>
    <t>3 (8HR) SHIFTS</t>
  </si>
  <si>
    <t>Full Cost Recovery</t>
  </si>
  <si>
    <t>Full Cost Recovery Fee (0%)</t>
  </si>
  <si>
    <t>TOTAL WEEKLY OPERATING COSTS</t>
  </si>
  <si>
    <t>Cost for 1 shift of operation</t>
  </si>
  <si>
    <r>
      <t>One Week - including tune-up -</t>
    </r>
    <r>
      <rPr>
        <b/>
        <sz val="12"/>
        <color indexed="10"/>
        <rFont val="Arial"/>
        <family val="2"/>
      </rPr>
      <t xml:space="preserve"> LOW INTENSITY to D6-line</t>
    </r>
  </si>
  <si>
    <t>Controls Hut</t>
  </si>
  <si>
    <t>1.4.4.2.3.8.5.1</t>
  </si>
  <si>
    <t>Install Controls Hut</t>
  </si>
  <si>
    <t>1.4.4.2.3.8.5.2</t>
  </si>
  <si>
    <t>1.4.4.2.3.8.5.3</t>
  </si>
  <si>
    <t>Controls Hut Fire Alarm</t>
  </si>
  <si>
    <t>1.4.4.2.3.8.6</t>
  </si>
  <si>
    <t>RFMM Hut</t>
  </si>
  <si>
    <t>1.4.4.2.3.8.6.1</t>
  </si>
  <si>
    <t>Install RFMM Hut</t>
  </si>
  <si>
    <t>1.4.4.2.3.8.6.2</t>
  </si>
  <si>
    <t>1.4.4.2.3.8.6.3</t>
  </si>
  <si>
    <t>RFMM Hut Fire Alarm</t>
  </si>
  <si>
    <t>Instrumentation Interface Hardware</t>
  </si>
  <si>
    <t>Instrumentation Software &amp; DB</t>
  </si>
  <si>
    <t>Power Supply Interface Hardware</t>
  </si>
  <si>
    <t>Power Supply Software &amp; DB</t>
  </si>
  <si>
    <t>Scope set by instrumentation needs</t>
  </si>
  <si>
    <t>Need to replace obsolete Datacon controls</t>
  </si>
  <si>
    <t>1.4.4.6</t>
  </si>
  <si>
    <t>1.4.4.6.1</t>
  </si>
  <si>
    <t>1.4.4.6.1.1</t>
  </si>
  <si>
    <t>1.4.4.6.1.1.1</t>
  </si>
  <si>
    <t>1.4.4.6.1.1.1.1</t>
  </si>
  <si>
    <t>1.4.4.6.1.1.1.2</t>
  </si>
  <si>
    <t>1.4.4.6.1.1.1.3</t>
  </si>
  <si>
    <t>1.4.4.6.1.1.2</t>
  </si>
  <si>
    <t>1.4.4.6.1.1.2.1</t>
  </si>
  <si>
    <t>1.4.4.6.1.1.2.2</t>
  </si>
  <si>
    <t>1.4.4.6.1.1.2.3</t>
  </si>
  <si>
    <t>1.4.4.6.1.1.2.3.1</t>
  </si>
  <si>
    <t>1.4.4.6.1.1.2.3.2</t>
  </si>
  <si>
    <t>1.4.4.6.1.1.3</t>
  </si>
  <si>
    <t>1.4.4.6.1.1.3.1</t>
  </si>
  <si>
    <t>1.4.4.6.1.1.3.2</t>
  </si>
  <si>
    <t>1.4.4.6.1.1.3.3</t>
  </si>
  <si>
    <t>1.4.4.6.1.1.3.4</t>
  </si>
  <si>
    <t>1.4.4.6.2</t>
  </si>
  <si>
    <t>1.4.4.6.2.1</t>
  </si>
  <si>
    <t>1.4.4.6.2.1.1</t>
  </si>
  <si>
    <t>1.4.4.6.2.1.2</t>
  </si>
  <si>
    <t>1.4.4.6.2.2</t>
  </si>
  <si>
    <t>1.4.4.6.2.2.1</t>
  </si>
  <si>
    <t>1.4.4.6.2.2.1.1</t>
  </si>
  <si>
    <t>1.4.4.6.2.2.1.1.1</t>
  </si>
  <si>
    <t>1.4.4.6.2.2.1.1.2</t>
  </si>
  <si>
    <t>1.4.4.6.2.2.1.2</t>
  </si>
  <si>
    <t>1.4.4.6.2.2.1.2.1</t>
  </si>
  <si>
    <t>1.4.4.6.2.2.1.2.2</t>
  </si>
  <si>
    <t>1.4.4.6.2.2.1.3</t>
  </si>
  <si>
    <t>1.4.4.6.2.2.1.3.1</t>
  </si>
  <si>
    <t>1.4.4.6.2.2.1.3.2</t>
  </si>
  <si>
    <t>1.4.4.6.2.2.2</t>
  </si>
  <si>
    <t>1.4.4.6.2.2.2.1</t>
  </si>
  <si>
    <t>1.4.4.6.2.2.2.2</t>
  </si>
  <si>
    <t>1.4.4.6.2.2.2.3</t>
  </si>
  <si>
    <t>1.4.4.6.2.2.2.4</t>
  </si>
  <si>
    <t>1.4.4.6.2.2.3</t>
  </si>
  <si>
    <t>1.4.4.6.2.2.3.1</t>
  </si>
  <si>
    <t>1.4.4.6.2.2.3.2</t>
  </si>
  <si>
    <t>1.4.4.6.2.2.4</t>
  </si>
  <si>
    <t>1.4.4.6.2.2.4.1</t>
  </si>
  <si>
    <t>1.4.4.6.2.2.4.2</t>
  </si>
  <si>
    <t>1.4.4.6.2.2.5</t>
  </si>
  <si>
    <t>1.4.4.6.2.2.5.1</t>
  </si>
  <si>
    <t>1.4.4.6.2.2.5.2</t>
  </si>
  <si>
    <t>1.4.4.6.2.2.5.3</t>
  </si>
  <si>
    <t>1.4.4.6.2.2.5.4</t>
  </si>
  <si>
    <t>1.4.4.6.2.2.5.5</t>
  </si>
  <si>
    <t>1.4.4.6.2.2.6</t>
  </si>
  <si>
    <t>1.4.4.6.2.2.6.1</t>
  </si>
  <si>
    <t>1.4.4.6.2.2.6.2</t>
  </si>
  <si>
    <t>1.4.4.6.2.2.7</t>
  </si>
  <si>
    <t>1.4.4.6.2.2.7.1</t>
  </si>
  <si>
    <t>1.4.4.6.2.3</t>
  </si>
  <si>
    <t>1.4.4.6.2.3.1</t>
  </si>
  <si>
    <t>1.4.4.6.2.3.1.1</t>
  </si>
  <si>
    <t>1.4.4.6.2.3.1.2</t>
  </si>
  <si>
    <t>1.4.4.6.2.3.1.3</t>
  </si>
  <si>
    <t>1.4.4.6.2.3.2</t>
  </si>
  <si>
    <t>1.4.4.6.2.3.3</t>
  </si>
  <si>
    <t>1.4.4.6.2.3.4</t>
  </si>
  <si>
    <t>1.4.4.6.2.3.5</t>
  </si>
  <si>
    <t>1.4.4.6.3</t>
  </si>
  <si>
    <t>1.4.4.6.3.1</t>
  </si>
  <si>
    <t>1.4.4.6.3.1.1</t>
  </si>
  <si>
    <t>1.4.4.6.3.1.2</t>
  </si>
  <si>
    <t>1.4.4.6.3.1.3</t>
  </si>
  <si>
    <t>1.4.4.6.3.1.4</t>
  </si>
  <si>
    <t>1.4.4.6.3.2</t>
  </si>
  <si>
    <t>1.4.4.6.3.2.1</t>
  </si>
  <si>
    <t>1.4.4.6.3.2.2</t>
  </si>
  <si>
    <t>1.4.4.6.3.2.3</t>
  </si>
  <si>
    <t>1.4.4.6.3.2.4</t>
  </si>
  <si>
    <t>1.4.4.6.3.2.5</t>
  </si>
  <si>
    <t>1.4.4.6.3.2.6</t>
  </si>
  <si>
    <t>1.4.4.6.3.2.7</t>
  </si>
  <si>
    <t>1.4.4.6.3.3</t>
  </si>
  <si>
    <t>1.4.4.6.3.3.1</t>
  </si>
  <si>
    <t>1.4.4.6.3.3.2</t>
  </si>
  <si>
    <t>1.4.4.6.3.3.3</t>
  </si>
  <si>
    <t>1.4.4.6.3.3.4</t>
  </si>
  <si>
    <t>1.4.4.6.3.3.5</t>
  </si>
  <si>
    <t>1.4.4.6.3.3.6</t>
  </si>
  <si>
    <t>1.4.4.6.3.3.7</t>
  </si>
  <si>
    <t>1.4.4.6.3.4</t>
  </si>
  <si>
    <t>1.4.4.6.3.4.1</t>
  </si>
  <si>
    <t>1.4.4.6.3.4.2</t>
  </si>
  <si>
    <t>1.4.4.6.3.4.3</t>
  </si>
  <si>
    <t>1.4.4.6.3.4.4</t>
  </si>
  <si>
    <t>1.4.4.6.3.5</t>
  </si>
  <si>
    <t>1.4.4.6.3.5.1</t>
  </si>
  <si>
    <t>1.4.4.6.3.5.2</t>
  </si>
  <si>
    <t>1.4.4.6.3.5.3</t>
  </si>
  <si>
    <t>1.4.4.6.3.5.4</t>
  </si>
  <si>
    <t>9/21/04 - escalated 3%/year FY03-FY05</t>
  </si>
  <si>
    <t xml:space="preserve">   Based on 12 MW above 3 MW base X $85 Mwhr</t>
  </si>
  <si>
    <t>In FY05 Dollars and reduced NSF indirects, FY2006 Power Costs (estimate for new NYPA Contract)</t>
  </si>
  <si>
    <t>FY2006 and beyond</t>
  </si>
  <si>
    <t>(shared)</t>
  </si>
  <si>
    <t>Total Personnel Cost</t>
  </si>
  <si>
    <t xml:space="preserve">Costs Common to RSVP </t>
  </si>
  <si>
    <t>Booster and AGS Accelerators</t>
  </si>
  <si>
    <t>Booster &amp; AGS cost per week</t>
  </si>
  <si>
    <t>Linac cost per week</t>
  </si>
  <si>
    <t>Total Common Costs/week</t>
  </si>
  <si>
    <t>MECO Power Total</t>
  </si>
  <si>
    <t>K0PI0 Power Total</t>
  </si>
  <si>
    <t>E926 Experiment Specific Costs/week</t>
  </si>
  <si>
    <t>PS Controls to PSI (19 supplies)</t>
  </si>
  <si>
    <t>Example Total Cost</t>
  </si>
  <si>
    <t>Accelerator Weeks</t>
  </si>
  <si>
    <t>E926 Weeks</t>
  </si>
  <si>
    <t>E940 Weeks</t>
  </si>
  <si>
    <t>Personnel FTE's</t>
  </si>
  <si>
    <t>Total RSVP Cost</t>
  </si>
  <si>
    <t xml:space="preserve">   MSTC Experimental Area</t>
  </si>
  <si>
    <t>MECO (E940) - DRAFT</t>
  </si>
  <si>
    <t xml:space="preserve">   2 Tech Support (75% time)</t>
  </si>
  <si>
    <t xml:space="preserve">   2 Tech Support (separator 75% time)</t>
  </si>
  <si>
    <t>FY07</t>
  </si>
  <si>
    <t>FY08</t>
  </si>
  <si>
    <t>FY06</t>
  </si>
  <si>
    <t>W/RHIC HI</t>
  </si>
  <si>
    <t>W/RHIC pp</t>
  </si>
  <si>
    <t>Outside RHIC</t>
  </si>
  <si>
    <t>Personnel</t>
  </si>
  <si>
    <t>Other</t>
  </si>
  <si>
    <t>Segmented Wire Ionization Chamber (SWIC).  Semi-destructive measurement of H &amp; V beam profiles.</t>
  </si>
  <si>
    <t>Horizontal &amp; vertical array of 32 wires sandwiched between high volatge planes, with gas flowing thru chamber.  Remote control plunging capability.</t>
  </si>
  <si>
    <t>Eight - 8 channel  integrator eurocard  modules in a Eurocrate with additional control &amp; multiplexer modules.</t>
  </si>
  <si>
    <t>Modified standard SWIC, signals from wires ganged such that beam position offset can be determined.</t>
  </si>
  <si>
    <t>Signal processing electronics which provide reference for upstream steering dipole.</t>
  </si>
  <si>
    <t>High Voltage power supply with full remote control</t>
  </si>
  <si>
    <t>Non-destructive beam current measurement via a toroidal transformer &amp; specialized signal processing electronics.</t>
  </si>
  <si>
    <t>Non-destructiove center of mass position measurement via E-M induced signal from bunched beam.</t>
  </si>
  <si>
    <t>Calibrated Ionization chambers generate current signal proportional to beam loss.</t>
  </si>
  <si>
    <t>VME based electronics which process the signal from the ionization loss monitors.</t>
  </si>
  <si>
    <t>Standard VME chassis modified with linear dc power supplies to reduce noise.</t>
  </si>
  <si>
    <t>Solid state device that detects direction specific single passes of minimum ionizing particles.</t>
  </si>
  <si>
    <t>Used to measure secondaries from beam interaction with beampipe and target.</t>
  </si>
  <si>
    <t>DC power for pin diode system, and test mode control.</t>
  </si>
  <si>
    <t>VME based TTL counter 200mHz, 16ch, 32 bits.</t>
  </si>
  <si>
    <t>Three Scintillator/PMT assemblies mounted in array so only secondaries from target will pass through all three.</t>
  </si>
  <si>
    <t>Electron Tubes Photo-multiplier, BNL designed voltage divider base, plastic scintillator from Saint-Gobain.</t>
  </si>
  <si>
    <t>Standard NIM amplifiers, discriminators, majority logic, &amp; level translators to provide signal when coincident partical passes through all 3 detectors.</t>
  </si>
  <si>
    <t>Standard 19" rack mount chassis to house signal processing electronics.</t>
  </si>
  <si>
    <t>Thin phosphor (AlOx-Cr) screen placed in the beam path which illuminates when beam passes through.</t>
  </si>
  <si>
    <t>Neutral density (ND) filters are used to avoid saturating video camera, extend dynamic range.</t>
  </si>
  <si>
    <t>Beam Development*</t>
  </si>
  <si>
    <t>Provides for Design, Trades &amp; Technician labor supervision @ 5%</t>
  </si>
  <si>
    <t>Provides a 10' long radiation shield between the AGS ring and the SEB</t>
  </si>
  <si>
    <t>Adds an extra turn on the existing labyrinth to decrease radiation leakage</t>
  </si>
  <si>
    <t>Provides electrical breakers for AC power to power supplies</t>
  </si>
  <si>
    <t>Removes the existing power distribution in the SYG cave</t>
  </si>
  <si>
    <t>Provides new power distribution in the SYG cave</t>
  </si>
  <si>
    <t>Provides power &amp; distribution in the VME controls enclosures</t>
  </si>
  <si>
    <t>PSI type controls with SLC's, includes testing but no contactors or tap switches</t>
  </si>
  <si>
    <t>This reconfigures the existing PLC rack for the new magnet interlock layout</t>
  </si>
  <si>
    <t>Provides a remote beam plug capable of intercepting ~1% of beam,copy of NSRL stop</t>
  </si>
  <si>
    <t>Removes rad water cooling &amp; provides open tower cooling water for PS's</t>
  </si>
  <si>
    <t>Provides for refurbishing of 4 existing magnets, including bus, interlocks and stands</t>
  </si>
  <si>
    <t xml:space="preserve">Replaces CT1 piping that is or was leaking with S/S pipe (for PS cooling) </t>
  </si>
  <si>
    <t>Removes 8 of the 14 elements in the AGS ring</t>
  </si>
  <si>
    <t>Removes all 15 existing elements in the A transport section of the SYG</t>
  </si>
  <si>
    <t>Removes 6 of the 12 transport elements in the C &amp; B lines of the SYG</t>
  </si>
  <si>
    <t>Provides for sorting, packing, shipping and burial of rad waste</t>
  </si>
  <si>
    <t>Provides for installation labor, materials, &amp; testing for 2 new magnets in the AGS</t>
  </si>
  <si>
    <t>MECO A-Line</t>
  </si>
  <si>
    <t>Liaison Physicist</t>
  </si>
  <si>
    <t>Liaison Engineer</t>
  </si>
  <si>
    <t>Technical Supervision</t>
  </si>
  <si>
    <t>MECO Proton Beam Line</t>
  </si>
  <si>
    <t>Beamline Design</t>
  </si>
  <si>
    <t>Physics Design</t>
  </si>
  <si>
    <t>Engineering</t>
  </si>
  <si>
    <t>Refurbish</t>
  </si>
  <si>
    <t>Rigging</t>
  </si>
  <si>
    <t>Pre-survey</t>
  </si>
  <si>
    <t>Thick Lambertson</t>
  </si>
  <si>
    <t>Pole Piece Fabrication</t>
  </si>
  <si>
    <t>Assembly - Mechanical</t>
  </si>
  <si>
    <t>Assembly - Interlocks</t>
  </si>
  <si>
    <t>Magnet Measurements</t>
  </si>
  <si>
    <t>Beam Line</t>
  </si>
  <si>
    <t>A-Line (AQ7-A Targ Inst)</t>
  </si>
  <si>
    <t>Base (Experiment power that's always on, water, electronics etc)</t>
  </si>
  <si>
    <t>Accelerators (AGS and Booster)</t>
  </si>
  <si>
    <t>Primary Beam (can be off, includes switchyard)</t>
  </si>
  <si>
    <t>Experiment (can be off)</t>
  </si>
  <si>
    <t>One Week - beam to C-target for tests</t>
  </si>
  <si>
    <t xml:space="preserve">   Based on 7.4 MW above 3 MW base X $85 Mwhr</t>
  </si>
  <si>
    <t xml:space="preserve">   Based on 11 MW above 3 MW base X $85 Mwhr</t>
  </si>
  <si>
    <t>Valid for construction experiment operations period - experiment commissioning</t>
  </si>
  <si>
    <t>Fixed Personnel Costs</t>
  </si>
  <si>
    <t>(included 0% FCR)</t>
  </si>
  <si>
    <t>AGS SEB Experimental area MSTC</t>
  </si>
  <si>
    <t>MECO MSTC</t>
  </si>
  <si>
    <t>Base (always on, refrigerator, water, electronics etc)</t>
  </si>
  <si>
    <t>Experiment Costs 0% FCR</t>
  </si>
  <si>
    <t>K0PI0 MSTC</t>
  </si>
  <si>
    <t>K0PI0 Experiment Specific Costs/week</t>
  </si>
  <si>
    <t>Example RSVP Operations Plan (with reduced indirects applicable for construction period only)</t>
  </si>
  <si>
    <t>(4) 80 full intensity hours/week are available for RSVP experiments during RHIC Operations</t>
  </si>
  <si>
    <t>(5) 120 full intensity hours/week are available for RSVP experiments outside RHIC Operations</t>
  </si>
  <si>
    <t>RHIC Cryo Weeks</t>
  </si>
  <si>
    <t>27</t>
  </si>
  <si>
    <t>HI-HI Phys. Wks.</t>
  </si>
  <si>
    <t>0</t>
  </si>
  <si>
    <t>pp, pHI Phys. Wks.</t>
  </si>
  <si>
    <t>19</t>
  </si>
  <si>
    <t>Available Outside RHIC</t>
  </si>
  <si>
    <t>TOTAL RSVP Weeks Available</t>
  </si>
  <si>
    <t>K0PI0 (weeks)</t>
  </si>
  <si>
    <t>MECO (weeks)</t>
  </si>
  <si>
    <t>Power</t>
  </si>
  <si>
    <r>
      <t xml:space="preserve">RSVP Operations Costs per week, FY 2005 $'s with </t>
    </r>
    <r>
      <rPr>
        <b/>
        <sz val="10"/>
        <color indexed="10"/>
        <rFont val="Arial"/>
        <family val="2"/>
      </rPr>
      <t>reduced</t>
    </r>
    <r>
      <rPr>
        <b/>
        <sz val="10"/>
        <rFont val="Arial"/>
        <family val="2"/>
      </rPr>
      <t xml:space="preserve"> NSF Indirects</t>
    </r>
  </si>
  <si>
    <t>FY09*</t>
  </si>
  <si>
    <t>FY10*</t>
  </si>
  <si>
    <t>FY11**</t>
  </si>
  <si>
    <t>* Commissioning with neutral beam (K0PI0) and muon beam (K0PI0)</t>
  </si>
  <si>
    <t>** Engineering Run</t>
  </si>
  <si>
    <t>*** Contingency year</t>
  </si>
  <si>
    <t>(7) Assumes RSVP Commissioning with neutral and muon beams in FY2009 and RSVP construction ends in FY2010 with an engineering run</t>
  </si>
  <si>
    <t>FY10**</t>
  </si>
  <si>
    <t>* Commissioning with neutral beam (K0PI0) and muon beam (K0PI0), full operations cost with reduced indirects</t>
  </si>
  <si>
    <t>** Engineering Run, full operations costs with reduced indirects</t>
  </si>
  <si>
    <t>*** Contingency (with FY2006-2008 cost basis)</t>
  </si>
  <si>
    <t>Common Costs 0% FCR</t>
  </si>
  <si>
    <t>Experiment (neutral beam and D4 can be off)</t>
  </si>
  <si>
    <t>(7) Assumes RSVP construction ends in FY2010 with an engineering run and accounting for integrated protons begins in first physics production year (FY2011)</t>
  </si>
  <si>
    <t>Total W/Cont</t>
  </si>
  <si>
    <t>Contingency***</t>
  </si>
  <si>
    <t>* includes Personnel, M&amp;S, DTS and Power Costs, assumes Jan 04 plan, FY06-FY10 running with RHIC</t>
  </si>
  <si>
    <t>RSVP AGS Infrastructure Labor FTE's # (without Contingency or beam development personnel)</t>
  </si>
  <si>
    <t xml:space="preserve">  and 1 year contingency with 10 weeks running outside RHIC</t>
  </si>
  <si>
    <t>Disc 4 Mags etc</t>
  </si>
  <si>
    <t>Remove DC Cables etc</t>
  </si>
  <si>
    <t>Remove Components</t>
  </si>
  <si>
    <t>Disc PS's</t>
  </si>
  <si>
    <t>Remove PS's</t>
  </si>
  <si>
    <t>Remove PS Decking</t>
  </si>
  <si>
    <t>Cable Tray Removal</t>
  </si>
  <si>
    <t>Disc 9 Mags etc</t>
  </si>
  <si>
    <t>Disc 16 Mags etc</t>
  </si>
  <si>
    <t>Disc 13 Mags etc</t>
  </si>
  <si>
    <t>Remove NASA Trailer</t>
  </si>
  <si>
    <t>Rad Material Disposal</t>
  </si>
  <si>
    <t>Shielding Procurements</t>
  </si>
  <si>
    <t xml:space="preserve">Lt Concrete Side Wall </t>
  </si>
  <si>
    <t xml:space="preserve">Heavy Concrete for Target Area </t>
  </si>
  <si>
    <t xml:space="preserve">Custom Port Blocks </t>
  </si>
  <si>
    <t xml:space="preserve">Borated Blocks </t>
  </si>
  <si>
    <t>Floor Blocks</t>
  </si>
  <si>
    <t>Wall Blocks to Raise Roof</t>
  </si>
  <si>
    <t>Refurbish 6 ea Royals</t>
  </si>
  <si>
    <t>Disconnect &amp; Reconnect</t>
  </si>
  <si>
    <t>Rig Royals</t>
  </si>
  <si>
    <t>Modifications</t>
  </si>
  <si>
    <t xml:space="preserve">Refurbish PS's </t>
  </si>
  <si>
    <t xml:space="preserve">PS Materials </t>
  </si>
  <si>
    <t>Magnet Monitor</t>
  </si>
  <si>
    <t>Hardware</t>
  </si>
  <si>
    <t>Assembly</t>
  </si>
  <si>
    <t xml:space="preserve">Run &amp; Test PS's </t>
  </si>
  <si>
    <t>Misc Parts</t>
  </si>
  <si>
    <t>Rig Magnets</t>
  </si>
  <si>
    <t xml:space="preserve">Magnet Materials </t>
  </si>
  <si>
    <t xml:space="preserve">Pre-Survey Magnets </t>
  </si>
  <si>
    <t>Magnetic Design</t>
  </si>
  <si>
    <t>Fabrication &amp; Procurement</t>
  </si>
  <si>
    <t>Fab Vacuum Box Pieces</t>
  </si>
  <si>
    <t>Weld Assembly</t>
  </si>
  <si>
    <t>Fab Shims</t>
  </si>
  <si>
    <t>Leak Check Assembly</t>
  </si>
  <si>
    <t>New Magnets</t>
  </si>
  <si>
    <t>AP5</t>
  </si>
  <si>
    <t>Fab Core</t>
  </si>
  <si>
    <t>Fab Stand</t>
  </si>
  <si>
    <t>Fab Coils</t>
  </si>
  <si>
    <t>Assembly and Test</t>
  </si>
  <si>
    <t>Assemble Magnet</t>
  </si>
  <si>
    <t>Pre-Survey</t>
  </si>
  <si>
    <t>Wire Magnet</t>
  </si>
  <si>
    <t>Rig Magnet</t>
  </si>
  <si>
    <t>Hook-up Magnet Power</t>
  </si>
  <si>
    <t>Hook-up Magnet Water</t>
  </si>
  <si>
    <t>AP6</t>
  </si>
  <si>
    <t>RFMM Vacuum</t>
  </si>
  <si>
    <t>Vacuum Mechanical Design</t>
  </si>
  <si>
    <t>Vacuum Inst &amp; Controls Design</t>
  </si>
  <si>
    <t>Vacuum - Fabrication &amp; Procurement</t>
  </si>
  <si>
    <t>Fabrications</t>
  </si>
  <si>
    <t>Mechanical Assembly</t>
  </si>
  <si>
    <t>Welding</t>
  </si>
  <si>
    <t>Electrical Assembly</t>
  </si>
  <si>
    <t>Beamline Vacuum</t>
  </si>
  <si>
    <t>Install Manifold Stations</t>
  </si>
  <si>
    <t>Beamline Installation</t>
  </si>
  <si>
    <t>Remove A3 Beam Dump</t>
  </si>
  <si>
    <t>Remove D6 Dump</t>
  </si>
  <si>
    <t>Remove A3 Roof by door</t>
  </si>
  <si>
    <t>Remove A-Line Roof</t>
  </si>
  <si>
    <t>Rebuild Side Walls</t>
  </si>
  <si>
    <t>Rebuild Roof</t>
  </si>
  <si>
    <t>Build beam Dump</t>
  </si>
  <si>
    <t>Steel modifications</t>
  </si>
  <si>
    <t>Drill tap steel</t>
  </si>
  <si>
    <t xml:space="preserve">Remove Roof </t>
  </si>
  <si>
    <t>Modify Side Wall</t>
  </si>
  <si>
    <t>Replace Roof</t>
  </si>
  <si>
    <t>Re-Install Beam Dump</t>
  </si>
  <si>
    <t>Seismic</t>
  </si>
  <si>
    <t>Brackets</t>
  </si>
  <si>
    <t>Anchor Installation</t>
  </si>
  <si>
    <t xml:space="preserve">Seal Floor </t>
  </si>
  <si>
    <t>Instrumentation/Controls</t>
  </si>
  <si>
    <t>Engr &amp; Design Supervision</t>
  </si>
  <si>
    <t>Physicist Supervision</t>
  </si>
  <si>
    <t>Construction Supervision</t>
  </si>
  <si>
    <t>B1,B2,B5 Removal</t>
  </si>
  <si>
    <t>Remove equipment</t>
  </si>
  <si>
    <t>Remove power &amp; tray</t>
  </si>
  <si>
    <t>Modify shielding</t>
  </si>
  <si>
    <t>Rad disposal</t>
  </si>
  <si>
    <t>C1,C3,C7 Removal</t>
  </si>
  <si>
    <t>Additional Shielding</t>
  </si>
  <si>
    <t>Floor blocks (200 tons)</t>
  </si>
  <si>
    <t>Transport Magnets (9)</t>
  </si>
  <si>
    <t>Refurbish 8Q32</t>
  </si>
  <si>
    <t>Refurbish 3-5Q36</t>
  </si>
  <si>
    <t>Refurbish 4-Trims</t>
  </si>
  <si>
    <t>Refurbish N3Q48</t>
  </si>
  <si>
    <t>Modify PSs for new controls (10)</t>
  </si>
  <si>
    <t>Electrical Modifications</t>
  </si>
  <si>
    <t>Modify Royals (4)</t>
  </si>
  <si>
    <t>Magnet Interlock System</t>
  </si>
  <si>
    <t>Bldg 912 Facility Upgrade</t>
  </si>
  <si>
    <t>D4 Sweeper</t>
  </si>
  <si>
    <t>Pipe, flanges, bellows, valves</t>
  </si>
  <si>
    <t>Vacuum pumps (2)</t>
  </si>
  <si>
    <t>Monitors</t>
  </si>
  <si>
    <t>Install magnets (9)</t>
  </si>
  <si>
    <t>Survey beam components</t>
  </si>
  <si>
    <t>Install vacuum</t>
  </si>
  <si>
    <t>Install victualic &amp; manifolds</t>
  </si>
  <si>
    <t>Install power &amp; lights</t>
  </si>
  <si>
    <t>Clean cave &amp; paint</t>
  </si>
  <si>
    <t>Close roof</t>
  </si>
  <si>
    <t>Cave dehumidification</t>
  </si>
  <si>
    <t>Shielding seismic restraints</t>
  </si>
  <si>
    <t xml:space="preserve">RSVP - 1.4.3 KOPIO, AGS </t>
  </si>
  <si>
    <t>New Cable Tray</t>
  </si>
  <si>
    <t>Misc Lights &amp; Power Distribution</t>
  </si>
  <si>
    <t>Installation &amp; Hook-up of Power Supplies</t>
  </si>
  <si>
    <t>Modify PS Platforms</t>
  </si>
  <si>
    <t>AC 262MCM</t>
  </si>
  <si>
    <t xml:space="preserve">AC 535MCM </t>
  </si>
  <si>
    <t>AC Cable Tray Installation</t>
  </si>
  <si>
    <t>Rig Power Supplies</t>
  </si>
  <si>
    <t>AC Cable Pull</t>
  </si>
  <si>
    <t xml:space="preserve">AC Hook-up </t>
  </si>
  <si>
    <t>Beam Line Layout</t>
  </si>
  <si>
    <t>Establish Survey Controls</t>
  </si>
  <si>
    <t>Survey Layout of Beam</t>
  </si>
  <si>
    <t>Install New Magnets, etc</t>
  </si>
  <si>
    <t xml:space="preserve">Survey Magnets </t>
  </si>
  <si>
    <t>Install Magnet Stands</t>
  </si>
  <si>
    <t xml:space="preserve">DC 535MCM </t>
  </si>
  <si>
    <t>DC Tray Installation</t>
  </si>
  <si>
    <t xml:space="preserve">Magnet Hook-up </t>
  </si>
  <si>
    <t>Magnet Monitor Installation</t>
  </si>
  <si>
    <t>Vacuum Installation</t>
  </si>
  <si>
    <t>Install Vacuum Stands</t>
  </si>
  <si>
    <t>Survey Vacuum Stands</t>
  </si>
  <si>
    <t>Install Vacuum Pipe</t>
  </si>
  <si>
    <t>Weld Vacuum Pipe</t>
  </si>
  <si>
    <t>Leak Check</t>
  </si>
  <si>
    <t>ODH System Design</t>
  </si>
  <si>
    <t>ODH - Materials</t>
  </si>
  <si>
    <t>ODH - Installation</t>
  </si>
  <si>
    <t>Install Exhaust Fans</t>
  </si>
  <si>
    <t>Roof Repair</t>
  </si>
  <si>
    <t>Delivers the Proton Beam from the AGS Switchyard to the entrance to the PS. Includes the Proton Beam Dump.</t>
  </si>
  <si>
    <t>Physics design of the Proton Beam integrated with existing and new beam line components.</t>
  </si>
  <si>
    <t>Separate the "empty buckets" from the Proton Beam.</t>
  </si>
  <si>
    <t>Clearing the A-Line area of existing equipment.</t>
  </si>
  <si>
    <t>AC to DC power supplies for beamline magnets.</t>
  </si>
  <si>
    <t>AC power distribution from sub-stations to disconnect switches for magnet power supplies.</t>
  </si>
  <si>
    <t>Refurbishment of existing AC disconnect switches (Royals) by an outside vendor.</t>
  </si>
  <si>
    <t>Updating power supply controls from Datacon to PSI and adding PLC interlock control.</t>
  </si>
  <si>
    <t>Checking power supply internal parts and cleaning, tightening, repairing &amp; replacing as necessary.</t>
  </si>
  <si>
    <t>Testing all power supply &amp; magnet interlocks, and power supply operation (regulation , ripple, etc).</t>
  </si>
  <si>
    <t>Vacuum boxes with magnet steel pole tips for AD4 &amp; AD5 (18D72's) to achieve the required bend from the magnets.</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</si>
</sst>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quot;$&quot;#,##0.00"/>
    <numFmt numFmtId="170" formatCode="&quot;$&quot;#,##0"/>
    <numFmt numFmtId="171" formatCode="_(&quot;$&quot;* #,##0_);_(&quot;$&quot;* \(#,##0\);_(&quot;$&quot;* &quot;-&quot;??_);_(@_)"/>
    <numFmt numFmtId="172" formatCode="&quot;$&quot;#,##0.0_);[Red]\(&quot;$&quot;#,##0.0\)"/>
    <numFmt numFmtId="173" formatCode="&quot;$&quot;#,##0.0000"/>
    <numFmt numFmtId="174" formatCode="#,##0.0_);\(#,##0.0\)"/>
    <numFmt numFmtId="175" formatCode="0.000"/>
    <numFmt numFmtId="176" formatCode="0.0000"/>
    <numFmt numFmtId="177" formatCode="&quot;$&quot;#,##0.000_);\(&quot;$&quot;#,##0.000\)"/>
    <numFmt numFmtId="178" formatCode="&quot;$&quot;#,##0.0_);\(&quot;$&quot;#,##0.0\)"/>
    <numFmt numFmtId="179" formatCode="0.000000"/>
    <numFmt numFmtId="180" formatCode="0.00000"/>
    <numFmt numFmtId="181" formatCode="0.0%"/>
    <numFmt numFmtId="182" formatCode="mmm\-yyyy"/>
    <numFmt numFmtId="183" formatCode="&quot;Yes&quot;;&quot;Yes&quot;;&quot;No&quot;"/>
    <numFmt numFmtId="184" formatCode="&quot;True&quot;;&quot;True&quot;;&quot;False&quot;"/>
    <numFmt numFmtId="185" formatCode="&quot;On&quot;;&quot;On&quot;;&quot;Off&quot;"/>
    <numFmt numFmtId="186" formatCode="#,##0.0"/>
    <numFmt numFmtId="187" formatCode="#,##0.000"/>
    <numFmt numFmtId="188" formatCode="#,##0.0000"/>
    <numFmt numFmtId="189" formatCode="#,##0.00000"/>
    <numFmt numFmtId="190" formatCode="mm/dd/yy"/>
    <numFmt numFmtId="191" formatCode="0_)"/>
    <numFmt numFmtId="192" formatCode="0.0_)"/>
    <numFmt numFmtId="193" formatCode="_(&quot;$&quot;* #,##0.0_);_(&quot;$&quot;* \(#,##0.0\);_(&quot;$&quot;* &quot;-&quot;??_);_(@_)"/>
    <numFmt numFmtId="194" formatCode="_(* #,##0.0_);_(* \(#,##0.0\);_(* &quot;-&quot;??_);_(@_)"/>
    <numFmt numFmtId="195" formatCode="_(* #,##0_);_(* \(#,##0\);_(* &quot;-&quot;??_);_(@_)"/>
    <numFmt numFmtId="196" formatCode="_(* #,##0.0_);_(* \(#,##0.0\);_(* &quot;-&quot;?_);_(@_)"/>
    <numFmt numFmtId="197" formatCode="_(&quot;$&quot;* #,##0.0_);_(&quot;$&quot;* \(#,##0.0\);_(&quot;$&quot;* &quot;-&quot;?_);_(@_)"/>
    <numFmt numFmtId="198" formatCode="0_);\(0\)"/>
    <numFmt numFmtId="199" formatCode="#,##0.0_);[Red]\(#,##0.0\)"/>
    <numFmt numFmtId="200" formatCode="0.00_);\(0.00\)"/>
    <numFmt numFmtId="201" formatCode="&quot;$&quot;#,##0.0"/>
    <numFmt numFmtId="202" formatCode="0.00_);[Red]\(0.00\)"/>
    <numFmt numFmtId="203" formatCode="_(&quot;$&quot;* #,##0.000_);_(&quot;$&quot;* \(#,##0.000\);_(&quot;$&quot;* &quot;-&quot;??_);_(@_)"/>
    <numFmt numFmtId="204" formatCode="_(* #,##0.000_);_(* \(#,##0.000\);_(* &quot;-&quot;??_);_(@_)"/>
    <numFmt numFmtId="205" formatCode="&quot;$&quot;#,##0.000"/>
    <numFmt numFmtId="206" formatCode="&quot;$&quot;#,##0.0000\ ;\(&quot;$&quot;#,##0.0000\)"/>
    <numFmt numFmtId="207" formatCode="0.00\ \l\f"/>
    <numFmt numFmtId="208" formatCode="0.00\ \L.\F."/>
    <numFmt numFmtId="209" formatCode="&quot;$&quot;#,##0.000_);[Red]\(&quot;$&quot;#,##0.000\)"/>
    <numFmt numFmtId="210" formatCode="0_);[Red]\(0\)"/>
    <numFmt numFmtId="211" formatCode="&quot;$&quot;#,##0.0000_);[Red]\(&quot;$&quot;#,##0.0000\)"/>
    <numFmt numFmtId="212" formatCode="0.0000000"/>
    <numFmt numFmtId="213" formatCode="#,##0.000_);[Red]\(#,##0.000\)"/>
    <numFmt numFmtId="214" formatCode="0.0_);[Red]\(0.0\)"/>
    <numFmt numFmtId="215" formatCode="0.00000000"/>
    <numFmt numFmtId="216" formatCode="0.000000000"/>
    <numFmt numFmtId="217" formatCode="#,##0.0000_);[Red]\(#,##0.0000\)"/>
    <numFmt numFmtId="218" formatCode="0.0000000000"/>
    <numFmt numFmtId="219" formatCode="0.00000000000"/>
    <numFmt numFmtId="220" formatCode="mmmmm\-yy"/>
    <numFmt numFmtId="221" formatCode="&quot;$&quot;#,##0.00000_);[Red]\(&quot;$&quot;#,##0.00000\)"/>
    <numFmt numFmtId="222" formatCode="&quot;$&quot;#,##0.000000_);[Red]\(&quot;$&quot;#,##0.000000\)"/>
    <numFmt numFmtId="223" formatCode="&quot;$&quot;#,##0.0000000_);[Red]\(&quot;$&quot;#,##0.0000000\)"/>
    <numFmt numFmtId="224" formatCode="m/d"/>
    <numFmt numFmtId="225" formatCode="0.0E+00"/>
    <numFmt numFmtId="226" formatCode="_(&quot;$&quot;* #,##0.000_);_(&quot;$&quot;* \(#,##0.000\);_(&quot;$&quot;* &quot;-&quot;???_);_(@_)"/>
    <numFmt numFmtId="227" formatCode="00000"/>
  </numFmts>
  <fonts count="26">
    <font>
      <sz val="10"/>
      <name val="Arial"/>
      <family val="0"/>
    </font>
    <font>
      <sz val="10"/>
      <color indexed="8"/>
      <name val="Arial"/>
      <family val="2"/>
    </font>
    <font>
      <b/>
      <u val="single"/>
      <sz val="10"/>
      <name val="Arial"/>
      <family val="2"/>
    </font>
    <font>
      <u val="single"/>
      <sz val="10"/>
      <color indexed="12"/>
      <name val="Arial"/>
      <family val="0"/>
    </font>
    <font>
      <u val="single"/>
      <sz val="10"/>
      <color indexed="36"/>
      <name val="Arial"/>
      <family val="0"/>
    </font>
    <font>
      <b/>
      <sz val="10"/>
      <name val="Arial"/>
      <family val="2"/>
    </font>
    <font>
      <b/>
      <u val="single"/>
      <sz val="12"/>
      <name val="Arial"/>
      <family val="2"/>
    </font>
    <font>
      <sz val="14"/>
      <name val="Arial"/>
      <family val="2"/>
    </font>
    <font>
      <b/>
      <sz val="10"/>
      <color indexed="56"/>
      <name val="Arial"/>
      <family val="2"/>
    </font>
    <font>
      <b/>
      <sz val="10"/>
      <color indexed="10"/>
      <name val="Arial"/>
      <family val="2"/>
    </font>
    <font>
      <b/>
      <sz val="14"/>
      <name val="Arial"/>
      <family val="2"/>
    </font>
    <font>
      <sz val="10"/>
      <color indexed="10"/>
      <name val="Arial"/>
      <family val="2"/>
    </font>
    <font>
      <b/>
      <sz val="12"/>
      <name val="Arial"/>
      <family val="2"/>
    </font>
    <font>
      <sz val="12"/>
      <name val="Arial"/>
      <family val="2"/>
    </font>
    <font>
      <b/>
      <sz val="12"/>
      <color indexed="10"/>
      <name val="Arial"/>
      <family val="2"/>
    </font>
    <font>
      <b/>
      <sz val="10"/>
      <color indexed="8"/>
      <name val="Arial"/>
      <family val="2"/>
    </font>
    <font>
      <b/>
      <sz val="12"/>
      <name val="Times New Roman"/>
      <family val="1"/>
    </font>
    <font>
      <sz val="12"/>
      <name val="Times New Roman"/>
      <family val="1"/>
    </font>
    <font>
      <u val="single"/>
      <sz val="10"/>
      <name val="Arial"/>
      <family val="2"/>
    </font>
    <font>
      <u val="doubleAccounting"/>
      <sz val="10"/>
      <name val="Arial"/>
      <family val="2"/>
    </font>
    <font>
      <strike/>
      <sz val="10"/>
      <name val="Arial"/>
      <family val="2"/>
    </font>
    <font>
      <b/>
      <sz val="10"/>
      <color indexed="12"/>
      <name val="Arial"/>
      <family val="2"/>
    </font>
    <font>
      <sz val="10"/>
      <color indexed="12"/>
      <name val="Arial"/>
      <family val="2"/>
    </font>
    <font>
      <b/>
      <sz val="10"/>
      <color indexed="17"/>
      <name val="Arial"/>
      <family val="2"/>
    </font>
    <font>
      <b/>
      <sz val="12"/>
      <color indexed="8"/>
      <name val="Arial"/>
      <family val="2"/>
    </font>
    <font>
      <sz val="10"/>
      <color indexed="17"/>
      <name val="Arial"/>
      <family val="0"/>
    </font>
  </fonts>
  <fills count="12">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41"/>
        <bgColor indexed="64"/>
      </patternFill>
    </fill>
    <fill>
      <patternFill patternType="solid">
        <fgColor indexed="9"/>
        <bgColor indexed="64"/>
      </patternFill>
    </fill>
  </fills>
  <borders count="2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8"/>
      </right>
      <top>
        <color indexed="8"/>
      </top>
      <bottom>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59">
    <xf numFmtId="0" fontId="0" fillId="0" borderId="0" xfId="0" applyAlignment="1">
      <alignment/>
    </xf>
    <xf numFmtId="49" fontId="1" fillId="0" borderId="0" xfId="0" applyAlignment="1">
      <alignment horizontal="left"/>
    </xf>
    <xf numFmtId="49" fontId="1" fillId="0" borderId="0" xfId="0" applyFont="1" applyAlignment="1">
      <alignment horizontal="left"/>
    </xf>
    <xf numFmtId="0" fontId="2" fillId="0" borderId="0" xfId="0" applyFont="1" applyAlignment="1">
      <alignment/>
    </xf>
    <xf numFmtId="3" fontId="0" fillId="0" borderId="0" xfId="0" applyNumberFormat="1" applyAlignment="1">
      <alignment/>
    </xf>
    <xf numFmtId="0" fontId="0" fillId="0" borderId="0" xfId="0" applyAlignment="1">
      <alignment horizontal="center"/>
    </xf>
    <xf numFmtId="0" fontId="0" fillId="0" borderId="0" xfId="0" applyAlignment="1">
      <alignment horizontal="lef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6" fillId="0" borderId="0" xfId="0" applyFont="1" applyAlignment="1">
      <alignment/>
    </xf>
    <xf numFmtId="14" fontId="7" fillId="0" borderId="0" xfId="0" applyNumberFormat="1" applyFont="1" applyAlignment="1">
      <alignment/>
    </xf>
    <xf numFmtId="10" fontId="0" fillId="0" borderId="0" xfId="0" applyNumberFormat="1" applyAlignment="1">
      <alignment/>
    </xf>
    <xf numFmtId="14" fontId="0" fillId="0" borderId="0" xfId="0" applyNumberFormat="1" applyFont="1" applyAlignment="1">
      <alignment/>
    </xf>
    <xf numFmtId="169" fontId="0" fillId="0" borderId="0" xfId="20" applyNumberFormat="1" applyAlignment="1">
      <alignment/>
    </xf>
    <xf numFmtId="6" fontId="0" fillId="0" borderId="0" xfId="0" applyNumberFormat="1" applyAlignment="1">
      <alignment/>
    </xf>
    <xf numFmtId="44" fontId="0" fillId="0" borderId="0" xfId="0" applyNumberFormat="1" applyAlignment="1">
      <alignment/>
    </xf>
    <xf numFmtId="9" fontId="0" fillId="0" borderId="0" xfId="0" applyNumberFormat="1" applyAlignment="1">
      <alignment/>
    </xf>
    <xf numFmtId="44" fontId="5" fillId="0" borderId="0" xfId="0" applyNumberFormat="1" applyFont="1" applyAlignment="1">
      <alignment/>
    </xf>
    <xf numFmtId="0" fontId="5" fillId="0" borderId="1" xfId="0" applyFont="1" applyBorder="1" applyAlignment="1">
      <alignment/>
    </xf>
    <xf numFmtId="0" fontId="5" fillId="0" borderId="2" xfId="0" applyFont="1" applyBorder="1" applyAlignment="1">
      <alignment/>
    </xf>
    <xf numFmtId="10" fontId="5" fillId="0" borderId="2" xfId="0" applyNumberFormat="1" applyFont="1" applyBorder="1" applyAlignment="1">
      <alignment/>
    </xf>
    <xf numFmtId="10" fontId="5" fillId="0" borderId="3" xfId="0" applyNumberFormat="1" applyFont="1" applyBorder="1" applyAlignment="1">
      <alignment/>
    </xf>
    <xf numFmtId="10" fontId="5" fillId="0" borderId="0" xfId="0" applyNumberFormat="1" applyFont="1" applyAlignment="1">
      <alignment/>
    </xf>
    <xf numFmtId="10" fontId="0" fillId="0" borderId="0" xfId="0" applyNumberFormat="1" applyFont="1" applyAlignment="1">
      <alignment/>
    </xf>
    <xf numFmtId="0" fontId="0" fillId="0" borderId="2" xfId="0" applyBorder="1" applyAlignment="1">
      <alignment/>
    </xf>
    <xf numFmtId="10" fontId="0" fillId="0" borderId="2" xfId="0" applyNumberFormat="1" applyBorder="1" applyAlignment="1">
      <alignment/>
    </xf>
    <xf numFmtId="44" fontId="0" fillId="0" borderId="0" xfId="0" applyNumberFormat="1" applyAlignment="1">
      <alignment horizontal="left"/>
    </xf>
    <xf numFmtId="10" fontId="0" fillId="0" borderId="0" xfId="20" applyNumberFormat="1" applyAlignment="1">
      <alignment/>
    </xf>
    <xf numFmtId="171" fontId="0" fillId="0" borderId="0" xfId="20" applyNumberFormat="1" applyAlignment="1">
      <alignment/>
    </xf>
    <xf numFmtId="0" fontId="8" fillId="0" borderId="0" xfId="0" applyFont="1" applyAlignment="1">
      <alignment/>
    </xf>
    <xf numFmtId="0" fontId="9" fillId="0" borderId="0" xfId="0" applyFont="1" applyAlignment="1">
      <alignment horizontal="center"/>
    </xf>
    <xf numFmtId="3" fontId="0" fillId="0" borderId="0" xfId="0" applyNumberFormat="1" applyAlignment="1">
      <alignment horizontal="left"/>
    </xf>
    <xf numFmtId="170" fontId="0" fillId="0" borderId="0" xfId="0" applyNumberFormat="1" applyAlignment="1">
      <alignment/>
    </xf>
    <xf numFmtId="0" fontId="10" fillId="0" borderId="0" xfId="0" applyFont="1" applyAlignment="1">
      <alignment/>
    </xf>
    <xf numFmtId="0" fontId="0" fillId="0" borderId="0" xfId="0" applyFont="1" applyAlignment="1">
      <alignment horizontal="right"/>
    </xf>
    <xf numFmtId="0" fontId="11" fillId="0" borderId="0" xfId="0" applyFont="1" applyAlignment="1" quotePrefix="1">
      <alignment/>
    </xf>
    <xf numFmtId="0" fontId="11" fillId="0" borderId="0" xfId="0" applyFont="1" applyAlignment="1">
      <alignment/>
    </xf>
    <xf numFmtId="1" fontId="0" fillId="0" borderId="0" xfId="0" applyNumberFormat="1" applyAlignment="1">
      <alignment/>
    </xf>
    <xf numFmtId="169" fontId="0" fillId="2" borderId="0" xfId="0" applyNumberFormat="1" applyFill="1" applyAlignment="1">
      <alignment/>
    </xf>
    <xf numFmtId="0" fontId="9" fillId="3" borderId="0" xfId="0" applyFont="1" applyFill="1" applyAlignment="1">
      <alignment/>
    </xf>
    <xf numFmtId="0" fontId="9" fillId="3" borderId="0" xfId="0" applyFont="1" applyFill="1" applyAlignment="1">
      <alignment horizontal="right"/>
    </xf>
    <xf numFmtId="0" fontId="9" fillId="3" borderId="0" xfId="0" applyFont="1" applyFill="1" applyAlignment="1">
      <alignment horizontal="center"/>
    </xf>
    <xf numFmtId="0" fontId="0" fillId="3" borderId="0" xfId="0" applyFill="1" applyAlignment="1">
      <alignment/>
    </xf>
    <xf numFmtId="0" fontId="9" fillId="3" borderId="0" xfId="0" applyFont="1" applyFill="1" applyAlignment="1" quotePrefix="1">
      <alignment horizontal="center"/>
    </xf>
    <xf numFmtId="170" fontId="0" fillId="2" borderId="0" xfId="0" applyNumberFormat="1" applyFill="1" applyAlignment="1">
      <alignment/>
    </xf>
    <xf numFmtId="9" fontId="0" fillId="2" borderId="0" xfId="0" applyNumberFormat="1" applyFill="1" applyAlignment="1">
      <alignment/>
    </xf>
    <xf numFmtId="0" fontId="0" fillId="2" borderId="0" xfId="0" applyFill="1" applyAlignment="1">
      <alignment/>
    </xf>
    <xf numFmtId="1" fontId="0" fillId="2" borderId="0" xfId="0" applyNumberFormat="1" applyFill="1" applyAlignment="1">
      <alignment/>
    </xf>
    <xf numFmtId="168" fontId="0" fillId="2" borderId="0" xfId="0" applyNumberFormat="1" applyFill="1" applyAlignment="1">
      <alignment/>
    </xf>
    <xf numFmtId="170" fontId="5" fillId="2" borderId="0" xfId="0" applyNumberFormat="1" applyFont="1" applyFill="1" applyAlignment="1">
      <alignment/>
    </xf>
    <xf numFmtId="9" fontId="0" fillId="2" borderId="0" xfId="0" applyNumberFormat="1" applyFont="1" applyFill="1" applyAlignment="1">
      <alignment horizontal="right"/>
    </xf>
    <xf numFmtId="10" fontId="0" fillId="2" borderId="0" xfId="0" applyNumberFormat="1" applyFill="1" applyAlignment="1">
      <alignment/>
    </xf>
    <xf numFmtId="42" fontId="0" fillId="2" borderId="0" xfId="0" applyNumberFormat="1" applyFill="1" applyAlignment="1">
      <alignment/>
    </xf>
    <xf numFmtId="42" fontId="5" fillId="2" borderId="0" xfId="0" applyNumberFormat="1" applyFont="1" applyFill="1" applyAlignment="1">
      <alignment/>
    </xf>
    <xf numFmtId="14" fontId="0" fillId="0" borderId="0" xfId="0" applyNumberFormat="1" applyAlignment="1">
      <alignment/>
    </xf>
    <xf numFmtId="0" fontId="0" fillId="0" borderId="0" xfId="0" applyFont="1" applyAlignment="1">
      <alignment horizontal="justify"/>
    </xf>
    <xf numFmtId="0" fontId="9" fillId="0" borderId="0" xfId="0" applyFont="1" applyFill="1" applyAlignment="1">
      <alignment/>
    </xf>
    <xf numFmtId="0" fontId="9" fillId="0" borderId="0" xfId="0" applyFont="1" applyAlignment="1">
      <alignment/>
    </xf>
    <xf numFmtId="170" fontId="0" fillId="0" borderId="0" xfId="0" applyNumberFormat="1" applyFont="1" applyAlignment="1">
      <alignment horizontal="right"/>
    </xf>
    <xf numFmtId="1" fontId="0" fillId="0" borderId="0" xfId="0" applyNumberFormat="1" applyFont="1" applyAlignment="1">
      <alignment horizontal="right"/>
    </xf>
    <xf numFmtId="170" fontId="0" fillId="0" borderId="0" xfId="0" applyNumberFormat="1" applyAlignment="1">
      <alignment horizontal="right"/>
    </xf>
    <xf numFmtId="49" fontId="1" fillId="0" borderId="0" xfId="0" applyFont="1" applyFill="1" applyAlignment="1">
      <alignment horizontal="left"/>
    </xf>
    <xf numFmtId="0" fontId="5" fillId="0" borderId="0" xfId="0" applyFont="1" applyAlignment="1">
      <alignment horizontal="center"/>
    </xf>
    <xf numFmtId="2" fontId="5" fillId="0" borderId="0" xfId="0" applyNumberFormat="1" applyFont="1" applyAlignment="1">
      <alignment horizontal="center"/>
    </xf>
    <xf numFmtId="42" fontId="0" fillId="0" borderId="0" xfId="0" applyNumberFormat="1" applyAlignment="1">
      <alignment/>
    </xf>
    <xf numFmtId="42" fontId="5" fillId="0" borderId="0" xfId="0" applyNumberFormat="1" applyFont="1" applyAlignment="1">
      <alignment/>
    </xf>
    <xf numFmtId="0" fontId="12" fillId="0" borderId="0" xfId="0" applyFont="1" applyAlignment="1">
      <alignment/>
    </xf>
    <xf numFmtId="0" fontId="0" fillId="0" borderId="0" xfId="0" applyBorder="1" applyAlignment="1">
      <alignment/>
    </xf>
    <xf numFmtId="0" fontId="0" fillId="0" borderId="0" xfId="0" applyFill="1" applyBorder="1" applyAlignment="1">
      <alignment/>
    </xf>
    <xf numFmtId="0" fontId="5" fillId="0" borderId="0" xfId="0" applyFont="1" applyFill="1" applyAlignment="1">
      <alignment/>
    </xf>
    <xf numFmtId="0" fontId="0" fillId="0" borderId="0" xfId="0" applyFont="1" applyAlignment="1">
      <alignment horizontal="left" indent="2"/>
    </xf>
    <xf numFmtId="0" fontId="0" fillId="0" borderId="0" xfId="0" applyFont="1" applyAlignment="1">
      <alignment horizontal="left" indent="1"/>
    </xf>
    <xf numFmtId="49" fontId="1" fillId="0" borderId="0" xfId="0" applyNumberFormat="1" applyFont="1" applyFill="1" applyBorder="1" applyAlignment="1">
      <alignment/>
    </xf>
    <xf numFmtId="44" fontId="1" fillId="0" borderId="0" xfId="0" applyNumberFormat="1" applyFont="1" applyFill="1" applyBorder="1" applyAlignment="1">
      <alignment horizontal="center"/>
    </xf>
    <xf numFmtId="0" fontId="5" fillId="4" borderId="0" xfId="0" applyFont="1" applyFill="1" applyAlignment="1">
      <alignment/>
    </xf>
    <xf numFmtId="0" fontId="0" fillId="4" borderId="0" xfId="0" applyFont="1" applyFill="1" applyAlignment="1">
      <alignment/>
    </xf>
    <xf numFmtId="0" fontId="5" fillId="5" borderId="0" xfId="0" applyFont="1" applyFill="1" applyAlignment="1">
      <alignment/>
    </xf>
    <xf numFmtId="49" fontId="1" fillId="6" borderId="0" xfId="0" applyFont="1" applyFill="1" applyAlignment="1">
      <alignment horizontal="left"/>
    </xf>
    <xf numFmtId="49" fontId="1" fillId="7" borderId="0" xfId="0" applyFont="1" applyFill="1" applyAlignment="1">
      <alignment horizontal="left"/>
    </xf>
    <xf numFmtId="49" fontId="1" fillId="6" borderId="0" xfId="0" applyFill="1" applyAlignment="1">
      <alignment horizontal="left"/>
    </xf>
    <xf numFmtId="49" fontId="15" fillId="0" borderId="0" xfId="0" applyFont="1" applyAlignment="1">
      <alignment horizontal="left"/>
    </xf>
    <xf numFmtId="49" fontId="15" fillId="0" borderId="0" xfId="0" applyFont="1" applyFill="1" applyAlignment="1">
      <alignment horizontal="left"/>
    </xf>
    <xf numFmtId="0" fontId="0" fillId="3" borderId="0" xfId="0" applyFont="1" applyFill="1" applyAlignment="1">
      <alignment horizontal="right"/>
    </xf>
    <xf numFmtId="0" fontId="0" fillId="0" borderId="0" xfId="0" applyFill="1" applyAlignment="1">
      <alignment/>
    </xf>
    <xf numFmtId="169" fontId="0" fillId="0" borderId="0" xfId="0" applyNumberFormat="1" applyFill="1" applyAlignment="1">
      <alignment/>
    </xf>
    <xf numFmtId="0" fontId="9" fillId="0" borderId="0" xfId="0" applyFont="1" applyFill="1" applyAlignment="1">
      <alignment horizontal="right"/>
    </xf>
    <xf numFmtId="0" fontId="9" fillId="0" borderId="0" xfId="0" applyFont="1" applyFill="1" applyAlignment="1">
      <alignment horizontal="center"/>
    </xf>
    <xf numFmtId="0" fontId="9" fillId="0" borderId="0" xfId="0" applyFont="1" applyFill="1" applyAlignment="1" quotePrefix="1">
      <alignment horizontal="center"/>
    </xf>
    <xf numFmtId="0" fontId="11" fillId="0" borderId="0" xfId="0" applyFont="1" applyFill="1" applyAlignment="1">
      <alignment/>
    </xf>
    <xf numFmtId="170" fontId="0" fillId="0" borderId="0" xfId="0" applyNumberFormat="1" applyFill="1" applyAlignment="1">
      <alignment/>
    </xf>
    <xf numFmtId="1" fontId="0" fillId="0" borderId="0" xfId="0" applyNumberFormat="1" applyFill="1" applyAlignment="1">
      <alignment/>
    </xf>
    <xf numFmtId="9" fontId="0" fillId="0" borderId="0" xfId="0" applyNumberFormat="1" applyFill="1" applyAlignment="1">
      <alignment/>
    </xf>
    <xf numFmtId="168" fontId="0" fillId="0" borderId="0" xfId="0" applyNumberFormat="1" applyFill="1" applyAlignment="1">
      <alignment/>
    </xf>
    <xf numFmtId="170" fontId="5" fillId="0" borderId="0" xfId="0" applyNumberFormat="1" applyFont="1" applyFill="1" applyAlignment="1">
      <alignment/>
    </xf>
    <xf numFmtId="9" fontId="0" fillId="0" borderId="0" xfId="0" applyNumberFormat="1" applyFont="1" applyFill="1" applyAlignment="1">
      <alignment horizontal="right"/>
    </xf>
    <xf numFmtId="10" fontId="0" fillId="0" borderId="0" xfId="0" applyNumberFormat="1" applyFill="1" applyAlignment="1">
      <alignment/>
    </xf>
    <xf numFmtId="42" fontId="5" fillId="0" borderId="0" xfId="0" applyNumberFormat="1" applyFont="1" applyFill="1" applyAlignment="1">
      <alignment/>
    </xf>
    <xf numFmtId="42" fontId="0" fillId="0" borderId="0" xfId="0" applyNumberFormat="1" applyFill="1" applyAlignment="1">
      <alignment/>
    </xf>
    <xf numFmtId="0" fontId="0" fillId="0" borderId="0" xfId="0" applyNumberFormat="1" applyAlignment="1" quotePrefix="1">
      <alignment/>
    </xf>
    <xf numFmtId="0" fontId="16" fillId="0" borderId="0" xfId="0" applyFont="1" applyAlignment="1">
      <alignment/>
    </xf>
    <xf numFmtId="0" fontId="16" fillId="0" borderId="0" xfId="0" applyFont="1" applyAlignment="1">
      <alignment horizontal="center"/>
    </xf>
    <xf numFmtId="10" fontId="16" fillId="0" borderId="0" xfId="0" applyNumberFormat="1" applyFont="1" applyAlignment="1">
      <alignment horizontal="center"/>
    </xf>
    <xf numFmtId="9" fontId="16" fillId="0" borderId="0" xfId="0" applyNumberFormat="1" applyFont="1" applyAlignment="1">
      <alignment horizontal="center"/>
    </xf>
    <xf numFmtId="0" fontId="17" fillId="0" borderId="0" xfId="0" applyFont="1" applyAlignment="1">
      <alignment/>
    </xf>
    <xf numFmtId="0" fontId="17" fillId="0" borderId="0" xfId="0" applyFont="1" applyAlignment="1">
      <alignment horizontal="center"/>
    </xf>
    <xf numFmtId="42" fontId="17" fillId="0" borderId="0" xfId="0" applyNumberFormat="1" applyFont="1" applyAlignment="1">
      <alignment horizontal="center"/>
    </xf>
    <xf numFmtId="42" fontId="17" fillId="0" borderId="0" xfId="0" applyNumberFormat="1" applyFont="1" applyAlignment="1">
      <alignment/>
    </xf>
    <xf numFmtId="42" fontId="16" fillId="0" borderId="0" xfId="0" applyNumberFormat="1" applyFont="1" applyAlignment="1">
      <alignment horizontal="center"/>
    </xf>
    <xf numFmtId="42" fontId="16" fillId="0" borderId="0" xfId="0" applyNumberFormat="1" applyFont="1" applyAlignment="1">
      <alignment/>
    </xf>
    <xf numFmtId="44" fontId="0" fillId="0" borderId="0" xfId="19" applyNumberFormat="1" applyAlignment="1">
      <alignment horizontal="left"/>
    </xf>
    <xf numFmtId="10" fontId="0" fillId="0" borderId="0" xfId="19" applyNumberFormat="1" applyAlignment="1">
      <alignment/>
    </xf>
    <xf numFmtId="171" fontId="0" fillId="0" borderId="0" xfId="19" applyNumberFormat="1" applyAlignment="1">
      <alignment/>
    </xf>
    <xf numFmtId="9" fontId="0" fillId="0" borderId="0" xfId="0" applyNumberFormat="1" applyFont="1" applyAlignment="1">
      <alignment/>
    </xf>
    <xf numFmtId="0" fontId="12" fillId="0" borderId="0" xfId="0" applyNumberFormat="1" applyFont="1" applyAlignment="1">
      <alignment horizontal="center"/>
    </xf>
    <xf numFmtId="0" fontId="12" fillId="0" borderId="0" xfId="0" applyFont="1" applyAlignment="1">
      <alignment horizontal="center"/>
    </xf>
    <xf numFmtId="0" fontId="0" fillId="0" borderId="0" xfId="0" applyBorder="1" applyAlignment="1">
      <alignment horizontal="center"/>
    </xf>
    <xf numFmtId="14" fontId="6" fillId="0" borderId="0" xfId="0" applyNumberFormat="1" applyFont="1" applyAlignment="1">
      <alignment horizontal="left"/>
    </xf>
    <xf numFmtId="14" fontId="0" fillId="0" borderId="0" xfId="0" applyNumberFormat="1" applyAlignment="1">
      <alignment horizontal="left"/>
    </xf>
    <xf numFmtId="170" fontId="0" fillId="0" borderId="0" xfId="0" applyNumberFormat="1" applyAlignment="1">
      <alignment horizontal="left"/>
    </xf>
    <xf numFmtId="4" fontId="0" fillId="0" borderId="0" xfId="0" applyNumberFormat="1" applyAlignment="1">
      <alignment horizontal="left"/>
    </xf>
    <xf numFmtId="169" fontId="0" fillId="0" borderId="0" xfId="0" applyNumberFormat="1" applyAlignment="1">
      <alignment/>
    </xf>
    <xf numFmtId="170" fontId="0" fillId="0" borderId="0" xfId="0" applyNumberFormat="1" applyFont="1" applyAlignment="1">
      <alignment horizontal="left"/>
    </xf>
    <xf numFmtId="3" fontId="0" fillId="0" borderId="0" xfId="0" applyNumberFormat="1" applyFont="1" applyAlignment="1">
      <alignment horizontal="left"/>
    </xf>
    <xf numFmtId="170" fontId="18" fillId="0" borderId="0" xfId="0" applyNumberFormat="1" applyFont="1" applyAlignment="1">
      <alignment horizontal="left"/>
    </xf>
    <xf numFmtId="170" fontId="2" fillId="0" borderId="0" xfId="0" applyNumberFormat="1" applyFont="1" applyAlignment="1">
      <alignment horizontal="left"/>
    </xf>
    <xf numFmtId="170" fontId="19" fillId="0" borderId="0" xfId="0" applyNumberFormat="1" applyFont="1" applyAlignment="1">
      <alignment horizontal="left"/>
    </xf>
    <xf numFmtId="170" fontId="5" fillId="0" borderId="0" xfId="0" applyNumberFormat="1" applyFont="1" applyAlignment="1">
      <alignment horizontal="left"/>
    </xf>
    <xf numFmtId="3" fontId="2" fillId="0" borderId="0" xfId="0" applyNumberFormat="1" applyFont="1" applyAlignment="1">
      <alignment horizontal="left"/>
    </xf>
    <xf numFmtId="2" fontId="5" fillId="0" borderId="0" xfId="0" applyNumberFormat="1" applyFont="1" applyAlignment="1">
      <alignment/>
    </xf>
    <xf numFmtId="170" fontId="5" fillId="0" borderId="0" xfId="0" applyNumberFormat="1" applyFont="1" applyAlignment="1">
      <alignment/>
    </xf>
    <xf numFmtId="6" fontId="9" fillId="0" borderId="0" xfId="0" applyNumberFormat="1" applyFont="1" applyAlignment="1">
      <alignment horizontal="center"/>
    </xf>
    <xf numFmtId="0" fontId="5" fillId="0" borderId="4" xfId="0" applyFont="1" applyBorder="1" applyAlignment="1">
      <alignment/>
    </xf>
    <xf numFmtId="0" fontId="0" fillId="0" borderId="5" xfId="0" applyBorder="1" applyAlignment="1">
      <alignment/>
    </xf>
    <xf numFmtId="0" fontId="5" fillId="0" borderId="6" xfId="0" applyFont="1" applyBorder="1" applyAlignment="1">
      <alignment/>
    </xf>
    <xf numFmtId="44" fontId="0" fillId="0" borderId="7" xfId="0" applyNumberFormat="1" applyBorder="1" applyAlignment="1">
      <alignment/>
    </xf>
    <xf numFmtId="0" fontId="0" fillId="0" borderId="7" xfId="0" applyBorder="1" applyAlignment="1">
      <alignment/>
    </xf>
    <xf numFmtId="0" fontId="0" fillId="0" borderId="8" xfId="0" applyBorder="1" applyAlignment="1">
      <alignment/>
    </xf>
    <xf numFmtId="0" fontId="0" fillId="0" borderId="4" xfId="0" applyBorder="1" applyAlignment="1">
      <alignment/>
    </xf>
    <xf numFmtId="0" fontId="5" fillId="0" borderId="0" xfId="0" applyFont="1" applyBorder="1" applyAlignment="1">
      <alignment horizontal="center"/>
    </xf>
    <xf numFmtId="42" fontId="0" fillId="0" borderId="0" xfId="0" applyNumberFormat="1" applyBorder="1" applyAlignment="1">
      <alignment/>
    </xf>
    <xf numFmtId="0" fontId="5" fillId="0" borderId="5" xfId="0" applyFont="1" applyBorder="1" applyAlignment="1">
      <alignment/>
    </xf>
    <xf numFmtId="0" fontId="5" fillId="0" borderId="2" xfId="0" applyFont="1" applyBorder="1" applyAlignment="1">
      <alignment horizontal="center"/>
    </xf>
    <xf numFmtId="42" fontId="5" fillId="0" borderId="3" xfId="0" applyNumberFormat="1" applyFont="1" applyBorder="1" applyAlignment="1">
      <alignment/>
    </xf>
    <xf numFmtId="10" fontId="0" fillId="0" borderId="0" xfId="0" applyNumberFormat="1" applyBorder="1" applyAlignment="1">
      <alignment/>
    </xf>
    <xf numFmtId="42" fontId="0" fillId="0" borderId="0" xfId="0" applyNumberFormat="1" applyFill="1" applyBorder="1" applyAlignment="1">
      <alignment/>
    </xf>
    <xf numFmtId="42" fontId="0" fillId="0" borderId="5" xfId="0" applyNumberFormat="1" applyFill="1" applyBorder="1" applyAlignment="1">
      <alignment/>
    </xf>
    <xf numFmtId="0" fontId="0" fillId="0" borderId="4" xfId="0" applyFont="1" applyBorder="1" applyAlignment="1">
      <alignment/>
    </xf>
    <xf numFmtId="42" fontId="0" fillId="0" borderId="0" xfId="0" applyNumberFormat="1" applyFont="1" applyBorder="1" applyAlignment="1">
      <alignment/>
    </xf>
    <xf numFmtId="42" fontId="5" fillId="0" borderId="0" xfId="0" applyNumberFormat="1" applyFont="1" applyBorder="1" applyAlignment="1">
      <alignment/>
    </xf>
    <xf numFmtId="42" fontId="5" fillId="0" borderId="5" xfId="0" applyNumberFormat="1" applyFont="1" applyBorder="1" applyAlignment="1">
      <alignment/>
    </xf>
    <xf numFmtId="9" fontId="0" fillId="0" borderId="0" xfId="0" applyNumberFormat="1" applyFont="1" applyBorder="1" applyAlignment="1">
      <alignment/>
    </xf>
    <xf numFmtId="9" fontId="0" fillId="0" borderId="5" xfId="0" applyNumberFormat="1" applyFont="1" applyBorder="1" applyAlignment="1">
      <alignment/>
    </xf>
    <xf numFmtId="0" fontId="5" fillId="0" borderId="9" xfId="0" applyFont="1" applyBorder="1" applyAlignment="1">
      <alignment/>
    </xf>
    <xf numFmtId="10" fontId="0" fillId="0" borderId="10" xfId="0" applyNumberFormat="1" applyBorder="1" applyAlignment="1">
      <alignment/>
    </xf>
    <xf numFmtId="42" fontId="5" fillId="0" borderId="10" xfId="0" applyNumberFormat="1" applyFont="1" applyBorder="1" applyAlignment="1">
      <alignment/>
    </xf>
    <xf numFmtId="42" fontId="5" fillId="0" borderId="11" xfId="0" applyNumberFormat="1" applyFont="1" applyBorder="1" applyAlignment="1">
      <alignment/>
    </xf>
    <xf numFmtId="42" fontId="0" fillId="0" borderId="5" xfId="0" applyNumberFormat="1" applyBorder="1" applyAlignment="1">
      <alignment/>
    </xf>
    <xf numFmtId="10" fontId="5" fillId="0" borderId="0" xfId="0" applyNumberFormat="1" applyFont="1" applyBorder="1" applyAlignment="1">
      <alignment/>
    </xf>
    <xf numFmtId="0" fontId="0" fillId="0" borderId="5" xfId="0" applyFill="1" applyBorder="1" applyAlignment="1">
      <alignment/>
    </xf>
    <xf numFmtId="42" fontId="5" fillId="0" borderId="5" xfId="0" applyNumberFormat="1" applyFont="1" applyFill="1" applyBorder="1" applyAlignment="1">
      <alignment/>
    </xf>
    <xf numFmtId="9" fontId="0" fillId="0" borderId="5" xfId="0" applyNumberFormat="1" applyFont="1" applyFill="1" applyBorder="1" applyAlignment="1">
      <alignment/>
    </xf>
    <xf numFmtId="0" fontId="0" fillId="0" borderId="10" xfId="0" applyBorder="1" applyAlignment="1">
      <alignment/>
    </xf>
    <xf numFmtId="0" fontId="5" fillId="0" borderId="9" xfId="0" applyFont="1" applyBorder="1" applyAlignment="1">
      <alignment horizontal="left"/>
    </xf>
    <xf numFmtId="0" fontId="0" fillId="0" borderId="4" xfId="0" applyBorder="1" applyAlignment="1">
      <alignment horizontal="left"/>
    </xf>
    <xf numFmtId="0" fontId="5" fillId="5" borderId="1" xfId="0" applyFont="1" applyFill="1" applyBorder="1" applyAlignment="1">
      <alignment horizontal="left"/>
    </xf>
    <xf numFmtId="10" fontId="0" fillId="5" borderId="2" xfId="0" applyNumberFormat="1" applyFill="1" applyBorder="1" applyAlignment="1">
      <alignment/>
    </xf>
    <xf numFmtId="42" fontId="5" fillId="5" borderId="2" xfId="0" applyNumberFormat="1" applyFont="1" applyFill="1" applyBorder="1" applyAlignment="1">
      <alignment/>
    </xf>
    <xf numFmtId="42" fontId="5" fillId="5" borderId="3" xfId="0" applyNumberFormat="1" applyFont="1" applyFill="1" applyBorder="1" applyAlignment="1">
      <alignment/>
    </xf>
    <xf numFmtId="9" fontId="0" fillId="0" borderId="0" xfId="0" applyNumberFormat="1" applyBorder="1" applyAlignment="1">
      <alignment/>
    </xf>
    <xf numFmtId="9" fontId="0" fillId="0" borderId="5" xfId="0" applyNumberFormat="1" applyBorder="1" applyAlignment="1">
      <alignment/>
    </xf>
    <xf numFmtId="9" fontId="0" fillId="0" borderId="10" xfId="0" applyNumberFormat="1" applyBorder="1" applyAlignment="1">
      <alignment/>
    </xf>
    <xf numFmtId="0" fontId="5" fillId="5" borderId="1" xfId="0" applyFont="1" applyFill="1" applyBorder="1" applyAlignment="1">
      <alignment/>
    </xf>
    <xf numFmtId="0" fontId="0" fillId="5" borderId="2" xfId="0" applyFill="1" applyBorder="1" applyAlignment="1">
      <alignment/>
    </xf>
    <xf numFmtId="0" fontId="5" fillId="5" borderId="12" xfId="0" applyFont="1" applyFill="1"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left"/>
    </xf>
    <xf numFmtId="0" fontId="9" fillId="0" borderId="0" xfId="0" applyFont="1" applyBorder="1" applyAlignment="1">
      <alignment horizontal="left"/>
    </xf>
    <xf numFmtId="0" fontId="5" fillId="0" borderId="0" xfId="0" applyFont="1" applyFill="1" applyBorder="1" applyAlignment="1">
      <alignment/>
    </xf>
    <xf numFmtId="0" fontId="20" fillId="0" borderId="0" xfId="0" applyFont="1" applyAlignment="1">
      <alignment/>
    </xf>
    <xf numFmtId="0" fontId="0" fillId="0" borderId="0" xfId="0" applyFont="1" applyFill="1" applyAlignment="1">
      <alignment/>
    </xf>
    <xf numFmtId="49" fontId="1" fillId="8" borderId="0" xfId="0" applyFont="1" applyFill="1" applyAlignment="1">
      <alignment horizontal="left"/>
    </xf>
    <xf numFmtId="3" fontId="0" fillId="0" borderId="0" xfId="0" applyNumberFormat="1" applyFill="1" applyAlignment="1">
      <alignment/>
    </xf>
    <xf numFmtId="49" fontId="1" fillId="0" borderId="0" xfId="0" applyBorder="1" applyAlignment="1">
      <alignment horizontal="left"/>
    </xf>
    <xf numFmtId="49" fontId="1" fillId="7" borderId="0" xfId="0" applyFont="1" applyFill="1" applyBorder="1" applyAlignment="1">
      <alignment horizontal="left"/>
    </xf>
    <xf numFmtId="49" fontId="1" fillId="0" borderId="0" xfId="0" applyFont="1" applyBorder="1" applyAlignment="1">
      <alignment horizontal="left"/>
    </xf>
    <xf numFmtId="170" fontId="0" fillId="0" borderId="0" xfId="0" applyNumberFormat="1" applyBorder="1" applyAlignment="1">
      <alignment/>
    </xf>
    <xf numFmtId="44" fontId="0" fillId="0" borderId="0" xfId="21" applyAlignment="1">
      <alignment/>
    </xf>
    <xf numFmtId="44" fontId="0" fillId="0" borderId="0" xfId="21" applyFont="1" applyAlignment="1">
      <alignment/>
    </xf>
    <xf numFmtId="0" fontId="0" fillId="0" borderId="15" xfId="0" applyBorder="1" applyAlignment="1">
      <alignment/>
    </xf>
    <xf numFmtId="0" fontId="5" fillId="0" borderId="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21" fillId="0" borderId="4" xfId="0" applyFont="1" applyBorder="1" applyAlignment="1">
      <alignment/>
    </xf>
    <xf numFmtId="0" fontId="22" fillId="0" borderId="0" xfId="0" applyFont="1" applyBorder="1" applyAlignment="1">
      <alignment/>
    </xf>
    <xf numFmtId="42" fontId="21" fillId="0" borderId="0" xfId="0" applyNumberFormat="1" applyFont="1" applyBorder="1" applyAlignment="1">
      <alignment/>
    </xf>
    <xf numFmtId="42" fontId="21" fillId="0" borderId="5" xfId="0" applyNumberFormat="1" applyFont="1" applyBorder="1" applyAlignment="1">
      <alignment/>
    </xf>
    <xf numFmtId="0" fontId="21" fillId="0" borderId="6" xfId="0" applyFont="1" applyBorder="1" applyAlignment="1">
      <alignment/>
    </xf>
    <xf numFmtId="0" fontId="22" fillId="0" borderId="7" xfId="0" applyFont="1" applyBorder="1" applyAlignment="1">
      <alignment/>
    </xf>
    <xf numFmtId="42" fontId="21" fillId="0" borderId="7" xfId="0" applyNumberFormat="1" applyFont="1" applyBorder="1" applyAlignment="1">
      <alignment/>
    </xf>
    <xf numFmtId="42" fontId="21" fillId="0" borderId="8" xfId="0" applyNumberFormat="1" applyFont="1" applyBorder="1" applyAlignment="1">
      <alignment/>
    </xf>
    <xf numFmtId="2" fontId="0" fillId="0" borderId="0" xfId="0" applyNumberFormat="1" applyBorder="1" applyAlignment="1">
      <alignment horizontal="center"/>
    </xf>
    <xf numFmtId="2" fontId="5" fillId="0" borderId="0" xfId="0" applyNumberFormat="1" applyFont="1" applyBorder="1" applyAlignment="1">
      <alignment horizontal="center"/>
    </xf>
    <xf numFmtId="2" fontId="0" fillId="0" borderId="5" xfId="0" applyNumberFormat="1" applyBorder="1" applyAlignment="1">
      <alignment horizontal="center"/>
    </xf>
    <xf numFmtId="2" fontId="5" fillId="0" borderId="7" xfId="0" applyNumberFormat="1" applyFont="1" applyBorder="1" applyAlignment="1">
      <alignment horizontal="center"/>
    </xf>
    <xf numFmtId="2" fontId="5" fillId="0" borderId="8" xfId="0" applyNumberFormat="1" applyFont="1" applyBorder="1" applyAlignment="1">
      <alignment horizontal="center"/>
    </xf>
    <xf numFmtId="0" fontId="9" fillId="3" borderId="16" xfId="0" applyFont="1" applyFill="1" applyBorder="1" applyAlignment="1">
      <alignment horizontal="center"/>
    </xf>
    <xf numFmtId="0" fontId="9" fillId="3" borderId="17" xfId="0" applyFont="1" applyFill="1" applyBorder="1" applyAlignment="1">
      <alignment horizontal="center"/>
    </xf>
    <xf numFmtId="0" fontId="9" fillId="3" borderId="18" xfId="0" applyFont="1" applyFill="1" applyBorder="1" applyAlignment="1">
      <alignment horizontal="center"/>
    </xf>
    <xf numFmtId="170" fontId="1" fillId="2" borderId="0" xfId="0" applyNumberFormat="1" applyFont="1" applyFill="1" applyAlignment="1">
      <alignment/>
    </xf>
    <xf numFmtId="1" fontId="1" fillId="0" borderId="0" xfId="0" applyNumberFormat="1" applyFont="1" applyAlignment="1">
      <alignment/>
    </xf>
    <xf numFmtId="0" fontId="1" fillId="0" borderId="0" xfId="0" applyFont="1" applyAlignment="1">
      <alignment/>
    </xf>
    <xf numFmtId="9" fontId="1" fillId="2" borderId="0" xfId="0" applyNumberFormat="1" applyFont="1" applyFill="1" applyAlignment="1">
      <alignment/>
    </xf>
    <xf numFmtId="7" fontId="0" fillId="0" borderId="0" xfId="0" applyNumberFormat="1" applyAlignment="1">
      <alignment/>
    </xf>
    <xf numFmtId="0" fontId="0" fillId="0" borderId="0" xfId="0" applyFont="1" applyFill="1" applyAlignment="1">
      <alignment horizontal="justify"/>
    </xf>
    <xf numFmtId="0" fontId="0" fillId="0" borderId="0" xfId="0" applyFont="1" applyFill="1" applyAlignment="1">
      <alignment horizontal="right"/>
    </xf>
    <xf numFmtId="0" fontId="0" fillId="0" borderId="0" xfId="0" applyFont="1" applyFill="1" applyAlignment="1">
      <alignment horizontal="left"/>
    </xf>
    <xf numFmtId="0" fontId="0" fillId="0" borderId="0" xfId="0" applyFill="1" applyAlignment="1">
      <alignment horizontal="left"/>
    </xf>
    <xf numFmtId="0" fontId="5" fillId="0" borderId="0" xfId="0" applyFont="1" applyFill="1" applyAlignment="1">
      <alignment horizontal="left"/>
    </xf>
    <xf numFmtId="0" fontId="11" fillId="0" borderId="0" xfId="0" applyFont="1" applyAlignment="1">
      <alignment/>
    </xf>
    <xf numFmtId="0" fontId="5" fillId="0" borderId="0" xfId="0" applyFont="1" applyAlignment="1">
      <alignment horizontal="justify"/>
    </xf>
    <xf numFmtId="0" fontId="5" fillId="0" borderId="0" xfId="0" applyFont="1" applyAlignment="1">
      <alignment horizontal="left" indent="1"/>
    </xf>
    <xf numFmtId="0" fontId="0" fillId="0" borderId="0" xfId="0" applyFont="1" applyAlignment="1">
      <alignment horizontal="left" indent="3"/>
    </xf>
    <xf numFmtId="0" fontId="9" fillId="0" borderId="0" xfId="0" applyFont="1" applyAlignment="1">
      <alignment horizontal="left" indent="1"/>
    </xf>
    <xf numFmtId="0" fontId="11" fillId="0" borderId="0" xfId="0" applyFont="1" applyAlignment="1">
      <alignment horizontal="left" indent="2"/>
    </xf>
    <xf numFmtId="0" fontId="0" fillId="0" borderId="0" xfId="0" applyAlignment="1">
      <alignment horizontal="left" indent="2"/>
    </xf>
    <xf numFmtId="0" fontId="0" fillId="0" borderId="0" xfId="0" applyAlignment="1">
      <alignment horizontal="left" indent="3"/>
    </xf>
    <xf numFmtId="0" fontId="0" fillId="0" borderId="0" xfId="0" applyAlignment="1">
      <alignment horizontal="left" indent="4"/>
    </xf>
    <xf numFmtId="0" fontId="5" fillId="0" borderId="0" xfId="0" applyFont="1" applyFill="1" applyAlignment="1">
      <alignment horizontal="justify"/>
    </xf>
    <xf numFmtId="0" fontId="15" fillId="0" borderId="0" xfId="0" applyFont="1" applyAlignment="1">
      <alignment/>
    </xf>
    <xf numFmtId="49" fontId="1" fillId="9" borderId="0" xfId="0" applyFill="1" applyAlignment="1">
      <alignment horizontal="left"/>
    </xf>
    <xf numFmtId="49" fontId="1" fillId="9" borderId="0" xfId="0" applyFont="1" applyFill="1" applyAlignment="1">
      <alignment horizontal="left"/>
    </xf>
    <xf numFmtId="0" fontId="0" fillId="0" borderId="0" xfId="0" applyAlignment="1">
      <alignment wrapText="1"/>
    </xf>
    <xf numFmtId="2" fontId="5" fillId="0" borderId="0" xfId="0" applyNumberFormat="1" applyFont="1" applyBorder="1" applyAlignment="1">
      <alignment/>
    </xf>
    <xf numFmtId="0" fontId="0" fillId="5" borderId="13" xfId="0" applyFill="1" applyBorder="1" applyAlignment="1">
      <alignment/>
    </xf>
    <xf numFmtId="0" fontId="0" fillId="5" borderId="14" xfId="0" applyFill="1" applyBorder="1" applyAlignment="1">
      <alignment/>
    </xf>
    <xf numFmtId="0" fontId="21" fillId="0" borderId="0" xfId="0" applyFont="1" applyAlignment="1">
      <alignment/>
    </xf>
    <xf numFmtId="0" fontId="23" fillId="0" borderId="0" xfId="0" applyFont="1" applyAlignment="1">
      <alignment/>
    </xf>
    <xf numFmtId="0" fontId="0" fillId="0" borderId="0" xfId="0" applyAlignment="1">
      <alignment horizontal="right"/>
    </xf>
    <xf numFmtId="0" fontId="20" fillId="0" borderId="0" xfId="0" applyFont="1" applyAlignment="1">
      <alignment/>
    </xf>
    <xf numFmtId="44" fontId="0" fillId="10" borderId="0" xfId="20" applyNumberFormat="1" applyFill="1" applyAlignment="1">
      <alignment horizontal="left"/>
    </xf>
    <xf numFmtId="44" fontId="0" fillId="10" borderId="0" xfId="0" applyNumberFormat="1" applyFill="1" applyAlignment="1">
      <alignment horizontal="left"/>
    </xf>
    <xf numFmtId="44" fontId="0" fillId="10" borderId="0" xfId="0" applyNumberFormat="1" applyFill="1" applyAlignment="1">
      <alignment/>
    </xf>
    <xf numFmtId="0" fontId="9" fillId="0" borderId="4" xfId="0" applyFont="1" applyBorder="1" applyAlignment="1">
      <alignment/>
    </xf>
    <xf numFmtId="10" fontId="0" fillId="0" borderId="7" xfId="0" applyNumberFormat="1" applyBorder="1" applyAlignment="1">
      <alignment/>
    </xf>
    <xf numFmtId="42" fontId="5" fillId="0" borderId="7" xfId="0" applyNumberFormat="1" applyFont="1" applyBorder="1" applyAlignment="1">
      <alignment/>
    </xf>
    <xf numFmtId="42" fontId="5" fillId="0" borderId="8" xfId="0" applyNumberFormat="1" applyFont="1" applyBorder="1" applyAlignment="1">
      <alignment/>
    </xf>
    <xf numFmtId="0" fontId="5" fillId="0" borderId="15" xfId="0" applyFont="1" applyBorder="1" applyAlignment="1">
      <alignment/>
    </xf>
    <xf numFmtId="42" fontId="0" fillId="0" borderId="7" xfId="0" applyNumberFormat="1" applyBorder="1" applyAlignment="1">
      <alignment/>
    </xf>
    <xf numFmtId="0" fontId="0" fillId="0" borderId="13" xfId="0" applyFill="1" applyBorder="1" applyAlignment="1">
      <alignment/>
    </xf>
    <xf numFmtId="42" fontId="5" fillId="0" borderId="13" xfId="0" applyNumberFormat="1" applyFont="1" applyFill="1" applyBorder="1" applyAlignment="1">
      <alignment/>
    </xf>
    <xf numFmtId="0" fontId="5" fillId="0" borderId="4" xfId="0" applyFont="1" applyFill="1" applyBorder="1" applyAlignment="1">
      <alignment/>
    </xf>
    <xf numFmtId="42" fontId="5" fillId="0" borderId="0" xfId="0" applyNumberFormat="1" applyFont="1" applyFill="1" applyBorder="1" applyAlignment="1">
      <alignment/>
    </xf>
    <xf numFmtId="0" fontId="0" fillId="0" borderId="4" xfId="0" applyFont="1" applyFill="1" applyBorder="1" applyAlignment="1">
      <alignment/>
    </xf>
    <xf numFmtId="0" fontId="5" fillId="5" borderId="0" xfId="0" applyFont="1" applyFill="1" applyBorder="1" applyAlignment="1">
      <alignment/>
    </xf>
    <xf numFmtId="0" fontId="0" fillId="5" borderId="0" xfId="0" applyFill="1" applyBorder="1" applyAlignment="1">
      <alignment/>
    </xf>
    <xf numFmtId="42" fontId="5" fillId="5" borderId="0" xfId="0" applyNumberFormat="1" applyFont="1" applyFill="1" applyBorder="1" applyAlignment="1">
      <alignment/>
    </xf>
    <xf numFmtId="0" fontId="5" fillId="0" borderId="13" xfId="0" applyFont="1" applyBorder="1" applyAlignment="1">
      <alignment/>
    </xf>
    <xf numFmtId="0" fontId="5" fillId="0" borderId="4" xfId="0" applyFont="1" applyBorder="1" applyAlignment="1">
      <alignment horizontal="left"/>
    </xf>
    <xf numFmtId="0" fontId="0" fillId="0" borderId="6" xfId="0" applyFont="1" applyBorder="1" applyAlignment="1">
      <alignment/>
    </xf>
    <xf numFmtId="42" fontId="0" fillId="0" borderId="8" xfId="0" applyNumberFormat="1" applyBorder="1" applyAlignment="1">
      <alignment/>
    </xf>
    <xf numFmtId="42" fontId="5" fillId="0" borderId="13" xfId="0" applyNumberFormat="1" applyFont="1" applyBorder="1" applyAlignment="1">
      <alignment/>
    </xf>
    <xf numFmtId="0" fontId="5" fillId="0" borderId="14" xfId="0" applyFont="1" applyBorder="1" applyAlignment="1">
      <alignment/>
    </xf>
    <xf numFmtId="49" fontId="5" fillId="5" borderId="19" xfId="0" applyNumberFormat="1" applyFont="1" applyFill="1" applyBorder="1" applyAlignment="1">
      <alignment horizontal="center"/>
    </xf>
    <xf numFmtId="42" fontId="5" fillId="5" borderId="19" xfId="0" applyNumberFormat="1" applyFont="1" applyFill="1" applyBorder="1" applyAlignment="1">
      <alignment horizontal="center"/>
    </xf>
    <xf numFmtId="0" fontId="5" fillId="5" borderId="19" xfId="0" applyFont="1" applyFill="1" applyBorder="1" applyAlignment="1">
      <alignment horizontal="center"/>
    </xf>
    <xf numFmtId="49" fontId="5" fillId="0" borderId="0" xfId="0" applyNumberFormat="1" applyFont="1" applyBorder="1" applyAlignment="1">
      <alignment horizontal="center"/>
    </xf>
    <xf numFmtId="37" fontId="5" fillId="0" borderId="0" xfId="0" applyNumberFormat="1" applyFont="1" applyBorder="1" applyAlignment="1">
      <alignment horizontal="center"/>
    </xf>
    <xf numFmtId="0" fontId="5" fillId="0" borderId="4" xfId="0" applyFont="1" applyBorder="1" applyAlignment="1">
      <alignment horizontal="right"/>
    </xf>
    <xf numFmtId="1" fontId="0" fillId="0" borderId="0" xfId="0" applyNumberFormat="1" applyFont="1" applyBorder="1" applyAlignment="1">
      <alignment horizontal="center"/>
    </xf>
    <xf numFmtId="42" fontId="5" fillId="0" borderId="0" xfId="0" applyNumberFormat="1" applyFont="1" applyBorder="1" applyAlignment="1">
      <alignment horizontal="center"/>
    </xf>
    <xf numFmtId="0" fontId="0" fillId="5" borderId="19" xfId="0" applyFill="1" applyBorder="1" applyAlignment="1">
      <alignment/>
    </xf>
    <xf numFmtId="0" fontId="5" fillId="0" borderId="4" xfId="0" applyFont="1" applyFill="1" applyBorder="1" applyAlignment="1">
      <alignment horizontal="center"/>
    </xf>
    <xf numFmtId="0" fontId="5" fillId="0" borderId="4" xfId="0" applyFont="1" applyFill="1" applyBorder="1" applyAlignment="1">
      <alignment horizontal="left"/>
    </xf>
    <xf numFmtId="42" fontId="5" fillId="5" borderId="19" xfId="0" applyNumberFormat="1" applyFont="1" applyFill="1" applyBorder="1" applyAlignment="1">
      <alignment/>
    </xf>
    <xf numFmtId="225" fontId="0" fillId="0" borderId="0" xfId="0" applyNumberFormat="1" applyBorder="1" applyAlignment="1">
      <alignment/>
    </xf>
    <xf numFmtId="225" fontId="0" fillId="0" borderId="5" xfId="0" applyNumberFormat="1" applyBorder="1" applyAlignment="1">
      <alignment/>
    </xf>
    <xf numFmtId="0" fontId="5" fillId="0" borderId="6" xfId="0" applyFont="1" applyBorder="1" applyAlignment="1">
      <alignment horizontal="right"/>
    </xf>
    <xf numFmtId="225" fontId="0" fillId="0" borderId="7" xfId="0" applyNumberFormat="1" applyBorder="1" applyAlignment="1">
      <alignment/>
    </xf>
    <xf numFmtId="225" fontId="0" fillId="0" borderId="8" xfId="0" applyNumberFormat="1" applyBorder="1" applyAlignment="1">
      <alignment/>
    </xf>
    <xf numFmtId="42" fontId="0" fillId="0" borderId="0" xfId="0" applyNumberFormat="1" applyBorder="1" applyAlignment="1">
      <alignment horizontal="left"/>
    </xf>
    <xf numFmtId="0" fontId="5" fillId="0" borderId="4" xfId="0" applyFont="1" applyBorder="1" applyAlignment="1">
      <alignment horizontal="center"/>
    </xf>
    <xf numFmtId="10" fontId="0" fillId="0" borderId="0" xfId="0" applyNumberFormat="1" applyFont="1" applyFill="1" applyBorder="1" applyAlignment="1">
      <alignment/>
    </xf>
    <xf numFmtId="0" fontId="5" fillId="0" borderId="0" xfId="0" applyNumberFormat="1" applyFont="1" applyBorder="1" applyAlignment="1">
      <alignment horizontal="center"/>
    </xf>
    <xf numFmtId="10" fontId="0" fillId="0" borderId="0" xfId="0" applyNumberFormat="1" applyFill="1" applyBorder="1" applyAlignment="1">
      <alignment/>
    </xf>
    <xf numFmtId="0" fontId="5" fillId="0" borderId="20" xfId="0" applyFont="1" applyBorder="1" applyAlignment="1">
      <alignment horizontal="left"/>
    </xf>
    <xf numFmtId="10" fontId="0" fillId="0" borderId="21" xfId="0" applyNumberFormat="1" applyBorder="1" applyAlignment="1">
      <alignment/>
    </xf>
    <xf numFmtId="42" fontId="5" fillId="0" borderId="21" xfId="0" applyNumberFormat="1" applyFont="1" applyBorder="1" applyAlignment="1">
      <alignment/>
    </xf>
    <xf numFmtId="42" fontId="5" fillId="0" borderId="22" xfId="0" applyNumberFormat="1" applyFont="1" applyBorder="1" applyAlignment="1">
      <alignment/>
    </xf>
    <xf numFmtId="0" fontId="0" fillId="0" borderId="0" xfId="0" applyFont="1" applyBorder="1" applyAlignment="1">
      <alignment/>
    </xf>
    <xf numFmtId="1" fontId="5" fillId="0" borderId="0" xfId="0" applyNumberFormat="1" applyFont="1" applyBorder="1" applyAlignment="1">
      <alignment horizontal="center"/>
    </xf>
    <xf numFmtId="1" fontId="5" fillId="0" borderId="0" xfId="0" applyNumberFormat="1" applyFont="1" applyBorder="1" applyAlignment="1">
      <alignment/>
    </xf>
    <xf numFmtId="0" fontId="0" fillId="0" borderId="0" xfId="0" applyNumberFormat="1" applyFont="1" applyBorder="1" applyAlignment="1">
      <alignment horizontal="center"/>
    </xf>
    <xf numFmtId="42" fontId="5" fillId="0" borderId="0" xfId="0" applyNumberFormat="1" applyFont="1" applyBorder="1" applyAlignment="1">
      <alignment horizontal="left"/>
    </xf>
    <xf numFmtId="14" fontId="0" fillId="0" borderId="4" xfId="0" applyNumberFormat="1" applyBorder="1" applyAlignment="1">
      <alignment/>
    </xf>
    <xf numFmtId="14" fontId="0" fillId="0" borderId="15" xfId="0" applyNumberFormat="1" applyBorder="1" applyAlignment="1">
      <alignment/>
    </xf>
    <xf numFmtId="0" fontId="5" fillId="5" borderId="9" xfId="0" applyFont="1" applyFill="1" applyBorder="1" applyAlignment="1">
      <alignment/>
    </xf>
    <xf numFmtId="10" fontId="0" fillId="5" borderId="10" xfId="0" applyNumberFormat="1" applyFill="1" applyBorder="1" applyAlignment="1">
      <alignment/>
    </xf>
    <xf numFmtId="42" fontId="5" fillId="5" borderId="10" xfId="0" applyNumberFormat="1" applyFont="1" applyFill="1" applyBorder="1" applyAlignment="1">
      <alignment/>
    </xf>
    <xf numFmtId="42" fontId="5" fillId="5" borderId="11" xfId="0" applyNumberFormat="1" applyFont="1" applyFill="1" applyBorder="1" applyAlignment="1">
      <alignment/>
    </xf>
    <xf numFmtId="0" fontId="5" fillId="5" borderId="2" xfId="0" applyFont="1" applyFill="1" applyBorder="1" applyAlignment="1">
      <alignment horizontal="center"/>
    </xf>
    <xf numFmtId="0" fontId="6" fillId="0" borderId="4" xfId="0" applyFont="1" applyBorder="1" applyAlignment="1">
      <alignment/>
    </xf>
    <xf numFmtId="49" fontId="24" fillId="0" borderId="23" xfId="0" applyFont="1" applyBorder="1" applyAlignment="1">
      <alignment horizontal="left" indent="1"/>
    </xf>
    <xf numFmtId="0" fontId="13" fillId="0" borderId="0" xfId="0" applyFont="1" applyBorder="1" applyAlignment="1">
      <alignment/>
    </xf>
    <xf numFmtId="170" fontId="13" fillId="0" borderId="5" xfId="0" applyNumberFormat="1" applyFont="1" applyBorder="1" applyAlignment="1">
      <alignment/>
    </xf>
    <xf numFmtId="0" fontId="12" fillId="0" borderId="4" xfId="0" applyFont="1" applyBorder="1" applyAlignment="1">
      <alignment horizontal="left" indent="1"/>
    </xf>
    <xf numFmtId="0" fontId="13" fillId="0" borderId="4" xfId="0" applyFont="1" applyBorder="1" applyAlignment="1">
      <alignment/>
    </xf>
    <xf numFmtId="42" fontId="12" fillId="0" borderId="5" xfId="0" applyNumberFormat="1" applyFont="1" applyBorder="1" applyAlignment="1">
      <alignment/>
    </xf>
    <xf numFmtId="0" fontId="12" fillId="0" borderId="4" xfId="0" applyFont="1" applyBorder="1" applyAlignment="1">
      <alignment/>
    </xf>
    <xf numFmtId="170" fontId="12" fillId="0" borderId="5" xfId="0" applyNumberFormat="1" applyFont="1" applyBorder="1" applyAlignment="1">
      <alignment/>
    </xf>
    <xf numFmtId="0" fontId="13" fillId="0" borderId="5" xfId="0" applyFont="1" applyBorder="1" applyAlignment="1">
      <alignment/>
    </xf>
    <xf numFmtId="0" fontId="12" fillId="3" borderId="1" xfId="0" applyFont="1" applyFill="1" applyBorder="1" applyAlignment="1">
      <alignment/>
    </xf>
    <xf numFmtId="0" fontId="0" fillId="3" borderId="2" xfId="0" applyFill="1" applyBorder="1" applyAlignment="1">
      <alignment/>
    </xf>
    <xf numFmtId="170" fontId="12" fillId="3" borderId="3" xfId="0" applyNumberFormat="1" applyFont="1" applyFill="1" applyBorder="1" applyAlignment="1">
      <alignment/>
    </xf>
    <xf numFmtId="0" fontId="6" fillId="3" borderId="15" xfId="0" applyFont="1" applyFill="1" applyBorder="1" applyAlignment="1">
      <alignment/>
    </xf>
    <xf numFmtId="0" fontId="0" fillId="3" borderId="13" xfId="0" applyFill="1" applyBorder="1" applyAlignment="1">
      <alignment/>
    </xf>
    <xf numFmtId="0" fontId="6" fillId="3" borderId="14" xfId="0" applyFont="1" applyFill="1" applyBorder="1" applyAlignment="1">
      <alignment/>
    </xf>
    <xf numFmtId="42" fontId="13" fillId="0" borderId="5" xfId="0" applyNumberFormat="1" applyFont="1" applyBorder="1" applyAlignment="1">
      <alignment/>
    </xf>
    <xf numFmtId="0" fontId="13" fillId="3" borderId="13" xfId="0" applyFont="1" applyFill="1" applyBorder="1" applyAlignment="1">
      <alignment/>
    </xf>
    <xf numFmtId="0" fontId="13" fillId="3" borderId="2" xfId="0" applyFont="1" applyFill="1" applyBorder="1" applyAlignment="1">
      <alignment/>
    </xf>
    <xf numFmtId="0" fontId="25" fillId="0" borderId="0" xfId="0" applyFont="1" applyAlignment="1">
      <alignment/>
    </xf>
    <xf numFmtId="0" fontId="22" fillId="0" borderId="0" xfId="0" applyFont="1" applyAlignment="1">
      <alignment/>
    </xf>
    <xf numFmtId="0" fontId="11" fillId="0" borderId="0" xfId="0" applyFont="1" applyAlignment="1">
      <alignment/>
    </xf>
    <xf numFmtId="0" fontId="25" fillId="0" borderId="0" xfId="0" applyFont="1" applyAlignment="1">
      <alignment/>
    </xf>
    <xf numFmtId="0" fontId="0" fillId="0" borderId="0" xfId="0" applyFont="1" applyAlignment="1">
      <alignment/>
    </xf>
    <xf numFmtId="0" fontId="22" fillId="0" borderId="0" xfId="0" applyFont="1" applyAlignment="1">
      <alignment/>
    </xf>
    <xf numFmtId="0" fontId="1" fillId="0" borderId="0" xfId="0" applyFont="1" applyAlignment="1">
      <alignment horizontal="right"/>
    </xf>
    <xf numFmtId="0" fontId="25" fillId="0" borderId="0" xfId="0" applyFont="1" applyAlignment="1">
      <alignment horizontal="left"/>
    </xf>
    <xf numFmtId="0" fontId="11" fillId="0" borderId="0" xfId="0" applyFont="1" applyAlignment="1">
      <alignment horizontal="left"/>
    </xf>
    <xf numFmtId="0" fontId="6" fillId="3" borderId="0" xfId="0" applyFont="1" applyFill="1" applyAlignment="1">
      <alignment/>
    </xf>
    <xf numFmtId="181" fontId="13" fillId="0" borderId="0" xfId="0" applyNumberFormat="1" applyFont="1" applyAlignment="1">
      <alignment/>
    </xf>
    <xf numFmtId="170" fontId="12" fillId="0" borderId="0" xfId="0" applyNumberFormat="1" applyFont="1" applyAlignment="1">
      <alignment/>
    </xf>
    <xf numFmtId="1" fontId="0" fillId="0" borderId="0" xfId="0" applyNumberFormat="1" applyFont="1" applyFill="1" applyAlignment="1">
      <alignment/>
    </xf>
    <xf numFmtId="1" fontId="0" fillId="11" borderId="0" xfId="0" applyNumberFormat="1" applyFill="1" applyAlignment="1">
      <alignment/>
    </xf>
    <xf numFmtId="0" fontId="9" fillId="3" borderId="0" xfId="0" applyFont="1" applyFill="1" applyAlignment="1">
      <alignment horizontal="center"/>
    </xf>
    <xf numFmtId="0" fontId="5" fillId="0" borderId="0" xfId="0" applyFont="1" applyAlignment="1">
      <alignment horizontal="center"/>
    </xf>
    <xf numFmtId="0" fontId="5" fillId="5" borderId="15" xfId="0" applyFont="1" applyFill="1" applyBorder="1" applyAlignment="1">
      <alignment horizontal="center"/>
    </xf>
    <xf numFmtId="0" fontId="5" fillId="5" borderId="13" xfId="0" applyFont="1" applyFill="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9" fillId="0" borderId="0" xfId="0" applyFont="1" applyFill="1" applyAlignment="1">
      <alignment horizontal="center"/>
    </xf>
    <xf numFmtId="0" fontId="5" fillId="0" borderId="15" xfId="0" applyFont="1" applyBorder="1" applyAlignment="1">
      <alignment/>
    </xf>
    <xf numFmtId="0" fontId="0" fillId="0" borderId="13" xfId="0" applyBorder="1" applyAlignment="1">
      <alignment/>
    </xf>
    <xf numFmtId="0" fontId="0" fillId="0" borderId="14" xfId="0" applyBorder="1" applyAlignment="1">
      <alignment/>
    </xf>
    <xf numFmtId="0" fontId="12" fillId="0" borderId="0" xfId="0" applyFont="1" applyAlignment="1">
      <alignment horizontal="center"/>
    </xf>
    <xf numFmtId="0" fontId="12" fillId="0" borderId="15" xfId="0" applyNumberFormat="1" applyFont="1" applyBorder="1" applyAlignment="1">
      <alignment horizontal="center"/>
    </xf>
    <xf numFmtId="0" fontId="12" fillId="0" borderId="13" xfId="0" applyNumberFormat="1" applyFont="1" applyBorder="1" applyAlignment="1">
      <alignment horizontal="center"/>
    </xf>
    <xf numFmtId="0" fontId="12" fillId="0" borderId="14" xfId="0" applyNumberFormat="1"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0" xfId="0" applyAlignment="1">
      <alignment horizontal="center"/>
    </xf>
  </cellXfs>
  <cellStyles count="11">
    <cellStyle name="Normal" xfId="0"/>
    <cellStyle name="Comma" xfId="15"/>
    <cellStyle name="Comma [0]" xfId="16"/>
    <cellStyle name="Currency" xfId="17"/>
    <cellStyle name="Currency [0]" xfId="18"/>
    <cellStyle name="Currency_E949 and RSVP operation costs 2003 white paper" xfId="19"/>
    <cellStyle name="Currency_KOPIO D6 Dedicated Tests (space @$999) JB PP" xfId="20"/>
    <cellStyle name="Currency_Resource Categories" xfId="21"/>
    <cellStyle name="Followed Hyperlink" xfId="22"/>
    <cellStyle name="Hyperlink" xfId="23"/>
    <cellStyle name="Percent" xfId="24"/>
  </cellStyles>
  <dxfs count="2">
    <dxf>
      <font>
        <color rgb="FFFFFFFF"/>
      </font>
      <border/>
    </dxf>
    <dxf>
      <font>
        <color rgb="FFCCFFCC"/>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50</xdr:row>
      <xdr:rowOff>57150</xdr:rowOff>
    </xdr:from>
    <xdr:to>
      <xdr:col>0</xdr:col>
      <xdr:colOff>781050</xdr:colOff>
      <xdr:row>52</xdr:row>
      <xdr:rowOff>9525</xdr:rowOff>
    </xdr:to>
    <xdr:sp>
      <xdr:nvSpPr>
        <xdr:cNvPr id="1" name="AutoShape 1"/>
        <xdr:cNvSpPr>
          <a:spLocks/>
        </xdr:cNvSpPr>
      </xdr:nvSpPr>
      <xdr:spPr>
        <a:xfrm>
          <a:off x="704850" y="8229600"/>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ile-desk\G-desk%20top\windows\TEMP\Site%20Power_Main\Site%20Power%20Est0420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y%20Documents\AGS%20Experiments\RSVP\AGS%20WBS\RSVP_AGSinfrastructureWBS_v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20Documents\AGS%20Experiments\RSVP\AGS%20WBS\FY%202004%20Cost%20Estimate\RSVP_AGSinfrastructureWBS_v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y%20Documents\AGS%20Experiments\RSVP\AGS%20WBS\PreOps%20and%20Operations%20Costs\RSVP_operations%20cost-DRAFT_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umptions-Info"/>
      <sheetName val="RHIC Loads"/>
      <sheetName val="AGS Loads"/>
      <sheetName val="Facility Demands"/>
      <sheetName val="Schedules"/>
      <sheetName val="Monthly Energy Est"/>
      <sheetName val="Monthly Energy Est (2)"/>
      <sheetName val="Monthly Graph"/>
      <sheetName val="Elec Loads/By Month"/>
      <sheetName val="Monthly Demand_Blank"/>
      <sheetName val="Elec Loads &amp; Rates by Month"/>
    </sheetNames>
    <sheetDataSet>
      <sheetData sheetId="5">
        <row r="9">
          <cell r="A9" t="str">
            <v>GENERAL SITE (Base)</v>
          </cell>
          <cell r="B9">
            <v>0.75</v>
          </cell>
          <cell r="C9">
            <v>31</v>
          </cell>
          <cell r="D9">
            <v>17</v>
          </cell>
          <cell r="E9">
            <v>9486</v>
          </cell>
          <cell r="F9">
            <v>30</v>
          </cell>
          <cell r="G9">
            <v>17</v>
          </cell>
          <cell r="H9">
            <v>9180</v>
          </cell>
          <cell r="I9">
            <v>31</v>
          </cell>
          <cell r="J9">
            <v>17</v>
          </cell>
          <cell r="K9">
            <v>9486</v>
          </cell>
          <cell r="L9">
            <v>31</v>
          </cell>
          <cell r="M9">
            <v>17</v>
          </cell>
          <cell r="N9">
            <v>9486</v>
          </cell>
          <cell r="O9">
            <v>28</v>
          </cell>
          <cell r="P9">
            <v>17</v>
          </cell>
          <cell r="Q9">
            <v>8568</v>
          </cell>
          <cell r="R9">
            <v>31</v>
          </cell>
          <cell r="S9">
            <v>17</v>
          </cell>
          <cell r="T9">
            <v>9486</v>
          </cell>
          <cell r="U9">
            <v>30</v>
          </cell>
          <cell r="V9">
            <v>17</v>
          </cell>
          <cell r="W9">
            <v>9180</v>
          </cell>
          <cell r="X9">
            <v>31</v>
          </cell>
          <cell r="Y9">
            <v>17</v>
          </cell>
          <cell r="Z9">
            <v>9486</v>
          </cell>
          <cell r="AA9">
            <v>30</v>
          </cell>
          <cell r="AB9">
            <v>17</v>
          </cell>
          <cell r="AC9">
            <v>9180</v>
          </cell>
          <cell r="AD9">
            <v>31</v>
          </cell>
          <cell r="AE9">
            <v>17</v>
          </cell>
          <cell r="AF9">
            <v>9486</v>
          </cell>
          <cell r="AG9">
            <v>31</v>
          </cell>
          <cell r="AH9">
            <v>17</v>
          </cell>
          <cell r="AI9">
            <v>9486</v>
          </cell>
          <cell r="AJ9">
            <v>30</v>
          </cell>
          <cell r="AK9">
            <v>17</v>
          </cell>
          <cell r="AL9">
            <v>9180</v>
          </cell>
          <cell r="AM9" t="str">
            <v>GENERAL SITE (Base)</v>
          </cell>
          <cell r="AN9">
            <v>0.75</v>
          </cell>
          <cell r="AO9">
            <v>31</v>
          </cell>
          <cell r="AP9">
            <v>20</v>
          </cell>
          <cell r="AQ9">
            <v>11160</v>
          </cell>
          <cell r="AR9">
            <v>30</v>
          </cell>
          <cell r="AS9">
            <v>20</v>
          </cell>
          <cell r="AT9">
            <v>10800</v>
          </cell>
          <cell r="AU9">
            <v>31</v>
          </cell>
          <cell r="AV9">
            <v>20</v>
          </cell>
          <cell r="AW9">
            <v>11160</v>
          </cell>
          <cell r="AX9">
            <v>31</v>
          </cell>
          <cell r="AY9">
            <v>20</v>
          </cell>
          <cell r="AZ9">
            <v>11160</v>
          </cell>
          <cell r="BA9">
            <v>28</v>
          </cell>
          <cell r="BB9">
            <v>20</v>
          </cell>
          <cell r="BC9">
            <v>10080</v>
          </cell>
          <cell r="BD9">
            <v>31</v>
          </cell>
          <cell r="BE9">
            <v>20</v>
          </cell>
          <cell r="BF9">
            <v>11160</v>
          </cell>
          <cell r="BG9">
            <v>30</v>
          </cell>
          <cell r="BH9">
            <v>20</v>
          </cell>
          <cell r="BI9">
            <v>10800</v>
          </cell>
          <cell r="BJ9">
            <v>31</v>
          </cell>
          <cell r="BK9">
            <v>20</v>
          </cell>
          <cell r="BL9">
            <v>11160</v>
          </cell>
          <cell r="BM9">
            <v>30</v>
          </cell>
          <cell r="BN9">
            <v>20</v>
          </cell>
          <cell r="BO9">
            <v>10800</v>
          </cell>
          <cell r="BP9">
            <v>31</v>
          </cell>
          <cell r="BQ9">
            <v>20</v>
          </cell>
          <cell r="BR9">
            <v>11160</v>
          </cell>
          <cell r="BS9">
            <v>31</v>
          </cell>
          <cell r="BT9">
            <v>20</v>
          </cell>
          <cell r="BU9">
            <v>11160</v>
          </cell>
          <cell r="BV9">
            <v>30</v>
          </cell>
          <cell r="BW9">
            <v>20</v>
          </cell>
          <cell r="BX9">
            <v>10800</v>
          </cell>
          <cell r="BY9" t="str">
            <v>GENERAL SITE (Base)</v>
          </cell>
          <cell r="BZ9">
            <v>0.75</v>
          </cell>
          <cell r="CA9">
            <v>31</v>
          </cell>
          <cell r="CB9">
            <v>20</v>
          </cell>
          <cell r="CC9">
            <v>11160</v>
          </cell>
          <cell r="CD9">
            <v>30</v>
          </cell>
          <cell r="CE9">
            <v>20</v>
          </cell>
          <cell r="CF9">
            <v>10800</v>
          </cell>
          <cell r="CG9">
            <v>31</v>
          </cell>
          <cell r="CH9">
            <v>20</v>
          </cell>
          <cell r="CI9">
            <v>11160</v>
          </cell>
          <cell r="CJ9">
            <v>31</v>
          </cell>
          <cell r="CK9">
            <v>20</v>
          </cell>
          <cell r="CL9">
            <v>11160</v>
          </cell>
          <cell r="CM9">
            <v>28</v>
          </cell>
          <cell r="CN9">
            <v>20</v>
          </cell>
          <cell r="CO9">
            <v>10080</v>
          </cell>
          <cell r="CP9">
            <v>31</v>
          </cell>
          <cell r="CQ9">
            <v>20</v>
          </cell>
          <cell r="CR9">
            <v>11160</v>
          </cell>
          <cell r="CS9">
            <v>30</v>
          </cell>
          <cell r="CT9">
            <v>20</v>
          </cell>
          <cell r="CU9">
            <v>10800</v>
          </cell>
          <cell r="CV9">
            <v>31</v>
          </cell>
          <cell r="CW9">
            <v>20</v>
          </cell>
          <cell r="CX9">
            <v>11160</v>
          </cell>
          <cell r="CY9">
            <v>30</v>
          </cell>
          <cell r="CZ9">
            <v>20</v>
          </cell>
          <cell r="DA9">
            <v>10800</v>
          </cell>
          <cell r="DB9">
            <v>31</v>
          </cell>
          <cell r="DC9">
            <v>20</v>
          </cell>
          <cell r="DD9">
            <v>11160</v>
          </cell>
          <cell r="DE9">
            <v>31</v>
          </cell>
          <cell r="DF9">
            <v>20</v>
          </cell>
          <cell r="DG9">
            <v>11160</v>
          </cell>
          <cell r="DH9">
            <v>30</v>
          </cell>
          <cell r="DI9">
            <v>20</v>
          </cell>
          <cell r="DJ9">
            <v>10800</v>
          </cell>
          <cell r="DK9" t="str">
            <v>GENERAL SITE (Base)</v>
          </cell>
          <cell r="DL9">
            <v>0.75</v>
          </cell>
          <cell r="DM9">
            <v>31</v>
          </cell>
          <cell r="DN9">
            <v>20</v>
          </cell>
          <cell r="DO9">
            <v>11160</v>
          </cell>
          <cell r="DP9">
            <v>30</v>
          </cell>
          <cell r="DQ9">
            <v>20</v>
          </cell>
          <cell r="DR9">
            <v>10800</v>
          </cell>
          <cell r="DS9">
            <v>31</v>
          </cell>
          <cell r="DT9">
            <v>20</v>
          </cell>
          <cell r="DU9">
            <v>11160</v>
          </cell>
          <cell r="DV9">
            <v>31</v>
          </cell>
          <cell r="DW9">
            <v>20</v>
          </cell>
          <cell r="DX9">
            <v>11160</v>
          </cell>
          <cell r="DY9">
            <v>28</v>
          </cell>
          <cell r="DZ9">
            <v>20</v>
          </cell>
          <cell r="EA9">
            <v>10080</v>
          </cell>
          <cell r="EB9">
            <v>31</v>
          </cell>
          <cell r="EC9">
            <v>20</v>
          </cell>
          <cell r="ED9">
            <v>11160</v>
          </cell>
          <cell r="EE9">
            <v>30</v>
          </cell>
          <cell r="EF9">
            <v>20</v>
          </cell>
          <cell r="EG9">
            <v>10800</v>
          </cell>
          <cell r="EH9">
            <v>31</v>
          </cell>
          <cell r="EI9">
            <v>20</v>
          </cell>
          <cell r="EJ9">
            <v>11160</v>
          </cell>
          <cell r="EK9">
            <v>30</v>
          </cell>
          <cell r="EL9">
            <v>20</v>
          </cell>
          <cell r="EM9">
            <v>10800</v>
          </cell>
          <cell r="EN9">
            <v>31</v>
          </cell>
          <cell r="EO9">
            <v>20</v>
          </cell>
          <cell r="EP9">
            <v>11160</v>
          </cell>
          <cell r="EQ9">
            <v>31</v>
          </cell>
          <cell r="ER9">
            <v>20</v>
          </cell>
          <cell r="ES9">
            <v>11160</v>
          </cell>
          <cell r="ET9">
            <v>30</v>
          </cell>
          <cell r="EU9">
            <v>20</v>
          </cell>
          <cell r="EV9">
            <v>10800</v>
          </cell>
          <cell r="EW9" t="str">
            <v>GENERAL SITE (Base)</v>
          </cell>
          <cell r="EX9">
            <v>0.75</v>
          </cell>
          <cell r="EY9">
            <v>31</v>
          </cell>
          <cell r="EZ9">
            <v>20</v>
          </cell>
          <cell r="FA9">
            <v>11160</v>
          </cell>
          <cell r="FB9">
            <v>30</v>
          </cell>
          <cell r="FC9">
            <v>20</v>
          </cell>
          <cell r="FD9">
            <v>10800</v>
          </cell>
          <cell r="FE9">
            <v>31</v>
          </cell>
          <cell r="FF9">
            <v>20</v>
          </cell>
          <cell r="FG9">
            <v>11160</v>
          </cell>
          <cell r="FH9">
            <v>31</v>
          </cell>
          <cell r="FI9">
            <v>20</v>
          </cell>
          <cell r="FJ9">
            <v>11160</v>
          </cell>
          <cell r="FK9">
            <v>28</v>
          </cell>
          <cell r="FL9">
            <v>20</v>
          </cell>
          <cell r="FM9">
            <v>10080</v>
          </cell>
          <cell r="FN9">
            <v>31</v>
          </cell>
          <cell r="FO9">
            <v>20</v>
          </cell>
          <cell r="FP9">
            <v>11160</v>
          </cell>
          <cell r="FQ9">
            <v>30</v>
          </cell>
          <cell r="FR9">
            <v>20</v>
          </cell>
          <cell r="FS9">
            <v>10800</v>
          </cell>
          <cell r="FT9">
            <v>31</v>
          </cell>
          <cell r="FU9">
            <v>20</v>
          </cell>
          <cell r="FV9">
            <v>11160</v>
          </cell>
          <cell r="FW9">
            <v>30</v>
          </cell>
          <cell r="FX9">
            <v>20</v>
          </cell>
          <cell r="FY9">
            <v>10800</v>
          </cell>
          <cell r="FZ9">
            <v>31</v>
          </cell>
          <cell r="GA9">
            <v>20</v>
          </cell>
          <cell r="GB9">
            <v>11160</v>
          </cell>
          <cell r="GC9">
            <v>31</v>
          </cell>
          <cell r="GD9">
            <v>20</v>
          </cell>
          <cell r="GE9">
            <v>11160</v>
          </cell>
          <cell r="GF9">
            <v>30</v>
          </cell>
          <cell r="GG9">
            <v>20</v>
          </cell>
          <cell r="GH9">
            <v>10800</v>
          </cell>
        </row>
        <row r="10">
          <cell r="A10" t="str">
            <v>AGS/RHIC BLDG.</v>
          </cell>
          <cell r="B10">
            <v>0.75</v>
          </cell>
          <cell r="C10">
            <v>31</v>
          </cell>
          <cell r="D10">
            <v>1</v>
          </cell>
          <cell r="E10">
            <v>558</v>
          </cell>
          <cell r="F10">
            <v>30</v>
          </cell>
          <cell r="G10">
            <v>1</v>
          </cell>
          <cell r="H10">
            <v>540</v>
          </cell>
          <cell r="I10">
            <v>31</v>
          </cell>
          <cell r="J10">
            <v>1</v>
          </cell>
          <cell r="K10">
            <v>558</v>
          </cell>
          <cell r="L10">
            <v>31</v>
          </cell>
          <cell r="M10">
            <v>1</v>
          </cell>
          <cell r="N10">
            <v>558</v>
          </cell>
          <cell r="O10">
            <v>28</v>
          </cell>
          <cell r="P10">
            <v>1</v>
          </cell>
          <cell r="Q10">
            <v>504</v>
          </cell>
          <cell r="R10">
            <v>31</v>
          </cell>
          <cell r="S10">
            <v>1</v>
          </cell>
          <cell r="T10">
            <v>558</v>
          </cell>
          <cell r="U10">
            <v>30</v>
          </cell>
          <cell r="V10">
            <v>1</v>
          </cell>
          <cell r="W10">
            <v>540</v>
          </cell>
          <cell r="X10">
            <v>31</v>
          </cell>
          <cell r="Y10">
            <v>1</v>
          </cell>
          <cell r="Z10">
            <v>558</v>
          </cell>
          <cell r="AA10">
            <v>30</v>
          </cell>
          <cell r="AB10">
            <v>1</v>
          </cell>
          <cell r="AC10">
            <v>540</v>
          </cell>
          <cell r="AD10">
            <v>31</v>
          </cell>
          <cell r="AE10">
            <v>1</v>
          </cell>
          <cell r="AF10">
            <v>558</v>
          </cell>
          <cell r="AG10">
            <v>31</v>
          </cell>
          <cell r="AH10">
            <v>1</v>
          </cell>
          <cell r="AI10">
            <v>558</v>
          </cell>
          <cell r="AJ10">
            <v>30</v>
          </cell>
          <cell r="AK10">
            <v>1</v>
          </cell>
          <cell r="AL10">
            <v>540</v>
          </cell>
          <cell r="AM10" t="str">
            <v>AGS/RHIC BLDG.</v>
          </cell>
          <cell r="AN10">
            <v>0.75</v>
          </cell>
          <cell r="AO10">
            <v>31</v>
          </cell>
          <cell r="AP10">
            <v>3</v>
          </cell>
          <cell r="AQ10">
            <v>1674</v>
          </cell>
          <cell r="AR10">
            <v>30</v>
          </cell>
          <cell r="AS10">
            <v>3</v>
          </cell>
          <cell r="AT10">
            <v>1620</v>
          </cell>
          <cell r="AU10">
            <v>31</v>
          </cell>
          <cell r="AV10">
            <v>3</v>
          </cell>
          <cell r="AW10">
            <v>1674</v>
          </cell>
          <cell r="AX10">
            <v>31</v>
          </cell>
          <cell r="AY10">
            <v>3</v>
          </cell>
          <cell r="AZ10">
            <v>1674</v>
          </cell>
          <cell r="BA10">
            <v>28</v>
          </cell>
          <cell r="BB10">
            <v>3</v>
          </cell>
          <cell r="BC10">
            <v>1512</v>
          </cell>
          <cell r="BD10">
            <v>31</v>
          </cell>
          <cell r="BE10">
            <v>3</v>
          </cell>
          <cell r="BF10">
            <v>1674</v>
          </cell>
          <cell r="BG10">
            <v>30</v>
          </cell>
          <cell r="BH10">
            <v>3</v>
          </cell>
          <cell r="BI10">
            <v>1620</v>
          </cell>
          <cell r="BJ10">
            <v>31</v>
          </cell>
          <cell r="BK10">
            <v>3</v>
          </cell>
          <cell r="BL10">
            <v>1674</v>
          </cell>
          <cell r="BM10">
            <v>30</v>
          </cell>
          <cell r="BN10">
            <v>3</v>
          </cell>
          <cell r="BO10">
            <v>1620</v>
          </cell>
          <cell r="BP10">
            <v>31</v>
          </cell>
          <cell r="BQ10">
            <v>3</v>
          </cell>
          <cell r="BR10">
            <v>1674</v>
          </cell>
          <cell r="BS10">
            <v>31</v>
          </cell>
          <cell r="BT10">
            <v>3</v>
          </cell>
          <cell r="BU10">
            <v>1674</v>
          </cell>
          <cell r="BV10">
            <v>30</v>
          </cell>
          <cell r="BW10">
            <v>3</v>
          </cell>
          <cell r="BX10">
            <v>1620</v>
          </cell>
          <cell r="BY10" t="str">
            <v>AGS/RHIC BLDG.</v>
          </cell>
          <cell r="BZ10">
            <v>0.75</v>
          </cell>
          <cell r="CA10">
            <v>31</v>
          </cell>
          <cell r="CB10">
            <v>3</v>
          </cell>
          <cell r="CC10">
            <v>1674</v>
          </cell>
          <cell r="CD10">
            <v>30</v>
          </cell>
          <cell r="CE10">
            <v>3</v>
          </cell>
          <cell r="CF10">
            <v>1620</v>
          </cell>
          <cell r="CG10">
            <v>31</v>
          </cell>
          <cell r="CH10">
            <v>3</v>
          </cell>
          <cell r="CI10">
            <v>1674</v>
          </cell>
          <cell r="CJ10">
            <v>31</v>
          </cell>
          <cell r="CK10">
            <v>3</v>
          </cell>
          <cell r="CL10">
            <v>1674</v>
          </cell>
          <cell r="CM10">
            <v>28</v>
          </cell>
          <cell r="CN10">
            <v>3</v>
          </cell>
          <cell r="CO10">
            <v>1512</v>
          </cell>
          <cell r="CP10">
            <v>31</v>
          </cell>
          <cell r="CQ10">
            <v>3</v>
          </cell>
          <cell r="CR10">
            <v>1674</v>
          </cell>
          <cell r="CS10">
            <v>30</v>
          </cell>
          <cell r="CT10">
            <v>3</v>
          </cell>
          <cell r="CU10">
            <v>1620</v>
          </cell>
          <cell r="CV10">
            <v>31</v>
          </cell>
          <cell r="CW10">
            <v>3</v>
          </cell>
          <cell r="CX10">
            <v>1674</v>
          </cell>
          <cell r="CY10">
            <v>30</v>
          </cell>
          <cell r="CZ10">
            <v>3</v>
          </cell>
          <cell r="DA10">
            <v>1620</v>
          </cell>
          <cell r="DB10">
            <v>31</v>
          </cell>
          <cell r="DC10">
            <v>3</v>
          </cell>
          <cell r="DD10">
            <v>1674</v>
          </cell>
          <cell r="DE10">
            <v>31</v>
          </cell>
          <cell r="DF10">
            <v>3</v>
          </cell>
          <cell r="DG10">
            <v>1674</v>
          </cell>
          <cell r="DH10">
            <v>30</v>
          </cell>
          <cell r="DI10">
            <v>3</v>
          </cell>
          <cell r="DJ10">
            <v>1620</v>
          </cell>
          <cell r="DK10" t="str">
            <v>AGS/RHIC BLDG.</v>
          </cell>
          <cell r="DL10">
            <v>0.75</v>
          </cell>
          <cell r="DM10">
            <v>31</v>
          </cell>
          <cell r="DN10">
            <v>3</v>
          </cell>
          <cell r="DO10">
            <v>1674</v>
          </cell>
          <cell r="DP10">
            <v>30</v>
          </cell>
          <cell r="DQ10">
            <v>3</v>
          </cell>
          <cell r="DR10">
            <v>1620</v>
          </cell>
          <cell r="DS10">
            <v>31</v>
          </cell>
          <cell r="DT10">
            <v>3</v>
          </cell>
          <cell r="DU10">
            <v>1674</v>
          </cell>
          <cell r="DV10">
            <v>31</v>
          </cell>
          <cell r="DW10">
            <v>3</v>
          </cell>
          <cell r="DX10">
            <v>1674</v>
          </cell>
          <cell r="DY10">
            <v>28</v>
          </cell>
          <cell r="DZ10">
            <v>3</v>
          </cell>
          <cell r="EA10">
            <v>1512</v>
          </cell>
          <cell r="EB10">
            <v>31</v>
          </cell>
          <cell r="EC10">
            <v>3</v>
          </cell>
          <cell r="ED10">
            <v>1674</v>
          </cell>
          <cell r="EE10">
            <v>30</v>
          </cell>
          <cell r="EF10">
            <v>3</v>
          </cell>
          <cell r="EG10">
            <v>1620</v>
          </cell>
          <cell r="EH10">
            <v>31</v>
          </cell>
          <cell r="EI10">
            <v>3</v>
          </cell>
          <cell r="EJ10">
            <v>1674</v>
          </cell>
          <cell r="EK10">
            <v>30</v>
          </cell>
          <cell r="EL10">
            <v>3</v>
          </cell>
          <cell r="EM10">
            <v>1620</v>
          </cell>
          <cell r="EN10">
            <v>31</v>
          </cell>
          <cell r="EO10">
            <v>3</v>
          </cell>
          <cell r="EP10">
            <v>1674</v>
          </cell>
          <cell r="EQ10">
            <v>31</v>
          </cell>
          <cell r="ER10">
            <v>3</v>
          </cell>
          <cell r="ES10">
            <v>1674</v>
          </cell>
          <cell r="ET10">
            <v>30</v>
          </cell>
          <cell r="EU10">
            <v>3</v>
          </cell>
          <cell r="EV10">
            <v>1620</v>
          </cell>
          <cell r="EW10" t="str">
            <v>AGS/RHIC BLDG.</v>
          </cell>
          <cell r="EX10">
            <v>0.75</v>
          </cell>
          <cell r="EY10">
            <v>31</v>
          </cell>
          <cell r="EZ10">
            <v>3</v>
          </cell>
          <cell r="FA10">
            <v>1674</v>
          </cell>
          <cell r="FB10">
            <v>30</v>
          </cell>
          <cell r="FC10">
            <v>3</v>
          </cell>
          <cell r="FD10">
            <v>1620</v>
          </cell>
          <cell r="FE10">
            <v>31</v>
          </cell>
          <cell r="FF10">
            <v>3</v>
          </cell>
          <cell r="FG10">
            <v>1674</v>
          </cell>
          <cell r="FH10">
            <v>31</v>
          </cell>
          <cell r="FI10">
            <v>3</v>
          </cell>
          <cell r="FJ10">
            <v>1674</v>
          </cell>
          <cell r="FK10">
            <v>28</v>
          </cell>
          <cell r="FL10">
            <v>3</v>
          </cell>
          <cell r="FM10">
            <v>1512</v>
          </cell>
          <cell r="FN10">
            <v>31</v>
          </cell>
          <cell r="FO10">
            <v>3</v>
          </cell>
          <cell r="FP10">
            <v>1674</v>
          </cell>
          <cell r="FQ10">
            <v>30</v>
          </cell>
          <cell r="FR10">
            <v>3</v>
          </cell>
          <cell r="FS10">
            <v>1620</v>
          </cell>
          <cell r="FT10">
            <v>31</v>
          </cell>
          <cell r="FU10">
            <v>3</v>
          </cell>
          <cell r="FV10">
            <v>1674</v>
          </cell>
          <cell r="FW10">
            <v>30</v>
          </cell>
          <cell r="FX10">
            <v>3</v>
          </cell>
          <cell r="FY10">
            <v>1620</v>
          </cell>
          <cell r="FZ10">
            <v>31</v>
          </cell>
          <cell r="GA10">
            <v>3</v>
          </cell>
          <cell r="GB10">
            <v>1674</v>
          </cell>
          <cell r="GC10">
            <v>31</v>
          </cell>
          <cell r="GD10">
            <v>3</v>
          </cell>
          <cell r="GE10">
            <v>1674</v>
          </cell>
          <cell r="GF10">
            <v>30</v>
          </cell>
          <cell r="GG10">
            <v>3</v>
          </cell>
          <cell r="GH10">
            <v>1620</v>
          </cell>
        </row>
        <row r="11">
          <cell r="A11" t="str">
            <v>NSLS</v>
          </cell>
          <cell r="B11">
            <v>0.85</v>
          </cell>
          <cell r="C11">
            <v>31</v>
          </cell>
          <cell r="D11">
            <v>4.5</v>
          </cell>
          <cell r="E11">
            <v>2845.7999999999997</v>
          </cell>
          <cell r="F11">
            <v>21</v>
          </cell>
          <cell r="G11">
            <v>4.5</v>
          </cell>
          <cell r="H11">
            <v>1927.7999999999997</v>
          </cell>
          <cell r="I11">
            <v>21</v>
          </cell>
          <cell r="J11">
            <v>4.5</v>
          </cell>
          <cell r="K11">
            <v>1927.7999999999997</v>
          </cell>
          <cell r="L11">
            <v>31</v>
          </cell>
          <cell r="M11">
            <v>4.5</v>
          </cell>
          <cell r="N11">
            <v>2845.7999999999997</v>
          </cell>
          <cell r="O11">
            <v>28</v>
          </cell>
          <cell r="P11">
            <v>4.5</v>
          </cell>
          <cell r="Q11">
            <v>2570.4</v>
          </cell>
          <cell r="R11">
            <v>31</v>
          </cell>
          <cell r="S11">
            <v>4.5</v>
          </cell>
          <cell r="T11">
            <v>2845.7999999999997</v>
          </cell>
          <cell r="U11">
            <v>30</v>
          </cell>
          <cell r="V11">
            <v>4.5</v>
          </cell>
          <cell r="W11">
            <v>2754</v>
          </cell>
          <cell r="X11">
            <v>31</v>
          </cell>
          <cell r="Y11">
            <v>4.5</v>
          </cell>
          <cell r="Z11">
            <v>2845.7999999999997</v>
          </cell>
          <cell r="AA11">
            <v>30</v>
          </cell>
          <cell r="AB11">
            <v>4.5</v>
          </cell>
          <cell r="AC11">
            <v>2754</v>
          </cell>
          <cell r="AD11">
            <v>31</v>
          </cell>
          <cell r="AE11">
            <v>4.5</v>
          </cell>
          <cell r="AF11">
            <v>2845.7999999999997</v>
          </cell>
          <cell r="AG11">
            <v>31</v>
          </cell>
          <cell r="AH11">
            <v>4.5</v>
          </cell>
          <cell r="AI11">
            <v>2845.7999999999997</v>
          </cell>
          <cell r="AJ11">
            <v>30</v>
          </cell>
          <cell r="AK11">
            <v>4.5</v>
          </cell>
          <cell r="AL11">
            <v>2754</v>
          </cell>
          <cell r="AM11" t="str">
            <v>NSLS</v>
          </cell>
          <cell r="AN11">
            <v>0.85</v>
          </cell>
          <cell r="AO11">
            <v>31</v>
          </cell>
          <cell r="AP11">
            <v>4.5</v>
          </cell>
          <cell r="AQ11">
            <v>2845.7999999999997</v>
          </cell>
          <cell r="AR11">
            <v>21</v>
          </cell>
          <cell r="AS11">
            <v>4.5</v>
          </cell>
          <cell r="AT11">
            <v>1927.7999999999997</v>
          </cell>
          <cell r="AU11">
            <v>21</v>
          </cell>
          <cell r="AV11">
            <v>4.5</v>
          </cell>
          <cell r="AW11">
            <v>1927.7999999999997</v>
          </cell>
          <cell r="AX11">
            <v>31</v>
          </cell>
          <cell r="AY11">
            <v>4.5</v>
          </cell>
          <cell r="AZ11">
            <v>2845.7999999999997</v>
          </cell>
          <cell r="BA11">
            <v>28</v>
          </cell>
          <cell r="BB11">
            <v>4.5</v>
          </cell>
          <cell r="BC11">
            <v>2570.4</v>
          </cell>
          <cell r="BD11">
            <v>31</v>
          </cell>
          <cell r="BE11">
            <v>4.5</v>
          </cell>
          <cell r="BF11">
            <v>2845.7999999999997</v>
          </cell>
          <cell r="BG11">
            <v>30</v>
          </cell>
          <cell r="BH11">
            <v>4.5</v>
          </cell>
          <cell r="BI11">
            <v>2754</v>
          </cell>
          <cell r="BJ11">
            <v>31</v>
          </cell>
          <cell r="BK11">
            <v>4.5</v>
          </cell>
          <cell r="BL11">
            <v>2845.7999999999997</v>
          </cell>
          <cell r="BM11">
            <v>30</v>
          </cell>
          <cell r="BN11">
            <v>4.5</v>
          </cell>
          <cell r="BO11">
            <v>2754</v>
          </cell>
          <cell r="BP11">
            <v>31</v>
          </cell>
          <cell r="BQ11">
            <v>4.5</v>
          </cell>
          <cell r="BR11">
            <v>2845.7999999999997</v>
          </cell>
          <cell r="BS11">
            <v>31</v>
          </cell>
          <cell r="BT11">
            <v>4.5</v>
          </cell>
          <cell r="BU11">
            <v>2845.7999999999997</v>
          </cell>
          <cell r="BV11">
            <v>30</v>
          </cell>
          <cell r="BW11">
            <v>4.5</v>
          </cell>
          <cell r="BX11">
            <v>2754</v>
          </cell>
          <cell r="BY11" t="str">
            <v>NSLS</v>
          </cell>
          <cell r="BZ11">
            <v>0.85</v>
          </cell>
          <cell r="CA11">
            <v>31</v>
          </cell>
          <cell r="CB11">
            <v>4.5</v>
          </cell>
          <cell r="CC11">
            <v>2845.7999999999997</v>
          </cell>
          <cell r="CD11">
            <v>21</v>
          </cell>
          <cell r="CE11">
            <v>4.5</v>
          </cell>
          <cell r="CF11">
            <v>1927.7999999999997</v>
          </cell>
          <cell r="CG11">
            <v>21</v>
          </cell>
          <cell r="CH11">
            <v>4.5</v>
          </cell>
          <cell r="CI11">
            <v>1927.7999999999997</v>
          </cell>
          <cell r="CJ11">
            <v>31</v>
          </cell>
          <cell r="CK11">
            <v>4.5</v>
          </cell>
          <cell r="CL11">
            <v>2845.7999999999997</v>
          </cell>
          <cell r="CM11">
            <v>28</v>
          </cell>
          <cell r="CN11">
            <v>4.5</v>
          </cell>
          <cell r="CO11">
            <v>2570.4</v>
          </cell>
          <cell r="CP11">
            <v>31</v>
          </cell>
          <cell r="CQ11">
            <v>4.5</v>
          </cell>
          <cell r="CR11">
            <v>2845.7999999999997</v>
          </cell>
          <cell r="CS11">
            <v>30</v>
          </cell>
          <cell r="CT11">
            <v>4.5</v>
          </cell>
          <cell r="CU11">
            <v>2754</v>
          </cell>
          <cell r="CV11">
            <v>31</v>
          </cell>
          <cell r="CW11">
            <v>4.5</v>
          </cell>
          <cell r="CX11">
            <v>2845.7999999999997</v>
          </cell>
          <cell r="CY11">
            <v>30</v>
          </cell>
          <cell r="CZ11">
            <v>4.5</v>
          </cell>
          <cell r="DA11">
            <v>2754</v>
          </cell>
          <cell r="DB11">
            <v>31</v>
          </cell>
          <cell r="DC11">
            <v>4.5</v>
          </cell>
          <cell r="DD11">
            <v>2845.7999999999997</v>
          </cell>
          <cell r="DE11">
            <v>31</v>
          </cell>
          <cell r="DF11">
            <v>4.5</v>
          </cell>
          <cell r="DG11">
            <v>2845.7999999999997</v>
          </cell>
          <cell r="DH11">
            <v>30</v>
          </cell>
          <cell r="DI11">
            <v>4.5</v>
          </cell>
          <cell r="DJ11">
            <v>2754</v>
          </cell>
          <cell r="DK11" t="str">
            <v>NSLS</v>
          </cell>
          <cell r="DL11">
            <v>0.85</v>
          </cell>
          <cell r="DM11">
            <v>31</v>
          </cell>
          <cell r="DN11">
            <v>4.5</v>
          </cell>
          <cell r="DO11">
            <v>2845.7999999999997</v>
          </cell>
          <cell r="DP11">
            <v>21</v>
          </cell>
          <cell r="DQ11">
            <v>4.5</v>
          </cell>
          <cell r="DR11">
            <v>1927.7999999999997</v>
          </cell>
          <cell r="DS11">
            <v>21</v>
          </cell>
          <cell r="DT11">
            <v>4.5</v>
          </cell>
          <cell r="DU11">
            <v>1927.7999999999997</v>
          </cell>
          <cell r="DV11">
            <v>31</v>
          </cell>
          <cell r="DW11">
            <v>4.5</v>
          </cell>
          <cell r="DX11">
            <v>2845.7999999999997</v>
          </cell>
          <cell r="DY11">
            <v>28</v>
          </cell>
          <cell r="DZ11">
            <v>4.5</v>
          </cell>
          <cell r="EA11">
            <v>2570.4</v>
          </cell>
          <cell r="EB11">
            <v>31</v>
          </cell>
          <cell r="EC11">
            <v>4.5</v>
          </cell>
          <cell r="ED11">
            <v>2845.7999999999997</v>
          </cell>
          <cell r="EE11">
            <v>30</v>
          </cell>
          <cell r="EF11">
            <v>4.5</v>
          </cell>
          <cell r="EG11">
            <v>2754</v>
          </cell>
          <cell r="EH11">
            <v>31</v>
          </cell>
          <cell r="EI11">
            <v>4.5</v>
          </cell>
          <cell r="EJ11">
            <v>2845.7999999999997</v>
          </cell>
          <cell r="EK11">
            <v>30</v>
          </cell>
          <cell r="EL11">
            <v>4.5</v>
          </cell>
          <cell r="EM11">
            <v>2754</v>
          </cell>
          <cell r="EN11">
            <v>31</v>
          </cell>
          <cell r="EO11">
            <v>4.5</v>
          </cell>
          <cell r="EP11">
            <v>2845.7999999999997</v>
          </cell>
          <cell r="EQ11">
            <v>31</v>
          </cell>
          <cell r="ER11">
            <v>4.5</v>
          </cell>
          <cell r="ES11">
            <v>2845.7999999999997</v>
          </cell>
          <cell r="ET11">
            <v>30</v>
          </cell>
          <cell r="EU11">
            <v>4.5</v>
          </cell>
          <cell r="EV11">
            <v>2754</v>
          </cell>
          <cell r="EW11" t="str">
            <v>NSLS</v>
          </cell>
          <cell r="EX11">
            <v>0.85</v>
          </cell>
          <cell r="EY11">
            <v>31</v>
          </cell>
          <cell r="EZ11">
            <v>4.5</v>
          </cell>
          <cell r="FA11">
            <v>2845.7999999999997</v>
          </cell>
          <cell r="FB11">
            <v>21</v>
          </cell>
          <cell r="FC11">
            <v>4.5</v>
          </cell>
          <cell r="FD11">
            <v>1927.7999999999997</v>
          </cell>
          <cell r="FE11">
            <v>21</v>
          </cell>
          <cell r="FF11">
            <v>4.5</v>
          </cell>
          <cell r="FG11">
            <v>1927.7999999999997</v>
          </cell>
          <cell r="FH11">
            <v>31</v>
          </cell>
          <cell r="FI11">
            <v>4.5</v>
          </cell>
          <cell r="FJ11">
            <v>2845.7999999999997</v>
          </cell>
          <cell r="FK11">
            <v>28</v>
          </cell>
          <cell r="FL11">
            <v>4.5</v>
          </cell>
          <cell r="FM11">
            <v>2570.4</v>
          </cell>
          <cell r="FN11">
            <v>31</v>
          </cell>
          <cell r="FO11">
            <v>4.5</v>
          </cell>
          <cell r="FP11">
            <v>2845.7999999999997</v>
          </cell>
          <cell r="FQ11">
            <v>30</v>
          </cell>
          <cell r="FR11">
            <v>4.5</v>
          </cell>
          <cell r="FS11">
            <v>2754</v>
          </cell>
          <cell r="FT11">
            <v>31</v>
          </cell>
          <cell r="FU11">
            <v>4.5</v>
          </cell>
          <cell r="FV11">
            <v>2845.7999999999997</v>
          </cell>
          <cell r="FW11">
            <v>30</v>
          </cell>
          <cell r="FX11">
            <v>4.5</v>
          </cell>
          <cell r="FY11">
            <v>2754</v>
          </cell>
          <cell r="FZ11">
            <v>31</v>
          </cell>
          <cell r="GA11">
            <v>4.5</v>
          </cell>
          <cell r="GB11">
            <v>2845.7999999999997</v>
          </cell>
          <cell r="GC11">
            <v>31</v>
          </cell>
          <cell r="GD11">
            <v>4.5</v>
          </cell>
          <cell r="GE11">
            <v>2845.7999999999997</v>
          </cell>
          <cell r="GF11">
            <v>30</v>
          </cell>
          <cell r="GG11">
            <v>4.5</v>
          </cell>
          <cell r="GH11">
            <v>2754</v>
          </cell>
        </row>
        <row r="12">
          <cell r="A12" t="str">
            <v>HFBR</v>
          </cell>
          <cell r="B12">
            <v>0.8</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t="str">
            <v>HFBR</v>
          </cell>
          <cell r="AN12">
            <v>0.8</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t="str">
            <v>HFBR</v>
          </cell>
          <cell r="BZ12">
            <v>0.8</v>
          </cell>
          <cell r="CA12">
            <v>31</v>
          </cell>
          <cell r="CB12">
            <v>2</v>
          </cell>
          <cell r="CC12">
            <v>1190.4</v>
          </cell>
          <cell r="CD12">
            <v>21</v>
          </cell>
          <cell r="CE12">
            <v>2</v>
          </cell>
          <cell r="CF12">
            <v>806.4000000000001</v>
          </cell>
          <cell r="CG12">
            <v>21</v>
          </cell>
          <cell r="CH12">
            <v>2</v>
          </cell>
          <cell r="CI12">
            <v>806.4000000000001</v>
          </cell>
          <cell r="CJ12">
            <v>31</v>
          </cell>
          <cell r="CK12">
            <v>2</v>
          </cell>
          <cell r="CL12">
            <v>1190.4</v>
          </cell>
          <cell r="CM12">
            <v>28</v>
          </cell>
          <cell r="CN12">
            <v>2</v>
          </cell>
          <cell r="CO12">
            <v>1075.2</v>
          </cell>
          <cell r="CP12">
            <v>31</v>
          </cell>
          <cell r="CQ12">
            <v>2</v>
          </cell>
          <cell r="CR12">
            <v>1190.4</v>
          </cell>
          <cell r="CS12">
            <v>30</v>
          </cell>
          <cell r="CT12">
            <v>2</v>
          </cell>
          <cell r="CU12">
            <v>1152</v>
          </cell>
          <cell r="CV12">
            <v>31</v>
          </cell>
          <cell r="CW12">
            <v>2</v>
          </cell>
          <cell r="CX12">
            <v>1190.4</v>
          </cell>
          <cell r="CY12">
            <v>30</v>
          </cell>
          <cell r="CZ12">
            <v>2</v>
          </cell>
          <cell r="DA12">
            <v>1152</v>
          </cell>
          <cell r="DB12">
            <v>31</v>
          </cell>
          <cell r="DC12">
            <v>2</v>
          </cell>
          <cell r="DD12">
            <v>1190.4</v>
          </cell>
          <cell r="DE12">
            <v>31</v>
          </cell>
          <cell r="DF12">
            <v>2</v>
          </cell>
          <cell r="DG12">
            <v>1190.4</v>
          </cell>
          <cell r="DH12">
            <v>30</v>
          </cell>
          <cell r="DI12">
            <v>2</v>
          </cell>
          <cell r="DJ12">
            <v>1152</v>
          </cell>
          <cell r="DK12" t="str">
            <v>HFBR</v>
          </cell>
          <cell r="DL12">
            <v>0.8</v>
          </cell>
          <cell r="DM12">
            <v>31</v>
          </cell>
          <cell r="DN12">
            <v>2</v>
          </cell>
          <cell r="DO12">
            <v>1190.4</v>
          </cell>
          <cell r="DP12">
            <v>21</v>
          </cell>
          <cell r="DQ12">
            <v>2</v>
          </cell>
          <cell r="DR12">
            <v>806.4000000000001</v>
          </cell>
          <cell r="DS12">
            <v>21</v>
          </cell>
          <cell r="DT12">
            <v>2</v>
          </cell>
          <cell r="DU12">
            <v>806.4000000000001</v>
          </cell>
          <cell r="DV12">
            <v>31</v>
          </cell>
          <cell r="DW12">
            <v>2</v>
          </cell>
          <cell r="DX12">
            <v>1190.4</v>
          </cell>
          <cell r="DY12">
            <v>28</v>
          </cell>
          <cell r="DZ12">
            <v>2</v>
          </cell>
          <cell r="EA12">
            <v>1075.2</v>
          </cell>
          <cell r="EB12">
            <v>31</v>
          </cell>
          <cell r="EC12">
            <v>2</v>
          </cell>
          <cell r="ED12">
            <v>1190.4</v>
          </cell>
          <cell r="EE12">
            <v>30</v>
          </cell>
          <cell r="EF12">
            <v>2</v>
          </cell>
          <cell r="EG12">
            <v>1152</v>
          </cell>
          <cell r="EH12">
            <v>31</v>
          </cell>
          <cell r="EI12">
            <v>2</v>
          </cell>
          <cell r="EJ12">
            <v>1190.4</v>
          </cell>
          <cell r="EK12">
            <v>30</v>
          </cell>
          <cell r="EL12">
            <v>2</v>
          </cell>
          <cell r="EM12">
            <v>1152</v>
          </cell>
          <cell r="EN12">
            <v>31</v>
          </cell>
          <cell r="EO12">
            <v>2</v>
          </cell>
          <cell r="EP12">
            <v>1190.4</v>
          </cell>
          <cell r="EQ12">
            <v>31</v>
          </cell>
          <cell r="ER12">
            <v>2</v>
          </cell>
          <cell r="ES12">
            <v>1190.4</v>
          </cell>
          <cell r="ET12">
            <v>30</v>
          </cell>
          <cell r="EU12">
            <v>2</v>
          </cell>
          <cell r="EV12">
            <v>1152</v>
          </cell>
          <cell r="EW12" t="str">
            <v>HFBR</v>
          </cell>
          <cell r="EX12">
            <v>0.8</v>
          </cell>
          <cell r="EY12">
            <v>31</v>
          </cell>
          <cell r="EZ12">
            <v>2</v>
          </cell>
          <cell r="FA12">
            <v>1190.4</v>
          </cell>
          <cell r="FB12">
            <v>21</v>
          </cell>
          <cell r="FC12">
            <v>2</v>
          </cell>
          <cell r="FD12">
            <v>806.4000000000001</v>
          </cell>
          <cell r="FE12">
            <v>21</v>
          </cell>
          <cell r="FF12">
            <v>2</v>
          </cell>
          <cell r="FG12">
            <v>806.4000000000001</v>
          </cell>
          <cell r="FH12">
            <v>31</v>
          </cell>
          <cell r="FI12">
            <v>2</v>
          </cell>
          <cell r="FJ12">
            <v>1190.4</v>
          </cell>
          <cell r="FK12">
            <v>28</v>
          </cell>
          <cell r="FL12">
            <v>2</v>
          </cell>
          <cell r="FM12">
            <v>1075.2</v>
          </cell>
          <cell r="FN12">
            <v>31</v>
          </cell>
          <cell r="FO12">
            <v>2</v>
          </cell>
          <cell r="FP12">
            <v>1190.4</v>
          </cell>
          <cell r="FQ12">
            <v>30</v>
          </cell>
          <cell r="FR12">
            <v>2</v>
          </cell>
          <cell r="FS12">
            <v>1152</v>
          </cell>
          <cell r="FT12">
            <v>31</v>
          </cell>
          <cell r="FU12">
            <v>2</v>
          </cell>
          <cell r="FV12">
            <v>1190.4</v>
          </cell>
          <cell r="FW12">
            <v>30</v>
          </cell>
          <cell r="FX12">
            <v>2</v>
          </cell>
          <cell r="FY12">
            <v>1152</v>
          </cell>
          <cell r="FZ12">
            <v>31</v>
          </cell>
          <cell r="GA12">
            <v>2</v>
          </cell>
          <cell r="GB12">
            <v>1190.4</v>
          </cell>
          <cell r="GC12">
            <v>31</v>
          </cell>
          <cell r="GD12">
            <v>2</v>
          </cell>
          <cell r="GE12">
            <v>1190.4</v>
          </cell>
          <cell r="GF12">
            <v>30</v>
          </cell>
          <cell r="GG12">
            <v>2</v>
          </cell>
          <cell r="GH12">
            <v>1152</v>
          </cell>
        </row>
        <row r="13">
          <cell r="A13" t="str">
            <v>AGS (Base)</v>
          </cell>
          <cell r="B13">
            <v>0.9</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30</v>
          </cell>
          <cell r="AB13">
            <v>9</v>
          </cell>
          <cell r="AC13">
            <v>5832</v>
          </cell>
          <cell r="AD13">
            <v>31</v>
          </cell>
          <cell r="AE13">
            <v>9</v>
          </cell>
          <cell r="AF13">
            <v>6026.400000000001</v>
          </cell>
          <cell r="AG13">
            <v>0</v>
          </cell>
          <cell r="AH13">
            <v>0</v>
          </cell>
          <cell r="AI13">
            <v>0</v>
          </cell>
          <cell r="AJ13">
            <v>0</v>
          </cell>
          <cell r="AK13">
            <v>0</v>
          </cell>
          <cell r="AL13">
            <v>0</v>
          </cell>
          <cell r="AM13" t="str">
            <v>AGS (Base)</v>
          </cell>
          <cell r="AN13">
            <v>0.9</v>
          </cell>
          <cell r="AO13">
            <v>31</v>
          </cell>
          <cell r="AP13">
            <v>9</v>
          </cell>
          <cell r="AQ13">
            <v>6026.400000000001</v>
          </cell>
          <cell r="AR13">
            <v>30</v>
          </cell>
          <cell r="AS13">
            <v>9</v>
          </cell>
          <cell r="AT13">
            <v>5832</v>
          </cell>
          <cell r="AU13">
            <v>31</v>
          </cell>
          <cell r="AV13">
            <v>9</v>
          </cell>
          <cell r="AW13">
            <v>6026.400000000001</v>
          </cell>
          <cell r="AX13">
            <v>31</v>
          </cell>
          <cell r="AY13">
            <v>9</v>
          </cell>
          <cell r="AZ13">
            <v>6026.400000000001</v>
          </cell>
          <cell r="BA13">
            <v>28</v>
          </cell>
          <cell r="BB13">
            <v>9</v>
          </cell>
          <cell r="BC13">
            <v>5443.2</v>
          </cell>
          <cell r="BD13">
            <v>31</v>
          </cell>
          <cell r="BE13">
            <v>9</v>
          </cell>
          <cell r="BF13">
            <v>6026.400000000001</v>
          </cell>
          <cell r="BG13">
            <v>30</v>
          </cell>
          <cell r="BH13">
            <v>9</v>
          </cell>
          <cell r="BI13">
            <v>5832</v>
          </cell>
          <cell r="BJ13">
            <v>31</v>
          </cell>
          <cell r="BK13">
            <v>9</v>
          </cell>
          <cell r="BL13">
            <v>6026.400000000001</v>
          </cell>
          <cell r="BM13">
            <v>0</v>
          </cell>
          <cell r="BN13">
            <v>0</v>
          </cell>
          <cell r="BO13">
            <v>0</v>
          </cell>
          <cell r="BP13">
            <v>0</v>
          </cell>
          <cell r="BQ13">
            <v>0</v>
          </cell>
          <cell r="BR13">
            <v>0</v>
          </cell>
          <cell r="BS13">
            <v>0</v>
          </cell>
          <cell r="BT13">
            <v>0</v>
          </cell>
          <cell r="BU13">
            <v>0</v>
          </cell>
          <cell r="BV13">
            <v>0</v>
          </cell>
          <cell r="BW13">
            <v>0</v>
          </cell>
          <cell r="BX13">
            <v>0</v>
          </cell>
          <cell r="BY13" t="str">
            <v>AGS (Base)</v>
          </cell>
          <cell r="BZ13">
            <v>0.9</v>
          </cell>
          <cell r="CA13">
            <v>31</v>
          </cell>
          <cell r="CB13">
            <v>9</v>
          </cell>
          <cell r="CC13">
            <v>6026.400000000001</v>
          </cell>
          <cell r="CD13">
            <v>30</v>
          </cell>
          <cell r="CE13">
            <v>9</v>
          </cell>
          <cell r="CF13">
            <v>5832</v>
          </cell>
          <cell r="CG13">
            <v>31</v>
          </cell>
          <cell r="CH13">
            <v>9</v>
          </cell>
          <cell r="CI13">
            <v>6026.400000000001</v>
          </cell>
          <cell r="CJ13">
            <v>31</v>
          </cell>
          <cell r="CK13">
            <v>9</v>
          </cell>
          <cell r="CL13">
            <v>6026.400000000001</v>
          </cell>
          <cell r="CM13">
            <v>28</v>
          </cell>
          <cell r="CN13">
            <v>9</v>
          </cell>
          <cell r="CO13">
            <v>5443.2</v>
          </cell>
          <cell r="CP13">
            <v>31</v>
          </cell>
          <cell r="CQ13">
            <v>9</v>
          </cell>
          <cell r="CR13">
            <v>6026.400000000001</v>
          </cell>
          <cell r="CS13">
            <v>30</v>
          </cell>
          <cell r="CT13">
            <v>9</v>
          </cell>
          <cell r="CU13">
            <v>5832</v>
          </cell>
          <cell r="CV13">
            <v>31</v>
          </cell>
          <cell r="CW13">
            <v>9</v>
          </cell>
          <cell r="CX13">
            <v>6026.400000000001</v>
          </cell>
          <cell r="CY13">
            <v>0</v>
          </cell>
          <cell r="CZ13">
            <v>0</v>
          </cell>
          <cell r="DA13">
            <v>0</v>
          </cell>
          <cell r="DB13">
            <v>0</v>
          </cell>
          <cell r="DC13">
            <v>0</v>
          </cell>
          <cell r="DD13">
            <v>0</v>
          </cell>
          <cell r="DE13">
            <v>0</v>
          </cell>
          <cell r="DF13">
            <v>0</v>
          </cell>
          <cell r="DG13">
            <v>0</v>
          </cell>
          <cell r="DH13">
            <v>0</v>
          </cell>
          <cell r="DI13">
            <v>0</v>
          </cell>
          <cell r="DJ13">
            <v>0</v>
          </cell>
          <cell r="DK13" t="str">
            <v>AGS (Base)</v>
          </cell>
          <cell r="DL13">
            <v>0.9</v>
          </cell>
          <cell r="DM13">
            <v>31</v>
          </cell>
          <cell r="DN13">
            <v>9</v>
          </cell>
          <cell r="DO13">
            <v>6026.400000000001</v>
          </cell>
          <cell r="DP13">
            <v>30</v>
          </cell>
          <cell r="DQ13">
            <v>9</v>
          </cell>
          <cell r="DR13">
            <v>5832</v>
          </cell>
          <cell r="DS13">
            <v>31</v>
          </cell>
          <cell r="DT13">
            <v>9</v>
          </cell>
          <cell r="DU13">
            <v>6026.400000000001</v>
          </cell>
          <cell r="DV13">
            <v>31</v>
          </cell>
          <cell r="DW13">
            <v>9</v>
          </cell>
          <cell r="DX13">
            <v>6026.400000000001</v>
          </cell>
          <cell r="DY13">
            <v>28</v>
          </cell>
          <cell r="DZ13">
            <v>9</v>
          </cell>
          <cell r="EA13">
            <v>5443.2</v>
          </cell>
          <cell r="EB13">
            <v>31</v>
          </cell>
          <cell r="EC13">
            <v>9</v>
          </cell>
          <cell r="ED13">
            <v>6026.400000000001</v>
          </cell>
          <cell r="EE13">
            <v>30</v>
          </cell>
          <cell r="EF13">
            <v>9</v>
          </cell>
          <cell r="EG13">
            <v>5832</v>
          </cell>
          <cell r="EH13">
            <v>31</v>
          </cell>
          <cell r="EI13">
            <v>9</v>
          </cell>
          <cell r="EJ13">
            <v>6026.400000000001</v>
          </cell>
          <cell r="EK13">
            <v>0</v>
          </cell>
          <cell r="EL13">
            <v>0</v>
          </cell>
          <cell r="EM13">
            <v>0</v>
          </cell>
          <cell r="EN13">
            <v>0</v>
          </cell>
          <cell r="EO13">
            <v>0</v>
          </cell>
          <cell r="EP13">
            <v>0</v>
          </cell>
          <cell r="EQ13">
            <v>0</v>
          </cell>
          <cell r="ER13">
            <v>0</v>
          </cell>
          <cell r="ES13">
            <v>0</v>
          </cell>
          <cell r="ET13">
            <v>0</v>
          </cell>
          <cell r="EU13">
            <v>0</v>
          </cell>
          <cell r="EV13">
            <v>0</v>
          </cell>
          <cell r="EW13" t="str">
            <v>AGS (Base)</v>
          </cell>
          <cell r="EX13">
            <v>0.9</v>
          </cell>
          <cell r="EY13">
            <v>31</v>
          </cell>
          <cell r="EZ13">
            <v>9</v>
          </cell>
          <cell r="FA13">
            <v>6026.400000000001</v>
          </cell>
          <cell r="FB13">
            <v>30</v>
          </cell>
          <cell r="FC13">
            <v>9</v>
          </cell>
          <cell r="FD13">
            <v>5832</v>
          </cell>
          <cell r="FE13">
            <v>31</v>
          </cell>
          <cell r="FF13">
            <v>9</v>
          </cell>
          <cell r="FG13">
            <v>6026.400000000001</v>
          </cell>
          <cell r="FH13">
            <v>31</v>
          </cell>
          <cell r="FI13">
            <v>9</v>
          </cell>
          <cell r="FJ13">
            <v>6026.400000000001</v>
          </cell>
          <cell r="FK13">
            <v>28</v>
          </cell>
          <cell r="FL13">
            <v>9</v>
          </cell>
          <cell r="FM13">
            <v>5443.2</v>
          </cell>
          <cell r="FN13">
            <v>31</v>
          </cell>
          <cell r="FO13">
            <v>9</v>
          </cell>
          <cell r="FP13">
            <v>6026.400000000001</v>
          </cell>
          <cell r="FQ13">
            <v>30</v>
          </cell>
          <cell r="FR13">
            <v>9</v>
          </cell>
          <cell r="FS13">
            <v>5832</v>
          </cell>
          <cell r="FT13">
            <v>31</v>
          </cell>
          <cell r="FU13">
            <v>9</v>
          </cell>
          <cell r="FV13">
            <v>6026.400000000001</v>
          </cell>
          <cell r="FW13">
            <v>0</v>
          </cell>
          <cell r="FX13">
            <v>0</v>
          </cell>
          <cell r="FY13">
            <v>0</v>
          </cell>
          <cell r="FZ13">
            <v>0</v>
          </cell>
          <cell r="GA13">
            <v>0</v>
          </cell>
          <cell r="GB13">
            <v>0</v>
          </cell>
          <cell r="GC13">
            <v>0</v>
          </cell>
          <cell r="GD13">
            <v>0</v>
          </cell>
          <cell r="GE13">
            <v>0</v>
          </cell>
          <cell r="GF13">
            <v>0</v>
          </cell>
          <cell r="GG13">
            <v>0</v>
          </cell>
          <cell r="GH13">
            <v>0</v>
          </cell>
        </row>
        <row r="14">
          <cell r="A14" t="str">
            <v>AGS BOOSTER</v>
          </cell>
          <cell r="B14">
            <v>0.8</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30</v>
          </cell>
          <cell r="AB14">
            <v>0.5</v>
          </cell>
          <cell r="AC14">
            <v>288</v>
          </cell>
          <cell r="AD14">
            <v>31</v>
          </cell>
          <cell r="AE14">
            <v>0.5</v>
          </cell>
          <cell r="AF14">
            <v>297.6</v>
          </cell>
          <cell r="AG14">
            <v>0</v>
          </cell>
          <cell r="AH14">
            <v>0</v>
          </cell>
          <cell r="AI14">
            <v>0</v>
          </cell>
          <cell r="AJ14">
            <v>0</v>
          </cell>
          <cell r="AK14">
            <v>0</v>
          </cell>
          <cell r="AL14">
            <v>0</v>
          </cell>
          <cell r="AM14" t="str">
            <v>AGS BOOSTER</v>
          </cell>
          <cell r="AN14">
            <v>0.8</v>
          </cell>
          <cell r="AO14">
            <v>31</v>
          </cell>
          <cell r="AP14">
            <v>0.5</v>
          </cell>
          <cell r="AQ14">
            <v>297.6</v>
          </cell>
          <cell r="AR14">
            <v>30</v>
          </cell>
          <cell r="AS14">
            <v>0.5</v>
          </cell>
          <cell r="AT14">
            <v>288</v>
          </cell>
          <cell r="AU14">
            <v>31</v>
          </cell>
          <cell r="AV14">
            <v>0.5</v>
          </cell>
          <cell r="AW14">
            <v>297.6</v>
          </cell>
          <cell r="AX14">
            <v>31</v>
          </cell>
          <cell r="AY14">
            <v>0.5</v>
          </cell>
          <cell r="AZ14">
            <v>297.6</v>
          </cell>
          <cell r="BA14">
            <v>28</v>
          </cell>
          <cell r="BB14">
            <v>0.5</v>
          </cell>
          <cell r="BC14">
            <v>268.8</v>
          </cell>
          <cell r="BD14">
            <v>31</v>
          </cell>
          <cell r="BE14">
            <v>0.5</v>
          </cell>
          <cell r="BF14">
            <v>297.6</v>
          </cell>
          <cell r="BG14">
            <v>30</v>
          </cell>
          <cell r="BH14">
            <v>0.5</v>
          </cell>
          <cell r="BI14">
            <v>288</v>
          </cell>
          <cell r="BJ14">
            <v>31</v>
          </cell>
          <cell r="BK14">
            <v>0.5</v>
          </cell>
          <cell r="BL14">
            <v>297.6</v>
          </cell>
          <cell r="BM14">
            <v>0</v>
          </cell>
          <cell r="BN14">
            <v>0</v>
          </cell>
          <cell r="BO14">
            <v>0</v>
          </cell>
          <cell r="BP14">
            <v>0</v>
          </cell>
          <cell r="BQ14">
            <v>0</v>
          </cell>
          <cell r="BR14">
            <v>0</v>
          </cell>
          <cell r="BS14">
            <v>0</v>
          </cell>
          <cell r="BT14">
            <v>0</v>
          </cell>
          <cell r="BU14">
            <v>0</v>
          </cell>
          <cell r="BV14">
            <v>0</v>
          </cell>
          <cell r="BW14">
            <v>0</v>
          </cell>
          <cell r="BX14">
            <v>0</v>
          </cell>
          <cell r="BY14" t="str">
            <v>AGS BOOSTER</v>
          </cell>
          <cell r="BZ14">
            <v>0.8</v>
          </cell>
          <cell r="CA14">
            <v>31</v>
          </cell>
          <cell r="CB14">
            <v>0.5</v>
          </cell>
          <cell r="CC14">
            <v>297.6</v>
          </cell>
          <cell r="CD14">
            <v>30</v>
          </cell>
          <cell r="CE14">
            <v>0.5</v>
          </cell>
          <cell r="CF14">
            <v>288</v>
          </cell>
          <cell r="CG14">
            <v>31</v>
          </cell>
          <cell r="CH14">
            <v>0.5</v>
          </cell>
          <cell r="CI14">
            <v>297.6</v>
          </cell>
          <cell r="CJ14">
            <v>31</v>
          </cell>
          <cell r="CK14">
            <v>0.5</v>
          </cell>
          <cell r="CL14">
            <v>297.6</v>
          </cell>
          <cell r="CM14">
            <v>28</v>
          </cell>
          <cell r="CN14">
            <v>0.5</v>
          </cell>
          <cell r="CO14">
            <v>268.8</v>
          </cell>
          <cell r="CP14">
            <v>31</v>
          </cell>
          <cell r="CQ14">
            <v>0.5</v>
          </cell>
          <cell r="CR14">
            <v>297.6</v>
          </cell>
          <cell r="CS14">
            <v>30</v>
          </cell>
          <cell r="CT14">
            <v>0.5</v>
          </cell>
          <cell r="CU14">
            <v>288</v>
          </cell>
          <cell r="CV14">
            <v>31</v>
          </cell>
          <cell r="CW14">
            <v>0.5</v>
          </cell>
          <cell r="CX14">
            <v>297.6</v>
          </cell>
          <cell r="CY14">
            <v>0</v>
          </cell>
          <cell r="CZ14">
            <v>0</v>
          </cell>
          <cell r="DA14">
            <v>0</v>
          </cell>
          <cell r="DB14">
            <v>0</v>
          </cell>
          <cell r="DC14">
            <v>0</v>
          </cell>
          <cell r="DD14">
            <v>0</v>
          </cell>
          <cell r="DE14">
            <v>0</v>
          </cell>
          <cell r="DF14">
            <v>0</v>
          </cell>
          <cell r="DG14">
            <v>0</v>
          </cell>
          <cell r="DH14">
            <v>0</v>
          </cell>
          <cell r="DI14">
            <v>0</v>
          </cell>
          <cell r="DJ14">
            <v>0</v>
          </cell>
          <cell r="DK14" t="str">
            <v>AGS BOOSTER</v>
          </cell>
          <cell r="DL14">
            <v>0.8</v>
          </cell>
          <cell r="DM14">
            <v>31</v>
          </cell>
          <cell r="DN14">
            <v>0.5</v>
          </cell>
          <cell r="DO14">
            <v>297.6</v>
          </cell>
          <cell r="DP14">
            <v>30</v>
          </cell>
          <cell r="DQ14">
            <v>0.5</v>
          </cell>
          <cell r="DR14">
            <v>288</v>
          </cell>
          <cell r="DS14">
            <v>31</v>
          </cell>
          <cell r="DT14">
            <v>0.5</v>
          </cell>
          <cell r="DU14">
            <v>297.6</v>
          </cell>
          <cell r="DV14">
            <v>31</v>
          </cell>
          <cell r="DW14">
            <v>0.5</v>
          </cell>
          <cell r="DX14">
            <v>297.6</v>
          </cell>
          <cell r="DY14">
            <v>28</v>
          </cell>
          <cell r="DZ14">
            <v>0.5</v>
          </cell>
          <cell r="EA14">
            <v>268.8</v>
          </cell>
          <cell r="EB14">
            <v>31</v>
          </cell>
          <cell r="EC14">
            <v>0.5</v>
          </cell>
          <cell r="ED14">
            <v>297.6</v>
          </cell>
          <cell r="EE14">
            <v>30</v>
          </cell>
          <cell r="EF14">
            <v>0.5</v>
          </cell>
          <cell r="EG14">
            <v>288</v>
          </cell>
          <cell r="EH14">
            <v>31</v>
          </cell>
          <cell r="EI14">
            <v>0.5</v>
          </cell>
          <cell r="EJ14">
            <v>297.6</v>
          </cell>
          <cell r="EK14">
            <v>0</v>
          </cell>
          <cell r="EL14">
            <v>0</v>
          </cell>
          <cell r="EM14">
            <v>0</v>
          </cell>
          <cell r="EN14">
            <v>0</v>
          </cell>
          <cell r="EO14">
            <v>0</v>
          </cell>
          <cell r="EP14">
            <v>0</v>
          </cell>
          <cell r="EQ14">
            <v>0</v>
          </cell>
          <cell r="ER14">
            <v>0</v>
          </cell>
          <cell r="ES14">
            <v>0</v>
          </cell>
          <cell r="ET14">
            <v>0</v>
          </cell>
          <cell r="EU14">
            <v>0</v>
          </cell>
          <cell r="EV14">
            <v>0</v>
          </cell>
          <cell r="EW14" t="str">
            <v>AGS BOOSTER</v>
          </cell>
          <cell r="EX14">
            <v>0.8</v>
          </cell>
          <cell r="EY14">
            <v>31</v>
          </cell>
          <cell r="EZ14">
            <v>0.5</v>
          </cell>
          <cell r="FA14">
            <v>297.6</v>
          </cell>
          <cell r="FB14">
            <v>30</v>
          </cell>
          <cell r="FC14">
            <v>0.5</v>
          </cell>
          <cell r="FD14">
            <v>288</v>
          </cell>
          <cell r="FE14">
            <v>31</v>
          </cell>
          <cell r="FF14">
            <v>0.5</v>
          </cell>
          <cell r="FG14">
            <v>297.6</v>
          </cell>
          <cell r="FH14">
            <v>31</v>
          </cell>
          <cell r="FI14">
            <v>0.5</v>
          </cell>
          <cell r="FJ14">
            <v>297.6</v>
          </cell>
          <cell r="FK14">
            <v>28</v>
          </cell>
          <cell r="FL14">
            <v>0.5</v>
          </cell>
          <cell r="FM14">
            <v>268.8</v>
          </cell>
          <cell r="FN14">
            <v>31</v>
          </cell>
          <cell r="FO14">
            <v>0.5</v>
          </cell>
          <cell r="FP14">
            <v>297.6</v>
          </cell>
          <cell r="FQ14">
            <v>30</v>
          </cell>
          <cell r="FR14">
            <v>0.5</v>
          </cell>
          <cell r="FS14">
            <v>288</v>
          </cell>
          <cell r="FT14">
            <v>31</v>
          </cell>
          <cell r="FU14">
            <v>0.5</v>
          </cell>
          <cell r="FV14">
            <v>297.6</v>
          </cell>
          <cell r="FW14">
            <v>0</v>
          </cell>
          <cell r="FX14">
            <v>0</v>
          </cell>
          <cell r="FY14">
            <v>0</v>
          </cell>
          <cell r="FZ14">
            <v>0</v>
          </cell>
          <cell r="GA14">
            <v>0</v>
          </cell>
          <cell r="GB14">
            <v>0</v>
          </cell>
          <cell r="GC14">
            <v>0</v>
          </cell>
          <cell r="GD14">
            <v>0</v>
          </cell>
          <cell r="GE14">
            <v>0</v>
          </cell>
          <cell r="GF14">
            <v>0</v>
          </cell>
          <cell r="GG14">
            <v>0</v>
          </cell>
          <cell r="GH14">
            <v>0</v>
          </cell>
        </row>
        <row r="15">
          <cell r="A15" t="str">
            <v>LINAC</v>
          </cell>
          <cell r="B15">
            <v>0.7</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t="str">
            <v>LINAC</v>
          </cell>
          <cell r="AN15">
            <v>0.7</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t="str">
            <v>LINAC</v>
          </cell>
          <cell r="BZ15">
            <v>0.7</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t="str">
            <v>LINAC</v>
          </cell>
          <cell r="DL15">
            <v>0.7</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t="str">
            <v>LINAC</v>
          </cell>
          <cell r="EX15">
            <v>0.7</v>
          </cell>
          <cell r="EY15">
            <v>0</v>
          </cell>
          <cell r="EZ15">
            <v>0</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row>
        <row r="16">
          <cell r="A16" t="str">
            <v>TANDEM</v>
          </cell>
          <cell r="B16">
            <v>0.7</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15</v>
          </cell>
          <cell r="Y16">
            <v>0.3</v>
          </cell>
          <cell r="Z16">
            <v>75.6</v>
          </cell>
          <cell r="AA16">
            <v>30</v>
          </cell>
          <cell r="AB16">
            <v>0.3</v>
          </cell>
          <cell r="AC16">
            <v>151.2</v>
          </cell>
          <cell r="AD16">
            <v>31</v>
          </cell>
          <cell r="AE16">
            <v>0.3</v>
          </cell>
          <cell r="AF16">
            <v>156.24</v>
          </cell>
          <cell r="AG16">
            <v>0</v>
          </cell>
          <cell r="AH16">
            <v>0</v>
          </cell>
          <cell r="AI16">
            <v>0</v>
          </cell>
          <cell r="AJ16">
            <v>0</v>
          </cell>
          <cell r="AK16">
            <v>0</v>
          </cell>
          <cell r="AL16">
            <v>0</v>
          </cell>
          <cell r="AM16" t="str">
            <v>TANDEM</v>
          </cell>
          <cell r="AN16">
            <v>0.7</v>
          </cell>
          <cell r="AO16">
            <v>31</v>
          </cell>
          <cell r="AP16">
            <v>0.3</v>
          </cell>
          <cell r="AQ16">
            <v>156.24</v>
          </cell>
          <cell r="AR16">
            <v>30</v>
          </cell>
          <cell r="AS16">
            <v>0.3</v>
          </cell>
          <cell r="AT16">
            <v>151.2</v>
          </cell>
          <cell r="AU16">
            <v>31</v>
          </cell>
          <cell r="AV16">
            <v>0.3</v>
          </cell>
          <cell r="AW16">
            <v>156.24</v>
          </cell>
          <cell r="AX16">
            <v>31</v>
          </cell>
          <cell r="AY16">
            <v>0.3</v>
          </cell>
          <cell r="AZ16">
            <v>156.24</v>
          </cell>
          <cell r="BA16">
            <v>28</v>
          </cell>
          <cell r="BB16">
            <v>0.3</v>
          </cell>
          <cell r="BC16">
            <v>141.11999999999998</v>
          </cell>
          <cell r="BD16">
            <v>31</v>
          </cell>
          <cell r="BE16">
            <v>0.3</v>
          </cell>
          <cell r="BF16">
            <v>156.24</v>
          </cell>
          <cell r="BG16">
            <v>30</v>
          </cell>
          <cell r="BH16">
            <v>0.3</v>
          </cell>
          <cell r="BI16">
            <v>151.2</v>
          </cell>
          <cell r="BJ16">
            <v>31</v>
          </cell>
          <cell r="BK16">
            <v>0.3</v>
          </cell>
          <cell r="BL16">
            <v>156.24</v>
          </cell>
          <cell r="BM16">
            <v>0</v>
          </cell>
          <cell r="BN16">
            <v>0</v>
          </cell>
          <cell r="BO16">
            <v>0</v>
          </cell>
          <cell r="BP16">
            <v>0</v>
          </cell>
          <cell r="BQ16">
            <v>0</v>
          </cell>
          <cell r="BR16">
            <v>0</v>
          </cell>
          <cell r="BS16">
            <v>0</v>
          </cell>
          <cell r="BT16">
            <v>0</v>
          </cell>
          <cell r="BU16">
            <v>0</v>
          </cell>
          <cell r="BV16">
            <v>0</v>
          </cell>
          <cell r="BW16">
            <v>0</v>
          </cell>
          <cell r="BX16">
            <v>0</v>
          </cell>
          <cell r="BY16" t="str">
            <v>TANDEM</v>
          </cell>
          <cell r="BZ16">
            <v>0.7</v>
          </cell>
          <cell r="CA16">
            <v>31</v>
          </cell>
          <cell r="CB16">
            <v>0.3</v>
          </cell>
          <cell r="CC16">
            <v>156.24</v>
          </cell>
          <cell r="CD16">
            <v>30</v>
          </cell>
          <cell r="CE16">
            <v>0.3</v>
          </cell>
          <cell r="CF16">
            <v>151.2</v>
          </cell>
          <cell r="CG16">
            <v>31</v>
          </cell>
          <cell r="CH16">
            <v>0.3</v>
          </cell>
          <cell r="CI16">
            <v>156.24</v>
          </cell>
          <cell r="CJ16">
            <v>31</v>
          </cell>
          <cell r="CK16">
            <v>0.3</v>
          </cell>
          <cell r="CL16">
            <v>156.24</v>
          </cell>
          <cell r="CM16">
            <v>28</v>
          </cell>
          <cell r="CN16">
            <v>0.3</v>
          </cell>
          <cell r="CO16">
            <v>141.11999999999998</v>
          </cell>
          <cell r="CP16">
            <v>31</v>
          </cell>
          <cell r="CQ16">
            <v>0.3</v>
          </cell>
          <cell r="CR16">
            <v>156.24</v>
          </cell>
          <cell r="CS16">
            <v>30</v>
          </cell>
          <cell r="CT16">
            <v>0.3</v>
          </cell>
          <cell r="CU16">
            <v>151.2</v>
          </cell>
          <cell r="CV16">
            <v>31</v>
          </cell>
          <cell r="CW16">
            <v>0.3</v>
          </cell>
          <cell r="CX16">
            <v>156.24</v>
          </cell>
          <cell r="CY16">
            <v>0</v>
          </cell>
          <cell r="CZ16">
            <v>0</v>
          </cell>
          <cell r="DA16">
            <v>0</v>
          </cell>
          <cell r="DB16">
            <v>0</v>
          </cell>
          <cell r="DC16">
            <v>0</v>
          </cell>
          <cell r="DD16">
            <v>0</v>
          </cell>
          <cell r="DE16">
            <v>0</v>
          </cell>
          <cell r="DF16">
            <v>0</v>
          </cell>
          <cell r="DG16">
            <v>0</v>
          </cell>
          <cell r="DH16">
            <v>0</v>
          </cell>
          <cell r="DI16">
            <v>0</v>
          </cell>
          <cell r="DJ16">
            <v>0</v>
          </cell>
          <cell r="DK16" t="str">
            <v>TANDEM</v>
          </cell>
          <cell r="DL16">
            <v>0.7</v>
          </cell>
          <cell r="DM16">
            <v>31</v>
          </cell>
          <cell r="DN16">
            <v>0.3</v>
          </cell>
          <cell r="DO16">
            <v>156.24</v>
          </cell>
          <cell r="DP16">
            <v>30</v>
          </cell>
          <cell r="DQ16">
            <v>0.3</v>
          </cell>
          <cell r="DR16">
            <v>151.2</v>
          </cell>
          <cell r="DS16">
            <v>31</v>
          </cell>
          <cell r="DT16">
            <v>0.3</v>
          </cell>
          <cell r="DU16">
            <v>156.24</v>
          </cell>
          <cell r="DV16">
            <v>31</v>
          </cell>
          <cell r="DW16">
            <v>0.3</v>
          </cell>
          <cell r="DX16">
            <v>156.24</v>
          </cell>
          <cell r="DY16">
            <v>28</v>
          </cell>
          <cell r="DZ16">
            <v>0.3</v>
          </cell>
          <cell r="EA16">
            <v>141.11999999999998</v>
          </cell>
          <cell r="EB16">
            <v>31</v>
          </cell>
          <cell r="EC16">
            <v>0.3</v>
          </cell>
          <cell r="ED16">
            <v>156.24</v>
          </cell>
          <cell r="EE16">
            <v>30</v>
          </cell>
          <cell r="EF16">
            <v>0.3</v>
          </cell>
          <cell r="EG16">
            <v>151.2</v>
          </cell>
          <cell r="EH16">
            <v>31</v>
          </cell>
          <cell r="EI16">
            <v>0.3</v>
          </cell>
          <cell r="EJ16">
            <v>156.24</v>
          </cell>
          <cell r="EK16">
            <v>0</v>
          </cell>
          <cell r="EL16">
            <v>0</v>
          </cell>
          <cell r="EM16">
            <v>0</v>
          </cell>
          <cell r="EN16">
            <v>0</v>
          </cell>
          <cell r="EO16">
            <v>0</v>
          </cell>
          <cell r="EP16">
            <v>0</v>
          </cell>
          <cell r="EQ16">
            <v>0</v>
          </cell>
          <cell r="ER16">
            <v>0</v>
          </cell>
          <cell r="ES16">
            <v>0</v>
          </cell>
          <cell r="ET16">
            <v>0</v>
          </cell>
          <cell r="EU16">
            <v>0</v>
          </cell>
          <cell r="EV16">
            <v>0</v>
          </cell>
          <cell r="EW16" t="str">
            <v>TANDEM</v>
          </cell>
          <cell r="EX16">
            <v>0.7</v>
          </cell>
          <cell r="EY16">
            <v>31</v>
          </cell>
          <cell r="EZ16">
            <v>0.3</v>
          </cell>
          <cell r="FA16">
            <v>156.24</v>
          </cell>
          <cell r="FB16">
            <v>30</v>
          </cell>
          <cell r="FC16">
            <v>0.3</v>
          </cell>
          <cell r="FD16">
            <v>151.2</v>
          </cell>
          <cell r="FE16">
            <v>31</v>
          </cell>
          <cell r="FF16">
            <v>0.3</v>
          </cell>
          <cell r="FG16">
            <v>156.24</v>
          </cell>
          <cell r="FH16">
            <v>31</v>
          </cell>
          <cell r="FI16">
            <v>0.3</v>
          </cell>
          <cell r="FJ16">
            <v>156.24</v>
          </cell>
          <cell r="FK16">
            <v>28</v>
          </cell>
          <cell r="FL16">
            <v>0.3</v>
          </cell>
          <cell r="FM16">
            <v>141.11999999999998</v>
          </cell>
          <cell r="FN16">
            <v>31</v>
          </cell>
          <cell r="FO16">
            <v>0.3</v>
          </cell>
          <cell r="FP16">
            <v>156.24</v>
          </cell>
          <cell r="FQ16">
            <v>30</v>
          </cell>
          <cell r="FR16">
            <v>0.3</v>
          </cell>
          <cell r="FS16">
            <v>151.2</v>
          </cell>
          <cell r="FT16">
            <v>31</v>
          </cell>
          <cell r="FU16">
            <v>0.3</v>
          </cell>
          <cell r="FV16">
            <v>156.24</v>
          </cell>
          <cell r="FW16">
            <v>0</v>
          </cell>
          <cell r="FX16">
            <v>0</v>
          </cell>
          <cell r="FY16">
            <v>0</v>
          </cell>
          <cell r="FZ16">
            <v>0</v>
          </cell>
          <cell r="GA16">
            <v>0</v>
          </cell>
          <cell r="GB16">
            <v>0</v>
          </cell>
          <cell r="GC16">
            <v>0</v>
          </cell>
          <cell r="GD16">
            <v>0</v>
          </cell>
          <cell r="GE16">
            <v>0</v>
          </cell>
          <cell r="GF16">
            <v>0</v>
          </cell>
          <cell r="GG16">
            <v>0</v>
          </cell>
          <cell r="GH16">
            <v>0</v>
          </cell>
        </row>
        <row r="17">
          <cell r="A17" t="str">
            <v>AGS-SEB: Incremental</v>
          </cell>
          <cell r="B17">
            <v>0.7</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t="str">
            <v>AGS-SEB: Incremental</v>
          </cell>
          <cell r="AN17">
            <v>0.7</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31</v>
          </cell>
          <cell r="BE17">
            <v>7</v>
          </cell>
          <cell r="BF17">
            <v>3645.6000000000004</v>
          </cell>
          <cell r="BG17">
            <v>30</v>
          </cell>
          <cell r="BH17">
            <v>7</v>
          </cell>
          <cell r="BI17">
            <v>3528</v>
          </cell>
          <cell r="BJ17">
            <v>31</v>
          </cell>
          <cell r="BK17">
            <v>7</v>
          </cell>
          <cell r="BL17">
            <v>3645.6000000000004</v>
          </cell>
          <cell r="BM17">
            <v>0</v>
          </cell>
          <cell r="BN17">
            <v>0</v>
          </cell>
          <cell r="BO17">
            <v>0</v>
          </cell>
          <cell r="BP17">
            <v>0</v>
          </cell>
          <cell r="BQ17">
            <v>0</v>
          </cell>
          <cell r="BR17">
            <v>0</v>
          </cell>
          <cell r="BS17">
            <v>0</v>
          </cell>
          <cell r="BT17">
            <v>0</v>
          </cell>
          <cell r="BU17">
            <v>0</v>
          </cell>
          <cell r="BV17">
            <v>0</v>
          </cell>
          <cell r="BW17">
            <v>0</v>
          </cell>
          <cell r="BX17">
            <v>0</v>
          </cell>
          <cell r="BY17" t="str">
            <v>AGS-SEB: Incremental</v>
          </cell>
          <cell r="BZ17">
            <v>0.7</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31</v>
          </cell>
          <cell r="CQ17">
            <v>7</v>
          </cell>
          <cell r="CR17">
            <v>3645.6000000000004</v>
          </cell>
          <cell r="CS17">
            <v>30</v>
          </cell>
          <cell r="CT17">
            <v>7</v>
          </cell>
          <cell r="CU17">
            <v>3528</v>
          </cell>
          <cell r="CV17">
            <v>31</v>
          </cell>
          <cell r="CW17">
            <v>7</v>
          </cell>
          <cell r="CX17">
            <v>3645.6000000000004</v>
          </cell>
          <cell r="CY17">
            <v>0</v>
          </cell>
          <cell r="CZ17">
            <v>0</v>
          </cell>
          <cell r="DA17">
            <v>0</v>
          </cell>
          <cell r="DB17">
            <v>0</v>
          </cell>
          <cell r="DC17">
            <v>0</v>
          </cell>
          <cell r="DD17">
            <v>0</v>
          </cell>
          <cell r="DE17">
            <v>0</v>
          </cell>
          <cell r="DF17">
            <v>0</v>
          </cell>
          <cell r="DG17">
            <v>0</v>
          </cell>
          <cell r="DH17">
            <v>0</v>
          </cell>
          <cell r="DI17">
            <v>0</v>
          </cell>
          <cell r="DJ17">
            <v>0</v>
          </cell>
          <cell r="DK17" t="str">
            <v>AGS-SEB: Incremental</v>
          </cell>
          <cell r="DL17">
            <v>0.7</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31</v>
          </cell>
          <cell r="EC17">
            <v>7</v>
          </cell>
          <cell r="ED17">
            <v>3645.6000000000004</v>
          </cell>
          <cell r="EE17">
            <v>30</v>
          </cell>
          <cell r="EF17">
            <v>7</v>
          </cell>
          <cell r="EG17">
            <v>3528</v>
          </cell>
          <cell r="EH17">
            <v>31</v>
          </cell>
          <cell r="EI17">
            <v>7</v>
          </cell>
          <cell r="EJ17">
            <v>3645.6000000000004</v>
          </cell>
          <cell r="EK17">
            <v>0</v>
          </cell>
          <cell r="EL17">
            <v>0</v>
          </cell>
          <cell r="EM17">
            <v>0</v>
          </cell>
          <cell r="EN17">
            <v>0</v>
          </cell>
          <cell r="EO17">
            <v>0</v>
          </cell>
          <cell r="EP17">
            <v>0</v>
          </cell>
          <cell r="EQ17">
            <v>0</v>
          </cell>
          <cell r="ER17">
            <v>0</v>
          </cell>
          <cell r="ES17">
            <v>0</v>
          </cell>
          <cell r="ET17">
            <v>0</v>
          </cell>
          <cell r="EU17">
            <v>0</v>
          </cell>
          <cell r="EV17">
            <v>0</v>
          </cell>
          <cell r="EW17" t="str">
            <v>AGS-SEB: Incremental</v>
          </cell>
          <cell r="EX17">
            <v>0.7</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31</v>
          </cell>
          <cell r="FO17">
            <v>7</v>
          </cell>
          <cell r="FP17">
            <v>3645.6000000000004</v>
          </cell>
          <cell r="FQ17">
            <v>30</v>
          </cell>
          <cell r="FR17">
            <v>7</v>
          </cell>
          <cell r="FS17">
            <v>3528</v>
          </cell>
          <cell r="FT17">
            <v>31</v>
          </cell>
          <cell r="FU17">
            <v>7</v>
          </cell>
          <cell r="FV17">
            <v>3645.6000000000004</v>
          </cell>
          <cell r="FW17">
            <v>0</v>
          </cell>
          <cell r="FX17">
            <v>0</v>
          </cell>
          <cell r="FY17">
            <v>0</v>
          </cell>
          <cell r="FZ17">
            <v>0</v>
          </cell>
          <cell r="GA17">
            <v>0</v>
          </cell>
          <cell r="GB17">
            <v>0</v>
          </cell>
          <cell r="GC17">
            <v>0</v>
          </cell>
          <cell r="GD17">
            <v>0</v>
          </cell>
          <cell r="GE17">
            <v>0</v>
          </cell>
          <cell r="GF17">
            <v>0</v>
          </cell>
          <cell r="GG17">
            <v>0</v>
          </cell>
          <cell r="GH17">
            <v>0</v>
          </cell>
        </row>
        <row r="19">
          <cell r="A19" t="str">
            <v>ATR LINE</v>
          </cell>
          <cell r="B19">
            <v>0.167</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30</v>
          </cell>
          <cell r="AB19">
            <v>0.5</v>
          </cell>
          <cell r="AC19">
            <v>60.120000000000005</v>
          </cell>
          <cell r="AD19">
            <v>31</v>
          </cell>
          <cell r="AE19">
            <v>0.5</v>
          </cell>
          <cell r="AF19">
            <v>62.12400000000001</v>
          </cell>
          <cell r="AG19">
            <v>0</v>
          </cell>
          <cell r="AH19">
            <v>0</v>
          </cell>
          <cell r="AI19">
            <v>0</v>
          </cell>
          <cell r="AJ19">
            <v>0</v>
          </cell>
          <cell r="AK19">
            <v>0</v>
          </cell>
          <cell r="AL19">
            <v>0</v>
          </cell>
          <cell r="AM19" t="str">
            <v>ATR LINE</v>
          </cell>
          <cell r="AN19">
            <v>0.167</v>
          </cell>
          <cell r="AO19">
            <v>0</v>
          </cell>
          <cell r="AP19">
            <v>0</v>
          </cell>
          <cell r="AQ19">
            <v>0</v>
          </cell>
          <cell r="AR19">
            <v>30</v>
          </cell>
          <cell r="AS19">
            <v>0.5</v>
          </cell>
          <cell r="AT19">
            <v>60.120000000000005</v>
          </cell>
          <cell r="AU19">
            <v>31</v>
          </cell>
          <cell r="AV19">
            <v>0.5</v>
          </cell>
          <cell r="AW19">
            <v>62.12400000000001</v>
          </cell>
          <cell r="AX19">
            <v>31</v>
          </cell>
          <cell r="AY19">
            <v>0.5</v>
          </cell>
          <cell r="AZ19">
            <v>62.12400000000001</v>
          </cell>
          <cell r="BA19">
            <v>28</v>
          </cell>
          <cell r="BB19">
            <v>0.5</v>
          </cell>
          <cell r="BC19">
            <v>56.112</v>
          </cell>
          <cell r="BD19">
            <v>31</v>
          </cell>
          <cell r="BE19">
            <v>0.5</v>
          </cell>
          <cell r="BF19">
            <v>62.12400000000001</v>
          </cell>
          <cell r="BG19">
            <v>30</v>
          </cell>
          <cell r="BH19">
            <v>0.5</v>
          </cell>
          <cell r="BI19">
            <v>60.120000000000005</v>
          </cell>
          <cell r="BJ19">
            <v>31</v>
          </cell>
          <cell r="BK19">
            <v>0.5</v>
          </cell>
          <cell r="BL19">
            <v>62.12400000000001</v>
          </cell>
          <cell r="BM19">
            <v>0</v>
          </cell>
          <cell r="BN19">
            <v>0</v>
          </cell>
          <cell r="BO19">
            <v>0</v>
          </cell>
          <cell r="BP19">
            <v>0</v>
          </cell>
          <cell r="BQ19">
            <v>0</v>
          </cell>
          <cell r="BR19">
            <v>0</v>
          </cell>
          <cell r="BS19">
            <v>0</v>
          </cell>
          <cell r="BT19">
            <v>0</v>
          </cell>
          <cell r="BU19">
            <v>0</v>
          </cell>
          <cell r="BV19">
            <v>0</v>
          </cell>
          <cell r="BW19">
            <v>0</v>
          </cell>
          <cell r="BX19">
            <v>0</v>
          </cell>
          <cell r="BY19" t="str">
            <v>ATR LINE</v>
          </cell>
          <cell r="BZ19">
            <v>0.167</v>
          </cell>
          <cell r="CA19">
            <v>31</v>
          </cell>
          <cell r="CB19">
            <v>0.5</v>
          </cell>
          <cell r="CC19">
            <v>62.12400000000001</v>
          </cell>
          <cell r="CD19">
            <v>30</v>
          </cell>
          <cell r="CE19">
            <v>0.5</v>
          </cell>
          <cell r="CF19">
            <v>60.120000000000005</v>
          </cell>
          <cell r="CG19">
            <v>31</v>
          </cell>
          <cell r="CH19">
            <v>0.5</v>
          </cell>
          <cell r="CI19">
            <v>62.12400000000001</v>
          </cell>
          <cell r="CJ19">
            <v>31</v>
          </cell>
          <cell r="CK19">
            <v>0.5</v>
          </cell>
          <cell r="CL19">
            <v>62.12400000000001</v>
          </cell>
          <cell r="CM19">
            <v>28</v>
          </cell>
          <cell r="CN19">
            <v>0.5</v>
          </cell>
          <cell r="CO19">
            <v>56.112</v>
          </cell>
          <cell r="CP19">
            <v>31</v>
          </cell>
          <cell r="CQ19">
            <v>0.5</v>
          </cell>
          <cell r="CR19">
            <v>62.12400000000001</v>
          </cell>
          <cell r="CS19">
            <v>30</v>
          </cell>
          <cell r="CT19">
            <v>0.5</v>
          </cell>
          <cell r="CU19">
            <v>60.120000000000005</v>
          </cell>
          <cell r="CV19">
            <v>31</v>
          </cell>
          <cell r="CW19">
            <v>0.5</v>
          </cell>
          <cell r="CX19">
            <v>62.12400000000001</v>
          </cell>
          <cell r="CY19">
            <v>0</v>
          </cell>
          <cell r="CZ19">
            <v>0</v>
          </cell>
          <cell r="DA19">
            <v>0</v>
          </cell>
          <cell r="DB19">
            <v>0</v>
          </cell>
          <cell r="DC19">
            <v>0</v>
          </cell>
          <cell r="DD19">
            <v>0</v>
          </cell>
          <cell r="DE19">
            <v>0</v>
          </cell>
          <cell r="DF19">
            <v>0</v>
          </cell>
          <cell r="DG19">
            <v>0</v>
          </cell>
          <cell r="DH19">
            <v>0</v>
          </cell>
          <cell r="DI19">
            <v>0</v>
          </cell>
          <cell r="DJ19">
            <v>0</v>
          </cell>
          <cell r="DK19" t="str">
            <v>ATR LINE</v>
          </cell>
          <cell r="DL19">
            <v>0.167</v>
          </cell>
          <cell r="DM19">
            <v>31</v>
          </cell>
          <cell r="DN19">
            <v>0.5</v>
          </cell>
          <cell r="DO19">
            <v>62.12400000000001</v>
          </cell>
          <cell r="DP19">
            <v>30</v>
          </cell>
          <cell r="DQ19">
            <v>0.5</v>
          </cell>
          <cell r="DR19">
            <v>60.120000000000005</v>
          </cell>
          <cell r="DS19">
            <v>31</v>
          </cell>
          <cell r="DT19">
            <v>0.5</v>
          </cell>
          <cell r="DU19">
            <v>62.12400000000001</v>
          </cell>
          <cell r="DV19">
            <v>31</v>
          </cell>
          <cell r="DW19">
            <v>0.5</v>
          </cell>
          <cell r="DX19">
            <v>62.12400000000001</v>
          </cell>
          <cell r="DY19">
            <v>28</v>
          </cell>
          <cell r="DZ19">
            <v>0.5</v>
          </cell>
          <cell r="EA19">
            <v>56.112</v>
          </cell>
          <cell r="EB19">
            <v>31</v>
          </cell>
          <cell r="EC19">
            <v>0.5</v>
          </cell>
          <cell r="ED19">
            <v>62.12400000000001</v>
          </cell>
          <cell r="EE19">
            <v>30</v>
          </cell>
          <cell r="EF19">
            <v>0.5</v>
          </cell>
          <cell r="EG19">
            <v>60.120000000000005</v>
          </cell>
          <cell r="EH19">
            <v>31</v>
          </cell>
          <cell r="EI19">
            <v>0.5</v>
          </cell>
          <cell r="EJ19">
            <v>62.12400000000001</v>
          </cell>
          <cell r="EK19">
            <v>0</v>
          </cell>
          <cell r="EL19">
            <v>0</v>
          </cell>
          <cell r="EM19">
            <v>0</v>
          </cell>
          <cell r="EN19">
            <v>0</v>
          </cell>
          <cell r="EO19">
            <v>0</v>
          </cell>
          <cell r="EP19">
            <v>0</v>
          </cell>
          <cell r="EQ19">
            <v>0</v>
          </cell>
          <cell r="ER19">
            <v>0</v>
          </cell>
          <cell r="ES19">
            <v>0</v>
          </cell>
          <cell r="ET19">
            <v>0</v>
          </cell>
          <cell r="EU19">
            <v>0</v>
          </cell>
          <cell r="EV19">
            <v>0</v>
          </cell>
          <cell r="EW19" t="str">
            <v>ATR LINE</v>
          </cell>
          <cell r="EX19">
            <v>0.167</v>
          </cell>
          <cell r="EY19">
            <v>31</v>
          </cell>
          <cell r="EZ19">
            <v>0.5</v>
          </cell>
          <cell r="FA19">
            <v>62.12400000000001</v>
          </cell>
          <cell r="FB19">
            <v>30</v>
          </cell>
          <cell r="FC19">
            <v>0.5</v>
          </cell>
          <cell r="FD19">
            <v>60.120000000000005</v>
          </cell>
          <cell r="FE19">
            <v>31</v>
          </cell>
          <cell r="FF19">
            <v>0.5</v>
          </cell>
          <cell r="FG19">
            <v>62.12400000000001</v>
          </cell>
          <cell r="FH19">
            <v>31</v>
          </cell>
          <cell r="FI19">
            <v>0.5</v>
          </cell>
          <cell r="FJ19">
            <v>62.12400000000001</v>
          </cell>
          <cell r="FK19">
            <v>28</v>
          </cell>
          <cell r="FL19">
            <v>0.5</v>
          </cell>
          <cell r="FM19">
            <v>56.112</v>
          </cell>
          <cell r="FN19">
            <v>31</v>
          </cell>
          <cell r="FO19">
            <v>0.5</v>
          </cell>
          <cell r="FP19">
            <v>62.12400000000001</v>
          </cell>
          <cell r="FQ19">
            <v>30</v>
          </cell>
          <cell r="FR19">
            <v>0.5</v>
          </cell>
          <cell r="FS19">
            <v>60.120000000000005</v>
          </cell>
          <cell r="FT19">
            <v>31</v>
          </cell>
          <cell r="FU19">
            <v>0.5</v>
          </cell>
          <cell r="FV19">
            <v>62.12400000000001</v>
          </cell>
          <cell r="FW19">
            <v>0</v>
          </cell>
          <cell r="FX19">
            <v>0</v>
          </cell>
          <cell r="FY19">
            <v>0</v>
          </cell>
          <cell r="FZ19">
            <v>0</v>
          </cell>
          <cell r="GA19">
            <v>0</v>
          </cell>
          <cell r="GB19">
            <v>0</v>
          </cell>
          <cell r="GC19">
            <v>0</v>
          </cell>
          <cell r="GD19">
            <v>0</v>
          </cell>
          <cell r="GE19">
            <v>0</v>
          </cell>
          <cell r="GF19">
            <v>0</v>
          </cell>
          <cell r="GG19">
            <v>0</v>
          </cell>
          <cell r="GH19">
            <v>0</v>
          </cell>
        </row>
        <row r="20">
          <cell r="A20" t="str">
            <v>RHIC CRYOGENICS</v>
          </cell>
          <cell r="B20">
            <v>0.95</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15</v>
          </cell>
          <cell r="V20">
            <v>9</v>
          </cell>
          <cell r="W20">
            <v>3078</v>
          </cell>
          <cell r="X20">
            <v>31</v>
          </cell>
          <cell r="Y20">
            <v>9</v>
          </cell>
          <cell r="Z20">
            <v>6361.200000000001</v>
          </cell>
          <cell r="AA20">
            <v>30</v>
          </cell>
          <cell r="AB20">
            <v>9</v>
          </cell>
          <cell r="AC20">
            <v>6156</v>
          </cell>
          <cell r="AD20">
            <v>31</v>
          </cell>
          <cell r="AE20">
            <v>9</v>
          </cell>
          <cell r="AF20">
            <v>6361.200000000001</v>
          </cell>
          <cell r="AG20">
            <v>0</v>
          </cell>
          <cell r="AH20">
            <v>7</v>
          </cell>
          <cell r="AI20">
            <v>5208</v>
          </cell>
          <cell r="AJ20">
            <v>0</v>
          </cell>
          <cell r="AK20">
            <v>7</v>
          </cell>
          <cell r="AL20">
            <v>5040</v>
          </cell>
          <cell r="AM20" t="str">
            <v>RHIC CRYOGENICS</v>
          </cell>
          <cell r="AN20">
            <v>0.95</v>
          </cell>
          <cell r="AO20">
            <v>0</v>
          </cell>
          <cell r="AP20">
            <v>7</v>
          </cell>
          <cell r="AQ20">
            <v>5208</v>
          </cell>
          <cell r="AR20">
            <v>30</v>
          </cell>
          <cell r="AS20">
            <v>9</v>
          </cell>
          <cell r="AT20">
            <v>6156</v>
          </cell>
          <cell r="AU20">
            <v>31</v>
          </cell>
          <cell r="AV20">
            <v>9</v>
          </cell>
          <cell r="AW20">
            <v>6361.200000000001</v>
          </cell>
          <cell r="AX20">
            <v>31</v>
          </cell>
          <cell r="AY20">
            <v>9</v>
          </cell>
          <cell r="AZ20">
            <v>6361.200000000001</v>
          </cell>
          <cell r="BA20">
            <v>28</v>
          </cell>
          <cell r="BB20">
            <v>9</v>
          </cell>
          <cell r="BC20">
            <v>5745.599999999999</v>
          </cell>
          <cell r="BD20">
            <v>31</v>
          </cell>
          <cell r="BE20">
            <v>9</v>
          </cell>
          <cell r="BF20">
            <v>6361.200000000001</v>
          </cell>
          <cell r="BG20">
            <v>30</v>
          </cell>
          <cell r="BH20">
            <v>9</v>
          </cell>
          <cell r="BI20">
            <v>6156</v>
          </cell>
          <cell r="BJ20">
            <v>31</v>
          </cell>
          <cell r="BK20">
            <v>9</v>
          </cell>
          <cell r="BL20">
            <v>6361.200000000001</v>
          </cell>
          <cell r="BM20">
            <v>0</v>
          </cell>
          <cell r="BN20">
            <v>7</v>
          </cell>
          <cell r="BO20">
            <v>5040</v>
          </cell>
          <cell r="BP20">
            <v>0</v>
          </cell>
          <cell r="BQ20">
            <v>7</v>
          </cell>
          <cell r="BR20">
            <v>5208</v>
          </cell>
          <cell r="BS20">
            <v>0</v>
          </cell>
          <cell r="BT20">
            <v>7</v>
          </cell>
          <cell r="BU20">
            <v>5208</v>
          </cell>
          <cell r="BV20">
            <v>0</v>
          </cell>
          <cell r="BW20">
            <v>7</v>
          </cell>
          <cell r="BX20">
            <v>5040</v>
          </cell>
          <cell r="BY20" t="str">
            <v>RHIC CRYOGENICS</v>
          </cell>
          <cell r="BZ20">
            <v>0.95</v>
          </cell>
          <cell r="CA20">
            <v>31</v>
          </cell>
          <cell r="CB20">
            <v>9</v>
          </cell>
          <cell r="CC20">
            <v>6361.200000000001</v>
          </cell>
          <cell r="CD20">
            <v>30</v>
          </cell>
          <cell r="CE20">
            <v>9</v>
          </cell>
          <cell r="CF20">
            <v>6156</v>
          </cell>
          <cell r="CG20">
            <v>31</v>
          </cell>
          <cell r="CH20">
            <v>9</v>
          </cell>
          <cell r="CI20">
            <v>6361.200000000001</v>
          </cell>
          <cell r="CJ20">
            <v>31</v>
          </cell>
          <cell r="CK20">
            <v>9</v>
          </cell>
          <cell r="CL20">
            <v>6361.200000000001</v>
          </cell>
          <cell r="CM20">
            <v>28</v>
          </cell>
          <cell r="CN20">
            <v>9</v>
          </cell>
          <cell r="CO20">
            <v>5745.599999999999</v>
          </cell>
          <cell r="CP20">
            <v>31</v>
          </cell>
          <cell r="CQ20">
            <v>9</v>
          </cell>
          <cell r="CR20">
            <v>6361.200000000001</v>
          </cell>
          <cell r="CS20">
            <v>30</v>
          </cell>
          <cell r="CT20">
            <v>9</v>
          </cell>
          <cell r="CU20">
            <v>6156</v>
          </cell>
          <cell r="CV20">
            <v>31</v>
          </cell>
          <cell r="CW20">
            <v>9</v>
          </cell>
          <cell r="CX20">
            <v>6361.200000000001</v>
          </cell>
          <cell r="CY20">
            <v>0</v>
          </cell>
          <cell r="CZ20">
            <v>7</v>
          </cell>
          <cell r="DA20">
            <v>5040</v>
          </cell>
          <cell r="DB20">
            <v>0</v>
          </cell>
          <cell r="DC20">
            <v>7</v>
          </cell>
          <cell r="DD20">
            <v>5208</v>
          </cell>
          <cell r="DE20">
            <v>0</v>
          </cell>
          <cell r="DF20">
            <v>7</v>
          </cell>
          <cell r="DG20">
            <v>5208</v>
          </cell>
          <cell r="DH20">
            <v>0</v>
          </cell>
          <cell r="DI20">
            <v>7</v>
          </cell>
          <cell r="DJ20">
            <v>5040</v>
          </cell>
          <cell r="DK20" t="str">
            <v>RHIC CRYOGENICS</v>
          </cell>
          <cell r="DL20">
            <v>0.95</v>
          </cell>
          <cell r="DM20">
            <v>31</v>
          </cell>
          <cell r="DN20">
            <v>9</v>
          </cell>
          <cell r="DO20">
            <v>6361.200000000001</v>
          </cell>
          <cell r="DP20">
            <v>30</v>
          </cell>
          <cell r="DQ20">
            <v>9</v>
          </cell>
          <cell r="DR20">
            <v>6156</v>
          </cell>
          <cell r="DS20">
            <v>31</v>
          </cell>
          <cell r="DT20">
            <v>9</v>
          </cell>
          <cell r="DU20">
            <v>6361.200000000001</v>
          </cell>
          <cell r="DV20">
            <v>31</v>
          </cell>
          <cell r="DW20">
            <v>9</v>
          </cell>
          <cell r="DX20">
            <v>6361.200000000001</v>
          </cell>
          <cell r="DY20">
            <v>28</v>
          </cell>
          <cell r="DZ20">
            <v>9</v>
          </cell>
          <cell r="EA20">
            <v>5745.599999999999</v>
          </cell>
          <cell r="EB20">
            <v>31</v>
          </cell>
          <cell r="EC20">
            <v>9</v>
          </cell>
          <cell r="ED20">
            <v>6361.200000000001</v>
          </cell>
          <cell r="EE20">
            <v>30</v>
          </cell>
          <cell r="EF20">
            <v>9</v>
          </cell>
          <cell r="EG20">
            <v>6156</v>
          </cell>
          <cell r="EH20">
            <v>31</v>
          </cell>
          <cell r="EI20">
            <v>9</v>
          </cell>
          <cell r="EJ20">
            <v>6361.200000000001</v>
          </cell>
          <cell r="EK20">
            <v>0</v>
          </cell>
          <cell r="EL20">
            <v>7</v>
          </cell>
          <cell r="EM20">
            <v>5040</v>
          </cell>
          <cell r="EN20">
            <v>0</v>
          </cell>
          <cell r="EO20">
            <v>7</v>
          </cell>
          <cell r="EP20">
            <v>5208</v>
          </cell>
          <cell r="EQ20">
            <v>0</v>
          </cell>
          <cell r="ER20">
            <v>7</v>
          </cell>
          <cell r="ES20">
            <v>5208</v>
          </cell>
          <cell r="ET20">
            <v>0</v>
          </cell>
          <cell r="EU20">
            <v>7</v>
          </cell>
          <cell r="EV20">
            <v>5040</v>
          </cell>
          <cell r="EW20" t="str">
            <v>RHIC CRYOGENICS</v>
          </cell>
          <cell r="EX20">
            <v>0.95</v>
          </cell>
          <cell r="EY20">
            <v>31</v>
          </cell>
          <cell r="EZ20">
            <v>9</v>
          </cell>
          <cell r="FA20">
            <v>6361.200000000001</v>
          </cell>
          <cell r="FB20">
            <v>30</v>
          </cell>
          <cell r="FC20">
            <v>9</v>
          </cell>
          <cell r="FD20">
            <v>6156</v>
          </cell>
          <cell r="FE20">
            <v>31</v>
          </cell>
          <cell r="FF20">
            <v>9</v>
          </cell>
          <cell r="FG20">
            <v>6361.200000000001</v>
          </cell>
          <cell r="FH20">
            <v>31</v>
          </cell>
          <cell r="FI20">
            <v>9</v>
          </cell>
          <cell r="FJ20">
            <v>6361.200000000001</v>
          </cell>
          <cell r="FK20">
            <v>28</v>
          </cell>
          <cell r="FL20">
            <v>9</v>
          </cell>
          <cell r="FM20">
            <v>5745.599999999999</v>
          </cell>
          <cell r="FN20">
            <v>31</v>
          </cell>
          <cell r="FO20">
            <v>9</v>
          </cell>
          <cell r="FP20">
            <v>6361.200000000001</v>
          </cell>
          <cell r="FQ20">
            <v>30</v>
          </cell>
          <cell r="FR20">
            <v>9</v>
          </cell>
          <cell r="FS20">
            <v>6156</v>
          </cell>
          <cell r="FT20">
            <v>31</v>
          </cell>
          <cell r="FU20">
            <v>9</v>
          </cell>
          <cell r="FV20">
            <v>6361.200000000001</v>
          </cell>
          <cell r="FW20">
            <v>0</v>
          </cell>
          <cell r="FX20">
            <v>7</v>
          </cell>
          <cell r="FY20">
            <v>5040</v>
          </cell>
          <cell r="FZ20">
            <v>0</v>
          </cell>
          <cell r="GA20">
            <v>7</v>
          </cell>
          <cell r="GB20">
            <v>5208</v>
          </cell>
          <cell r="GC20">
            <v>0</v>
          </cell>
          <cell r="GD20">
            <v>7</v>
          </cell>
          <cell r="GE20">
            <v>5208</v>
          </cell>
          <cell r="GF20">
            <v>0</v>
          </cell>
          <cell r="GG20">
            <v>7</v>
          </cell>
          <cell r="GH20">
            <v>5040</v>
          </cell>
        </row>
        <row r="21">
          <cell r="A21" t="str">
            <v>RHIC MMPS, RF</v>
          </cell>
          <cell r="B21">
            <v>0.9</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30</v>
          </cell>
          <cell r="AB21">
            <v>7</v>
          </cell>
          <cell r="AC21">
            <v>4536</v>
          </cell>
          <cell r="AD21">
            <v>31</v>
          </cell>
          <cell r="AE21">
            <v>7</v>
          </cell>
          <cell r="AF21">
            <v>4687.200000000001</v>
          </cell>
          <cell r="AG21">
            <v>0</v>
          </cell>
          <cell r="AH21">
            <v>0</v>
          </cell>
          <cell r="AI21">
            <v>0</v>
          </cell>
          <cell r="AJ21">
            <v>0</v>
          </cell>
          <cell r="AK21">
            <v>0</v>
          </cell>
          <cell r="AL21">
            <v>0</v>
          </cell>
          <cell r="AM21" t="str">
            <v>RHIC MMPS, RF</v>
          </cell>
          <cell r="AN21">
            <v>0.9</v>
          </cell>
          <cell r="AO21">
            <v>0</v>
          </cell>
          <cell r="AP21">
            <v>0</v>
          </cell>
          <cell r="AQ21">
            <v>0</v>
          </cell>
          <cell r="AR21">
            <v>30</v>
          </cell>
          <cell r="AS21">
            <v>7</v>
          </cell>
          <cell r="AT21">
            <v>4536</v>
          </cell>
          <cell r="AU21">
            <v>31</v>
          </cell>
          <cell r="AV21">
            <v>7</v>
          </cell>
          <cell r="AW21">
            <v>4687.200000000001</v>
          </cell>
          <cell r="AX21">
            <v>31</v>
          </cell>
          <cell r="AY21">
            <v>7</v>
          </cell>
          <cell r="AZ21">
            <v>4687.200000000001</v>
          </cell>
          <cell r="BA21">
            <v>28</v>
          </cell>
          <cell r="BB21">
            <v>7</v>
          </cell>
          <cell r="BC21">
            <v>4233.6</v>
          </cell>
          <cell r="BD21">
            <v>31</v>
          </cell>
          <cell r="BE21">
            <v>7</v>
          </cell>
          <cell r="BF21">
            <v>4687.200000000001</v>
          </cell>
          <cell r="BG21">
            <v>30</v>
          </cell>
          <cell r="BH21">
            <v>7</v>
          </cell>
          <cell r="BI21">
            <v>4536</v>
          </cell>
          <cell r="BJ21">
            <v>31</v>
          </cell>
          <cell r="BK21">
            <v>7</v>
          </cell>
          <cell r="BL21">
            <v>4687.200000000001</v>
          </cell>
          <cell r="BM21">
            <v>0</v>
          </cell>
          <cell r="BN21">
            <v>0</v>
          </cell>
          <cell r="BO21">
            <v>0</v>
          </cell>
          <cell r="BP21">
            <v>0</v>
          </cell>
          <cell r="BQ21">
            <v>0</v>
          </cell>
          <cell r="BR21">
            <v>0</v>
          </cell>
          <cell r="BS21">
            <v>0</v>
          </cell>
          <cell r="BT21">
            <v>0</v>
          </cell>
          <cell r="BU21">
            <v>0</v>
          </cell>
          <cell r="BV21">
            <v>0</v>
          </cell>
          <cell r="BW21">
            <v>0</v>
          </cell>
          <cell r="BX21">
            <v>0</v>
          </cell>
          <cell r="BY21" t="str">
            <v>RHIC MMPS, RF</v>
          </cell>
          <cell r="BZ21">
            <v>0.9</v>
          </cell>
          <cell r="CA21">
            <v>31</v>
          </cell>
          <cell r="CB21">
            <v>7</v>
          </cell>
          <cell r="CC21">
            <v>4687.200000000001</v>
          </cell>
          <cell r="CD21">
            <v>30</v>
          </cell>
          <cell r="CE21">
            <v>7</v>
          </cell>
          <cell r="CF21">
            <v>4536</v>
          </cell>
          <cell r="CG21">
            <v>31</v>
          </cell>
          <cell r="CH21">
            <v>7</v>
          </cell>
          <cell r="CI21">
            <v>4687.200000000001</v>
          </cell>
          <cell r="CJ21">
            <v>31</v>
          </cell>
          <cell r="CK21">
            <v>7</v>
          </cell>
          <cell r="CL21">
            <v>4687.200000000001</v>
          </cell>
          <cell r="CM21">
            <v>28</v>
          </cell>
          <cell r="CN21">
            <v>7</v>
          </cell>
          <cell r="CO21">
            <v>4233.6</v>
          </cell>
          <cell r="CP21">
            <v>31</v>
          </cell>
          <cell r="CQ21">
            <v>7</v>
          </cell>
          <cell r="CR21">
            <v>4687.200000000001</v>
          </cell>
          <cell r="CS21">
            <v>30</v>
          </cell>
          <cell r="CT21">
            <v>7</v>
          </cell>
          <cell r="CU21">
            <v>4536</v>
          </cell>
          <cell r="CV21">
            <v>31</v>
          </cell>
          <cell r="CW21">
            <v>7</v>
          </cell>
          <cell r="CX21">
            <v>4687.200000000001</v>
          </cell>
          <cell r="CY21">
            <v>0</v>
          </cell>
          <cell r="CZ21">
            <v>0</v>
          </cell>
          <cell r="DA21">
            <v>0</v>
          </cell>
          <cell r="DB21">
            <v>0</v>
          </cell>
          <cell r="DC21">
            <v>0</v>
          </cell>
          <cell r="DD21">
            <v>0</v>
          </cell>
          <cell r="DE21">
            <v>0</v>
          </cell>
          <cell r="DF21">
            <v>0</v>
          </cell>
          <cell r="DG21">
            <v>0</v>
          </cell>
          <cell r="DH21">
            <v>0</v>
          </cell>
          <cell r="DI21">
            <v>0</v>
          </cell>
          <cell r="DJ21">
            <v>0</v>
          </cell>
          <cell r="DK21" t="str">
            <v>RHIC MMPS, RF</v>
          </cell>
          <cell r="DL21">
            <v>0.9</v>
          </cell>
          <cell r="DM21">
            <v>31</v>
          </cell>
          <cell r="DN21">
            <v>7</v>
          </cell>
          <cell r="DO21">
            <v>4687.200000000001</v>
          </cell>
          <cell r="DP21">
            <v>30</v>
          </cell>
          <cell r="DQ21">
            <v>7</v>
          </cell>
          <cell r="DR21">
            <v>4536</v>
          </cell>
          <cell r="DS21">
            <v>31</v>
          </cell>
          <cell r="DT21">
            <v>7</v>
          </cell>
          <cell r="DU21">
            <v>4687.200000000001</v>
          </cell>
          <cell r="DV21">
            <v>31</v>
          </cell>
          <cell r="DW21">
            <v>7</v>
          </cell>
          <cell r="DX21">
            <v>4687.200000000001</v>
          </cell>
          <cell r="DY21">
            <v>28</v>
          </cell>
          <cell r="DZ21">
            <v>7</v>
          </cell>
          <cell r="EA21">
            <v>4233.6</v>
          </cell>
          <cell r="EB21">
            <v>31</v>
          </cell>
          <cell r="EC21">
            <v>7</v>
          </cell>
          <cell r="ED21">
            <v>4687.200000000001</v>
          </cell>
          <cell r="EE21">
            <v>30</v>
          </cell>
          <cell r="EF21">
            <v>7</v>
          </cell>
          <cell r="EG21">
            <v>4536</v>
          </cell>
          <cell r="EH21">
            <v>31</v>
          </cell>
          <cell r="EI21">
            <v>7</v>
          </cell>
          <cell r="EJ21">
            <v>4687.200000000001</v>
          </cell>
          <cell r="EK21">
            <v>0</v>
          </cell>
          <cell r="EL21">
            <v>0</v>
          </cell>
          <cell r="EM21">
            <v>0</v>
          </cell>
          <cell r="EN21">
            <v>0</v>
          </cell>
          <cell r="EO21">
            <v>0</v>
          </cell>
          <cell r="EP21">
            <v>0</v>
          </cell>
          <cell r="EQ21">
            <v>0</v>
          </cell>
          <cell r="ER21">
            <v>0</v>
          </cell>
          <cell r="ES21">
            <v>0</v>
          </cell>
          <cell r="ET21">
            <v>0</v>
          </cell>
          <cell r="EU21">
            <v>0</v>
          </cell>
          <cell r="EV21">
            <v>0</v>
          </cell>
          <cell r="EW21" t="str">
            <v>RHIC MMPS, RF</v>
          </cell>
          <cell r="EX21">
            <v>0.9</v>
          </cell>
          <cell r="EY21">
            <v>31</v>
          </cell>
          <cell r="EZ21">
            <v>7</v>
          </cell>
          <cell r="FA21">
            <v>4687.200000000001</v>
          </cell>
          <cell r="FB21">
            <v>30</v>
          </cell>
          <cell r="FC21">
            <v>7</v>
          </cell>
          <cell r="FD21">
            <v>4536</v>
          </cell>
          <cell r="FE21">
            <v>31</v>
          </cell>
          <cell r="FF21">
            <v>7</v>
          </cell>
          <cell r="FG21">
            <v>4687.200000000001</v>
          </cell>
          <cell r="FH21">
            <v>31</v>
          </cell>
          <cell r="FI21">
            <v>7</v>
          </cell>
          <cell r="FJ21">
            <v>4687.200000000001</v>
          </cell>
          <cell r="FK21">
            <v>28</v>
          </cell>
          <cell r="FL21">
            <v>7</v>
          </cell>
          <cell r="FM21">
            <v>4233.6</v>
          </cell>
          <cell r="FN21">
            <v>31</v>
          </cell>
          <cell r="FO21">
            <v>7</v>
          </cell>
          <cell r="FP21">
            <v>4687.200000000001</v>
          </cell>
          <cell r="FQ21">
            <v>30</v>
          </cell>
          <cell r="FR21">
            <v>7</v>
          </cell>
          <cell r="FS21">
            <v>4536</v>
          </cell>
          <cell r="FT21">
            <v>31</v>
          </cell>
          <cell r="FU21">
            <v>7</v>
          </cell>
          <cell r="FV21">
            <v>4687.200000000001</v>
          </cell>
          <cell r="FW21">
            <v>0</v>
          </cell>
          <cell r="FX21">
            <v>0</v>
          </cell>
          <cell r="FY21">
            <v>0</v>
          </cell>
          <cell r="FZ21">
            <v>0</v>
          </cell>
          <cell r="GA21">
            <v>0</v>
          </cell>
          <cell r="GB21">
            <v>0</v>
          </cell>
          <cell r="GC21">
            <v>0</v>
          </cell>
          <cell r="GD21">
            <v>0</v>
          </cell>
          <cell r="GE21">
            <v>0</v>
          </cell>
          <cell r="GF21">
            <v>0</v>
          </cell>
          <cell r="GG21">
            <v>0</v>
          </cell>
          <cell r="GH21">
            <v>0</v>
          </cell>
        </row>
        <row r="22">
          <cell r="A22" t="str">
            <v>RHIC EXP</v>
          </cell>
          <cell r="B22">
            <v>0.8</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30</v>
          </cell>
          <cell r="AB22">
            <v>9.5</v>
          </cell>
          <cell r="AC22">
            <v>5472</v>
          </cell>
          <cell r="AD22">
            <v>31</v>
          </cell>
          <cell r="AE22">
            <v>9.5</v>
          </cell>
          <cell r="AF22">
            <v>5654.4</v>
          </cell>
          <cell r="AG22">
            <v>0</v>
          </cell>
          <cell r="AH22">
            <v>0</v>
          </cell>
          <cell r="AI22">
            <v>0</v>
          </cell>
          <cell r="AJ22">
            <v>0</v>
          </cell>
          <cell r="AK22">
            <v>0</v>
          </cell>
          <cell r="AL22">
            <v>0</v>
          </cell>
          <cell r="AM22" t="str">
            <v>RHIC EXP</v>
          </cell>
          <cell r="AN22">
            <v>0.8</v>
          </cell>
          <cell r="AO22">
            <v>0</v>
          </cell>
          <cell r="AP22">
            <v>0</v>
          </cell>
          <cell r="AQ22">
            <v>0</v>
          </cell>
          <cell r="AR22">
            <v>30</v>
          </cell>
          <cell r="AS22">
            <v>9.5</v>
          </cell>
          <cell r="AT22">
            <v>5472</v>
          </cell>
          <cell r="AU22">
            <v>31</v>
          </cell>
          <cell r="AV22">
            <v>9.5</v>
          </cell>
          <cell r="AW22">
            <v>5654.4</v>
          </cell>
          <cell r="AX22">
            <v>31</v>
          </cell>
          <cell r="AY22">
            <v>9.5</v>
          </cell>
          <cell r="AZ22">
            <v>5654.4</v>
          </cell>
          <cell r="BA22">
            <v>28</v>
          </cell>
          <cell r="BB22">
            <v>9.5</v>
          </cell>
          <cell r="BC22">
            <v>5107.200000000001</v>
          </cell>
          <cell r="BD22">
            <v>31</v>
          </cell>
          <cell r="BE22">
            <v>9.5</v>
          </cell>
          <cell r="BF22">
            <v>5654.4</v>
          </cell>
          <cell r="BG22">
            <v>30</v>
          </cell>
          <cell r="BH22">
            <v>9.5</v>
          </cell>
          <cell r="BI22">
            <v>5472</v>
          </cell>
          <cell r="BJ22">
            <v>31</v>
          </cell>
          <cell r="BK22">
            <v>9.5</v>
          </cell>
          <cell r="BL22">
            <v>5654.4</v>
          </cell>
          <cell r="BM22">
            <v>0</v>
          </cell>
          <cell r="BN22">
            <v>0</v>
          </cell>
          <cell r="BO22">
            <v>0</v>
          </cell>
          <cell r="BP22">
            <v>0</v>
          </cell>
          <cell r="BQ22">
            <v>0</v>
          </cell>
          <cell r="BR22">
            <v>0</v>
          </cell>
          <cell r="BS22">
            <v>0</v>
          </cell>
          <cell r="BT22">
            <v>0</v>
          </cell>
          <cell r="BU22">
            <v>0</v>
          </cell>
          <cell r="BV22">
            <v>0</v>
          </cell>
          <cell r="BW22">
            <v>0</v>
          </cell>
          <cell r="BX22">
            <v>0</v>
          </cell>
          <cell r="BY22" t="str">
            <v>RHIC EXP</v>
          </cell>
          <cell r="BZ22">
            <v>0.8</v>
          </cell>
          <cell r="CA22">
            <v>31</v>
          </cell>
          <cell r="CB22">
            <v>9.5</v>
          </cell>
          <cell r="CC22">
            <v>5654.4</v>
          </cell>
          <cell r="CD22">
            <v>30</v>
          </cell>
          <cell r="CE22">
            <v>9.5</v>
          </cell>
          <cell r="CF22">
            <v>5472</v>
          </cell>
          <cell r="CG22">
            <v>31</v>
          </cell>
          <cell r="CH22">
            <v>9.5</v>
          </cell>
          <cell r="CI22">
            <v>5654.4</v>
          </cell>
          <cell r="CJ22">
            <v>31</v>
          </cell>
          <cell r="CK22">
            <v>9.5</v>
          </cell>
          <cell r="CL22">
            <v>5654.4</v>
          </cell>
          <cell r="CM22">
            <v>28</v>
          </cell>
          <cell r="CN22">
            <v>9.5</v>
          </cell>
          <cell r="CO22">
            <v>5107.200000000001</v>
          </cell>
          <cell r="CP22">
            <v>31</v>
          </cell>
          <cell r="CQ22">
            <v>9.5</v>
          </cell>
          <cell r="CR22">
            <v>5654.4</v>
          </cell>
          <cell r="CS22">
            <v>30</v>
          </cell>
          <cell r="CT22">
            <v>9.5</v>
          </cell>
          <cell r="CU22">
            <v>5472</v>
          </cell>
          <cell r="CV22">
            <v>31</v>
          </cell>
          <cell r="CW22">
            <v>9.5</v>
          </cell>
          <cell r="CX22">
            <v>5654.4</v>
          </cell>
          <cell r="CY22">
            <v>0</v>
          </cell>
          <cell r="CZ22">
            <v>0</v>
          </cell>
          <cell r="DA22">
            <v>0</v>
          </cell>
          <cell r="DB22">
            <v>0</v>
          </cell>
          <cell r="DC22">
            <v>0</v>
          </cell>
          <cell r="DD22">
            <v>0</v>
          </cell>
          <cell r="DE22">
            <v>0</v>
          </cell>
          <cell r="DF22">
            <v>0</v>
          </cell>
          <cell r="DG22">
            <v>0</v>
          </cell>
          <cell r="DH22">
            <v>0</v>
          </cell>
          <cell r="DI22">
            <v>0</v>
          </cell>
          <cell r="DJ22">
            <v>0</v>
          </cell>
          <cell r="DK22" t="str">
            <v>RHIC EXP</v>
          </cell>
          <cell r="DL22">
            <v>0.8</v>
          </cell>
          <cell r="DM22">
            <v>31</v>
          </cell>
          <cell r="DN22">
            <v>9.5</v>
          </cell>
          <cell r="DO22">
            <v>5654.4</v>
          </cell>
          <cell r="DP22">
            <v>30</v>
          </cell>
          <cell r="DQ22">
            <v>9.5</v>
          </cell>
          <cell r="DR22">
            <v>5472</v>
          </cell>
          <cell r="DS22">
            <v>31</v>
          </cell>
          <cell r="DT22">
            <v>9.5</v>
          </cell>
          <cell r="DU22">
            <v>5654.4</v>
          </cell>
          <cell r="DV22">
            <v>31</v>
          </cell>
          <cell r="DW22">
            <v>9.5</v>
          </cell>
          <cell r="DX22">
            <v>5654.4</v>
          </cell>
          <cell r="DY22">
            <v>28</v>
          </cell>
          <cell r="DZ22">
            <v>9.5</v>
          </cell>
          <cell r="EA22">
            <v>5107.200000000001</v>
          </cell>
          <cell r="EB22">
            <v>31</v>
          </cell>
          <cell r="EC22">
            <v>9.5</v>
          </cell>
          <cell r="ED22">
            <v>5654.4</v>
          </cell>
          <cell r="EE22">
            <v>30</v>
          </cell>
          <cell r="EF22">
            <v>9.5</v>
          </cell>
          <cell r="EG22">
            <v>5472</v>
          </cell>
          <cell r="EH22">
            <v>31</v>
          </cell>
          <cell r="EI22">
            <v>9.5</v>
          </cell>
          <cell r="EJ22">
            <v>5654.4</v>
          </cell>
          <cell r="EK22">
            <v>0</v>
          </cell>
          <cell r="EL22">
            <v>0</v>
          </cell>
          <cell r="EM22">
            <v>0</v>
          </cell>
          <cell r="EN22">
            <v>0</v>
          </cell>
          <cell r="EO22">
            <v>0</v>
          </cell>
          <cell r="EP22">
            <v>0</v>
          </cell>
          <cell r="EQ22">
            <v>0</v>
          </cell>
          <cell r="ER22">
            <v>0</v>
          </cell>
          <cell r="ES22">
            <v>0</v>
          </cell>
          <cell r="ET22">
            <v>0</v>
          </cell>
          <cell r="EU22">
            <v>0</v>
          </cell>
          <cell r="EV22">
            <v>0</v>
          </cell>
          <cell r="EW22" t="str">
            <v>RHIC EXP</v>
          </cell>
          <cell r="EX22">
            <v>0.8</v>
          </cell>
          <cell r="EY22">
            <v>31</v>
          </cell>
          <cell r="EZ22">
            <v>9.5</v>
          </cell>
          <cell r="FA22">
            <v>5654.4</v>
          </cell>
          <cell r="FB22">
            <v>30</v>
          </cell>
          <cell r="FC22">
            <v>9.5</v>
          </cell>
          <cell r="FD22">
            <v>5472</v>
          </cell>
          <cell r="FE22">
            <v>31</v>
          </cell>
          <cell r="FF22">
            <v>9.5</v>
          </cell>
          <cell r="FG22">
            <v>5654.4</v>
          </cell>
          <cell r="FH22">
            <v>31</v>
          </cell>
          <cell r="FI22">
            <v>9.5</v>
          </cell>
          <cell r="FJ22">
            <v>5654.4</v>
          </cell>
          <cell r="FK22">
            <v>28</v>
          </cell>
          <cell r="FL22">
            <v>9.5</v>
          </cell>
          <cell r="FM22">
            <v>5107.200000000001</v>
          </cell>
          <cell r="FN22">
            <v>31</v>
          </cell>
          <cell r="FO22">
            <v>9.5</v>
          </cell>
          <cell r="FP22">
            <v>5654.4</v>
          </cell>
          <cell r="FQ22">
            <v>30</v>
          </cell>
          <cell r="FR22">
            <v>9.5</v>
          </cell>
          <cell r="FS22">
            <v>5472</v>
          </cell>
          <cell r="FT22">
            <v>31</v>
          </cell>
          <cell r="FU22">
            <v>9.5</v>
          </cell>
          <cell r="FV22">
            <v>5654.4</v>
          </cell>
          <cell r="FW22">
            <v>0</v>
          </cell>
          <cell r="FX22">
            <v>0</v>
          </cell>
          <cell r="FY22">
            <v>0</v>
          </cell>
          <cell r="FZ22">
            <v>0</v>
          </cell>
          <cell r="GA22">
            <v>0</v>
          </cell>
          <cell r="GB22">
            <v>0</v>
          </cell>
          <cell r="GC22">
            <v>0</v>
          </cell>
          <cell r="GD22">
            <v>0</v>
          </cell>
          <cell r="GE22">
            <v>0</v>
          </cell>
          <cell r="GF22">
            <v>0</v>
          </cell>
          <cell r="GG22">
            <v>0</v>
          </cell>
          <cell r="GH22">
            <v>0</v>
          </cell>
        </row>
        <row r="23">
          <cell r="A23" t="str">
            <v>G-2 (N/A)</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G-2 (N/A)</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t="str">
            <v>G-2 (N/A)</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t="str">
            <v>G-2 (N/A)</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t="str">
            <v>G-2 (N/A)</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row>
        <row r="24">
          <cell r="A24" t="str">
            <v>BAF (on-line 2002)</v>
          </cell>
          <cell r="B24">
            <v>0.8</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t="str">
            <v>BAF (on-line 2002)</v>
          </cell>
          <cell r="AN24">
            <v>0.8</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t="str">
            <v>BAF (on-line 2002)</v>
          </cell>
          <cell r="BZ24">
            <v>0.8</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t="str">
            <v>BAF (on-line 2002)</v>
          </cell>
          <cell r="DL24">
            <v>0.8</v>
          </cell>
          <cell r="DM24">
            <v>0</v>
          </cell>
          <cell r="DN24">
            <v>0</v>
          </cell>
          <cell r="DO24">
            <v>0</v>
          </cell>
          <cell r="DP24">
            <v>0</v>
          </cell>
          <cell r="DQ24">
            <v>0</v>
          </cell>
          <cell r="DR24">
            <v>0</v>
          </cell>
          <cell r="DS24">
            <v>31</v>
          </cell>
          <cell r="DT24">
            <v>3.5</v>
          </cell>
          <cell r="DU24">
            <v>2083.2</v>
          </cell>
          <cell r="DV24">
            <v>31</v>
          </cell>
          <cell r="DW24">
            <v>3.5</v>
          </cell>
          <cell r="DX24">
            <v>2083.2</v>
          </cell>
          <cell r="DY24">
            <v>28</v>
          </cell>
          <cell r="DZ24">
            <v>3.5</v>
          </cell>
          <cell r="EA24">
            <v>1881.6000000000001</v>
          </cell>
          <cell r="EB24">
            <v>31</v>
          </cell>
          <cell r="EC24">
            <v>3.5</v>
          </cell>
          <cell r="ED24">
            <v>2083.2</v>
          </cell>
          <cell r="EE24">
            <v>30</v>
          </cell>
          <cell r="EF24">
            <v>3.5</v>
          </cell>
          <cell r="EG24">
            <v>2016</v>
          </cell>
          <cell r="EH24">
            <v>31</v>
          </cell>
          <cell r="EI24">
            <v>3.5</v>
          </cell>
          <cell r="EJ24">
            <v>2083.2</v>
          </cell>
          <cell r="EK24">
            <v>0</v>
          </cell>
          <cell r="EL24">
            <v>0</v>
          </cell>
          <cell r="EM24">
            <v>0</v>
          </cell>
          <cell r="EN24">
            <v>0</v>
          </cell>
          <cell r="EO24">
            <v>0</v>
          </cell>
          <cell r="EP24">
            <v>0</v>
          </cell>
          <cell r="EQ24">
            <v>0</v>
          </cell>
          <cell r="ER24">
            <v>0</v>
          </cell>
          <cell r="ES24">
            <v>0</v>
          </cell>
          <cell r="ET24">
            <v>0</v>
          </cell>
          <cell r="EU24">
            <v>0</v>
          </cell>
          <cell r="EV24">
            <v>0</v>
          </cell>
          <cell r="EW24" t="str">
            <v>BAF (on-line 2002)</v>
          </cell>
          <cell r="EX24">
            <v>0.8</v>
          </cell>
          <cell r="EY24">
            <v>31</v>
          </cell>
          <cell r="EZ24">
            <v>3.5</v>
          </cell>
          <cell r="FA24">
            <v>2083.2</v>
          </cell>
          <cell r="FB24">
            <v>30</v>
          </cell>
          <cell r="FC24">
            <v>3.5</v>
          </cell>
          <cell r="FD24">
            <v>2016</v>
          </cell>
          <cell r="FE24">
            <v>31</v>
          </cell>
          <cell r="FF24">
            <v>3.5</v>
          </cell>
          <cell r="FG24">
            <v>2083.2</v>
          </cell>
          <cell r="FH24">
            <v>31</v>
          </cell>
          <cell r="FI24">
            <v>3.5</v>
          </cell>
          <cell r="FJ24">
            <v>2083.2</v>
          </cell>
          <cell r="FK24">
            <v>28</v>
          </cell>
          <cell r="FL24">
            <v>3.5</v>
          </cell>
          <cell r="FM24">
            <v>1881.6000000000001</v>
          </cell>
          <cell r="FN24">
            <v>31</v>
          </cell>
          <cell r="FO24">
            <v>3.5</v>
          </cell>
          <cell r="FP24">
            <v>2083.2</v>
          </cell>
          <cell r="FQ24">
            <v>30</v>
          </cell>
          <cell r="FR24">
            <v>3.5</v>
          </cell>
          <cell r="FS24">
            <v>2016</v>
          </cell>
          <cell r="FT24">
            <v>31</v>
          </cell>
          <cell r="FU24">
            <v>3.5</v>
          </cell>
          <cell r="FV24">
            <v>2083.2</v>
          </cell>
          <cell r="FW24">
            <v>0</v>
          </cell>
          <cell r="FX24">
            <v>0</v>
          </cell>
          <cell r="FY24">
            <v>0</v>
          </cell>
          <cell r="FZ24">
            <v>0</v>
          </cell>
          <cell r="GA24">
            <v>0</v>
          </cell>
          <cell r="GB24">
            <v>0</v>
          </cell>
          <cell r="GC24">
            <v>0</v>
          </cell>
          <cell r="GD24">
            <v>0</v>
          </cell>
          <cell r="GE24">
            <v>0</v>
          </cell>
          <cell r="GF24">
            <v>0</v>
          </cell>
          <cell r="GG24">
            <v>0</v>
          </cell>
          <cell r="GH24">
            <v>0</v>
          </cell>
        </row>
        <row r="25">
          <cell r="A25" t="str">
            <v>RHIC Users Facility (2002)</v>
          </cell>
          <cell r="B25">
            <v>0.8</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RHIC Users Facility (2002)</v>
          </cell>
          <cell r="AN25">
            <v>0.8</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t="str">
            <v>RHIC Users Facility (2002)</v>
          </cell>
          <cell r="BZ25">
            <v>0.8</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t="str">
            <v>RHIC Users Facility (2002)</v>
          </cell>
          <cell r="DL25">
            <v>0.8</v>
          </cell>
          <cell r="DM25">
            <v>0</v>
          </cell>
          <cell r="DN25">
            <v>0</v>
          </cell>
          <cell r="DO25">
            <v>0</v>
          </cell>
          <cell r="DP25">
            <v>0</v>
          </cell>
          <cell r="DQ25">
            <v>0</v>
          </cell>
          <cell r="DR25">
            <v>0</v>
          </cell>
          <cell r="DS25">
            <v>31</v>
          </cell>
          <cell r="DT25">
            <v>1</v>
          </cell>
          <cell r="DU25">
            <v>595.2</v>
          </cell>
          <cell r="DV25">
            <v>31</v>
          </cell>
          <cell r="DW25">
            <v>1</v>
          </cell>
          <cell r="DX25">
            <v>595.2</v>
          </cell>
          <cell r="DY25">
            <v>28</v>
          </cell>
          <cell r="DZ25">
            <v>1</v>
          </cell>
          <cell r="EA25">
            <v>537.6</v>
          </cell>
          <cell r="EB25">
            <v>31</v>
          </cell>
          <cell r="EC25">
            <v>1</v>
          </cell>
          <cell r="ED25">
            <v>595.2</v>
          </cell>
          <cell r="EE25">
            <v>30</v>
          </cell>
          <cell r="EF25">
            <v>1</v>
          </cell>
          <cell r="EG25">
            <v>576</v>
          </cell>
          <cell r="EH25">
            <v>31</v>
          </cell>
          <cell r="EI25">
            <v>1</v>
          </cell>
          <cell r="EJ25">
            <v>595.2</v>
          </cell>
          <cell r="EK25">
            <v>30</v>
          </cell>
          <cell r="EL25">
            <v>1</v>
          </cell>
          <cell r="EM25">
            <v>576</v>
          </cell>
          <cell r="EN25">
            <v>31</v>
          </cell>
          <cell r="EO25">
            <v>1</v>
          </cell>
          <cell r="EP25">
            <v>595.2</v>
          </cell>
          <cell r="EQ25">
            <v>31</v>
          </cell>
          <cell r="ER25">
            <v>1</v>
          </cell>
          <cell r="ES25">
            <v>595.2</v>
          </cell>
          <cell r="ET25">
            <v>30</v>
          </cell>
          <cell r="EU25">
            <v>1</v>
          </cell>
          <cell r="EV25">
            <v>576</v>
          </cell>
          <cell r="EW25" t="str">
            <v>RHIC Users Facility (2002)</v>
          </cell>
          <cell r="EX25">
            <v>0.8</v>
          </cell>
          <cell r="EY25">
            <v>31</v>
          </cell>
          <cell r="EZ25">
            <v>1</v>
          </cell>
          <cell r="FA25">
            <v>595.2</v>
          </cell>
          <cell r="FB25">
            <v>30</v>
          </cell>
          <cell r="FC25">
            <v>1</v>
          </cell>
          <cell r="FD25">
            <v>576</v>
          </cell>
          <cell r="FE25">
            <v>31</v>
          </cell>
          <cell r="FF25">
            <v>1</v>
          </cell>
          <cell r="FG25">
            <v>595.2</v>
          </cell>
          <cell r="FH25">
            <v>31</v>
          </cell>
          <cell r="FI25">
            <v>1</v>
          </cell>
          <cell r="FJ25">
            <v>595.2</v>
          </cell>
          <cell r="FK25">
            <v>28</v>
          </cell>
          <cell r="FL25">
            <v>1</v>
          </cell>
          <cell r="FM25">
            <v>537.6</v>
          </cell>
          <cell r="FN25">
            <v>31</v>
          </cell>
          <cell r="FO25">
            <v>1</v>
          </cell>
          <cell r="FP25">
            <v>595.2</v>
          </cell>
          <cell r="FQ25">
            <v>30</v>
          </cell>
          <cell r="FR25">
            <v>1</v>
          </cell>
          <cell r="FS25">
            <v>576</v>
          </cell>
          <cell r="FT25">
            <v>31</v>
          </cell>
          <cell r="FU25">
            <v>1</v>
          </cell>
          <cell r="FV25">
            <v>595.2</v>
          </cell>
          <cell r="FW25">
            <v>30</v>
          </cell>
          <cell r="FX25">
            <v>1</v>
          </cell>
          <cell r="FY25">
            <v>576</v>
          </cell>
          <cell r="FZ25">
            <v>31</v>
          </cell>
          <cell r="GA25">
            <v>1</v>
          </cell>
          <cell r="GB25">
            <v>595.2</v>
          </cell>
          <cell r="GC25">
            <v>31</v>
          </cell>
          <cell r="GD25">
            <v>1</v>
          </cell>
          <cell r="GE25">
            <v>595.2</v>
          </cell>
          <cell r="GF25">
            <v>30</v>
          </cell>
          <cell r="GG25">
            <v>1</v>
          </cell>
          <cell r="GH25">
            <v>576</v>
          </cell>
        </row>
        <row r="26">
          <cell r="A26" t="str">
            <v>RHIC 12 o'clock Hall (2004)</v>
          </cell>
          <cell r="B26">
            <v>0.8</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t="str">
            <v>RHIC 12 o'clock Hall (2004)</v>
          </cell>
          <cell r="AN26">
            <v>0.8</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t="str">
            <v>RHIC 12 o'clock Hall (2004)</v>
          </cell>
          <cell r="BZ26">
            <v>0.8</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t="str">
            <v>RHIC 12 o'clock Hall (2004)</v>
          </cell>
          <cell r="DL26">
            <v>0.8</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t="str">
            <v>RHIC 12 o'clock Hall (2004)</v>
          </cell>
          <cell r="EX26">
            <v>0.8</v>
          </cell>
          <cell r="EY26">
            <v>0</v>
          </cell>
          <cell r="EZ26">
            <v>0</v>
          </cell>
          <cell r="FA26">
            <v>0</v>
          </cell>
          <cell r="FB26">
            <v>0</v>
          </cell>
          <cell r="FC26">
            <v>0</v>
          </cell>
          <cell r="FD26">
            <v>0</v>
          </cell>
          <cell r="FE26">
            <v>0</v>
          </cell>
          <cell r="FF26">
            <v>0</v>
          </cell>
          <cell r="FG26">
            <v>0</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0</v>
          </cell>
          <cell r="GC26">
            <v>0</v>
          </cell>
          <cell r="GD26">
            <v>0</v>
          </cell>
          <cell r="GE26">
            <v>0</v>
          </cell>
          <cell r="GF26">
            <v>0</v>
          </cell>
          <cell r="GG26">
            <v>0</v>
          </cell>
          <cell r="GH26">
            <v>0</v>
          </cell>
        </row>
        <row r="28">
          <cell r="A28" t="str">
            <v>Incremental energy from</v>
          </cell>
          <cell r="B28">
            <v>0.167</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30</v>
          </cell>
          <cell r="AB28">
            <v>3.5</v>
          </cell>
          <cell r="AC28">
            <v>420.8400000000001</v>
          </cell>
          <cell r="AD28">
            <v>31</v>
          </cell>
          <cell r="AE28">
            <v>3.5</v>
          </cell>
          <cell r="AF28">
            <v>434.86800000000005</v>
          </cell>
          <cell r="AG28">
            <v>0</v>
          </cell>
          <cell r="AH28">
            <v>0</v>
          </cell>
          <cell r="AI28">
            <v>0</v>
          </cell>
          <cell r="AJ28">
            <v>0</v>
          </cell>
          <cell r="AK28">
            <v>0</v>
          </cell>
          <cell r="AL28">
            <v>0</v>
          </cell>
          <cell r="AM28" t="str">
            <v>Incremental energy from</v>
          </cell>
          <cell r="AN28">
            <v>0.167</v>
          </cell>
          <cell r="AO28">
            <v>0</v>
          </cell>
          <cell r="AP28">
            <v>0</v>
          </cell>
          <cell r="AQ28">
            <v>0</v>
          </cell>
          <cell r="AR28">
            <v>30</v>
          </cell>
          <cell r="AS28">
            <v>3.5</v>
          </cell>
          <cell r="AT28">
            <v>420.8400000000001</v>
          </cell>
          <cell r="AU28">
            <v>31</v>
          </cell>
          <cell r="AV28">
            <v>3.5</v>
          </cell>
          <cell r="AW28">
            <v>434.86800000000005</v>
          </cell>
          <cell r="AX28">
            <v>31</v>
          </cell>
          <cell r="AY28">
            <v>3.5</v>
          </cell>
          <cell r="AZ28">
            <v>434.86800000000005</v>
          </cell>
          <cell r="BA28">
            <v>28</v>
          </cell>
          <cell r="BB28">
            <v>3.5</v>
          </cell>
          <cell r="BC28">
            <v>392.784</v>
          </cell>
          <cell r="BD28">
            <v>31</v>
          </cell>
          <cell r="BE28">
            <v>3.5</v>
          </cell>
          <cell r="BF28">
            <v>434.86800000000005</v>
          </cell>
          <cell r="BG28">
            <v>30</v>
          </cell>
          <cell r="BH28">
            <v>3.5</v>
          </cell>
          <cell r="BI28">
            <v>420.8400000000001</v>
          </cell>
          <cell r="BJ28">
            <v>31</v>
          </cell>
          <cell r="BK28">
            <v>3.5</v>
          </cell>
          <cell r="BL28">
            <v>434.86800000000005</v>
          </cell>
          <cell r="BM28">
            <v>0</v>
          </cell>
          <cell r="BN28">
            <v>0</v>
          </cell>
          <cell r="BO28">
            <v>0</v>
          </cell>
          <cell r="BP28">
            <v>0</v>
          </cell>
          <cell r="BQ28">
            <v>0</v>
          </cell>
          <cell r="BR28">
            <v>0</v>
          </cell>
          <cell r="BS28">
            <v>0</v>
          </cell>
          <cell r="BT28">
            <v>0</v>
          </cell>
          <cell r="BU28">
            <v>0</v>
          </cell>
          <cell r="BV28">
            <v>0</v>
          </cell>
          <cell r="BW28">
            <v>0</v>
          </cell>
          <cell r="BX28">
            <v>0</v>
          </cell>
          <cell r="BY28" t="str">
            <v>Incremental energy from</v>
          </cell>
          <cell r="BZ28">
            <v>0.167</v>
          </cell>
          <cell r="CA28">
            <v>31</v>
          </cell>
          <cell r="CB28">
            <v>3.5</v>
          </cell>
          <cell r="CC28">
            <v>434.86800000000005</v>
          </cell>
          <cell r="CD28">
            <v>30</v>
          </cell>
          <cell r="CE28">
            <v>3.5</v>
          </cell>
          <cell r="CF28">
            <v>420.8400000000001</v>
          </cell>
          <cell r="CG28">
            <v>31</v>
          </cell>
          <cell r="CH28">
            <v>3.5</v>
          </cell>
          <cell r="CI28">
            <v>434.86800000000005</v>
          </cell>
          <cell r="CJ28">
            <v>31</v>
          </cell>
          <cell r="CK28">
            <v>3.5</v>
          </cell>
          <cell r="CL28">
            <v>434.86800000000005</v>
          </cell>
          <cell r="CM28">
            <v>28</v>
          </cell>
          <cell r="CN28">
            <v>3.5</v>
          </cell>
          <cell r="CO28">
            <v>392.784</v>
          </cell>
          <cell r="CP28">
            <v>31</v>
          </cell>
          <cell r="CQ28">
            <v>3.5</v>
          </cell>
          <cell r="CR28">
            <v>434.86800000000005</v>
          </cell>
          <cell r="CS28">
            <v>30</v>
          </cell>
          <cell r="CT28">
            <v>3.5</v>
          </cell>
          <cell r="CU28">
            <v>420.8400000000001</v>
          </cell>
          <cell r="CV28">
            <v>31</v>
          </cell>
          <cell r="CW28">
            <v>3.5</v>
          </cell>
          <cell r="CX28">
            <v>434.86800000000005</v>
          </cell>
          <cell r="CY28">
            <v>0</v>
          </cell>
          <cell r="CZ28">
            <v>0</v>
          </cell>
          <cell r="DA28">
            <v>0</v>
          </cell>
          <cell r="DB28">
            <v>0</v>
          </cell>
          <cell r="DC28">
            <v>0</v>
          </cell>
          <cell r="DD28">
            <v>0</v>
          </cell>
          <cell r="DE28">
            <v>0</v>
          </cell>
          <cell r="DF28">
            <v>0</v>
          </cell>
          <cell r="DG28">
            <v>0</v>
          </cell>
          <cell r="DH28">
            <v>0</v>
          </cell>
          <cell r="DI28">
            <v>0</v>
          </cell>
          <cell r="DJ28">
            <v>0</v>
          </cell>
          <cell r="DK28" t="str">
            <v>Incremental energy from</v>
          </cell>
          <cell r="DL28">
            <v>0.167</v>
          </cell>
          <cell r="DM28">
            <v>31</v>
          </cell>
          <cell r="DN28">
            <v>3.5</v>
          </cell>
          <cell r="DO28">
            <v>434.86800000000005</v>
          </cell>
          <cell r="DP28">
            <v>30</v>
          </cell>
          <cell r="DQ28">
            <v>3.5</v>
          </cell>
          <cell r="DR28">
            <v>420.8400000000001</v>
          </cell>
          <cell r="DS28">
            <v>31</v>
          </cell>
          <cell r="DT28">
            <v>3.5</v>
          </cell>
          <cell r="DU28">
            <v>434.86800000000005</v>
          </cell>
          <cell r="DV28">
            <v>31</v>
          </cell>
          <cell r="DW28">
            <v>3.5</v>
          </cell>
          <cell r="DX28">
            <v>434.86800000000005</v>
          </cell>
          <cell r="DY28">
            <v>28</v>
          </cell>
          <cell r="DZ28">
            <v>3.5</v>
          </cell>
          <cell r="EA28">
            <v>392.784</v>
          </cell>
          <cell r="EB28">
            <v>31</v>
          </cell>
          <cell r="EC28">
            <v>3.5</v>
          </cell>
          <cell r="ED28">
            <v>434.86800000000005</v>
          </cell>
          <cell r="EE28">
            <v>30</v>
          </cell>
          <cell r="EF28">
            <v>3.5</v>
          </cell>
          <cell r="EG28">
            <v>420.8400000000001</v>
          </cell>
          <cell r="EH28">
            <v>31</v>
          </cell>
          <cell r="EI28">
            <v>3.5</v>
          </cell>
          <cell r="EJ28">
            <v>434.86800000000005</v>
          </cell>
          <cell r="EK28">
            <v>0</v>
          </cell>
          <cell r="EL28">
            <v>0</v>
          </cell>
          <cell r="EM28">
            <v>0</v>
          </cell>
          <cell r="EN28">
            <v>0</v>
          </cell>
          <cell r="EO28">
            <v>0</v>
          </cell>
          <cell r="EP28">
            <v>0</v>
          </cell>
          <cell r="EQ28">
            <v>0</v>
          </cell>
          <cell r="ER28">
            <v>0</v>
          </cell>
          <cell r="ES28">
            <v>0</v>
          </cell>
          <cell r="ET28">
            <v>0</v>
          </cell>
          <cell r="EU28">
            <v>0</v>
          </cell>
          <cell r="EV28">
            <v>0</v>
          </cell>
          <cell r="EW28" t="str">
            <v>Incremental energy from</v>
          </cell>
          <cell r="EX28">
            <v>0.167</v>
          </cell>
          <cell r="EY28">
            <v>31</v>
          </cell>
          <cell r="EZ28">
            <v>3.5</v>
          </cell>
          <cell r="FA28">
            <v>434.86800000000005</v>
          </cell>
          <cell r="FB28">
            <v>30</v>
          </cell>
          <cell r="FC28">
            <v>3.5</v>
          </cell>
          <cell r="FD28">
            <v>420.8400000000001</v>
          </cell>
          <cell r="FE28">
            <v>31</v>
          </cell>
          <cell r="FF28">
            <v>3.5</v>
          </cell>
          <cell r="FG28">
            <v>434.86800000000005</v>
          </cell>
          <cell r="FH28">
            <v>31</v>
          </cell>
          <cell r="FI28">
            <v>3.5</v>
          </cell>
          <cell r="FJ28">
            <v>434.86800000000005</v>
          </cell>
          <cell r="FK28">
            <v>28</v>
          </cell>
          <cell r="FL28">
            <v>3.5</v>
          </cell>
          <cell r="FM28">
            <v>392.784</v>
          </cell>
          <cell r="FN28">
            <v>31</v>
          </cell>
          <cell r="FO28">
            <v>3.5</v>
          </cell>
          <cell r="FP28">
            <v>434.86800000000005</v>
          </cell>
          <cell r="FQ28">
            <v>30</v>
          </cell>
          <cell r="FR28">
            <v>3.5</v>
          </cell>
          <cell r="FS28">
            <v>420.8400000000001</v>
          </cell>
          <cell r="FT28">
            <v>31</v>
          </cell>
          <cell r="FU28">
            <v>3.5</v>
          </cell>
          <cell r="FV28">
            <v>434.86800000000005</v>
          </cell>
          <cell r="FW28">
            <v>0</v>
          </cell>
          <cell r="FX28">
            <v>0</v>
          </cell>
          <cell r="FY28">
            <v>0</v>
          </cell>
          <cell r="FZ28">
            <v>0</v>
          </cell>
          <cell r="GA28">
            <v>0</v>
          </cell>
          <cell r="GB28">
            <v>0</v>
          </cell>
          <cell r="GC28">
            <v>0</v>
          </cell>
          <cell r="GD28">
            <v>0</v>
          </cell>
          <cell r="GE28">
            <v>0</v>
          </cell>
          <cell r="GF28">
            <v>0</v>
          </cell>
          <cell r="GG28">
            <v>0</v>
          </cell>
          <cell r="GH28">
            <v>0</v>
          </cell>
        </row>
        <row r="29">
          <cell r="A29" t="str">
            <v>   AGS injection to RHIC</v>
          </cell>
          <cell r="AM29" t="str">
            <v>   AGS injection to RHIC</v>
          </cell>
          <cell r="BY29" t="str">
            <v>   AGS injection to RHIC</v>
          </cell>
          <cell r="DK29" t="str">
            <v>   AGS injection to RHIC</v>
          </cell>
          <cell r="EW29" t="str">
            <v>   AGS injection to RHIC</v>
          </cell>
        </row>
        <row r="31">
          <cell r="A31" t="str">
            <v>AGS Modes (FY98, 99 Only)</v>
          </cell>
          <cell r="AM31" t="str">
            <v>AGS Modes (FY98, 99 Only)</v>
          </cell>
          <cell r="BY31" t="str">
            <v>AGS Modes (FY98, 99 Only)</v>
          </cell>
          <cell r="DK31" t="str">
            <v>AGS Modes (FY98, 99 Only)</v>
          </cell>
          <cell r="EW31" t="str">
            <v>AGS Modes (FY98, 99 Only)</v>
          </cell>
        </row>
        <row r="33">
          <cell r="A33" t="str">
            <v>AGS Base: Booster &amp; Support</v>
          </cell>
          <cell r="B33">
            <v>0.9</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t="str">
            <v>AGS Base: Booster &amp; Support</v>
          </cell>
          <cell r="AN33">
            <v>0.9</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t="str">
            <v>AGS Base: Booster &amp; Support</v>
          </cell>
          <cell r="BZ33">
            <v>0.9</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t="str">
            <v>AGS Base: Booster &amp; Support</v>
          </cell>
          <cell r="DL33">
            <v>0.9</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t="str">
            <v>AGS Base: Booster &amp; Support</v>
          </cell>
          <cell r="EX33">
            <v>0.9</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row>
        <row r="34">
          <cell r="A34" t="str">
            <v>HEP-SEB</v>
          </cell>
          <cell r="B34">
            <v>0.9</v>
          </cell>
          <cell r="C34">
            <v>31</v>
          </cell>
          <cell r="D34">
            <v>26</v>
          </cell>
          <cell r="E34">
            <v>17409.600000000002</v>
          </cell>
          <cell r="F34">
            <v>30</v>
          </cell>
          <cell r="G34">
            <v>26</v>
          </cell>
          <cell r="H34">
            <v>16848</v>
          </cell>
          <cell r="I34">
            <v>31</v>
          </cell>
          <cell r="J34">
            <v>26</v>
          </cell>
          <cell r="K34">
            <v>17409.600000000002</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t="str">
            <v>HEP-SEB</v>
          </cell>
          <cell r="AN34">
            <v>0.9</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t="str">
            <v>HEP-SEB</v>
          </cell>
          <cell r="BZ34">
            <v>0.9</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t="str">
            <v>HEP-SEB</v>
          </cell>
          <cell r="DL34">
            <v>0.9</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t="str">
            <v>HEP-SEB</v>
          </cell>
          <cell r="EX34">
            <v>0.9</v>
          </cell>
          <cell r="EY34">
            <v>0</v>
          </cell>
          <cell r="EZ34">
            <v>0</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row>
        <row r="35">
          <cell r="A35" t="str">
            <v>HEP-FEB Protons</v>
          </cell>
          <cell r="B35">
            <v>0.9</v>
          </cell>
          <cell r="C35">
            <v>0</v>
          </cell>
          <cell r="D35">
            <v>0</v>
          </cell>
          <cell r="E35">
            <v>0</v>
          </cell>
          <cell r="F35">
            <v>0</v>
          </cell>
          <cell r="G35">
            <v>0</v>
          </cell>
          <cell r="H35">
            <v>0</v>
          </cell>
          <cell r="I35">
            <v>0</v>
          </cell>
          <cell r="J35">
            <v>0</v>
          </cell>
          <cell r="K35">
            <v>0</v>
          </cell>
          <cell r="L35">
            <v>31</v>
          </cell>
          <cell r="M35">
            <v>15</v>
          </cell>
          <cell r="N35">
            <v>10044.000000000002</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14</v>
          </cell>
          <cell r="AH35">
            <v>15</v>
          </cell>
          <cell r="AI35">
            <v>4536</v>
          </cell>
          <cell r="AJ35">
            <v>0</v>
          </cell>
          <cell r="AK35">
            <v>0</v>
          </cell>
          <cell r="AL35">
            <v>0</v>
          </cell>
          <cell r="AM35" t="str">
            <v>HEP-FEB Protons</v>
          </cell>
          <cell r="AN35">
            <v>0.9</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t="str">
            <v>HEP-FEB Protons</v>
          </cell>
          <cell r="BZ35">
            <v>0.9</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t="str">
            <v>HEP-FEB Protons</v>
          </cell>
          <cell r="DL35">
            <v>0.9</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t="str">
            <v>HEP-FEB Protons</v>
          </cell>
          <cell r="EX35">
            <v>0.9</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row>
        <row r="36">
          <cell r="A36" t="str">
            <v>HEP-Polarized Protons</v>
          </cell>
          <cell r="B36">
            <v>0.9</v>
          </cell>
          <cell r="C36">
            <v>0</v>
          </cell>
          <cell r="D36">
            <v>0</v>
          </cell>
          <cell r="E36">
            <v>0</v>
          </cell>
          <cell r="F36">
            <v>0</v>
          </cell>
          <cell r="G36">
            <v>0</v>
          </cell>
          <cell r="H36">
            <v>0</v>
          </cell>
          <cell r="I36">
            <v>0</v>
          </cell>
          <cell r="J36">
            <v>0</v>
          </cell>
          <cell r="K36">
            <v>0</v>
          </cell>
          <cell r="L36">
            <v>0</v>
          </cell>
          <cell r="M36">
            <v>0</v>
          </cell>
          <cell r="N36">
            <v>0</v>
          </cell>
          <cell r="O36">
            <v>14</v>
          </cell>
          <cell r="P36">
            <v>13</v>
          </cell>
          <cell r="Q36">
            <v>3931.2</v>
          </cell>
          <cell r="R36">
            <v>21</v>
          </cell>
          <cell r="S36">
            <v>13</v>
          </cell>
          <cell r="T36">
            <v>5896.8</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HEP-Polarized Protons</v>
          </cell>
          <cell r="AN36">
            <v>0.9</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t="str">
            <v>HEP-Polarized Protons</v>
          </cell>
          <cell r="BZ36">
            <v>0.9</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t="str">
            <v>HEP-Polarized Protons</v>
          </cell>
          <cell r="DL36">
            <v>0.9</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t="str">
            <v>HEP-Polarized Protons</v>
          </cell>
          <cell r="EX36">
            <v>0.9</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row>
        <row r="37">
          <cell r="A37" t="str">
            <v>HIP-Gold</v>
          </cell>
          <cell r="B37">
            <v>0.9</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t="str">
            <v>HIP-Gold</v>
          </cell>
          <cell r="AN37">
            <v>0.9</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t="str">
            <v>HIP-Gold</v>
          </cell>
          <cell r="BZ37">
            <v>0.9</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t="str">
            <v>HIP-Gold</v>
          </cell>
          <cell r="DL37">
            <v>0.9</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t="str">
            <v>HIP-Gold</v>
          </cell>
          <cell r="EX37">
            <v>0.9</v>
          </cell>
          <cell r="EY37">
            <v>0</v>
          </cell>
          <cell r="EZ37">
            <v>0</v>
          </cell>
          <cell r="FA37">
            <v>0</v>
          </cell>
          <cell r="FB37">
            <v>0</v>
          </cell>
          <cell r="FC37">
            <v>0</v>
          </cell>
          <cell r="FD37">
            <v>0</v>
          </cell>
          <cell r="FE37">
            <v>0</v>
          </cell>
          <cell r="FF37">
            <v>0</v>
          </cell>
          <cell r="FG37">
            <v>0</v>
          </cell>
          <cell r="FH37">
            <v>0</v>
          </cell>
          <cell r="FI37">
            <v>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0</v>
          </cell>
          <cell r="FY37">
            <v>0</v>
          </cell>
          <cell r="FZ37">
            <v>0</v>
          </cell>
          <cell r="GA37">
            <v>0</v>
          </cell>
          <cell r="GB37">
            <v>0</v>
          </cell>
          <cell r="GC37">
            <v>0</v>
          </cell>
          <cell r="GD37">
            <v>0</v>
          </cell>
          <cell r="GE37">
            <v>0</v>
          </cell>
          <cell r="GF37">
            <v>0</v>
          </cell>
          <cell r="GG37">
            <v>0</v>
          </cell>
          <cell r="GH37">
            <v>0</v>
          </cell>
        </row>
        <row r="38">
          <cell r="A38" t="str">
            <v>NASA-Fe</v>
          </cell>
          <cell r="B38">
            <v>0.9</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7</v>
          </cell>
          <cell r="Y38">
            <v>10</v>
          </cell>
          <cell r="Z38">
            <v>1512</v>
          </cell>
          <cell r="AA38">
            <v>0</v>
          </cell>
          <cell r="AB38">
            <v>0</v>
          </cell>
          <cell r="AC38">
            <v>0</v>
          </cell>
          <cell r="AD38">
            <v>0</v>
          </cell>
          <cell r="AE38">
            <v>0</v>
          </cell>
          <cell r="AF38">
            <v>0</v>
          </cell>
          <cell r="AG38">
            <v>0</v>
          </cell>
          <cell r="AH38">
            <v>0</v>
          </cell>
          <cell r="AI38">
            <v>0</v>
          </cell>
          <cell r="AJ38">
            <v>0</v>
          </cell>
          <cell r="AK38">
            <v>0</v>
          </cell>
          <cell r="AL38">
            <v>0</v>
          </cell>
          <cell r="AM38" t="str">
            <v>NASA-Fe</v>
          </cell>
          <cell r="AN38">
            <v>0.9</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t="str">
            <v>NASA-Fe</v>
          </cell>
          <cell r="BZ38">
            <v>0.9</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t="str">
            <v>NASA-Fe</v>
          </cell>
          <cell r="DL38">
            <v>0.9</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t="str">
            <v>NASA-Fe</v>
          </cell>
          <cell r="EX38">
            <v>0.9</v>
          </cell>
          <cell r="EY38">
            <v>0</v>
          </cell>
          <cell r="EZ38">
            <v>0</v>
          </cell>
          <cell r="FA38">
            <v>0</v>
          </cell>
          <cell r="FB38">
            <v>0</v>
          </cell>
          <cell r="FC38">
            <v>0</v>
          </cell>
          <cell r="FD38">
            <v>0</v>
          </cell>
          <cell r="FE38">
            <v>0</v>
          </cell>
          <cell r="FF38">
            <v>0</v>
          </cell>
          <cell r="FG38">
            <v>0</v>
          </cell>
          <cell r="FH38">
            <v>0</v>
          </cell>
          <cell r="FI38">
            <v>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v>
          </cell>
          <cell r="FY38">
            <v>0</v>
          </cell>
          <cell r="FZ38">
            <v>0</v>
          </cell>
          <cell r="GA38">
            <v>0</v>
          </cell>
          <cell r="GB38">
            <v>0</v>
          </cell>
          <cell r="GC38">
            <v>0</v>
          </cell>
          <cell r="GD38">
            <v>0</v>
          </cell>
          <cell r="GE38">
            <v>0</v>
          </cell>
          <cell r="GF38">
            <v>0</v>
          </cell>
          <cell r="GG38">
            <v>0</v>
          </cell>
          <cell r="GH38">
            <v>0</v>
          </cell>
        </row>
        <row r="39">
          <cell r="A39" t="str">
            <v>RHIC/AGS Studies-Gold</v>
          </cell>
          <cell r="B39">
            <v>0.9</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t="str">
            <v>RHIC/AGS Studies-Gold</v>
          </cell>
          <cell r="AN39">
            <v>0.9</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t="str">
            <v>RHIC/AGS Studies-Gold</v>
          </cell>
          <cell r="BZ39">
            <v>0.9</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t="str">
            <v>RHIC/AGS Studies-Gold</v>
          </cell>
          <cell r="DL39">
            <v>0.9</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t="str">
            <v>RHIC/AGS Studies-Gold</v>
          </cell>
          <cell r="EX39">
            <v>0.9</v>
          </cell>
          <cell r="EY39">
            <v>0</v>
          </cell>
          <cell r="EZ39">
            <v>0</v>
          </cell>
          <cell r="FA39">
            <v>0</v>
          </cell>
          <cell r="FB39">
            <v>0</v>
          </cell>
          <cell r="FC39">
            <v>0</v>
          </cell>
          <cell r="FD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cell r="GE39">
            <v>0</v>
          </cell>
          <cell r="GF39">
            <v>0</v>
          </cell>
          <cell r="GG39">
            <v>0</v>
          </cell>
          <cell r="GH39">
            <v>0</v>
          </cell>
        </row>
        <row r="40">
          <cell r="A40" t="str">
            <v>RHIC Injection Studies</v>
          </cell>
          <cell r="B40">
            <v>0.9</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15</v>
          </cell>
          <cell r="Y40">
            <v>15</v>
          </cell>
          <cell r="Z40">
            <v>4860</v>
          </cell>
          <cell r="AA40">
            <v>0</v>
          </cell>
          <cell r="AB40">
            <v>0</v>
          </cell>
          <cell r="AC40">
            <v>0</v>
          </cell>
          <cell r="AD40">
            <v>0</v>
          </cell>
          <cell r="AE40">
            <v>0</v>
          </cell>
          <cell r="AF40">
            <v>0</v>
          </cell>
          <cell r="AG40">
            <v>0</v>
          </cell>
          <cell r="AH40">
            <v>0</v>
          </cell>
          <cell r="AI40">
            <v>0</v>
          </cell>
          <cell r="AJ40">
            <v>0</v>
          </cell>
          <cell r="AK40">
            <v>0</v>
          </cell>
          <cell r="AL40">
            <v>0</v>
          </cell>
          <cell r="AM40" t="str">
            <v>RHIC Injection Studies</v>
          </cell>
          <cell r="AN40">
            <v>0.9</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t="str">
            <v>RHIC Injection Studies</v>
          </cell>
          <cell r="BZ40">
            <v>0.9</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t="str">
            <v>RHIC Injection Studies</v>
          </cell>
          <cell r="DL40">
            <v>0.9</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t="str">
            <v>RHIC Injection Studies</v>
          </cell>
          <cell r="EX40">
            <v>0.9</v>
          </cell>
          <cell r="EY40">
            <v>0</v>
          </cell>
          <cell r="EZ40">
            <v>0</v>
          </cell>
          <cell r="FA40">
            <v>0</v>
          </cell>
          <cell r="FB40">
            <v>0</v>
          </cell>
          <cell r="FC40">
            <v>0</v>
          </cell>
          <cell r="FD40">
            <v>0</v>
          </cell>
          <cell r="FE40">
            <v>0</v>
          </cell>
          <cell r="FF40">
            <v>0</v>
          </cell>
          <cell r="FG40">
            <v>0</v>
          </cell>
          <cell r="FH40">
            <v>0</v>
          </cell>
          <cell r="FI40">
            <v>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0</v>
          </cell>
          <cell r="GG40">
            <v>0</v>
          </cell>
          <cell r="GH40">
            <v>0</v>
          </cell>
        </row>
        <row r="42">
          <cell r="A42" t="str">
            <v>AGS Peak</v>
          </cell>
          <cell r="D42">
            <v>26</v>
          </cell>
          <cell r="G42">
            <v>26</v>
          </cell>
          <cell r="J42">
            <v>26</v>
          </cell>
          <cell r="M42">
            <v>15</v>
          </cell>
          <cell r="P42">
            <v>13</v>
          </cell>
          <cell r="S42">
            <v>13</v>
          </cell>
          <cell r="V42">
            <v>0</v>
          </cell>
          <cell r="Y42">
            <v>15</v>
          </cell>
          <cell r="AB42">
            <v>0</v>
          </cell>
          <cell r="AE42">
            <v>0</v>
          </cell>
          <cell r="AH42">
            <v>15</v>
          </cell>
          <cell r="AK42">
            <v>0</v>
          </cell>
          <cell r="AM42" t="str">
            <v>AGS Peak</v>
          </cell>
          <cell r="AP42">
            <v>0</v>
          </cell>
          <cell r="AS42">
            <v>0</v>
          </cell>
          <cell r="AV42">
            <v>0</v>
          </cell>
          <cell r="AY42">
            <v>0</v>
          </cell>
          <cell r="BB42">
            <v>0</v>
          </cell>
          <cell r="BE42">
            <v>0</v>
          </cell>
          <cell r="BH42">
            <v>0</v>
          </cell>
          <cell r="BK42">
            <v>0</v>
          </cell>
          <cell r="BN42">
            <v>0</v>
          </cell>
          <cell r="BQ42">
            <v>0</v>
          </cell>
          <cell r="BT42">
            <v>0</v>
          </cell>
          <cell r="BW42">
            <v>0</v>
          </cell>
          <cell r="BY42" t="str">
            <v>AGS Peak</v>
          </cell>
          <cell r="CB42">
            <v>0</v>
          </cell>
          <cell r="CE42">
            <v>0</v>
          </cell>
          <cell r="CH42">
            <v>0</v>
          </cell>
          <cell r="CK42">
            <v>0</v>
          </cell>
          <cell r="CN42">
            <v>0</v>
          </cell>
          <cell r="CQ42">
            <v>0</v>
          </cell>
          <cell r="CT42">
            <v>0</v>
          </cell>
          <cell r="CW42">
            <v>0</v>
          </cell>
          <cell r="CZ42">
            <v>0</v>
          </cell>
          <cell r="DC42">
            <v>0</v>
          </cell>
          <cell r="DF42">
            <v>0</v>
          </cell>
          <cell r="DI42">
            <v>0</v>
          </cell>
          <cell r="DK42" t="str">
            <v>AGS Peak</v>
          </cell>
          <cell r="DN42">
            <v>0</v>
          </cell>
          <cell r="DQ42">
            <v>0</v>
          </cell>
          <cell r="DT42">
            <v>0</v>
          </cell>
          <cell r="DW42">
            <v>0</v>
          </cell>
          <cell r="DZ42">
            <v>0</v>
          </cell>
          <cell r="EC42">
            <v>0</v>
          </cell>
          <cell r="EF42">
            <v>0</v>
          </cell>
          <cell r="EI42">
            <v>0</v>
          </cell>
          <cell r="EL42">
            <v>0</v>
          </cell>
          <cell r="EO42">
            <v>0</v>
          </cell>
          <cell r="ER42">
            <v>0</v>
          </cell>
          <cell r="EU42">
            <v>0</v>
          </cell>
          <cell r="EW42" t="str">
            <v>AGS Peak</v>
          </cell>
          <cell r="EZ42">
            <v>0</v>
          </cell>
          <cell r="FC42">
            <v>0</v>
          </cell>
          <cell r="FF42">
            <v>0</v>
          </cell>
          <cell r="FI42">
            <v>0</v>
          </cell>
          <cell r="FL42">
            <v>0</v>
          </cell>
          <cell r="FO42">
            <v>0</v>
          </cell>
          <cell r="FR42">
            <v>0</v>
          </cell>
          <cell r="FU42">
            <v>0</v>
          </cell>
          <cell r="FX42">
            <v>0</v>
          </cell>
          <cell r="GA42">
            <v>0</v>
          </cell>
          <cell r="GD42">
            <v>0</v>
          </cell>
          <cell r="GG42">
            <v>0</v>
          </cell>
        </row>
        <row r="44">
          <cell r="A44" t="str">
            <v>RHIC Modes (FY98, 99 Only)</v>
          </cell>
          <cell r="AM44" t="str">
            <v>RHIC Modes (FY98, 99 Only)</v>
          </cell>
          <cell r="AR44" t="str">
            <v> </v>
          </cell>
          <cell r="BY44" t="str">
            <v>RHIC Modes (FY98, 99 Only)</v>
          </cell>
          <cell r="DK44" t="str">
            <v>RHIC Modes (FY98, 99 Only)</v>
          </cell>
          <cell r="EW44" t="str">
            <v>RHIC Modes (FY98, 99 Only)</v>
          </cell>
        </row>
        <row r="46">
          <cell r="A46" t="str">
            <v>STAR</v>
          </cell>
          <cell r="B46">
            <v>0.9</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7</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t="str">
            <v>STAR</v>
          </cell>
          <cell r="AN46">
            <v>0.9</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t="str">
            <v>STAR</v>
          </cell>
          <cell r="DK46" t="str">
            <v>STAR</v>
          </cell>
          <cell r="EW46" t="str">
            <v>STAR</v>
          </cell>
        </row>
        <row r="47">
          <cell r="A47" t="str">
            <v>PHENIX</v>
          </cell>
          <cell r="B47">
            <v>0.9</v>
          </cell>
          <cell r="C47">
            <v>0</v>
          </cell>
          <cell r="D47">
            <v>0</v>
          </cell>
          <cell r="E47">
            <v>0</v>
          </cell>
          <cell r="F47">
            <v>7</v>
          </cell>
          <cell r="G47">
            <v>0</v>
          </cell>
          <cell r="H47">
            <v>0</v>
          </cell>
          <cell r="I47">
            <v>7</v>
          </cell>
          <cell r="J47">
            <v>0</v>
          </cell>
          <cell r="K47">
            <v>0</v>
          </cell>
          <cell r="L47">
            <v>7</v>
          </cell>
          <cell r="M47">
            <v>0</v>
          </cell>
          <cell r="N47">
            <v>0</v>
          </cell>
          <cell r="O47">
            <v>28</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14</v>
          </cell>
          <cell r="AH47">
            <v>1.6</v>
          </cell>
          <cell r="AI47">
            <v>483.84000000000003</v>
          </cell>
          <cell r="AJ47">
            <v>0</v>
          </cell>
          <cell r="AK47">
            <v>0</v>
          </cell>
          <cell r="AL47">
            <v>0</v>
          </cell>
          <cell r="AM47" t="str">
            <v>PHENIX</v>
          </cell>
          <cell r="AN47">
            <v>0.9</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t="str">
            <v>PHENIX</v>
          </cell>
          <cell r="DK47" t="str">
            <v>PHENIX</v>
          </cell>
          <cell r="EW47" t="str">
            <v>PHENIX</v>
          </cell>
        </row>
        <row r="48">
          <cell r="A48" t="str">
            <v>BRAHMS</v>
          </cell>
          <cell r="B48">
            <v>0.9</v>
          </cell>
          <cell r="C48">
            <v>0</v>
          </cell>
          <cell r="D48">
            <v>0</v>
          </cell>
          <cell r="E48">
            <v>0</v>
          </cell>
          <cell r="F48">
            <v>0</v>
          </cell>
          <cell r="G48">
            <v>0</v>
          </cell>
          <cell r="H48">
            <v>0</v>
          </cell>
          <cell r="I48">
            <v>14</v>
          </cell>
          <cell r="J48">
            <v>1.3</v>
          </cell>
          <cell r="K48">
            <v>393.12</v>
          </cell>
          <cell r="L48">
            <v>0</v>
          </cell>
          <cell r="M48">
            <v>0</v>
          </cell>
          <cell r="N48">
            <v>0</v>
          </cell>
          <cell r="O48">
            <v>14</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t="str">
            <v>BRAHMS</v>
          </cell>
          <cell r="AN48">
            <v>0.9</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t="str">
            <v>BRAHMS</v>
          </cell>
          <cell r="DK48" t="str">
            <v>BRAHMS</v>
          </cell>
          <cell r="EW48" t="str">
            <v>BRAHMS</v>
          </cell>
        </row>
        <row r="49">
          <cell r="A49" t="str">
            <v>PHOBOS</v>
          </cell>
          <cell r="B49">
            <v>0.9</v>
          </cell>
          <cell r="C49">
            <v>11</v>
          </cell>
          <cell r="D49">
            <v>0.4</v>
          </cell>
          <cell r="E49">
            <v>95.04</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14</v>
          </cell>
          <cell r="AH49">
            <v>0.6000000000000001</v>
          </cell>
          <cell r="AI49">
            <v>181.44</v>
          </cell>
          <cell r="AJ49">
            <v>0</v>
          </cell>
          <cell r="AK49">
            <v>0</v>
          </cell>
          <cell r="AL49">
            <v>0</v>
          </cell>
          <cell r="AM49" t="str">
            <v>PHOBOS</v>
          </cell>
          <cell r="AN49">
            <v>0.9</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t="str">
            <v>PHOBOS</v>
          </cell>
          <cell r="DK49" t="str">
            <v>PHOBOS</v>
          </cell>
          <cell r="EW49" t="str">
            <v>PHOBOS</v>
          </cell>
        </row>
        <row r="51">
          <cell r="A51" t="str">
            <v>Peak/Total</v>
          </cell>
          <cell r="D51">
            <v>48.9</v>
          </cell>
          <cell r="E51">
            <v>30394.440000000002</v>
          </cell>
          <cell r="G51">
            <v>48.5</v>
          </cell>
          <cell r="H51">
            <v>28495.8</v>
          </cell>
          <cell r="J51">
            <v>49.8</v>
          </cell>
          <cell r="K51">
            <v>29774.52</v>
          </cell>
          <cell r="M51">
            <v>37.5</v>
          </cell>
          <cell r="N51">
            <v>22933.800000000003</v>
          </cell>
          <cell r="P51">
            <v>35.5</v>
          </cell>
          <cell r="Q51">
            <v>15573.599999999999</v>
          </cell>
          <cell r="S51">
            <v>35.5</v>
          </cell>
          <cell r="T51">
            <v>18786.6</v>
          </cell>
          <cell r="V51">
            <v>31.5</v>
          </cell>
          <cell r="W51">
            <v>15552</v>
          </cell>
          <cell r="Y51">
            <v>46.8</v>
          </cell>
          <cell r="Z51">
            <v>25698.6</v>
          </cell>
          <cell r="AB51">
            <v>61.8</v>
          </cell>
          <cell r="AC51">
            <v>35390.159999999996</v>
          </cell>
          <cell r="AE51">
            <v>61.8</v>
          </cell>
          <cell r="AF51">
            <v>36569.832</v>
          </cell>
          <cell r="AH51">
            <v>46.7</v>
          </cell>
          <cell r="AI51">
            <v>23299.079999999998</v>
          </cell>
          <cell r="AK51">
            <v>29.5</v>
          </cell>
          <cell r="AL51">
            <v>17514</v>
          </cell>
          <cell r="AM51" t="str">
            <v>Peak/Total</v>
          </cell>
          <cell r="AP51">
            <v>44.3</v>
          </cell>
          <cell r="AQ51">
            <v>27368.04</v>
          </cell>
          <cell r="AS51">
            <v>66.8</v>
          </cell>
          <cell r="AT51">
            <v>37263.95999999999</v>
          </cell>
          <cell r="AV51">
            <v>66.8</v>
          </cell>
          <cell r="AW51">
            <v>38441.832</v>
          </cell>
          <cell r="AY51">
            <v>66.8</v>
          </cell>
          <cell r="AZ51">
            <v>39359.832</v>
          </cell>
          <cell r="BB51">
            <v>66.8</v>
          </cell>
          <cell r="BC51">
            <v>35550.81599999999</v>
          </cell>
          <cell r="BE51">
            <v>73.8</v>
          </cell>
          <cell r="BF51">
            <v>43005.43200000001</v>
          </cell>
          <cell r="BH51">
            <v>73.8</v>
          </cell>
          <cell r="BI51">
            <v>41618.159999999996</v>
          </cell>
          <cell r="BK51">
            <v>73.8</v>
          </cell>
          <cell r="BL51">
            <v>43005.43200000001</v>
          </cell>
          <cell r="BN51">
            <v>34.5</v>
          </cell>
          <cell r="BO51">
            <v>20214</v>
          </cell>
          <cell r="BQ51">
            <v>34.5</v>
          </cell>
          <cell r="BR51">
            <v>20887.8</v>
          </cell>
          <cell r="BT51">
            <v>34.5</v>
          </cell>
          <cell r="BU51">
            <v>20887.8</v>
          </cell>
          <cell r="BW51">
            <v>34.5</v>
          </cell>
          <cell r="BX51">
            <v>20214</v>
          </cell>
          <cell r="BY51" t="str">
            <v>Peak/Total</v>
          </cell>
          <cell r="CB51">
            <v>68.8</v>
          </cell>
          <cell r="CC51">
            <v>40550.23200000001</v>
          </cell>
          <cell r="CE51">
            <v>68.8</v>
          </cell>
          <cell r="CF51">
            <v>38070.35999999999</v>
          </cell>
          <cell r="CH51">
            <v>68.8</v>
          </cell>
          <cell r="CI51">
            <v>39248.232</v>
          </cell>
          <cell r="CK51">
            <v>68.8</v>
          </cell>
          <cell r="CL51">
            <v>40550.23200000001</v>
          </cell>
          <cell r="CN51">
            <v>68.8</v>
          </cell>
          <cell r="CO51">
            <v>36626.016</v>
          </cell>
          <cell r="CQ51">
            <v>75.8</v>
          </cell>
          <cell r="CR51">
            <v>44195.832</v>
          </cell>
          <cell r="CT51">
            <v>75.8</v>
          </cell>
          <cell r="CU51">
            <v>42770.159999999996</v>
          </cell>
          <cell r="CW51">
            <v>75.8</v>
          </cell>
          <cell r="CX51">
            <v>44195.832</v>
          </cell>
          <cell r="CZ51">
            <v>36.5</v>
          </cell>
          <cell r="DA51">
            <v>21366</v>
          </cell>
          <cell r="DC51">
            <v>36.5</v>
          </cell>
          <cell r="DD51">
            <v>22078.2</v>
          </cell>
          <cell r="DF51">
            <v>36.5</v>
          </cell>
          <cell r="DG51">
            <v>22078.2</v>
          </cell>
          <cell r="DI51">
            <v>36.5</v>
          </cell>
          <cell r="DJ51">
            <v>21366</v>
          </cell>
          <cell r="DK51" t="str">
            <v>Peak/Total</v>
          </cell>
          <cell r="DN51">
            <v>68.8</v>
          </cell>
          <cell r="DO51">
            <v>40550.23200000001</v>
          </cell>
          <cell r="DQ51">
            <v>68.8</v>
          </cell>
          <cell r="DR51">
            <v>38070.35999999999</v>
          </cell>
          <cell r="DT51">
            <v>73.3</v>
          </cell>
          <cell r="DU51">
            <v>41926.632</v>
          </cell>
          <cell r="DW51">
            <v>73.3</v>
          </cell>
          <cell r="DX51">
            <v>43228.632000000005</v>
          </cell>
          <cell r="DZ51">
            <v>73.3</v>
          </cell>
          <cell r="EA51">
            <v>39045.216</v>
          </cell>
          <cell r="EC51">
            <v>80.3</v>
          </cell>
          <cell r="ED51">
            <v>46874.231999999996</v>
          </cell>
          <cell r="EF51">
            <v>80.3</v>
          </cell>
          <cell r="EG51">
            <v>45362.159999999996</v>
          </cell>
          <cell r="EI51">
            <v>80.3</v>
          </cell>
          <cell r="EJ51">
            <v>46874.231999999996</v>
          </cell>
          <cell r="EL51">
            <v>37.5</v>
          </cell>
          <cell r="EM51">
            <v>21942</v>
          </cell>
          <cell r="EO51">
            <v>37.5</v>
          </cell>
          <cell r="EP51">
            <v>22673.4</v>
          </cell>
          <cell r="ER51">
            <v>37.5</v>
          </cell>
          <cell r="ES51">
            <v>22673.4</v>
          </cell>
          <cell r="EU51">
            <v>37.5</v>
          </cell>
          <cell r="EV51">
            <v>21942</v>
          </cell>
          <cell r="EW51" t="str">
            <v>Peak/Total</v>
          </cell>
          <cell r="EZ51">
            <v>73.3</v>
          </cell>
          <cell r="FA51">
            <v>43228.632000000005</v>
          </cell>
          <cell r="FC51">
            <v>73.3</v>
          </cell>
          <cell r="FD51">
            <v>40662.35999999999</v>
          </cell>
          <cell r="FF51">
            <v>73.3</v>
          </cell>
          <cell r="FG51">
            <v>41926.632</v>
          </cell>
          <cell r="FI51">
            <v>73.3</v>
          </cell>
          <cell r="FJ51">
            <v>43228.632000000005</v>
          </cell>
          <cell r="FL51">
            <v>73.3</v>
          </cell>
          <cell r="FM51">
            <v>39045.216</v>
          </cell>
          <cell r="FO51">
            <v>80.3</v>
          </cell>
          <cell r="FP51">
            <v>46874.231999999996</v>
          </cell>
          <cell r="FR51">
            <v>80.3</v>
          </cell>
          <cell r="FS51">
            <v>45362.159999999996</v>
          </cell>
          <cell r="FU51">
            <v>80.3</v>
          </cell>
          <cell r="FV51">
            <v>46874.231999999996</v>
          </cell>
          <cell r="FX51">
            <v>37.5</v>
          </cell>
          <cell r="FY51">
            <v>21942</v>
          </cell>
          <cell r="GA51">
            <v>37.5</v>
          </cell>
          <cell r="GB51">
            <v>22673.4</v>
          </cell>
          <cell r="GD51">
            <v>37.5</v>
          </cell>
          <cell r="GE51">
            <v>22673.4</v>
          </cell>
          <cell r="GG51">
            <v>37.5</v>
          </cell>
          <cell r="GH51">
            <v>21942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oll-up"/>
      <sheetName val="Labor and Indirect Rates (NSF)"/>
      <sheetName val="K0PI0"/>
      <sheetName val="Switchyard"/>
      <sheetName val="AccessControls"/>
      <sheetName val="SEB_PLC"/>
      <sheetName val="SEB_RELAY"/>
      <sheetName val="Mech"/>
      <sheetName val="Instrumentation"/>
      <sheetName val="Controls for Instru"/>
      <sheetName val="AInstrumentation"/>
      <sheetName val="AControls for Instru"/>
      <sheetName val="BInstrumentation"/>
      <sheetName val="BControls for Instru"/>
      <sheetName val="Controls"/>
      <sheetName val="Booster &amp; AGS Controls"/>
      <sheetName val="switchyard controls"/>
      <sheetName val="K0PI0 (Aline) controls"/>
      <sheetName val="MECO (Bline) controls"/>
      <sheetName val="Sheet3"/>
      <sheetName val="Labor and Indirect Rates (NSF)+C88"/>
      <sheetName val="Labor and Indirect Rates (NSF)+C10"/>
      <sheetName val="Labor and Indirect Rates (NSF)+C8"/>
      <sheetName val="Labor and Indirect Rates (NSF)+C54"/>
      <sheetName val="Labor and Indirect Rates (NSF)+C100"/>
      <sheetName val="Labor and Indirect Rates (NSF)+C73"/>
      <sheetName val="Labor and Indirect Rates (NSF)+C9"/>
      <sheetName val="Labor and Indirect Rates (NSF)+C11"/>
      <sheetName val="Labor and Indirect Rates (NSF)+C12"/>
      <sheetName val="Labor and Indirect Rates (NSF)+C13"/>
      <sheetName val="Labor and Indirect Rates (NSF)+C14"/>
      <sheetName val="Labor and Indirect Rates (NSF)+C15"/>
      <sheetName val="Labor and Indirect Rates (NSF)+C16"/>
      <sheetName val="Labor and Indirect Rates (NSF)+C17"/>
      <sheetName val="Labor and Indirect Rates (NSF)+C18"/>
      <sheetName val="Labor and Indirect Rates (NSF)+C19"/>
      <sheetName val="Labor and Indirect Rates (NSF)+C20"/>
      <sheetName val="Labor and Indirect Rates (NSF)+C21"/>
      <sheetName val="Labor and Indirect Rates (NSF)+C22"/>
      <sheetName val="Labor and Indirect Rates (NSF)+C23"/>
      <sheetName val="Labor and Indirect Rates (NSF)+C24"/>
      <sheetName val="Labor and Indirect Rates (NSF)+C25"/>
      <sheetName val="Labor and Indirect Rates (NSF)+C26"/>
      <sheetName val="Labor and Indirect Rates (NSF)+C27"/>
      <sheetName val="Labor and Indirect Rates (NSF)+C28"/>
      <sheetName val="Labor and Indirect Rates (NSF)+C29"/>
      <sheetName val="Labor and Indirect Rates (NSF)+C30"/>
      <sheetName val="Labor and Indirect Rates (NSF)+C31"/>
      <sheetName val="Labor and Indirect Rates (NSF)+C32"/>
      <sheetName val="Labor and Indirect Rates (NSF)+C33"/>
      <sheetName val="Labor and Indirect Rates (NSF)+C34"/>
      <sheetName val="Labor and Indirect Rates (NSF)+C35"/>
      <sheetName val="Labor and Indirect Rates (NSF)+C36"/>
      <sheetName val="Labor and Indirect Rates (NSF)+C37"/>
      <sheetName val="Labor and Indirect Rates (NSF)+C38"/>
      <sheetName val="Labor and Indirect Rates (NSF)+C39"/>
      <sheetName val="Labor and Indirect Rates (NSF)+C40"/>
      <sheetName val="Labor and Indirect Rates (NSF)+C41"/>
      <sheetName val="Labor and Indirect Rates (NSF)+C42"/>
      <sheetName val="Labor and Indirect Rates (NSF)+C43"/>
      <sheetName val="Labor and Indirect Rates (NSF)+C44"/>
      <sheetName val="Labor and Indirect Rates (NSF)+C45"/>
      <sheetName val="Labor and Indirect Rates (NSF)+C46"/>
      <sheetName val="Labor and Indirect Rates (NSF)+C47"/>
      <sheetName val="Labor and Indirect Rates (NSF)+C48"/>
      <sheetName val="Labor and Indirect Rates (NSF)+C49"/>
      <sheetName val="Labor and Indirect Rates (NSF)+C5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oster-AGS"/>
      <sheetName val="AC_Switchyard"/>
      <sheetName val="AC_A-Line"/>
      <sheetName val="AC_B-Line"/>
      <sheetName val="Mech"/>
      <sheetName val="Switchyard"/>
      <sheetName val="MECO A-Line"/>
      <sheetName val="KOPIO B-Line"/>
      <sheetName val="SWYRD Instru"/>
      <sheetName val="Booster Instru"/>
      <sheetName val="AGS Instru"/>
      <sheetName val="MECO-A Line Instru"/>
      <sheetName val="KOPIO B-Line Instru"/>
      <sheetName val="Booster Controls"/>
      <sheetName val="AGS Controls"/>
      <sheetName val="Switchyard Controls"/>
      <sheetName val="KOPIO B-Line Controls"/>
      <sheetName val="MECO-A Line Controls"/>
      <sheetName val="HW"/>
      <sheetName val="SW"/>
      <sheetName val="Roll-up"/>
      <sheetName val="Labor and Indirect Rates (NSF)"/>
      <sheetName val="SwitchyardInstru"/>
      <sheetName val="BoosterInstru"/>
      <sheetName val="AGSInstru"/>
      <sheetName val="AControls for Instru"/>
      <sheetName val="BControls for Instru"/>
      <sheetName val="Controls"/>
      <sheetName val="Booster &amp; AGS Controls"/>
      <sheetName val="K0PI0 (Aline) controls"/>
      <sheetName val="MECO (Bline) controls"/>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SVP ops cost Summary"/>
      <sheetName val="Proton Beam Requirements"/>
      <sheetName val="Resource Categories"/>
      <sheetName val="Labor and Indirect Rates (NSF)"/>
      <sheetName val="K0PI0 alacart Operations"/>
      <sheetName val="MECO alacart Operations"/>
      <sheetName val="MECO manpower - NSF"/>
      <sheetName val="K0PI0 manpower - NSF"/>
    </sheetNames>
    <sheetDataSet>
      <sheetData sheetId="4">
        <row r="25">
          <cell r="E25">
            <v>17994.5784144</v>
          </cell>
        </row>
        <row r="30">
          <cell r="E30">
            <v>6833.89344</v>
          </cell>
        </row>
        <row r="31">
          <cell r="E31">
            <v>13174.602053400002</v>
          </cell>
        </row>
        <row r="32">
          <cell r="E32">
            <v>49429.272447</v>
          </cell>
        </row>
      </sheetData>
      <sheetData sheetId="5">
        <row r="25">
          <cell r="E25">
            <v>35989.1568288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50"/>
  <sheetViews>
    <sheetView tabSelected="1" workbookViewId="0" topLeftCell="A1">
      <selection activeCell="D58" sqref="D58"/>
    </sheetView>
  </sheetViews>
  <sheetFormatPr defaultColWidth="9.140625" defaultRowHeight="12.75"/>
  <cols>
    <col min="2" max="2" width="10.8515625" style="0" customWidth="1"/>
    <col min="3" max="3" width="10.28125" style="0" customWidth="1"/>
    <col min="4" max="4" width="12.57421875" style="0" customWidth="1"/>
    <col min="5" max="5" width="13.00390625" style="0" customWidth="1"/>
    <col min="6" max="6" width="11.7109375" style="0" customWidth="1"/>
    <col min="7" max="7" width="13.00390625" style="0" customWidth="1"/>
    <col min="8" max="8" width="12.57421875" style="0" customWidth="1"/>
    <col min="9" max="9" width="12.28125" style="0" customWidth="1"/>
    <col min="10" max="10" width="13.00390625" style="0" customWidth="1"/>
  </cols>
  <sheetData>
    <row r="1" spans="2:3" ht="12.75">
      <c r="B1" t="s">
        <v>683</v>
      </c>
      <c r="C1" s="57">
        <v>38293</v>
      </c>
    </row>
    <row r="2" ht="13.5" thickBot="1"/>
    <row r="3" spans="2:12" ht="12.75">
      <c r="B3" s="192"/>
      <c r="C3" s="177"/>
      <c r="D3" s="340" t="s">
        <v>1834</v>
      </c>
      <c r="E3" s="341"/>
      <c r="F3" s="341"/>
      <c r="G3" s="341"/>
      <c r="H3" s="341"/>
      <c r="I3" s="341"/>
      <c r="J3" s="341"/>
      <c r="K3" s="238"/>
      <c r="L3" s="239"/>
    </row>
    <row r="4" spans="2:12" ht="13.5" thickBot="1">
      <c r="B4" s="140"/>
      <c r="C4" s="70"/>
      <c r="D4" s="210" t="s">
        <v>413</v>
      </c>
      <c r="E4" s="211" t="s">
        <v>1064</v>
      </c>
      <c r="F4" s="211" t="s">
        <v>824</v>
      </c>
      <c r="G4" s="211" t="s">
        <v>825</v>
      </c>
      <c r="H4" s="211" t="s">
        <v>826</v>
      </c>
      <c r="I4" s="211" t="s">
        <v>667</v>
      </c>
      <c r="J4" s="211" t="s">
        <v>942</v>
      </c>
      <c r="K4" s="211" t="s">
        <v>827</v>
      </c>
      <c r="L4" s="212" t="s">
        <v>702</v>
      </c>
    </row>
    <row r="5" spans="2:12" ht="12.75">
      <c r="B5" s="140"/>
      <c r="C5" s="70"/>
      <c r="D5" s="70"/>
      <c r="E5" s="70"/>
      <c r="F5" s="70"/>
      <c r="G5" s="70"/>
      <c r="H5" s="70"/>
      <c r="I5" s="70"/>
      <c r="J5" s="70"/>
      <c r="K5" s="70"/>
      <c r="L5" s="135"/>
    </row>
    <row r="6" spans="2:12" ht="12.75">
      <c r="B6" s="134" t="s">
        <v>938</v>
      </c>
      <c r="C6" s="70"/>
      <c r="D6" s="70"/>
      <c r="E6" s="70"/>
      <c r="F6" s="205">
        <f>'WBS 1.4.1 Booster-AGS'!G132</f>
        <v>11.775498575498576</v>
      </c>
      <c r="G6" s="205">
        <f>'WBS 1.4.1 Booster-AGS'!H132</f>
        <v>3.743019943019943</v>
      </c>
      <c r="H6" s="205">
        <f>'WBS 1.4.1 Booster-AGS'!I132</f>
        <v>12.252991452991454</v>
      </c>
      <c r="I6" s="205">
        <f>'WBS 1.4.1 Booster-AGS'!J132</f>
        <v>23.91111111111111</v>
      </c>
      <c r="J6" s="206">
        <f>SUM(D6:I6)</f>
        <v>51.68262108262108</v>
      </c>
      <c r="K6" s="205">
        <f>'WBS 1.4.1 Booster-AGS'!K132</f>
        <v>2.778917378917379</v>
      </c>
      <c r="L6" s="207">
        <f>'WBS 1.4.1 Booster-AGS'!L132</f>
        <v>6.15954415954416</v>
      </c>
    </row>
    <row r="7" spans="2:12" ht="12.75">
      <c r="B7" s="134"/>
      <c r="C7" s="70"/>
      <c r="D7" s="70"/>
      <c r="E7" s="70"/>
      <c r="F7" s="70"/>
      <c r="G7" s="70"/>
      <c r="H7" s="70"/>
      <c r="I7" s="70"/>
      <c r="J7" s="7"/>
      <c r="K7" s="70"/>
      <c r="L7" s="135"/>
    </row>
    <row r="8" spans="2:12" ht="12.75">
      <c r="B8" s="134" t="s">
        <v>939</v>
      </c>
      <c r="C8" s="70"/>
      <c r="D8" s="70"/>
      <c r="E8" s="70"/>
      <c r="F8" s="205">
        <f>'WBS 1.4.2 Switchyard'!G167</f>
        <v>2.364672364672365</v>
      </c>
      <c r="G8" s="205">
        <f>'WBS 1.4.2 Switchyard'!H167</f>
        <v>0.3475783475783476</v>
      </c>
      <c r="H8" s="205">
        <f>'WBS 1.4.2 Switchyard'!I167</f>
        <v>0.8774928774928775</v>
      </c>
      <c r="I8" s="205">
        <f>'WBS 1.4.2 Switchyard'!J167</f>
        <v>10.69059829059829</v>
      </c>
      <c r="J8" s="206">
        <f>SUM(D8:I8)</f>
        <v>14.28034188034188</v>
      </c>
      <c r="K8" s="205">
        <f>'WBS 1.4.2 Switchyard'!K167</f>
        <v>2.9834757834757837</v>
      </c>
      <c r="L8" s="207">
        <f>'WBS 1.4.2 Switchyard'!L167</f>
        <v>1.2820512820512822</v>
      </c>
    </row>
    <row r="9" spans="2:12" ht="12.75">
      <c r="B9" s="134"/>
      <c r="C9" s="70"/>
      <c r="D9" s="70"/>
      <c r="E9" s="70"/>
      <c r="F9" s="70"/>
      <c r="G9" s="70"/>
      <c r="H9" s="70"/>
      <c r="I9" s="70"/>
      <c r="J9" s="7"/>
      <c r="K9" s="70"/>
      <c r="L9" s="135"/>
    </row>
    <row r="10" spans="2:12" ht="12.75">
      <c r="B10" s="134" t="s">
        <v>940</v>
      </c>
      <c r="C10" s="70"/>
      <c r="D10" s="70"/>
      <c r="E10" s="70"/>
      <c r="F10" s="205">
        <f>'WBS 1.4.3 K0PI0 B-Line'!G211</f>
        <v>5.237606837606838</v>
      </c>
      <c r="G10" s="205">
        <f>'WBS 1.4.3 K0PI0 B-Line'!H211</f>
        <v>3.472364672364672</v>
      </c>
      <c r="H10" s="205">
        <f>'WBS 1.4.3 K0PI0 B-Line'!I211</f>
        <v>2.0125356125356126</v>
      </c>
      <c r="I10" s="205">
        <f>'WBS 1.4.3 K0PI0 B-Line'!J211</f>
        <v>11.029059829059829</v>
      </c>
      <c r="J10" s="206">
        <f>SUM(D10:I10)</f>
        <v>21.75156695156695</v>
      </c>
      <c r="K10" s="205">
        <f>'WBS 1.4.3 K0PI0 B-Line'!K211</f>
        <v>5.5606837606837605</v>
      </c>
      <c r="L10" s="207">
        <f>'WBS 1.4.3 K0PI0 B-Line'!L211</f>
        <v>0.4586894586894587</v>
      </c>
    </row>
    <row r="11" spans="2:12" ht="12.75">
      <c r="B11" s="134"/>
      <c r="C11" s="70"/>
      <c r="D11" s="70"/>
      <c r="E11" s="70"/>
      <c r="F11" s="70"/>
      <c r="G11" s="70"/>
      <c r="H11" s="70"/>
      <c r="I11" s="70"/>
      <c r="J11" s="7"/>
      <c r="K11" s="70"/>
      <c r="L11" s="135"/>
    </row>
    <row r="12" spans="2:12" ht="12.75">
      <c r="B12" s="134" t="s">
        <v>941</v>
      </c>
      <c r="C12" s="70"/>
      <c r="D12" s="70"/>
      <c r="E12" s="70"/>
      <c r="F12" s="205">
        <f>'WBS 1.4.4 MECO A-Line'!G517</f>
        <v>7.737891737891738</v>
      </c>
      <c r="G12" s="205">
        <f>'WBS 1.4.4 MECO A-Line'!H517</f>
        <v>4.952136752136752</v>
      </c>
      <c r="H12" s="205">
        <f>'WBS 1.4.4 MECO A-Line'!I517</f>
        <v>2.5544159544159544</v>
      </c>
      <c r="I12" s="205">
        <f>'WBS 1.4.4 MECO A-Line'!J517</f>
        <v>14.621082621082621</v>
      </c>
      <c r="J12" s="206">
        <f>SUM(D12:I12)</f>
        <v>29.86552706552707</v>
      </c>
      <c r="K12" s="205">
        <f>'WBS 1.4.4 MECO A-Line'!K517</f>
        <v>8.408547008547009</v>
      </c>
      <c r="L12" s="207">
        <f>'WBS 1.4.4 MECO A-Line'!L517</f>
        <v>1.8592592592592592</v>
      </c>
    </row>
    <row r="13" spans="2:12" ht="12.75">
      <c r="B13" s="134"/>
      <c r="C13" s="70"/>
      <c r="D13" s="70"/>
      <c r="E13" s="70"/>
      <c r="F13" s="205"/>
      <c r="G13" s="205"/>
      <c r="H13" s="205"/>
      <c r="I13" s="205"/>
      <c r="J13" s="206"/>
      <c r="K13" s="205"/>
      <c r="L13" s="207"/>
    </row>
    <row r="14" spans="2:12" ht="12.75">
      <c r="B14" s="134" t="s">
        <v>949</v>
      </c>
      <c r="C14" s="70"/>
      <c r="D14" s="205">
        <f>'WBS 1.4.5 Project Office'!H17</f>
        <v>5.0005698005698</v>
      </c>
      <c r="E14" s="205">
        <f>'WBS 1.4.5 Project Office'!I17</f>
        <v>1.25014245014245</v>
      </c>
      <c r="F14" s="205"/>
      <c r="G14" s="205"/>
      <c r="H14" s="205"/>
      <c r="I14" s="205"/>
      <c r="J14" s="206">
        <f>SUM(D14:I14)</f>
        <v>6.25071225071225</v>
      </c>
      <c r="K14" s="205"/>
      <c r="L14" s="207"/>
    </row>
    <row r="15" spans="2:12" ht="12.75">
      <c r="B15" s="140"/>
      <c r="C15" s="70"/>
      <c r="D15" s="70"/>
      <c r="E15" s="70"/>
      <c r="F15" s="70"/>
      <c r="G15" s="70"/>
      <c r="H15" s="70"/>
      <c r="I15" s="70"/>
      <c r="J15" s="237"/>
      <c r="K15" s="70"/>
      <c r="L15" s="135"/>
    </row>
    <row r="16" spans="2:12" ht="13.5" thickBot="1">
      <c r="B16" s="136" t="s">
        <v>643</v>
      </c>
      <c r="C16" s="138"/>
      <c r="D16" s="208">
        <f>SUM(D6:D15)</f>
        <v>5.0005698005698</v>
      </c>
      <c r="E16" s="208">
        <f>SUM(E6:E15)</f>
        <v>1.25014245014245</v>
      </c>
      <c r="F16" s="208">
        <f>SUM(F6:F15)</f>
        <v>27.115669515669516</v>
      </c>
      <c r="G16" s="208">
        <f aca="true" t="shared" si="0" ref="G16:L16">SUM(G6:G15)</f>
        <v>12.515099715099716</v>
      </c>
      <c r="H16" s="208">
        <f t="shared" si="0"/>
        <v>17.6974358974359</v>
      </c>
      <c r="I16" s="208">
        <f t="shared" si="0"/>
        <v>60.25185185185185</v>
      </c>
      <c r="J16" s="208">
        <f>SUM(D16:I16)</f>
        <v>123.83076923076923</v>
      </c>
      <c r="K16" s="208">
        <f>SUM(K6:K15)</f>
        <v>19.731623931623933</v>
      </c>
      <c r="L16" s="209">
        <f t="shared" si="0"/>
        <v>9.75954415954416</v>
      </c>
    </row>
    <row r="17" spans="2:12" ht="12.75">
      <c r="B17" s="8"/>
      <c r="D17" s="66"/>
      <c r="E17" s="66"/>
      <c r="F17" s="66"/>
      <c r="G17" s="66"/>
      <c r="H17" s="66"/>
      <c r="I17" s="66"/>
      <c r="J17" s="66"/>
      <c r="K17" s="66"/>
      <c r="L17" s="66"/>
    </row>
    <row r="18" ht="12.75">
      <c r="B18" t="s">
        <v>502</v>
      </c>
    </row>
    <row r="19" ht="13.5" thickBot="1"/>
    <row r="20" spans="2:9" ht="12.75">
      <c r="B20" s="192"/>
      <c r="C20" s="177"/>
      <c r="D20" s="342" t="s">
        <v>684</v>
      </c>
      <c r="E20" s="343"/>
      <c r="F20" s="343"/>
      <c r="G20" s="343"/>
      <c r="H20" s="343"/>
      <c r="I20" s="344"/>
    </row>
    <row r="21" spans="2:9" ht="13.5" thickBot="1">
      <c r="B21" s="140"/>
      <c r="C21" s="70"/>
      <c r="D21" s="194" t="s">
        <v>647</v>
      </c>
      <c r="E21" s="195" t="s">
        <v>943</v>
      </c>
      <c r="F21" s="195" t="s">
        <v>944</v>
      </c>
      <c r="G21" s="195" t="s">
        <v>699</v>
      </c>
      <c r="H21" s="195" t="s">
        <v>945</v>
      </c>
      <c r="I21" s="196" t="s">
        <v>643</v>
      </c>
    </row>
    <row r="22" spans="2:9" ht="12.75">
      <c r="B22" s="140"/>
      <c r="C22" s="70"/>
      <c r="D22" s="141"/>
      <c r="E22" s="141"/>
      <c r="F22" s="141"/>
      <c r="G22" s="141"/>
      <c r="H22" s="141"/>
      <c r="I22" s="193"/>
    </row>
    <row r="23" spans="2:9" ht="12.75">
      <c r="B23" s="134" t="s">
        <v>938</v>
      </c>
      <c r="C23" s="70"/>
      <c r="D23" s="142">
        <f>'WBS 1.4.1 Booster-AGS'!F138</f>
        <v>9679154.58725</v>
      </c>
      <c r="E23" s="142">
        <f>SUM('WBS 1.4.1 Booster-AGS'!G138:J138)</f>
        <v>7557051.035370293</v>
      </c>
      <c r="F23" s="142">
        <f>'WBS 1.4.1 Booster-AGS'!K138+'WBS 1.4.1 Booster-AGS'!L138</f>
        <v>1658187.1600000001</v>
      </c>
      <c r="G23" s="151">
        <f>SUM(D23:F23)</f>
        <v>18894392.782620292</v>
      </c>
      <c r="H23" s="142">
        <f>'WBS 1.4.1 Booster-AGS'!V138</f>
        <v>3693466.231412606</v>
      </c>
      <c r="I23" s="152">
        <f>SUM(G23:H23)</f>
        <v>22587859.014032897</v>
      </c>
    </row>
    <row r="24" spans="2:9" ht="12.75">
      <c r="B24" s="134"/>
      <c r="C24" s="70"/>
      <c r="D24" s="70"/>
      <c r="E24" s="70"/>
      <c r="F24" s="70"/>
      <c r="G24" s="7"/>
      <c r="H24" s="70"/>
      <c r="I24" s="143"/>
    </row>
    <row r="25" spans="2:9" ht="12.75">
      <c r="B25" s="134" t="s">
        <v>939</v>
      </c>
      <c r="C25" s="70"/>
      <c r="D25" s="142">
        <f>'WBS 1.4.2 Switchyard'!F173</f>
        <v>1564617.585</v>
      </c>
      <c r="E25" s="142">
        <f>'WBS 1.4.2 Switchyard'!G173+'WBS 1.4.2 Switchyard'!H173+'WBS 1.4.2 Switchyard'!I173+'WBS 1.4.2 Switchyard'!J173</f>
        <v>1970105.45991603</v>
      </c>
      <c r="F25" s="142">
        <f>'WBS 1.4.2 Switchyard'!K173+'WBS 1.4.2 Switchyard'!L173</f>
        <v>647722.6560000001</v>
      </c>
      <c r="G25" s="151">
        <f>SUM(D25:F25)</f>
        <v>4182445.70091603</v>
      </c>
      <c r="H25" s="142">
        <f>'WBS 1.4.2 Switchyard'!V173</f>
        <v>823232.2829744645</v>
      </c>
      <c r="I25" s="152">
        <f>SUM(G25:H25)</f>
        <v>5005677.983890494</v>
      </c>
    </row>
    <row r="26" spans="2:9" ht="12.75">
      <c r="B26" s="134"/>
      <c r="C26" s="70"/>
      <c r="D26" s="70"/>
      <c r="E26" s="70"/>
      <c r="F26" s="70"/>
      <c r="G26" s="7"/>
      <c r="H26" s="70"/>
      <c r="I26" s="143"/>
    </row>
    <row r="27" spans="2:9" ht="12.75">
      <c r="B27" s="134" t="s">
        <v>940</v>
      </c>
      <c r="C27" s="70"/>
      <c r="D27" s="142">
        <f>'WBS 1.4.3 K0PI0 B-Line'!F217</f>
        <v>4508503.63525</v>
      </c>
      <c r="E27" s="142">
        <f>'WBS 1.4.3 K0PI0 B-Line'!G217+'WBS 1.4.3 K0PI0 B-Line'!H217+'WBS 1.4.3 K0PI0 B-Line'!I217+'WBS 1.4.3 K0PI0 B-Line'!J217</f>
        <v>3335092.0060903234</v>
      </c>
      <c r="F27" s="142">
        <f>'WBS 1.4.3 K0PI0 B-Line'!K217+'WBS 1.4.3 K0PI0 B-Line'!L217</f>
        <v>823923.464</v>
      </c>
      <c r="G27" s="151">
        <f>SUM(D27:F27)</f>
        <v>8667519.105340324</v>
      </c>
      <c r="H27" s="142">
        <f>'WBS 1.4.3 K0PI0 B-Line'!V217</f>
        <v>2065291.9433918193</v>
      </c>
      <c r="I27" s="152">
        <f>SUM(G27:H27)</f>
        <v>10732811.048732143</v>
      </c>
    </row>
    <row r="28" spans="2:9" ht="12.75">
      <c r="B28" s="134"/>
      <c r="C28" s="70"/>
      <c r="D28" s="70"/>
      <c r="E28" s="70"/>
      <c r="F28" s="70"/>
      <c r="G28" s="7"/>
      <c r="H28" s="70"/>
      <c r="I28" s="143"/>
    </row>
    <row r="29" spans="2:9" ht="12.75">
      <c r="B29" s="134" t="s">
        <v>941</v>
      </c>
      <c r="C29" s="70"/>
      <c r="D29" s="142">
        <f>'WBS 1.4.4 MECO A-Line'!F523</f>
        <v>3583556.51375</v>
      </c>
      <c r="E29" s="142">
        <f>'WBS 1.4.4 MECO A-Line'!G523+'WBS 1.4.4 MECO A-Line'!H523+'WBS 1.4.4 MECO A-Line'!I523+'WBS 1.4.4 MECO A-Line'!J523</f>
        <v>4613818.246620154</v>
      </c>
      <c r="F29" s="142">
        <f>'WBS 1.4.4 MECO A-Line'!K523+'WBS 1.4.4 MECO A-Line'!L523</f>
        <v>1477302.232</v>
      </c>
      <c r="G29" s="151">
        <f>SUM(D29:F29)</f>
        <v>9674676.992370155</v>
      </c>
      <c r="H29" s="142">
        <f>'WBS 1.4.4 MECO A-Line'!V523</f>
        <v>2261959.1701374515</v>
      </c>
      <c r="I29" s="152">
        <f>SUM(G29:H29)</f>
        <v>11936636.162507607</v>
      </c>
    </row>
    <row r="30" spans="2:9" ht="12.75">
      <c r="B30" s="134"/>
      <c r="C30" s="70"/>
      <c r="D30" s="142"/>
      <c r="E30" s="142"/>
      <c r="F30" s="142"/>
      <c r="G30" s="151"/>
      <c r="H30" s="142"/>
      <c r="I30" s="152"/>
    </row>
    <row r="31" spans="2:9" ht="12.75">
      <c r="B31" s="134" t="s">
        <v>949</v>
      </c>
      <c r="C31" s="70"/>
      <c r="D31" s="142">
        <f>'WBS 1.4.5 Project Office'!G23</f>
        <v>62692.75</v>
      </c>
      <c r="E31" s="142">
        <f>'WBS 1.4.5 Project Office'!P23</f>
        <v>1451541.7109074118</v>
      </c>
      <c r="F31" s="142"/>
      <c r="G31" s="151">
        <f>SUM(D31:F31)</f>
        <v>1514234.4609074118</v>
      </c>
      <c r="H31" s="142">
        <f>'WBS 1.4.5 Project Office'!Y23</f>
        <v>302846.89218148234</v>
      </c>
      <c r="I31" s="152">
        <f>SUM(G31:H31)</f>
        <v>1817081.3530888942</v>
      </c>
    </row>
    <row r="32" spans="2:9" ht="12.75">
      <c r="B32" s="134"/>
      <c r="C32" s="70"/>
      <c r="D32" s="70"/>
      <c r="E32" s="70"/>
      <c r="F32" s="70"/>
      <c r="G32" s="7"/>
      <c r="H32" s="70"/>
      <c r="I32" s="143"/>
    </row>
    <row r="33" spans="2:9" ht="12.75">
      <c r="B33" s="197" t="s">
        <v>887</v>
      </c>
      <c r="C33" s="198"/>
      <c r="D33" s="199">
        <f aca="true" t="shared" si="1" ref="D33:I33">SUM(D23:D32)</f>
        <v>19398525.07125</v>
      </c>
      <c r="E33" s="199">
        <f t="shared" si="1"/>
        <v>18927608.45890421</v>
      </c>
      <c r="F33" s="199">
        <f t="shared" si="1"/>
        <v>4607135.512</v>
      </c>
      <c r="G33" s="199">
        <f t="shared" si="1"/>
        <v>42933269.042154215</v>
      </c>
      <c r="H33" s="199">
        <f t="shared" si="1"/>
        <v>9146796.520097824</v>
      </c>
      <c r="I33" s="200">
        <f t="shared" si="1"/>
        <v>52080065.56225204</v>
      </c>
    </row>
    <row r="34" spans="2:9" ht="12.75">
      <c r="B34" s="134"/>
      <c r="C34" s="70"/>
      <c r="D34" s="151"/>
      <c r="E34" s="151"/>
      <c r="F34" s="151"/>
      <c r="G34" s="151"/>
      <c r="H34" s="151"/>
      <c r="I34" s="152"/>
    </row>
    <row r="35" spans="2:9" ht="12.75">
      <c r="B35" s="134" t="s">
        <v>1749</v>
      </c>
      <c r="C35" s="70"/>
      <c r="D35" s="142">
        <f>'RSVP  pre-ops Summary Sheet'!H114</f>
        <v>14305738.00026244</v>
      </c>
      <c r="E35" s="142">
        <f>'RSVP  pre-ops Summary Sheet'!H112</f>
        <v>12190675.096540688</v>
      </c>
      <c r="F35" s="142"/>
      <c r="G35" s="151">
        <f>SUM(D35:F35)</f>
        <v>26496413.09680313</v>
      </c>
      <c r="H35" s="142">
        <f>'RSVP  pre-ops Summary Sheet'!I116</f>
        <v>5632907.7909190105</v>
      </c>
      <c r="I35" s="152">
        <f>SUM(G35:H35)</f>
        <v>32129320.88772214</v>
      </c>
    </row>
    <row r="36" spans="2:9" ht="12.75">
      <c r="B36" s="134"/>
      <c r="C36" s="70"/>
      <c r="D36" s="142"/>
      <c r="E36" s="142"/>
      <c r="F36" s="142"/>
      <c r="G36" s="151"/>
      <c r="H36" s="142"/>
      <c r="I36" s="152"/>
    </row>
    <row r="37" spans="2:9" ht="13.5" thickBot="1">
      <c r="B37" s="201" t="s">
        <v>505</v>
      </c>
      <c r="C37" s="202"/>
      <c r="D37" s="203">
        <f aca="true" t="shared" si="2" ref="D37:I37">D35+D33</f>
        <v>33704263.07151244</v>
      </c>
      <c r="E37" s="203">
        <f t="shared" si="2"/>
        <v>31118283.555444896</v>
      </c>
      <c r="F37" s="203">
        <f t="shared" si="2"/>
        <v>4607135.512</v>
      </c>
      <c r="G37" s="203">
        <f t="shared" si="2"/>
        <v>69429682.13895735</v>
      </c>
      <c r="H37" s="203">
        <f t="shared" si="2"/>
        <v>14779704.311016835</v>
      </c>
      <c r="I37" s="204">
        <f t="shared" si="2"/>
        <v>84209386.44997418</v>
      </c>
    </row>
    <row r="38" spans="2:9" ht="12.75">
      <c r="B38" s="8"/>
      <c r="D38" s="68"/>
      <c r="E38" s="68"/>
      <c r="F38" s="68"/>
      <c r="G38" s="68"/>
      <c r="H38" s="68"/>
      <c r="I38" s="68"/>
    </row>
    <row r="39" spans="2:9" ht="12.75">
      <c r="B39" s="8" t="s">
        <v>1833</v>
      </c>
      <c r="D39" s="68"/>
      <c r="E39" s="68"/>
      <c r="F39" s="68"/>
      <c r="G39" s="68"/>
      <c r="H39" s="68"/>
      <c r="I39" s="68"/>
    </row>
    <row r="40" ht="12.75">
      <c r="B40" s="181" t="s">
        <v>1835</v>
      </c>
    </row>
    <row r="41" ht="12.75">
      <c r="B41" s="181"/>
    </row>
    <row r="42" ht="12.75">
      <c r="B42" s="8" t="s">
        <v>946</v>
      </c>
    </row>
    <row r="43" ht="12.75">
      <c r="B43" t="s">
        <v>503</v>
      </c>
    </row>
    <row r="44" ht="12.75">
      <c r="B44" t="s">
        <v>504</v>
      </c>
    </row>
    <row r="45" ht="12.75">
      <c r="B45" t="s">
        <v>685</v>
      </c>
    </row>
    <row r="46" ht="12.75">
      <c r="B46" t="s">
        <v>59</v>
      </c>
    </row>
    <row r="47" ht="12.75">
      <c r="B47" t="s">
        <v>60</v>
      </c>
    </row>
    <row r="48" ht="12.75">
      <c r="B48" t="s">
        <v>1457</v>
      </c>
    </row>
    <row r="49" ht="12.75">
      <c r="B49" s="182" t="s">
        <v>948</v>
      </c>
    </row>
    <row r="50" ht="12.75">
      <c r="B50" s="243" t="s">
        <v>501</v>
      </c>
    </row>
  </sheetData>
  <mergeCells count="2">
    <mergeCell ref="D3:J3"/>
    <mergeCell ref="D20:I20"/>
  </mergeCells>
  <printOptions gridLines="1"/>
  <pageMargins left="0.75" right="0.75" top="1" bottom="1" header="0.5" footer="0.5"/>
  <pageSetup fitToHeight="1" fitToWidth="1" horizontalDpi="600" verticalDpi="600" orientation="landscape" paperSize="17" r:id="rId1"/>
  <ignoredErrors>
    <ignoredError sqref="J16" formula="1"/>
  </ignoredErrors>
</worksheet>
</file>

<file path=xl/worksheets/sheet10.xml><?xml version="1.0" encoding="utf-8"?>
<worksheet xmlns="http://schemas.openxmlformats.org/spreadsheetml/2006/main" xmlns:r="http://schemas.openxmlformats.org/officeDocument/2006/relationships">
  <sheetPr>
    <pageSetUpPr fitToPage="1"/>
  </sheetPr>
  <dimension ref="A2:N144"/>
  <sheetViews>
    <sheetView workbookViewId="0" topLeftCell="A73">
      <selection activeCell="H99" sqref="H99"/>
    </sheetView>
  </sheetViews>
  <sheetFormatPr defaultColWidth="9.140625" defaultRowHeight="12.75"/>
  <cols>
    <col min="1" max="1" width="2.7109375" style="0" customWidth="1"/>
    <col min="2" max="2" width="21.57421875" style="0" customWidth="1"/>
    <col min="3" max="3" width="9.57421875" style="0" customWidth="1"/>
    <col min="4" max="4" width="15.140625" style="0" customWidth="1"/>
    <col min="5" max="5" width="9.28125" style="14" bestFit="1" customWidth="1"/>
    <col min="6" max="6" width="16.8515625" style="0" customWidth="1"/>
    <col min="7" max="7" width="17.8515625" style="0" customWidth="1"/>
    <col min="8" max="8" width="11.8515625" style="0" customWidth="1"/>
    <col min="9" max="9" width="10.00390625" style="0" customWidth="1"/>
    <col min="10" max="10" width="15.57421875" style="0" customWidth="1"/>
    <col min="11" max="11" width="11.28125" style="0" customWidth="1"/>
    <col min="12" max="12" width="7.421875" style="0" customWidth="1"/>
    <col min="13" max="13" width="16.421875" style="0" customWidth="1"/>
    <col min="14" max="14" width="13.421875" style="0" customWidth="1"/>
  </cols>
  <sheetData>
    <row r="2" ht="18">
      <c r="B2" s="13" t="s">
        <v>1280</v>
      </c>
    </row>
    <row r="3" spans="2:6" ht="12.75">
      <c r="B3" s="3" t="s">
        <v>1282</v>
      </c>
      <c r="F3" s="15" t="s">
        <v>669</v>
      </c>
    </row>
    <row r="4" spans="1:8" ht="12.75">
      <c r="A4" s="3" t="s">
        <v>1281</v>
      </c>
      <c r="B4" s="6"/>
      <c r="H4" s="8"/>
    </row>
    <row r="5" spans="1:13" ht="12.75">
      <c r="A5" s="3" t="s">
        <v>1283</v>
      </c>
      <c r="F5" s="16"/>
      <c r="H5" s="3"/>
      <c r="M5" s="16"/>
    </row>
    <row r="6" spans="6:13" ht="12.75">
      <c r="F6" s="16"/>
      <c r="H6" t="s">
        <v>707</v>
      </c>
      <c r="M6" s="16"/>
    </row>
    <row r="7" spans="2:13" ht="12.75">
      <c r="B7" t="s">
        <v>708</v>
      </c>
      <c r="D7" s="17"/>
      <c r="F7" s="18">
        <v>60406.72</v>
      </c>
      <c r="M7" s="18"/>
    </row>
    <row r="8" spans="2:13" ht="12.75">
      <c r="B8" t="s">
        <v>709</v>
      </c>
      <c r="E8" s="14">
        <v>0.185</v>
      </c>
      <c r="F8" s="18">
        <f>F7*E8</f>
        <v>11175.2432</v>
      </c>
      <c r="L8" s="19"/>
      <c r="M8" s="18"/>
    </row>
    <row r="9" spans="2:13" ht="12.75">
      <c r="B9" t="s">
        <v>710</v>
      </c>
      <c r="E9" s="14">
        <v>0.41</v>
      </c>
      <c r="F9" s="18">
        <f>SUM(F7:F8)*E9</f>
        <v>29348.604912</v>
      </c>
      <c r="L9" s="19"/>
      <c r="M9" s="18"/>
    </row>
    <row r="10" spans="2:14" ht="12.75">
      <c r="B10" s="8" t="s">
        <v>711</v>
      </c>
      <c r="F10" s="18"/>
      <c r="G10" s="20">
        <f>SUM(F7:F9)</f>
        <v>100930.568112</v>
      </c>
      <c r="H10">
        <v>1</v>
      </c>
      <c r="J10" s="25">
        <f>F7/G10</f>
        <v>0.5984977705958046</v>
      </c>
      <c r="L10" s="19"/>
      <c r="M10" s="18"/>
      <c r="N10" s="18"/>
    </row>
    <row r="11" spans="2:13" ht="12.75">
      <c r="B11" t="s">
        <v>712</v>
      </c>
      <c r="E11" s="14">
        <v>0.0154</v>
      </c>
      <c r="F11" s="18">
        <f>E11*G10</f>
        <v>1554.3307489248</v>
      </c>
      <c r="L11" s="14"/>
      <c r="M11" s="18"/>
    </row>
    <row r="12" spans="2:13" ht="12.75">
      <c r="B12" t="s">
        <v>1284</v>
      </c>
      <c r="E12" s="14">
        <v>0.166</v>
      </c>
      <c r="F12" s="18">
        <f>E12*F11</f>
        <v>258.0189043215168</v>
      </c>
      <c r="L12" s="14"/>
      <c r="M12" s="18"/>
    </row>
    <row r="13" spans="2:13" ht="12.75">
      <c r="B13" t="s">
        <v>713</v>
      </c>
      <c r="E13" s="14">
        <v>0.0805</v>
      </c>
      <c r="F13" s="18">
        <f>SUM(F7:F9)*E13</f>
        <v>8124.9107330159995</v>
      </c>
      <c r="L13" s="14"/>
      <c r="M13" s="18"/>
    </row>
    <row r="14" spans="2:13" ht="12.75">
      <c r="B14" t="s">
        <v>714</v>
      </c>
      <c r="E14" s="14">
        <v>0.0267</v>
      </c>
      <c r="F14" s="18">
        <f>SUM(F7:F9)*E14</f>
        <v>2694.8461685904</v>
      </c>
      <c r="L14" s="14"/>
      <c r="M14" s="18"/>
    </row>
    <row r="15" spans="2:13" ht="12.75">
      <c r="B15" t="s">
        <v>715</v>
      </c>
      <c r="E15" s="14">
        <v>0.0104</v>
      </c>
      <c r="F15" s="18">
        <f>SUM(F7:F9)*E15</f>
        <v>1049.6779083647998</v>
      </c>
      <c r="L15" s="14"/>
      <c r="M15" s="18"/>
    </row>
    <row r="16" spans="2:13" ht="12.75">
      <c r="B16" t="s">
        <v>716</v>
      </c>
      <c r="E16" s="14">
        <v>0.0205</v>
      </c>
      <c r="F16" s="18">
        <f>SUM(F7:F9)*E16</f>
        <v>2069.076646296</v>
      </c>
      <c r="L16" s="14"/>
      <c r="M16" s="18"/>
    </row>
    <row r="17" spans="2:13" ht="12.75">
      <c r="B17" t="s">
        <v>717</v>
      </c>
      <c r="E17" s="14">
        <v>0.0082</v>
      </c>
      <c r="F17" s="18">
        <f>SUM(F7:F9)*E17</f>
        <v>827.6306585184</v>
      </c>
      <c r="L17" s="14"/>
      <c r="M17" s="18"/>
    </row>
    <row r="18" spans="2:13" ht="12.75">
      <c r="B18" t="s">
        <v>718</v>
      </c>
      <c r="E18" s="14">
        <v>0.0331</v>
      </c>
      <c r="F18" s="18">
        <f>SUM(F7:F9)*E18</f>
        <v>3340.8018045071994</v>
      </c>
      <c r="L18" s="14"/>
      <c r="M18" s="18"/>
    </row>
    <row r="19" spans="2:13" ht="12.75">
      <c r="B19" s="7" t="s">
        <v>719</v>
      </c>
      <c r="F19" s="18"/>
      <c r="G19" s="20">
        <f>SUM(F11:F18)</f>
        <v>19919.293572539114</v>
      </c>
      <c r="H19" s="14">
        <f>G19/G10</f>
        <v>0.1973564</v>
      </c>
      <c r="L19" s="14"/>
      <c r="M19" s="18"/>
    </row>
    <row r="20" spans="2:13" ht="12.75">
      <c r="B20" t="s">
        <v>720</v>
      </c>
      <c r="E20" s="14">
        <v>0.175</v>
      </c>
      <c r="F20" s="18">
        <f>E20*F7</f>
        <v>10571.176</v>
      </c>
      <c r="H20" s="14"/>
      <c r="L20" s="14"/>
      <c r="M20" s="18"/>
    </row>
    <row r="21" spans="2:13" ht="12.75">
      <c r="B21" t="s">
        <v>721</v>
      </c>
      <c r="E21" s="14">
        <v>0.175</v>
      </c>
      <c r="F21" s="18">
        <f>E21*F8</f>
        <v>1955.66756</v>
      </c>
      <c r="H21" s="14"/>
      <c r="L21" s="14"/>
      <c r="M21" s="18"/>
    </row>
    <row r="22" spans="2:13" ht="12.75">
      <c r="B22" t="s">
        <v>722</v>
      </c>
      <c r="E22" s="14">
        <v>0.175</v>
      </c>
      <c r="F22" s="18">
        <f>E22*F9</f>
        <v>5136.0058596</v>
      </c>
      <c r="H22" s="14"/>
      <c r="L22" s="14"/>
      <c r="M22" s="18"/>
    </row>
    <row r="23" spans="2:13" ht="12.75">
      <c r="B23" t="s">
        <v>723</v>
      </c>
      <c r="E23" s="14">
        <v>0.175</v>
      </c>
      <c r="F23" s="18">
        <f>E23*F11</f>
        <v>272.00788106183995</v>
      </c>
      <c r="H23" s="14"/>
      <c r="L23" s="14"/>
      <c r="M23" s="18"/>
    </row>
    <row r="24" spans="2:13" ht="12.75">
      <c r="B24" t="s">
        <v>1285</v>
      </c>
      <c r="E24" s="14">
        <v>0.175</v>
      </c>
      <c r="F24" s="18">
        <f>E24*F12</f>
        <v>45.15330825626544</v>
      </c>
      <c r="H24" s="14"/>
      <c r="L24" s="14"/>
      <c r="M24" s="18"/>
    </row>
    <row r="25" spans="2:13" ht="12.75">
      <c r="B25" t="s">
        <v>724</v>
      </c>
      <c r="E25" s="14">
        <v>0.175</v>
      </c>
      <c r="F25" s="18">
        <f>E25*F13</f>
        <v>1421.8593782777998</v>
      </c>
      <c r="H25" s="14"/>
      <c r="L25" s="14"/>
      <c r="M25" s="18"/>
    </row>
    <row r="26" spans="2:13" ht="12.75">
      <c r="B26" t="s">
        <v>725</v>
      </c>
      <c r="E26" s="14">
        <v>0.175</v>
      </c>
      <c r="F26" s="18">
        <f>E26*SUM(F15:F18)</f>
        <v>1275.2577280951198</v>
      </c>
      <c r="H26" s="14"/>
      <c r="L26" s="14"/>
      <c r="M26" s="18"/>
    </row>
    <row r="27" spans="2:13" ht="12.75">
      <c r="B27" t="s">
        <v>726</v>
      </c>
      <c r="E27" s="14">
        <v>0</v>
      </c>
      <c r="F27" s="18">
        <f>E27*F14</f>
        <v>0</v>
      </c>
      <c r="H27" s="14"/>
      <c r="L27" s="19"/>
      <c r="M27" s="18"/>
    </row>
    <row r="28" spans="2:13" ht="12.75">
      <c r="B28" s="7" t="s">
        <v>727</v>
      </c>
      <c r="F28" s="18"/>
      <c r="G28" s="20">
        <f>SUM(F20:F27)</f>
        <v>20677.127715291022</v>
      </c>
      <c r="H28" s="14">
        <f>G28/G10</f>
        <v>0.20486486999999998</v>
      </c>
      <c r="L28" s="19"/>
      <c r="M28" s="18"/>
    </row>
    <row r="29" spans="2:8" ht="12.75">
      <c r="B29" s="8" t="s">
        <v>728</v>
      </c>
      <c r="G29" s="20">
        <f>SUM(F11:F27)</f>
        <v>40596.42128783015</v>
      </c>
      <c r="H29" s="14">
        <f>G29/G10</f>
        <v>0.4022212700000001</v>
      </c>
    </row>
    <row r="30" spans="2:13" ht="12.75">
      <c r="B30" t="s">
        <v>699</v>
      </c>
      <c r="F30" s="18">
        <f>SUM(F7:F29)</f>
        <v>141526.98939983014</v>
      </c>
      <c r="H30" s="14"/>
      <c r="M30" s="18"/>
    </row>
    <row r="31" spans="2:8" ht="12.75">
      <c r="B31" s="8" t="s">
        <v>729</v>
      </c>
      <c r="E31" s="14">
        <v>0</v>
      </c>
      <c r="F31" s="18">
        <f>F30*E31</f>
        <v>0</v>
      </c>
      <c r="G31" s="20">
        <f>F31</f>
        <v>0</v>
      </c>
      <c r="H31" s="14">
        <f>G31/G10</f>
        <v>0</v>
      </c>
    </row>
    <row r="32" spans="2:8" ht="12.75">
      <c r="B32" s="8" t="s">
        <v>730</v>
      </c>
      <c r="F32" s="18"/>
      <c r="G32" s="20">
        <f>G28+G19+G31</f>
        <v>40596.42128783013</v>
      </c>
      <c r="H32" s="14">
        <f>G32/G10</f>
        <v>0.4022212699999999</v>
      </c>
    </row>
    <row r="33" spans="2:8" ht="12.75">
      <c r="B33" s="8"/>
      <c r="F33" s="18"/>
      <c r="G33" s="20"/>
      <c r="H33" s="14"/>
    </row>
    <row r="34" spans="2:8" ht="12.75">
      <c r="B34" s="8" t="s">
        <v>643</v>
      </c>
      <c r="F34" s="18">
        <f>SUM(F30:F31)</f>
        <v>141526.98939983014</v>
      </c>
      <c r="G34" s="20">
        <f>F34</f>
        <v>141526.98939983014</v>
      </c>
      <c r="H34" s="14"/>
    </row>
    <row r="35" ht="13.5" thickBot="1"/>
    <row r="36" spans="2:13" ht="13.5" thickBot="1">
      <c r="B36" s="21" t="s">
        <v>731</v>
      </c>
      <c r="C36" s="22"/>
      <c r="D36" s="22"/>
      <c r="E36" s="23"/>
      <c r="F36" s="24">
        <f>F34/SUM(F7:F9)-1</f>
        <v>0.4022212700000001</v>
      </c>
      <c r="G36" s="8"/>
      <c r="H36" s="8"/>
      <c r="I36" s="8"/>
      <c r="J36" s="8"/>
      <c r="K36" s="8"/>
      <c r="L36" s="8"/>
      <c r="M36" s="25"/>
    </row>
    <row r="38" spans="1:13" ht="12.75">
      <c r="A38" s="3" t="s">
        <v>732</v>
      </c>
      <c r="F38" s="18"/>
      <c r="G38" s="3" t="s">
        <v>733</v>
      </c>
      <c r="H38" s="3" t="s">
        <v>734</v>
      </c>
      <c r="I38" s="3" t="s">
        <v>735</v>
      </c>
      <c r="J38" s="3" t="s">
        <v>643</v>
      </c>
      <c r="M38" s="18"/>
    </row>
    <row r="39" spans="6:13" ht="12.75">
      <c r="F39" s="18"/>
      <c r="M39" s="18"/>
    </row>
    <row r="40" spans="2:13" ht="12.75">
      <c r="B40" t="s">
        <v>736</v>
      </c>
      <c r="F40" s="18">
        <v>100000</v>
      </c>
      <c r="M40" s="18"/>
    </row>
    <row r="41" spans="2:13" ht="12.75">
      <c r="B41" t="s">
        <v>720</v>
      </c>
      <c r="E41" s="14">
        <v>0.175</v>
      </c>
      <c r="F41" s="18">
        <f>F40*E41</f>
        <v>17500</v>
      </c>
      <c r="L41" s="14"/>
      <c r="M41" s="18"/>
    </row>
    <row r="42" spans="6:13" ht="12.75">
      <c r="F42" s="18"/>
      <c r="L42" s="14"/>
      <c r="M42" s="18"/>
    </row>
    <row r="43" spans="2:13" ht="12.75">
      <c r="B43" t="s">
        <v>699</v>
      </c>
      <c r="F43" s="18">
        <f>SUM(F40:F42)</f>
        <v>117500</v>
      </c>
      <c r="G43" s="14">
        <v>0</v>
      </c>
      <c r="H43" s="14">
        <f>F41/F40</f>
        <v>0.175</v>
      </c>
      <c r="J43" s="14">
        <f>F41/F40</f>
        <v>0.175</v>
      </c>
      <c r="L43" s="14"/>
      <c r="M43" s="18"/>
    </row>
    <row r="44" spans="2:13" ht="12.75">
      <c r="B44" t="s">
        <v>737</v>
      </c>
      <c r="E44" s="14">
        <v>0</v>
      </c>
      <c r="F44" s="18">
        <f>F43*E44</f>
        <v>0</v>
      </c>
      <c r="L44" s="14"/>
      <c r="M44" s="18"/>
    </row>
    <row r="45" spans="2:13" ht="12.75">
      <c r="B45" t="s">
        <v>643</v>
      </c>
      <c r="F45" s="18">
        <f>SUM(F43:F44)</f>
        <v>117500</v>
      </c>
      <c r="L45" s="14"/>
      <c r="M45" s="18"/>
    </row>
    <row r="46" spans="6:13" ht="13.5" thickBot="1">
      <c r="F46" s="18"/>
      <c r="L46" s="14"/>
      <c r="M46" s="18"/>
    </row>
    <row r="47" spans="2:13" ht="13.5" thickBot="1">
      <c r="B47" s="21" t="s">
        <v>738</v>
      </c>
      <c r="C47" s="22"/>
      <c r="D47" s="22"/>
      <c r="E47" s="23"/>
      <c r="F47" s="24">
        <f>F45/F40-1</f>
        <v>0.17500000000000004</v>
      </c>
      <c r="G47" s="14">
        <v>0</v>
      </c>
      <c r="H47" s="14">
        <f>E41</f>
        <v>0.175</v>
      </c>
      <c r="I47" s="14">
        <f>F44/F40</f>
        <v>0</v>
      </c>
      <c r="J47" s="8"/>
      <c r="K47" s="8"/>
      <c r="L47" s="25"/>
      <c r="M47" s="25"/>
    </row>
    <row r="48" spans="2:13" ht="12.75">
      <c r="B48" s="8"/>
      <c r="C48" s="8"/>
      <c r="D48" s="8"/>
      <c r="E48" s="25"/>
      <c r="F48" s="25"/>
      <c r="G48" s="25"/>
      <c r="H48" s="8"/>
      <c r="I48" s="8"/>
      <c r="J48" s="8"/>
      <c r="K48" s="8"/>
      <c r="L48" s="25"/>
      <c r="M48" s="25"/>
    </row>
    <row r="49" spans="2:13" ht="12.75">
      <c r="B49" s="8"/>
      <c r="C49" s="8"/>
      <c r="D49" s="8"/>
      <c r="E49" s="25"/>
      <c r="F49" s="25"/>
      <c r="G49" s="25"/>
      <c r="H49" s="8"/>
      <c r="I49" s="8"/>
      <c r="J49" s="8"/>
      <c r="K49" s="8"/>
      <c r="L49" s="25"/>
      <c r="M49" s="25"/>
    </row>
    <row r="50" spans="1:13" ht="12.75">
      <c r="A50" s="3" t="s">
        <v>739</v>
      </c>
      <c r="F50" s="18"/>
      <c r="G50" s="14"/>
      <c r="H50" s="3"/>
      <c r="M50" s="18"/>
    </row>
    <row r="51" spans="6:13" ht="12.75">
      <c r="F51" s="18"/>
      <c r="G51" s="14"/>
      <c r="M51" s="18"/>
    </row>
    <row r="52" spans="2:13" ht="12.75">
      <c r="B52" t="s">
        <v>736</v>
      </c>
      <c r="F52" s="18">
        <v>100000</v>
      </c>
      <c r="G52" s="14"/>
      <c r="M52" s="18"/>
    </row>
    <row r="53" spans="2:13" ht="12.75">
      <c r="B53" t="s">
        <v>720</v>
      </c>
      <c r="E53" s="14">
        <v>0.12</v>
      </c>
      <c r="F53" s="18">
        <f>F52*E53</f>
        <v>12000</v>
      </c>
      <c r="G53" s="14"/>
      <c r="L53" s="14"/>
      <c r="M53" s="18"/>
    </row>
    <row r="54" spans="6:13" ht="12.75">
      <c r="F54" s="18"/>
      <c r="G54" s="14"/>
      <c r="L54" s="14"/>
      <c r="M54" s="18"/>
    </row>
    <row r="55" spans="2:13" ht="12.75">
      <c r="B55" t="s">
        <v>699</v>
      </c>
      <c r="F55" s="18">
        <f>SUM(F52:F54)</f>
        <v>112000</v>
      </c>
      <c r="G55" s="14">
        <v>0</v>
      </c>
      <c r="H55" s="14">
        <f>F53/F52</f>
        <v>0.12</v>
      </c>
      <c r="J55" s="14">
        <f>F53/F52</f>
        <v>0.12</v>
      </c>
      <c r="L55" s="14"/>
      <c r="M55" s="18"/>
    </row>
    <row r="56" spans="2:13" ht="12.75">
      <c r="B56" t="s">
        <v>737</v>
      </c>
      <c r="E56" s="14">
        <v>0</v>
      </c>
      <c r="F56" s="18">
        <f>F55*E56</f>
        <v>0</v>
      </c>
      <c r="G56" s="14"/>
      <c r="L56" s="14"/>
      <c r="M56" s="18"/>
    </row>
    <row r="57" spans="2:13" ht="12.75">
      <c r="B57" t="s">
        <v>643</v>
      </c>
      <c r="F57" s="18">
        <f>SUM(F55:F56)</f>
        <v>112000</v>
      </c>
      <c r="G57" s="14"/>
      <c r="L57" s="14"/>
      <c r="M57" s="18"/>
    </row>
    <row r="58" spans="6:13" ht="13.5" thickBot="1">
      <c r="F58" s="18"/>
      <c r="G58" s="14"/>
      <c r="L58" s="14"/>
      <c r="M58" s="18"/>
    </row>
    <row r="59" spans="2:13" ht="13.5" thickBot="1">
      <c r="B59" s="21" t="s">
        <v>738</v>
      </c>
      <c r="C59" s="22"/>
      <c r="D59" s="22"/>
      <c r="E59" s="23"/>
      <c r="F59" s="24">
        <f>F57/F52-1</f>
        <v>0.1200000000000001</v>
      </c>
      <c r="G59" s="26">
        <v>0</v>
      </c>
      <c r="H59" s="26">
        <f>E53</f>
        <v>0.12</v>
      </c>
      <c r="I59" s="10">
        <f>F56/F52</f>
        <v>0</v>
      </c>
      <c r="J59" s="8"/>
      <c r="K59" s="8"/>
      <c r="L59" s="25"/>
      <c r="M59" s="25"/>
    </row>
    <row r="60" spans="2:13" ht="12.75">
      <c r="B60" s="8"/>
      <c r="C60" s="8"/>
      <c r="D60" s="8"/>
      <c r="E60" s="25"/>
      <c r="F60" s="25"/>
      <c r="G60" s="8"/>
      <c r="H60" s="8"/>
      <c r="I60" s="8"/>
      <c r="J60" s="8"/>
      <c r="K60" s="8"/>
      <c r="L60" s="25"/>
      <c r="M60" s="25"/>
    </row>
    <row r="61" spans="6:12" ht="12.75">
      <c r="F61" s="18"/>
      <c r="L61" s="14"/>
    </row>
    <row r="62" spans="1:13" ht="12.75">
      <c r="A62" s="3" t="s">
        <v>740</v>
      </c>
      <c r="F62" s="18"/>
      <c r="H62" s="3"/>
      <c r="L62" s="14"/>
      <c r="M62" s="18"/>
    </row>
    <row r="63" spans="6:13" ht="12.75">
      <c r="F63" s="18"/>
      <c r="L63" s="14"/>
      <c r="M63" s="18"/>
    </row>
    <row r="64" spans="2:13" ht="12.75">
      <c r="B64" t="s">
        <v>741</v>
      </c>
      <c r="F64" s="18">
        <v>100000</v>
      </c>
      <c r="L64" s="14"/>
      <c r="M64" s="18"/>
    </row>
    <row r="65" spans="2:13" ht="12.75">
      <c r="B65" t="s">
        <v>742</v>
      </c>
      <c r="E65" s="14">
        <v>0.07</v>
      </c>
      <c r="F65" s="18">
        <f>F64*E65</f>
        <v>7000.000000000001</v>
      </c>
      <c r="G65" s="14"/>
      <c r="L65" s="14"/>
      <c r="M65" s="18"/>
    </row>
    <row r="66" spans="2:13" ht="12.75">
      <c r="B66" t="s">
        <v>720</v>
      </c>
      <c r="E66" s="14">
        <v>0.175</v>
      </c>
      <c r="F66" s="18">
        <f>E66*F64</f>
        <v>17500</v>
      </c>
      <c r="L66" s="14"/>
      <c r="M66" s="18"/>
    </row>
    <row r="67" spans="2:13" ht="12.75">
      <c r="B67" t="s">
        <v>743</v>
      </c>
      <c r="E67" s="14">
        <v>0.175</v>
      </c>
      <c r="F67" s="18">
        <f>E67*F65</f>
        <v>1225</v>
      </c>
      <c r="L67" s="14"/>
      <c r="M67" s="18"/>
    </row>
    <row r="68" spans="6:13" ht="12.75">
      <c r="F68" s="18"/>
      <c r="L68" s="14"/>
      <c r="M68" s="18"/>
    </row>
    <row r="69" spans="2:13" ht="12.75">
      <c r="B69" t="s">
        <v>699</v>
      </c>
      <c r="F69" s="18">
        <f>SUM(F64:F68)</f>
        <v>125725</v>
      </c>
      <c r="G69" s="14">
        <f>E65</f>
        <v>0.07</v>
      </c>
      <c r="H69" s="14">
        <f>(F69-F64-F65)/F64</f>
        <v>0.18725</v>
      </c>
      <c r="J69" s="14">
        <f>F69/F64-1</f>
        <v>0.25725</v>
      </c>
      <c r="L69" s="14"/>
      <c r="M69" s="18"/>
    </row>
    <row r="70" spans="2:13" ht="12.75">
      <c r="B70" t="s">
        <v>737</v>
      </c>
      <c r="E70" s="14">
        <v>0</v>
      </c>
      <c r="F70" s="18">
        <f>F69*E70</f>
        <v>0</v>
      </c>
      <c r="L70" s="14"/>
      <c r="M70" s="18"/>
    </row>
    <row r="71" spans="2:13" ht="12.75">
      <c r="B71" t="s">
        <v>643</v>
      </c>
      <c r="F71" s="18">
        <f>SUM(F69:F70)</f>
        <v>125725</v>
      </c>
      <c r="L71" s="14"/>
      <c r="M71" s="18"/>
    </row>
    <row r="72" spans="6:13" ht="13.5" thickBot="1">
      <c r="F72" s="18"/>
      <c r="L72" s="14"/>
      <c r="M72" s="18"/>
    </row>
    <row r="73" spans="2:13" ht="13.5" thickBot="1">
      <c r="B73" s="21" t="s">
        <v>744</v>
      </c>
      <c r="C73" s="22"/>
      <c r="D73" s="22"/>
      <c r="E73" s="23"/>
      <c r="F73" s="24">
        <f>F71/F64-1</f>
        <v>0.25725</v>
      </c>
      <c r="G73" s="8"/>
      <c r="H73" s="8"/>
      <c r="I73" s="14">
        <f>F70/F64</f>
        <v>0</v>
      </c>
      <c r="J73" s="8"/>
      <c r="K73" s="8"/>
      <c r="L73" s="25"/>
      <c r="M73" s="25"/>
    </row>
    <row r="74" spans="6:12" ht="12.75">
      <c r="F74" s="18"/>
      <c r="L74" s="14"/>
    </row>
    <row r="75" spans="1:13" ht="12.75">
      <c r="A75" s="3" t="s">
        <v>745</v>
      </c>
      <c r="F75" s="18"/>
      <c r="H75" s="3"/>
      <c r="L75" s="14"/>
      <c r="M75" s="18"/>
    </row>
    <row r="76" spans="6:13" ht="12.75">
      <c r="F76" s="18"/>
      <c r="L76" s="14"/>
      <c r="M76" s="18"/>
    </row>
    <row r="77" spans="2:13" ht="12.75">
      <c r="B77" t="s">
        <v>741</v>
      </c>
      <c r="F77" s="18">
        <v>100000</v>
      </c>
      <c r="L77" s="14"/>
      <c r="M77" s="18"/>
    </row>
    <row r="78" spans="2:13" ht="12.75">
      <c r="B78" t="s">
        <v>742</v>
      </c>
      <c r="E78" s="14">
        <v>0.07</v>
      </c>
      <c r="F78" s="18">
        <f>F77*E78</f>
        <v>7000.000000000001</v>
      </c>
      <c r="L78" s="14"/>
      <c r="M78" s="18"/>
    </row>
    <row r="79" spans="2:13" ht="12.75">
      <c r="B79" t="s">
        <v>746</v>
      </c>
      <c r="E79" s="14">
        <v>0.055</v>
      </c>
      <c r="F79" s="18">
        <f>E79*F77</f>
        <v>5500</v>
      </c>
      <c r="H79" s="5"/>
      <c r="L79" s="14"/>
      <c r="M79" s="18"/>
    </row>
    <row r="80" spans="2:13" ht="12.75">
      <c r="B80" t="s">
        <v>743</v>
      </c>
      <c r="E80" s="14">
        <v>0.175</v>
      </c>
      <c r="F80" s="18">
        <f>E80*F78</f>
        <v>1225</v>
      </c>
      <c r="L80" s="14"/>
      <c r="M80" s="18"/>
    </row>
    <row r="81" spans="6:13" ht="12.75">
      <c r="F81" s="18"/>
      <c r="M81" s="18"/>
    </row>
    <row r="82" spans="2:13" ht="12.75">
      <c r="B82" t="s">
        <v>643</v>
      </c>
      <c r="F82" s="18">
        <f>SUM(F77:F81)</f>
        <v>113725</v>
      </c>
      <c r="G82" s="14">
        <f>E78</f>
        <v>0.07</v>
      </c>
      <c r="H82" s="14">
        <f>(F82-F77-F78)/F77</f>
        <v>0.06724999999999999</v>
      </c>
      <c r="I82" s="14"/>
      <c r="J82" s="14">
        <f>F82/F77-1</f>
        <v>0.1372500000000001</v>
      </c>
      <c r="M82" s="18"/>
    </row>
    <row r="83" spans="2:13" ht="12.75">
      <c r="B83" t="s">
        <v>737</v>
      </c>
      <c r="E83" s="14">
        <v>0</v>
      </c>
      <c r="F83" s="18">
        <f>F82*E83</f>
        <v>0</v>
      </c>
      <c r="M83" s="18"/>
    </row>
    <row r="84" spans="6:13" ht="12.75">
      <c r="F84" s="18">
        <f>SUM(F82:F83)</f>
        <v>113725</v>
      </c>
      <c r="M84" s="18"/>
    </row>
    <row r="85" spans="6:13" ht="13.5" thickBot="1">
      <c r="F85" s="18"/>
      <c r="M85" s="18"/>
    </row>
    <row r="86" spans="2:13" ht="13.5" thickBot="1">
      <c r="B86" s="21" t="s">
        <v>744</v>
      </c>
      <c r="C86" s="22"/>
      <c r="D86" s="22"/>
      <c r="E86" s="23"/>
      <c r="F86" s="24">
        <f>F84/F77-1</f>
        <v>0.1372500000000001</v>
      </c>
      <c r="G86" s="14">
        <f>E78</f>
        <v>0.07</v>
      </c>
      <c r="H86" s="14">
        <f>SUM(F79:F80)/F77</f>
        <v>0.06725</v>
      </c>
      <c r="I86" s="14">
        <f>F83/F77</f>
        <v>0</v>
      </c>
      <c r="J86" s="8"/>
      <c r="K86" s="8"/>
      <c r="L86" s="8"/>
      <c r="M86" s="25"/>
    </row>
    <row r="87" spans="6:13" ht="12.75">
      <c r="F87" s="14"/>
      <c r="M87" s="14"/>
    </row>
    <row r="88" spans="6:13" ht="12.75">
      <c r="F88" s="14"/>
      <c r="M88" s="14"/>
    </row>
    <row r="89" spans="1:13" ht="12.75">
      <c r="A89" s="3" t="s">
        <v>747</v>
      </c>
      <c r="F89" s="18"/>
      <c r="H89" s="3"/>
      <c r="L89" s="14"/>
      <c r="M89" s="18"/>
    </row>
    <row r="90" spans="6:13" ht="12.75">
      <c r="F90" s="18"/>
      <c r="L90" s="14"/>
      <c r="M90" s="18"/>
    </row>
    <row r="91" spans="2:13" ht="12.75">
      <c r="B91" t="s">
        <v>741</v>
      </c>
      <c r="F91" s="18">
        <v>600000</v>
      </c>
      <c r="L91" s="14"/>
      <c r="M91" s="18"/>
    </row>
    <row r="92" spans="2:13" ht="12.75">
      <c r="B92" t="s">
        <v>748</v>
      </c>
      <c r="E92" s="14" t="s">
        <v>749</v>
      </c>
      <c r="F92" s="18">
        <f>600000*0.065</f>
        <v>39000</v>
      </c>
      <c r="L92" s="14"/>
      <c r="M92" s="18"/>
    </row>
    <row r="93" spans="2:13" ht="12.75">
      <c r="B93" t="s">
        <v>750</v>
      </c>
      <c r="E93" s="14" t="s">
        <v>749</v>
      </c>
      <c r="F93" s="18">
        <v>48000</v>
      </c>
      <c r="H93" s="5"/>
      <c r="L93" s="14"/>
      <c r="M93" s="18"/>
    </row>
    <row r="94" spans="2:13" ht="12.75">
      <c r="B94" t="s">
        <v>743</v>
      </c>
      <c r="E94" s="14">
        <v>0.175</v>
      </c>
      <c r="F94" s="18">
        <f>E94*F92</f>
        <v>6825</v>
      </c>
      <c r="L94" s="14"/>
      <c r="M94" s="18"/>
    </row>
    <row r="95" spans="6:13" ht="12.75">
      <c r="F95" s="18"/>
      <c r="M95" s="18"/>
    </row>
    <row r="96" spans="2:13" ht="12.75">
      <c r="B96" t="s">
        <v>699</v>
      </c>
      <c r="F96" s="18">
        <f>SUM(F91:F95)</f>
        <v>693825</v>
      </c>
      <c r="M96" s="18"/>
    </row>
    <row r="97" spans="2:13" ht="12.75">
      <c r="B97" t="s">
        <v>737</v>
      </c>
      <c r="E97" s="14">
        <v>0</v>
      </c>
      <c r="F97" s="18">
        <f>F96*E97</f>
        <v>0</v>
      </c>
      <c r="M97" s="18"/>
    </row>
    <row r="98" spans="2:13" ht="12.75">
      <c r="B98" t="s">
        <v>643</v>
      </c>
      <c r="F98" s="18">
        <f>SUM(F96:F97)</f>
        <v>693825</v>
      </c>
      <c r="M98" s="18"/>
    </row>
    <row r="99" spans="6:13" ht="13.5" thickBot="1">
      <c r="F99" s="18"/>
      <c r="M99" s="18"/>
    </row>
    <row r="100" spans="2:13" ht="13.5" thickBot="1">
      <c r="B100" s="21" t="s">
        <v>751</v>
      </c>
      <c r="C100" s="22"/>
      <c r="D100" s="22"/>
      <c r="E100" s="23"/>
      <c r="F100" s="24">
        <f>F98/F91-1</f>
        <v>0.15637499999999993</v>
      </c>
      <c r="G100" s="8"/>
      <c r="H100" s="8"/>
      <c r="I100" s="8"/>
      <c r="J100" s="8"/>
      <c r="K100" s="8"/>
      <c r="L100" s="8"/>
      <c r="M100" s="25"/>
    </row>
    <row r="101" spans="6:13" ht="12.75">
      <c r="F101" s="19"/>
      <c r="M101" s="19"/>
    </row>
    <row r="102" ht="12.75">
      <c r="F102" s="18"/>
    </row>
    <row r="103" spans="1:13" ht="12.75">
      <c r="A103" s="3" t="s">
        <v>752</v>
      </c>
      <c r="F103" s="18"/>
      <c r="H103" s="3"/>
      <c r="M103" s="18"/>
    </row>
    <row r="104" spans="6:13" ht="12.75">
      <c r="F104" s="18"/>
      <c r="M104" s="18"/>
    </row>
    <row r="105" spans="2:13" ht="12.75">
      <c r="B105" t="s">
        <v>741</v>
      </c>
      <c r="F105" s="18">
        <v>100000</v>
      </c>
      <c r="M105" s="18"/>
    </row>
    <row r="106" spans="2:13" ht="12.75">
      <c r="B106" t="s">
        <v>742</v>
      </c>
      <c r="E106" s="14">
        <v>0.07</v>
      </c>
      <c r="F106" s="18">
        <f>F105*E106</f>
        <v>7000.000000000001</v>
      </c>
      <c r="L106" s="14"/>
      <c r="M106" s="18"/>
    </row>
    <row r="107" spans="2:13" ht="12.75">
      <c r="B107" t="s">
        <v>743</v>
      </c>
      <c r="E107" s="14">
        <v>0.175</v>
      </c>
      <c r="F107" s="18">
        <f>E107*F106</f>
        <v>1225</v>
      </c>
      <c r="L107" s="14"/>
      <c r="M107" s="18"/>
    </row>
    <row r="108" spans="6:13" ht="12.75">
      <c r="F108" s="18"/>
      <c r="M108" s="18"/>
    </row>
    <row r="109" spans="2:13" ht="12.75">
      <c r="B109" t="s">
        <v>699</v>
      </c>
      <c r="F109" s="18">
        <f>SUM(F105:F108)</f>
        <v>108225</v>
      </c>
      <c r="M109" s="18"/>
    </row>
    <row r="110" spans="2:13" ht="12.75">
      <c r="B110" t="s">
        <v>737</v>
      </c>
      <c r="E110" s="14">
        <v>0</v>
      </c>
      <c r="F110" s="18">
        <f>F109*E110</f>
        <v>0</v>
      </c>
      <c r="M110" s="18"/>
    </row>
    <row r="111" spans="2:13" ht="12.75">
      <c r="B111" t="s">
        <v>643</v>
      </c>
      <c r="F111" s="18">
        <f>SUM(F109:F110)</f>
        <v>108225</v>
      </c>
      <c r="M111" s="18"/>
    </row>
    <row r="112" spans="6:13" ht="13.5" thickBot="1">
      <c r="F112" s="18"/>
      <c r="M112" s="18"/>
    </row>
    <row r="113" spans="2:13" ht="13.5" thickBot="1">
      <c r="B113" s="21" t="s">
        <v>744</v>
      </c>
      <c r="C113" s="27"/>
      <c r="D113" s="27"/>
      <c r="E113" s="28"/>
      <c r="F113" s="24">
        <f>F111/F105-1</f>
        <v>0.08224999999999993</v>
      </c>
      <c r="I113" s="8"/>
      <c r="M113" s="25"/>
    </row>
    <row r="115" spans="1:13" ht="12.75">
      <c r="A115" s="3" t="s">
        <v>753</v>
      </c>
      <c r="F115" s="18"/>
      <c r="H115" s="3"/>
      <c r="M115" s="18"/>
    </row>
    <row r="116" spans="6:13" ht="12.75">
      <c r="F116" s="18"/>
      <c r="M116" s="18"/>
    </row>
    <row r="117" spans="2:13" ht="12.75">
      <c r="B117" t="s">
        <v>741</v>
      </c>
      <c r="F117" s="18">
        <v>600000</v>
      </c>
      <c r="M117" s="18"/>
    </row>
    <row r="118" spans="2:13" ht="12.75">
      <c r="B118" t="s">
        <v>1286</v>
      </c>
      <c r="E118" s="14" t="s">
        <v>749</v>
      </c>
      <c r="F118" s="18">
        <f>0.07*600000</f>
        <v>42000.00000000001</v>
      </c>
      <c r="L118" s="14"/>
      <c r="M118" s="18"/>
    </row>
    <row r="119" spans="2:13" ht="12.75">
      <c r="B119" t="s">
        <v>743</v>
      </c>
      <c r="E119" s="14">
        <v>0.175</v>
      </c>
      <c r="F119" s="18">
        <f>E119*F118</f>
        <v>7350.000000000001</v>
      </c>
      <c r="L119" s="14"/>
      <c r="M119" s="18"/>
    </row>
    <row r="120" spans="6:13" ht="12.75">
      <c r="F120" s="18"/>
      <c r="M120" s="18"/>
    </row>
    <row r="121" spans="2:13" ht="12.75">
      <c r="B121" t="s">
        <v>699</v>
      </c>
      <c r="F121" s="18">
        <f>SUM(F117:F120)</f>
        <v>649350</v>
      </c>
      <c r="M121" s="18"/>
    </row>
    <row r="122" spans="2:13" ht="12.75">
      <c r="B122" t="s">
        <v>737</v>
      </c>
      <c r="E122" s="14">
        <v>0</v>
      </c>
      <c r="F122" s="18">
        <f>F121*E122</f>
        <v>0</v>
      </c>
      <c r="M122" s="18"/>
    </row>
    <row r="123" spans="2:13" ht="12.75">
      <c r="B123" t="s">
        <v>643</v>
      </c>
      <c r="F123" s="18">
        <f>SUM(F121:F122)</f>
        <v>649350</v>
      </c>
      <c r="M123" s="18"/>
    </row>
    <row r="124" spans="6:13" ht="13.5" thickBot="1">
      <c r="F124" s="18"/>
      <c r="M124" s="18"/>
    </row>
    <row r="125" spans="2:13" ht="13.5" thickBot="1">
      <c r="B125" s="21" t="s">
        <v>751</v>
      </c>
      <c r="C125" s="27"/>
      <c r="D125" s="27"/>
      <c r="E125" s="28"/>
      <c r="F125" s="24">
        <f>F123/F117-1</f>
        <v>0.08224999999999993</v>
      </c>
      <c r="I125" s="8"/>
      <c r="M125" s="25"/>
    </row>
    <row r="127" spans="2:7" ht="12.75">
      <c r="B127" s="8" t="s">
        <v>754</v>
      </c>
      <c r="F127" s="8" t="s">
        <v>878</v>
      </c>
      <c r="G127" s="8" t="s">
        <v>878</v>
      </c>
    </row>
    <row r="128" spans="3:8" ht="12.75">
      <c r="C128" s="9" t="s">
        <v>755</v>
      </c>
      <c r="F128" s="9" t="s">
        <v>755</v>
      </c>
      <c r="G128" s="9" t="s">
        <v>947</v>
      </c>
      <c r="H128" s="9" t="s">
        <v>1240</v>
      </c>
    </row>
    <row r="129" spans="2:8" ht="12.75">
      <c r="B129" t="s">
        <v>756</v>
      </c>
      <c r="C129" s="244">
        <v>52.5</v>
      </c>
      <c r="D129" t="s">
        <v>757</v>
      </c>
      <c r="F129" s="18">
        <f aca="true" t="shared" si="0" ref="F129:F134">C129*(1+$F$36)</f>
        <v>73.616616675</v>
      </c>
      <c r="G129" s="18">
        <f aca="true" t="shared" si="1" ref="G129:G134">F129*$D$144</f>
        <v>129197.162264625</v>
      </c>
      <c r="H129" s="18">
        <f aca="true" t="shared" si="2" ref="H129:H134">G129*0.25</f>
        <v>32299.29056615625</v>
      </c>
    </row>
    <row r="130" spans="2:8" ht="12.75">
      <c r="B130" t="s">
        <v>758</v>
      </c>
      <c r="C130" s="244">
        <v>67.15</v>
      </c>
      <c r="D130" t="s">
        <v>757</v>
      </c>
      <c r="E130" s="25"/>
      <c r="F130" s="18">
        <f t="shared" si="0"/>
        <v>94.15915828050001</v>
      </c>
      <c r="G130" s="18">
        <f t="shared" si="1"/>
        <v>165249.3227822775</v>
      </c>
      <c r="H130" s="18">
        <f t="shared" si="2"/>
        <v>41312.33069556938</v>
      </c>
    </row>
    <row r="131" spans="2:8" ht="12.75">
      <c r="B131" t="s">
        <v>759</v>
      </c>
      <c r="C131" s="245">
        <v>56.25</v>
      </c>
      <c r="D131" t="s">
        <v>757</v>
      </c>
      <c r="E131" s="30"/>
      <c r="F131" s="18">
        <f t="shared" si="0"/>
        <v>78.8749464375</v>
      </c>
      <c r="G131" s="18">
        <f t="shared" si="1"/>
        <v>138425.5309978125</v>
      </c>
      <c r="H131" s="18">
        <f t="shared" si="2"/>
        <v>34606.38274945312</v>
      </c>
    </row>
    <row r="132" spans="2:10" ht="12.75">
      <c r="B132" t="s">
        <v>760</v>
      </c>
      <c r="C132" s="245">
        <v>89.65</v>
      </c>
      <c r="D132" t="s">
        <v>757</v>
      </c>
      <c r="E132" s="30"/>
      <c r="F132" s="18">
        <f t="shared" si="0"/>
        <v>125.70913685550002</v>
      </c>
      <c r="G132" s="18">
        <f t="shared" si="1"/>
        <v>220619.53518140255</v>
      </c>
      <c r="H132" s="18">
        <f t="shared" si="2"/>
        <v>55154.88379535064</v>
      </c>
      <c r="I132" t="s">
        <v>952</v>
      </c>
      <c r="J132" s="18">
        <f>(G132+G130)/2</f>
        <v>192934.42898184003</v>
      </c>
    </row>
    <row r="133" spans="2:8" ht="12.75">
      <c r="B133" s="75" t="s">
        <v>1287</v>
      </c>
      <c r="C133" s="76">
        <v>47.76</v>
      </c>
      <c r="D133" t="s">
        <v>757</v>
      </c>
      <c r="E133" s="30"/>
      <c r="F133" s="18">
        <f t="shared" si="0"/>
        <v>66.9700878552</v>
      </c>
      <c r="G133" s="18">
        <f t="shared" si="1"/>
        <v>117532.50418587601</v>
      </c>
      <c r="H133" s="18">
        <f t="shared" si="2"/>
        <v>29383.126046469002</v>
      </c>
    </row>
    <row r="134" spans="2:8" ht="12.75">
      <c r="B134" s="75" t="s">
        <v>1288</v>
      </c>
      <c r="C134" s="76">
        <v>106.58</v>
      </c>
      <c r="D134" t="s">
        <v>757</v>
      </c>
      <c r="E134" s="30"/>
      <c r="F134" s="18">
        <f t="shared" si="0"/>
        <v>149.4487429566</v>
      </c>
      <c r="G134" s="18">
        <f t="shared" si="1"/>
        <v>262282.543888833</v>
      </c>
      <c r="H134" s="18">
        <f t="shared" si="2"/>
        <v>65570.63597220826</v>
      </c>
    </row>
    <row r="135" spans="2:5" ht="12.75">
      <c r="B135" t="s">
        <v>1289</v>
      </c>
      <c r="D135" s="31"/>
      <c r="E135" s="30"/>
    </row>
    <row r="136" ht="12.75">
      <c r="B136" s="8" t="s">
        <v>761</v>
      </c>
    </row>
    <row r="138" spans="2:7" ht="12.75">
      <c r="B138" t="s">
        <v>762</v>
      </c>
      <c r="C138" s="246">
        <v>99.4</v>
      </c>
      <c r="D138" t="s">
        <v>757</v>
      </c>
      <c r="F138" s="18">
        <f>C138*(1+$F$59)</f>
        <v>111.32800000000002</v>
      </c>
      <c r="G138" s="18">
        <f>F138*$D$144</f>
        <v>195380.64000000004</v>
      </c>
    </row>
    <row r="139" spans="2:7" ht="12.75">
      <c r="B139" t="s">
        <v>763</v>
      </c>
      <c r="C139" s="246">
        <v>83.25</v>
      </c>
      <c r="D139" t="s">
        <v>757</v>
      </c>
      <c r="F139" s="18">
        <f>C139*(1+$F$59)</f>
        <v>93.24000000000001</v>
      </c>
      <c r="G139" s="18">
        <f>F139*$D$144</f>
        <v>163636.2</v>
      </c>
    </row>
    <row r="140" spans="2:7" ht="12.75">
      <c r="B140" t="s">
        <v>764</v>
      </c>
      <c r="C140" s="246">
        <v>101</v>
      </c>
      <c r="F140" s="18">
        <f>C140*(1+$F$59)</f>
        <v>113.12</v>
      </c>
      <c r="G140" s="18">
        <f>F140*$D$144</f>
        <v>198525.6</v>
      </c>
    </row>
    <row r="141" spans="2:7" ht="12.75">
      <c r="B141" t="s">
        <v>765</v>
      </c>
      <c r="C141" s="246">
        <v>67.05</v>
      </c>
      <c r="D141" t="s">
        <v>757</v>
      </c>
      <c r="F141" s="18">
        <f>C141*(1+$F$59)</f>
        <v>75.096</v>
      </c>
      <c r="G141" s="18">
        <f>F141*$D$144</f>
        <v>131793.48</v>
      </c>
    </row>
    <row r="142" spans="2:7" ht="12.75">
      <c r="B142" t="s">
        <v>766</v>
      </c>
      <c r="C142" s="246">
        <v>55</v>
      </c>
      <c r="D142" t="s">
        <v>757</v>
      </c>
      <c r="F142" s="18">
        <f>C142*(1+$F$59)</f>
        <v>61.60000000000001</v>
      </c>
      <c r="G142" s="18">
        <f>F142*$D$144</f>
        <v>108108.00000000001</v>
      </c>
    </row>
    <row r="144" spans="2:4" ht="12.75">
      <c r="B144" s="32" t="s">
        <v>767</v>
      </c>
      <c r="D144" s="33">
        <v>1755</v>
      </c>
    </row>
  </sheetData>
  <printOptions gridLines="1"/>
  <pageMargins left="0.75" right="0.75" top="1" bottom="1" header="0.5" footer="0.5"/>
  <pageSetup fitToHeight="3" fitToWidth="1" horizontalDpi="300" verticalDpi="300" orientation="portrait" scale="70"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F55"/>
  <sheetViews>
    <sheetView workbookViewId="0" topLeftCell="A14">
      <selection activeCell="C44" sqref="C44"/>
    </sheetView>
  </sheetViews>
  <sheetFormatPr defaultColWidth="9.140625" defaultRowHeight="12.75"/>
  <cols>
    <col min="1" max="1" width="13.00390625" style="0" customWidth="1"/>
    <col min="2" max="2" width="34.421875" style="0" bestFit="1" customWidth="1"/>
    <col min="3" max="3" width="5.28125" style="0" bestFit="1" customWidth="1"/>
    <col min="4" max="4" width="12.57421875" style="0" bestFit="1" customWidth="1"/>
    <col min="5" max="5" width="9.28125" style="0" bestFit="1" customWidth="1"/>
  </cols>
  <sheetData>
    <row r="1" spans="1:5" ht="15.75">
      <c r="A1" s="349" t="s">
        <v>396</v>
      </c>
      <c r="B1" s="349"/>
      <c r="C1" s="349"/>
      <c r="D1" s="349"/>
      <c r="E1" s="349"/>
    </row>
    <row r="2" spans="1:5" ht="15.75">
      <c r="A2" s="349" t="s">
        <v>487</v>
      </c>
      <c r="B2" s="349"/>
      <c r="C2" s="349"/>
      <c r="D2" s="349"/>
      <c r="E2" s="349"/>
    </row>
    <row r="4" spans="1:5" ht="12.75">
      <c r="A4" s="65" t="s">
        <v>397</v>
      </c>
      <c r="B4" s="65"/>
      <c r="C4" s="65" t="s">
        <v>398</v>
      </c>
      <c r="D4" s="65" t="s">
        <v>707</v>
      </c>
      <c r="E4" s="65" t="s">
        <v>399</v>
      </c>
    </row>
    <row r="6" ht="12.75">
      <c r="A6" t="s">
        <v>642</v>
      </c>
    </row>
    <row r="7" spans="2:5" ht="12.75">
      <c r="B7" t="s">
        <v>825</v>
      </c>
      <c r="C7" t="s">
        <v>400</v>
      </c>
      <c r="D7" s="190">
        <v>89.23</v>
      </c>
      <c r="E7" s="14">
        <v>0.3947</v>
      </c>
    </row>
    <row r="8" spans="2:5" ht="12.75">
      <c r="B8" t="s">
        <v>401</v>
      </c>
      <c r="C8" t="s">
        <v>402</v>
      </c>
      <c r="D8" s="190">
        <v>66.86</v>
      </c>
      <c r="E8" s="14">
        <v>0.3947</v>
      </c>
    </row>
    <row r="9" spans="2:5" ht="12.75">
      <c r="B9" t="s">
        <v>403</v>
      </c>
      <c r="C9" t="s">
        <v>404</v>
      </c>
      <c r="D9" s="190">
        <v>66.86</v>
      </c>
      <c r="E9" s="14">
        <v>0.3947</v>
      </c>
    </row>
    <row r="10" spans="2:5" ht="12.75">
      <c r="B10" t="s">
        <v>405</v>
      </c>
      <c r="C10" t="s">
        <v>406</v>
      </c>
      <c r="D10" s="190">
        <v>55.96</v>
      </c>
      <c r="E10" s="14">
        <v>0.3947</v>
      </c>
    </row>
    <row r="11" spans="2:5" ht="12.75">
      <c r="B11" t="s">
        <v>407</v>
      </c>
      <c r="C11" t="s">
        <v>408</v>
      </c>
      <c r="D11" s="190">
        <v>55.96</v>
      </c>
      <c r="E11" s="14">
        <v>0.3947</v>
      </c>
    </row>
    <row r="12" spans="2:5" ht="12.75">
      <c r="B12" t="s">
        <v>409</v>
      </c>
      <c r="C12" t="s">
        <v>410</v>
      </c>
      <c r="D12" s="190">
        <v>69.28</v>
      </c>
      <c r="E12" s="14">
        <v>0.3947</v>
      </c>
    </row>
    <row r="13" spans="2:5" ht="12.75">
      <c r="B13" t="s">
        <v>411</v>
      </c>
      <c r="C13" t="s">
        <v>412</v>
      </c>
      <c r="D13" s="190">
        <v>47.54</v>
      </c>
      <c r="E13" s="14">
        <v>0.3947</v>
      </c>
    </row>
    <row r="14" spans="2:5" ht="12.75">
      <c r="B14" t="s">
        <v>413</v>
      </c>
      <c r="C14" t="s">
        <v>414</v>
      </c>
      <c r="D14" s="190">
        <v>106.07</v>
      </c>
      <c r="E14" s="14">
        <v>0.3947</v>
      </c>
    </row>
    <row r="15" spans="2:5" ht="12.75">
      <c r="B15" t="s">
        <v>415</v>
      </c>
      <c r="C15" t="s">
        <v>416</v>
      </c>
      <c r="D15" s="190">
        <v>88.86</v>
      </c>
      <c r="E15" s="14">
        <v>0.3947</v>
      </c>
    </row>
    <row r="16" spans="2:5" ht="12.75">
      <c r="B16" t="s">
        <v>417</v>
      </c>
      <c r="C16" t="s">
        <v>418</v>
      </c>
      <c r="D16" s="190">
        <v>52.25</v>
      </c>
      <c r="E16" s="14">
        <v>0.3947</v>
      </c>
    </row>
    <row r="17" spans="2:5" ht="12.75">
      <c r="B17" t="s">
        <v>419</v>
      </c>
      <c r="C17" t="s">
        <v>420</v>
      </c>
      <c r="D17" s="190">
        <v>52.25</v>
      </c>
      <c r="E17" s="14">
        <v>0.3947</v>
      </c>
    </row>
    <row r="18" spans="2:5" ht="12.75">
      <c r="B18" t="s">
        <v>421</v>
      </c>
      <c r="C18" t="s">
        <v>422</v>
      </c>
      <c r="D18" s="190">
        <v>52.25</v>
      </c>
      <c r="E18" s="14">
        <v>0.3947</v>
      </c>
    </row>
    <row r="19" spans="2:5" ht="12.75">
      <c r="B19" t="s">
        <v>423</v>
      </c>
      <c r="C19" t="s">
        <v>424</v>
      </c>
      <c r="D19" s="190">
        <v>52.25</v>
      </c>
      <c r="E19" s="14">
        <v>0.3947</v>
      </c>
    </row>
    <row r="20" spans="2:5" ht="12.75">
      <c r="B20" t="s">
        <v>425</v>
      </c>
      <c r="C20" t="s">
        <v>426</v>
      </c>
      <c r="D20" s="190">
        <v>52.25</v>
      </c>
      <c r="E20" s="14">
        <v>0.3947</v>
      </c>
    </row>
    <row r="21" spans="2:5" ht="12.75">
      <c r="B21" t="s">
        <v>427</v>
      </c>
      <c r="C21" t="s">
        <v>428</v>
      </c>
      <c r="D21" s="190">
        <v>66.86</v>
      </c>
      <c r="E21" s="14">
        <v>0.3947</v>
      </c>
    </row>
    <row r="22" spans="2:5" ht="12.75">
      <c r="B22" t="s">
        <v>429</v>
      </c>
      <c r="C22" t="s">
        <v>430</v>
      </c>
      <c r="D22" s="190">
        <v>69.28</v>
      </c>
      <c r="E22" s="14">
        <v>0.3947</v>
      </c>
    </row>
    <row r="23" spans="2:5" ht="12.75">
      <c r="B23" t="s">
        <v>431</v>
      </c>
      <c r="C23" t="s">
        <v>432</v>
      </c>
      <c r="D23" s="190">
        <v>52.25</v>
      </c>
      <c r="E23" s="14">
        <v>0.3947</v>
      </c>
    </row>
    <row r="24" spans="2:5" ht="12.75">
      <c r="B24" t="s">
        <v>433</v>
      </c>
      <c r="C24" t="s">
        <v>434</v>
      </c>
      <c r="D24" s="190">
        <v>52.25</v>
      </c>
      <c r="E24" s="14">
        <v>0.3947</v>
      </c>
    </row>
    <row r="25" spans="2:5" ht="12.75">
      <c r="B25" t="s">
        <v>435</v>
      </c>
      <c r="C25" t="s">
        <v>436</v>
      </c>
      <c r="D25" s="190">
        <v>52.25</v>
      </c>
      <c r="E25" s="14">
        <v>0.3947</v>
      </c>
    </row>
    <row r="26" spans="2:5" ht="12.75">
      <c r="B26" t="s">
        <v>437</v>
      </c>
      <c r="C26" t="s">
        <v>438</v>
      </c>
      <c r="D26" s="190">
        <v>52.25</v>
      </c>
      <c r="E26" s="14">
        <v>0.3947</v>
      </c>
    </row>
    <row r="27" spans="2:5" ht="12.75">
      <c r="B27" t="s">
        <v>439</v>
      </c>
      <c r="C27" t="s">
        <v>440</v>
      </c>
      <c r="D27" s="190">
        <v>52.25</v>
      </c>
      <c r="E27" s="14">
        <v>0.3947</v>
      </c>
    </row>
    <row r="28" spans="2:5" ht="12.75">
      <c r="B28" t="s">
        <v>441</v>
      </c>
      <c r="C28" t="s">
        <v>442</v>
      </c>
      <c r="D28" s="190">
        <v>52.25</v>
      </c>
      <c r="E28" s="14">
        <v>0.3947</v>
      </c>
    </row>
    <row r="29" spans="2:5" ht="12.75">
      <c r="B29" t="s">
        <v>443</v>
      </c>
      <c r="C29" t="s">
        <v>444</v>
      </c>
      <c r="D29" s="190">
        <v>52.25</v>
      </c>
      <c r="E29" s="14">
        <v>0.3947</v>
      </c>
    </row>
    <row r="30" spans="2:5" ht="12.75">
      <c r="B30" t="s">
        <v>445</v>
      </c>
      <c r="C30" t="s">
        <v>446</v>
      </c>
      <c r="D30" s="190">
        <v>52.25</v>
      </c>
      <c r="E30" s="14">
        <v>0.3947</v>
      </c>
    </row>
    <row r="31" spans="2:5" ht="12.75">
      <c r="B31" t="s">
        <v>447</v>
      </c>
      <c r="C31" t="s">
        <v>448</v>
      </c>
      <c r="D31" s="190">
        <v>52.25</v>
      </c>
      <c r="E31" s="14">
        <v>0.3947</v>
      </c>
    </row>
    <row r="32" spans="2:5" ht="12.75">
      <c r="B32" t="s">
        <v>449</v>
      </c>
      <c r="C32" t="s">
        <v>450</v>
      </c>
      <c r="D32" s="190">
        <v>52.25</v>
      </c>
      <c r="E32" s="14">
        <v>0.3947</v>
      </c>
    </row>
    <row r="33" spans="2:5" ht="12.75">
      <c r="B33" t="s">
        <v>451</v>
      </c>
      <c r="C33" t="s">
        <v>452</v>
      </c>
      <c r="D33" s="190">
        <v>52.25</v>
      </c>
      <c r="E33" s="14">
        <v>0.3947</v>
      </c>
    </row>
    <row r="34" spans="2:5" ht="12.75">
      <c r="B34" t="s">
        <v>453</v>
      </c>
      <c r="C34" t="s">
        <v>454</v>
      </c>
      <c r="D34" s="190">
        <v>42.25</v>
      </c>
      <c r="E34" s="14">
        <v>0.3947</v>
      </c>
    </row>
    <row r="35" spans="4:5" ht="12.75">
      <c r="D35" s="190"/>
      <c r="E35" s="14"/>
    </row>
    <row r="36" spans="1:5" ht="12.75">
      <c r="A36" t="s">
        <v>455</v>
      </c>
      <c r="D36" s="190"/>
      <c r="E36" s="14"/>
    </row>
    <row r="37" spans="2:5" ht="12.75">
      <c r="B37" t="s">
        <v>456</v>
      </c>
      <c r="C37" t="s">
        <v>457</v>
      </c>
      <c r="D37" s="190">
        <v>131.05</v>
      </c>
      <c r="E37" s="14">
        <v>0.1705</v>
      </c>
    </row>
    <row r="38" spans="2:5" ht="12.75">
      <c r="B38" t="s">
        <v>458</v>
      </c>
      <c r="C38" t="s">
        <v>459</v>
      </c>
      <c r="D38" s="191" t="s">
        <v>460</v>
      </c>
      <c r="E38" s="14">
        <v>0.1705</v>
      </c>
    </row>
    <row r="39" spans="2:5" ht="12.75">
      <c r="B39" t="s">
        <v>461</v>
      </c>
      <c r="C39" t="s">
        <v>462</v>
      </c>
      <c r="D39" s="191" t="s">
        <v>460</v>
      </c>
      <c r="E39" s="14">
        <v>0.1705</v>
      </c>
    </row>
    <row r="40" spans="4:5" ht="12.75">
      <c r="D40" s="190"/>
      <c r="E40" s="14"/>
    </row>
    <row r="41" spans="1:5" ht="12.75">
      <c r="A41" t="s">
        <v>463</v>
      </c>
      <c r="D41" s="190"/>
      <c r="E41" s="14"/>
    </row>
    <row r="42" spans="2:5" ht="12.75">
      <c r="B42" t="s">
        <v>464</v>
      </c>
      <c r="C42" t="s">
        <v>465</v>
      </c>
      <c r="D42" s="190">
        <v>92.83</v>
      </c>
      <c r="E42" s="14">
        <v>0.1205</v>
      </c>
    </row>
    <row r="43" spans="2:5" ht="12.75">
      <c r="B43" t="s">
        <v>466</v>
      </c>
      <c r="C43" t="s">
        <v>467</v>
      </c>
      <c r="D43" s="190">
        <v>78.35</v>
      </c>
      <c r="E43" s="14">
        <v>0.1205</v>
      </c>
    </row>
    <row r="44" spans="2:5" ht="12.75">
      <c r="B44" t="s">
        <v>468</v>
      </c>
      <c r="C44" t="s">
        <v>469</v>
      </c>
      <c r="D44" s="190">
        <v>94.65</v>
      </c>
      <c r="E44" s="14">
        <v>0.1205</v>
      </c>
    </row>
    <row r="45" spans="2:5" ht="12.75">
      <c r="B45" t="s">
        <v>470</v>
      </c>
      <c r="C45" t="s">
        <v>471</v>
      </c>
      <c r="D45" s="190">
        <v>78.35</v>
      </c>
      <c r="E45" s="14">
        <v>0.1205</v>
      </c>
    </row>
    <row r="46" spans="2:5" ht="12.75">
      <c r="B46" t="s">
        <v>472</v>
      </c>
      <c r="C46" t="s">
        <v>469</v>
      </c>
      <c r="D46" s="190">
        <v>78.35</v>
      </c>
      <c r="E46" s="14">
        <v>0.1205</v>
      </c>
    </row>
    <row r="47" spans="2:5" ht="12.75">
      <c r="B47" t="s">
        <v>473</v>
      </c>
      <c r="C47" t="s">
        <v>474</v>
      </c>
      <c r="D47" s="190">
        <v>78.35</v>
      </c>
      <c r="E47" s="14">
        <v>0.1205</v>
      </c>
    </row>
    <row r="48" spans="4:5" ht="12.75">
      <c r="D48" s="190"/>
      <c r="E48" s="14"/>
    </row>
    <row r="49" spans="1:5" ht="12.75">
      <c r="A49" t="s">
        <v>647</v>
      </c>
      <c r="D49" s="190"/>
      <c r="E49" s="14"/>
    </row>
    <row r="50" spans="2:5" ht="12.75">
      <c r="B50" t="s">
        <v>475</v>
      </c>
      <c r="C50" t="s">
        <v>476</v>
      </c>
      <c r="D50" s="191" t="s">
        <v>477</v>
      </c>
      <c r="E50" s="14">
        <v>0.2524</v>
      </c>
    </row>
    <row r="51" spans="2:5" ht="12.75">
      <c r="B51" t="s">
        <v>478</v>
      </c>
      <c r="C51" t="s">
        <v>479</v>
      </c>
      <c r="D51" s="191" t="s">
        <v>477</v>
      </c>
      <c r="E51" s="14">
        <v>0.1319</v>
      </c>
    </row>
    <row r="52" spans="2:6" ht="12.75">
      <c r="B52" t="s">
        <v>480</v>
      </c>
      <c r="C52" t="s">
        <v>481</v>
      </c>
      <c r="D52" s="191" t="s">
        <v>477</v>
      </c>
      <c r="E52" s="14">
        <v>0.1319</v>
      </c>
      <c r="F52" t="s">
        <v>482</v>
      </c>
    </row>
    <row r="53" spans="2:5" ht="12.75">
      <c r="B53" t="s">
        <v>483</v>
      </c>
      <c r="C53" t="s">
        <v>484</v>
      </c>
      <c r="D53" s="191" t="s">
        <v>477</v>
      </c>
      <c r="E53" s="14">
        <v>0.0819</v>
      </c>
    </row>
    <row r="54" spans="4:5" ht="12.75">
      <c r="D54" s="190"/>
      <c r="E54" s="14"/>
    </row>
    <row r="55" spans="1:5" ht="12.75">
      <c r="A55" t="s">
        <v>1727</v>
      </c>
      <c r="B55" t="s">
        <v>395</v>
      </c>
      <c r="C55" t="s">
        <v>485</v>
      </c>
      <c r="D55" s="191" t="s">
        <v>486</v>
      </c>
      <c r="E55" s="14">
        <v>0.2524</v>
      </c>
    </row>
  </sheetData>
  <mergeCells count="2">
    <mergeCell ref="A1:E1"/>
    <mergeCell ref="A2:E2"/>
  </mergeCells>
  <printOptions/>
  <pageMargins left="0.75" right="0.43" top="0.18" bottom="0.17" header="0.18" footer="0.17"/>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C2:P53"/>
  <sheetViews>
    <sheetView zoomScale="75" zoomScaleNormal="75" workbookViewId="0" topLeftCell="B10">
      <selection activeCell="G45" sqref="G45"/>
    </sheetView>
  </sheetViews>
  <sheetFormatPr defaultColWidth="9.140625" defaultRowHeight="12.75"/>
  <cols>
    <col min="4" max="4" width="8.421875" style="0" customWidth="1"/>
    <col min="6" max="6" width="11.00390625" style="0" customWidth="1"/>
    <col min="9" max="9" width="12.7109375" style="0" customWidth="1"/>
    <col min="10" max="10" width="19.140625" style="0" customWidth="1"/>
    <col min="11" max="11" width="18.7109375" style="0" customWidth="1"/>
    <col min="12" max="12" width="20.140625" style="0" customWidth="1"/>
    <col min="13" max="13" width="14.140625" style="0" customWidth="1"/>
    <col min="14" max="15" width="15.57421875" style="0" customWidth="1"/>
    <col min="16" max="16" width="11.57421875" style="0" customWidth="1"/>
  </cols>
  <sheetData>
    <row r="2" ht="15.75">
      <c r="C2" s="69" t="s">
        <v>1525</v>
      </c>
    </row>
    <row r="3" spans="3:13" ht="15.75">
      <c r="C3" s="102" t="s">
        <v>1498</v>
      </c>
      <c r="J3" s="103" t="s">
        <v>1499</v>
      </c>
      <c r="K3" s="65"/>
      <c r="L3" s="103" t="s">
        <v>1500</v>
      </c>
      <c r="M3" s="65"/>
    </row>
    <row r="4" spans="8:15" ht="15.75">
      <c r="H4" s="103" t="s">
        <v>877</v>
      </c>
      <c r="I4" s="103" t="s">
        <v>1501</v>
      </c>
      <c r="J4" s="103" t="s">
        <v>1502</v>
      </c>
      <c r="K4" s="103" t="s">
        <v>1503</v>
      </c>
      <c r="L4" s="103" t="s">
        <v>1504</v>
      </c>
      <c r="M4" s="103" t="s">
        <v>951</v>
      </c>
      <c r="N4" s="103" t="s">
        <v>737</v>
      </c>
      <c r="O4" s="103" t="s">
        <v>887</v>
      </c>
    </row>
    <row r="5" spans="8:15" ht="15.75">
      <c r="H5" s="103"/>
      <c r="I5" s="103"/>
      <c r="J5" s="104">
        <f>'Labor and Indirect Rates (NSF)'!J10</f>
        <v>0.5984977705958046</v>
      </c>
      <c r="K5" s="104">
        <f>'Labor and Indirect Rates (NSF)'!H19</f>
        <v>0.1973564</v>
      </c>
      <c r="L5" s="104">
        <f>'Labor and Indirect Rates (NSF)'!H28</f>
        <v>0.20486486999999998</v>
      </c>
      <c r="M5" s="103"/>
      <c r="N5" s="105">
        <v>0</v>
      </c>
      <c r="O5" s="102"/>
    </row>
    <row r="6" spans="3:15" ht="15.75">
      <c r="C6" s="106" t="s">
        <v>825</v>
      </c>
      <c r="D6" s="106"/>
      <c r="E6" s="106"/>
      <c r="F6" s="106"/>
      <c r="G6" s="106"/>
      <c r="H6" s="107">
        <v>1</v>
      </c>
      <c r="I6" s="108">
        <f>J6*$J$5</f>
        <v>94165.09561001886</v>
      </c>
      <c r="J6" s="109">
        <f>H6*$G$45*D43</f>
        <v>157335.75</v>
      </c>
      <c r="K6" s="109">
        <f>J6*$K$5</f>
        <v>31051.217211299998</v>
      </c>
      <c r="L6" s="109">
        <f aca="true" t="shared" si="0" ref="L6:L17">J6*$L$5</f>
        <v>32232.567970102496</v>
      </c>
      <c r="M6" s="109">
        <f aca="true" t="shared" si="1" ref="M6:M17">J6+K6+L6</f>
        <v>220619.5351814025</v>
      </c>
      <c r="N6" s="109">
        <f>$N$5*M6</f>
        <v>0</v>
      </c>
      <c r="O6" s="109">
        <f aca="true" t="shared" si="2" ref="O6:O17">M6+N6</f>
        <v>220619.5351814025</v>
      </c>
    </row>
    <row r="7" spans="3:15" ht="15.75">
      <c r="C7" s="106" t="s">
        <v>1505</v>
      </c>
      <c r="D7" s="106"/>
      <c r="E7" s="106"/>
      <c r="F7" s="106"/>
      <c r="G7" s="106"/>
      <c r="H7" s="107">
        <v>1</v>
      </c>
      <c r="I7" s="108">
        <f aca="true" t="shared" si="3" ref="I7:I16">J7*$J$5</f>
        <v>70531.91489361704</v>
      </c>
      <c r="J7" s="109">
        <f>H7*$G$45*D41</f>
        <v>117848.25000000001</v>
      </c>
      <c r="K7" s="109">
        <f aca="true" t="shared" si="4" ref="K7:K17">J7*$K$5</f>
        <v>23258.106366300002</v>
      </c>
      <c r="L7" s="109">
        <f t="shared" si="0"/>
        <v>24142.966415977502</v>
      </c>
      <c r="M7" s="109">
        <f t="shared" si="1"/>
        <v>165249.32278227754</v>
      </c>
      <c r="N7" s="109">
        <f aca="true" t="shared" si="5" ref="N7:N17">$N$5*M7</f>
        <v>0</v>
      </c>
      <c r="O7" s="109">
        <f t="shared" si="2"/>
        <v>165249.32278227754</v>
      </c>
    </row>
    <row r="8" spans="3:15" ht="15.75">
      <c r="C8" s="106" t="s">
        <v>641</v>
      </c>
      <c r="D8" s="106"/>
      <c r="E8" s="106"/>
      <c r="F8" s="106"/>
      <c r="G8" s="106"/>
      <c r="H8" s="107">
        <v>0.5</v>
      </c>
      <c r="I8" s="108">
        <f t="shared" si="3"/>
        <v>37327.29598707245</v>
      </c>
      <c r="J8" s="109">
        <f>H8*$G$45*($D$40+$D$43)/2</f>
        <v>62368.3125</v>
      </c>
      <c r="K8" s="109">
        <f t="shared" si="4"/>
        <v>12308.785629074999</v>
      </c>
      <c r="L8" s="109">
        <f t="shared" si="0"/>
        <v>12777.076232431873</v>
      </c>
      <c r="M8" s="109">
        <f t="shared" si="1"/>
        <v>87454.17436150687</v>
      </c>
      <c r="N8" s="109">
        <f t="shared" si="5"/>
        <v>0</v>
      </c>
      <c r="O8" s="109">
        <f t="shared" si="2"/>
        <v>87454.17436150687</v>
      </c>
    </row>
    <row r="9" spans="3:15" ht="15.75">
      <c r="C9" s="106" t="s">
        <v>639</v>
      </c>
      <c r="D9" s="106"/>
      <c r="E9" s="106"/>
      <c r="F9" s="106"/>
      <c r="G9" s="106"/>
      <c r="H9" s="107">
        <v>1</v>
      </c>
      <c r="I9" s="108">
        <f t="shared" si="3"/>
        <v>62838.001615943984</v>
      </c>
      <c r="J9" s="109">
        <f>H9*$G$45*($D$40+$D$41)/2</f>
        <v>104992.875</v>
      </c>
      <c r="K9" s="109">
        <f t="shared" si="4"/>
        <v>20721.01583565</v>
      </c>
      <c r="L9" s="109">
        <f t="shared" si="0"/>
        <v>21509.35168780125</v>
      </c>
      <c r="M9" s="109">
        <f t="shared" si="1"/>
        <v>147223.24252345125</v>
      </c>
      <c r="N9" s="109">
        <f t="shared" si="5"/>
        <v>0</v>
      </c>
      <c r="O9" s="109">
        <f t="shared" si="2"/>
        <v>147223.24252345125</v>
      </c>
    </row>
    <row r="10" spans="3:15" ht="15.75">
      <c r="C10" s="106" t="s">
        <v>1506</v>
      </c>
      <c r="D10" s="106"/>
      <c r="E10" s="106"/>
      <c r="F10" s="106"/>
      <c r="G10" s="106"/>
      <c r="H10" s="107">
        <v>0.5</v>
      </c>
      <c r="I10" s="108">
        <f t="shared" si="3"/>
        <v>31419.000807971992</v>
      </c>
      <c r="J10" s="109">
        <f>H10*$G$45*($D$40+$D$41)/2</f>
        <v>52496.4375</v>
      </c>
      <c r="K10" s="109">
        <f t="shared" si="4"/>
        <v>10360.507917825</v>
      </c>
      <c r="L10" s="109">
        <f t="shared" si="0"/>
        <v>10754.675843900624</v>
      </c>
      <c r="M10" s="109">
        <f t="shared" si="1"/>
        <v>73611.62126172562</v>
      </c>
      <c r="N10" s="109">
        <f t="shared" si="5"/>
        <v>0</v>
      </c>
      <c r="O10" s="109">
        <f t="shared" si="2"/>
        <v>73611.62126172562</v>
      </c>
    </row>
    <row r="11" spans="3:15" ht="15.75">
      <c r="C11" s="106" t="s">
        <v>1507</v>
      </c>
      <c r="D11" s="106"/>
      <c r="E11" s="106"/>
      <c r="F11" s="106"/>
      <c r="G11" s="106"/>
      <c r="H11" s="107">
        <v>1.5</v>
      </c>
      <c r="I11" s="108">
        <f t="shared" si="3"/>
        <v>94257.00242391597</v>
      </c>
      <c r="J11" s="109">
        <f>H11*$G$45*($D$40+$D$41)/2</f>
        <v>157489.3125</v>
      </c>
      <c r="K11" s="109">
        <f t="shared" si="4"/>
        <v>31081.523753474998</v>
      </c>
      <c r="L11" s="109">
        <f t="shared" si="0"/>
        <v>32264.02753170187</v>
      </c>
      <c r="M11" s="109">
        <f t="shared" si="1"/>
        <v>220834.86378517686</v>
      </c>
      <c r="N11" s="109">
        <f t="shared" si="5"/>
        <v>0</v>
      </c>
      <c r="O11" s="109">
        <f t="shared" si="2"/>
        <v>220834.86378517686</v>
      </c>
    </row>
    <row r="12" spans="3:15" ht="15.75">
      <c r="C12" s="106" t="s">
        <v>603</v>
      </c>
      <c r="D12" s="106"/>
      <c r="E12" s="106"/>
      <c r="F12" s="106"/>
      <c r="G12" s="106"/>
      <c r="H12" s="107">
        <v>1.5</v>
      </c>
      <c r="I12" s="108">
        <f t="shared" si="3"/>
        <v>94257.00242391597</v>
      </c>
      <c r="J12" s="109">
        <f>H12*$G$45*($D$40+$D$41)/2</f>
        <v>157489.3125</v>
      </c>
      <c r="K12" s="109">
        <f t="shared" si="4"/>
        <v>31081.523753474998</v>
      </c>
      <c r="L12" s="109">
        <f t="shared" si="0"/>
        <v>32264.02753170187</v>
      </c>
      <c r="M12" s="109">
        <f t="shared" si="1"/>
        <v>220834.86378517686</v>
      </c>
      <c r="N12" s="109">
        <f t="shared" si="5"/>
        <v>0</v>
      </c>
      <c r="O12" s="109">
        <f t="shared" si="2"/>
        <v>220834.86378517686</v>
      </c>
    </row>
    <row r="13" spans="3:15" ht="15.75">
      <c r="C13" s="106" t="s">
        <v>1508</v>
      </c>
      <c r="D13" s="106"/>
      <c r="E13" s="106"/>
      <c r="F13" s="106"/>
      <c r="G13" s="106"/>
      <c r="H13" s="107">
        <v>2</v>
      </c>
      <c r="I13" s="108">
        <f t="shared" si="3"/>
        <v>125676.00323188797</v>
      </c>
      <c r="J13" s="109">
        <f>H13*$G$45*($D$40+$D$41)/2</f>
        <v>209985.75</v>
      </c>
      <c r="K13" s="109">
        <f t="shared" si="4"/>
        <v>41442.0316713</v>
      </c>
      <c r="L13" s="109">
        <f t="shared" si="0"/>
        <v>43018.7033756025</v>
      </c>
      <c r="M13" s="109">
        <f t="shared" si="1"/>
        <v>294446.4850469025</v>
      </c>
      <c r="N13" s="109">
        <f t="shared" si="5"/>
        <v>0</v>
      </c>
      <c r="O13" s="109">
        <f t="shared" si="2"/>
        <v>294446.4850469025</v>
      </c>
    </row>
    <row r="14" spans="3:15" ht="15.75">
      <c r="C14" s="106" t="s">
        <v>1509</v>
      </c>
      <c r="D14" s="106"/>
      <c r="E14" s="106"/>
      <c r="F14" s="106"/>
      <c r="G14" s="106"/>
      <c r="H14" s="107">
        <v>1</v>
      </c>
      <c r="I14" s="108">
        <f t="shared" si="3"/>
        <v>74654.5919741449</v>
      </c>
      <c r="J14" s="109">
        <f>H14*$G$45*($D$40+$D$43)/2</f>
        <v>124736.625</v>
      </c>
      <c r="K14" s="109">
        <f t="shared" si="4"/>
        <v>24617.571258149997</v>
      </c>
      <c r="L14" s="109">
        <f t="shared" si="0"/>
        <v>25554.152464863746</v>
      </c>
      <c r="M14" s="109">
        <f t="shared" si="1"/>
        <v>174908.34872301374</v>
      </c>
      <c r="N14" s="109">
        <f t="shared" si="5"/>
        <v>0</v>
      </c>
      <c r="O14" s="109">
        <f t="shared" si="2"/>
        <v>174908.34872301374</v>
      </c>
    </row>
    <row r="15" spans="3:15" ht="15.75">
      <c r="C15" s="106" t="s">
        <v>1510</v>
      </c>
      <c r="D15" s="106"/>
      <c r="E15" s="106"/>
      <c r="F15" s="106"/>
      <c r="G15" s="106"/>
      <c r="H15" s="107">
        <v>0</v>
      </c>
      <c r="I15" s="108">
        <f t="shared" si="3"/>
        <v>0</v>
      </c>
      <c r="J15" s="109">
        <f>H15*$G$45*($D$40+$D$43)/2</f>
        <v>0</v>
      </c>
      <c r="K15" s="109">
        <f t="shared" si="4"/>
        <v>0</v>
      </c>
      <c r="L15" s="109">
        <f t="shared" si="0"/>
        <v>0</v>
      </c>
      <c r="M15" s="109">
        <f t="shared" si="1"/>
        <v>0</v>
      </c>
      <c r="N15" s="109">
        <f t="shared" si="5"/>
        <v>0</v>
      </c>
      <c r="O15" s="109">
        <f t="shared" si="2"/>
        <v>0</v>
      </c>
    </row>
    <row r="16" spans="3:16" ht="15.75">
      <c r="C16" s="106" t="s">
        <v>1511</v>
      </c>
      <c r="D16" s="106"/>
      <c r="E16" s="106"/>
      <c r="F16" s="106"/>
      <c r="G16" s="106"/>
      <c r="H16" s="107">
        <v>2</v>
      </c>
      <c r="I16" s="108">
        <f t="shared" si="3"/>
        <v>126831.40317802315</v>
      </c>
      <c r="J16" s="109">
        <f>H16*$G$45*D40*1.15</f>
        <v>211916.24999999997</v>
      </c>
      <c r="K16" s="109">
        <f t="shared" si="4"/>
        <v>41823.02820149999</v>
      </c>
      <c r="L16" s="109">
        <f t="shared" si="0"/>
        <v>43414.19500713749</v>
      </c>
      <c r="M16" s="109">
        <f t="shared" si="1"/>
        <v>297153.47320863744</v>
      </c>
      <c r="N16" s="109">
        <f t="shared" si="5"/>
        <v>0</v>
      </c>
      <c r="O16" s="109">
        <f t="shared" si="2"/>
        <v>297153.47320863744</v>
      </c>
      <c r="P16" s="106"/>
    </row>
    <row r="17" spans="3:15" ht="15.75">
      <c r="C17" s="106"/>
      <c r="D17" s="106"/>
      <c r="E17" s="106"/>
      <c r="F17" s="102" t="s">
        <v>951</v>
      </c>
      <c r="G17" s="106"/>
      <c r="H17" s="103">
        <v>12</v>
      </c>
      <c r="I17" s="110">
        <f>SUM(I6:I16)</f>
        <v>811957.3121465123</v>
      </c>
      <c r="J17" s="111">
        <f>SUM(J6:J16)</f>
        <v>1356658.875</v>
      </c>
      <c r="K17" s="111">
        <f t="shared" si="4"/>
        <v>267745.31159805</v>
      </c>
      <c r="L17" s="111">
        <f t="shared" si="0"/>
        <v>277931.7440612212</v>
      </c>
      <c r="M17" s="111">
        <f t="shared" si="1"/>
        <v>1902335.930659271</v>
      </c>
      <c r="N17" s="111">
        <f t="shared" si="5"/>
        <v>0</v>
      </c>
      <c r="O17" s="111">
        <f t="shared" si="2"/>
        <v>1902335.930659271</v>
      </c>
    </row>
    <row r="18" spans="3:15" ht="15.75">
      <c r="C18" s="106"/>
      <c r="D18" s="106"/>
      <c r="E18" s="106"/>
      <c r="F18" s="106"/>
      <c r="G18" s="106"/>
      <c r="H18" s="106"/>
      <c r="I18" s="106"/>
      <c r="J18" s="106"/>
      <c r="K18" s="106"/>
      <c r="L18" s="106"/>
      <c r="M18" s="106"/>
      <c r="N18" s="106"/>
      <c r="O18" s="106"/>
    </row>
    <row r="19" spans="3:15" ht="15.75">
      <c r="C19" s="106"/>
      <c r="D19" s="106"/>
      <c r="E19" s="106"/>
      <c r="F19" s="106"/>
      <c r="G19" s="106"/>
      <c r="H19" s="106"/>
      <c r="I19" s="106"/>
      <c r="J19" s="106"/>
      <c r="K19" s="106"/>
      <c r="L19" s="106"/>
      <c r="M19" s="106"/>
      <c r="N19" s="106"/>
      <c r="O19" s="106"/>
    </row>
    <row r="20" spans="3:15" ht="15.75">
      <c r="C20" s="102" t="s">
        <v>1523</v>
      </c>
      <c r="D20" s="106"/>
      <c r="E20" s="106"/>
      <c r="F20" s="106"/>
      <c r="G20" s="106"/>
      <c r="H20" s="106"/>
      <c r="I20" s="106"/>
      <c r="J20" s="106"/>
      <c r="K20" s="106"/>
      <c r="L20" s="106"/>
      <c r="M20" s="106"/>
      <c r="N20" s="106"/>
      <c r="O20" s="106"/>
    </row>
    <row r="21" spans="3:15" ht="15.75">
      <c r="C21" s="106"/>
      <c r="D21" s="106"/>
      <c r="E21" s="106"/>
      <c r="F21" s="106"/>
      <c r="G21" s="106"/>
      <c r="H21" s="106"/>
      <c r="I21" s="106"/>
      <c r="J21" s="106"/>
      <c r="K21" s="106"/>
      <c r="L21" s="106"/>
      <c r="M21" s="106"/>
      <c r="N21" s="106"/>
      <c r="O21" s="106"/>
    </row>
    <row r="22" spans="3:15" ht="15.75">
      <c r="C22" s="106" t="s">
        <v>1513</v>
      </c>
      <c r="D22" s="106"/>
      <c r="E22" s="106"/>
      <c r="F22" s="106"/>
      <c r="G22" s="106"/>
      <c r="H22" s="107">
        <v>1</v>
      </c>
      <c r="I22" s="108">
        <f>J22*$J$5</f>
        <v>82348.50525181794</v>
      </c>
      <c r="J22" s="109">
        <f>H22*$G$45*($D$41+$D$43)/2</f>
        <v>137592</v>
      </c>
      <c r="K22" s="109">
        <f>J22*$K$5</f>
        <v>27154.6617888</v>
      </c>
      <c r="L22" s="109">
        <f>J22*$L$5</f>
        <v>28187.767193039996</v>
      </c>
      <c r="M22" s="109">
        <f>J22+K22+L22</f>
        <v>192934.42898184</v>
      </c>
      <c r="N22" s="109">
        <f>$N$5*M22</f>
        <v>0</v>
      </c>
      <c r="O22" s="109">
        <f>M22+N22</f>
        <v>192934.42898184</v>
      </c>
    </row>
    <row r="23" spans="3:15" ht="15.75">
      <c r="C23" s="106" t="s">
        <v>1524</v>
      </c>
      <c r="D23" s="106"/>
      <c r="E23" s="106"/>
      <c r="F23" s="106"/>
      <c r="G23" s="106"/>
      <c r="H23" s="107">
        <v>1</v>
      </c>
      <c r="I23" s="108">
        <f>J23*$J$5</f>
        <v>62838.001615943984</v>
      </c>
      <c r="J23" s="109">
        <f>H23*$G$45*($D$40+$D$41)/2</f>
        <v>104992.875</v>
      </c>
      <c r="K23" s="109">
        <f>J23*$K$5</f>
        <v>20721.01583565</v>
      </c>
      <c r="L23" s="109">
        <f>J23*$L$5</f>
        <v>21509.35168780125</v>
      </c>
      <c r="M23" s="109">
        <f>J23+K23+L23</f>
        <v>147223.24252345125</v>
      </c>
      <c r="N23" s="109">
        <f>$N$5*M23</f>
        <v>0</v>
      </c>
      <c r="O23" s="109">
        <f>M23+N23</f>
        <v>147223.24252345125</v>
      </c>
    </row>
    <row r="24" spans="3:15" ht="15.75">
      <c r="C24" s="106" t="s">
        <v>1515</v>
      </c>
      <c r="D24" s="106"/>
      <c r="E24" s="106"/>
      <c r="F24" s="106"/>
      <c r="G24" s="106"/>
      <c r="H24" s="107">
        <v>2</v>
      </c>
      <c r="I24" s="108">
        <f>J24*$J$5</f>
        <v>110288.17667654189</v>
      </c>
      <c r="J24" s="109">
        <f>H24*$G$45*($D$40)</f>
        <v>184275</v>
      </c>
      <c r="K24" s="109">
        <f>J24*$K$5</f>
        <v>36367.850609999994</v>
      </c>
      <c r="L24" s="109">
        <f>J24*$L$5</f>
        <v>37751.47391925</v>
      </c>
      <c r="M24" s="109">
        <f>J24+K24+L24</f>
        <v>258394.32452924998</v>
      </c>
      <c r="N24" s="109">
        <f>$N$5*M24</f>
        <v>0</v>
      </c>
      <c r="O24" s="109">
        <f>M24+N24</f>
        <v>258394.32452924998</v>
      </c>
    </row>
    <row r="25" spans="3:15" ht="15.75">
      <c r="C25" s="106"/>
      <c r="D25" s="106"/>
      <c r="E25" s="106"/>
      <c r="F25" s="102" t="s">
        <v>951</v>
      </c>
      <c r="G25" s="106"/>
      <c r="H25" s="103">
        <v>4</v>
      </c>
      <c r="I25" s="111">
        <f aca="true" t="shared" si="6" ref="I25:O25">SUM(I22:I24)</f>
        <v>255474.6835443038</v>
      </c>
      <c r="J25" s="111">
        <f t="shared" si="6"/>
        <v>426859.875</v>
      </c>
      <c r="K25" s="111">
        <f t="shared" si="6"/>
        <v>84243.52823445</v>
      </c>
      <c r="L25" s="111">
        <f t="shared" si="6"/>
        <v>87448.59280009124</v>
      </c>
      <c r="M25" s="111">
        <f t="shared" si="6"/>
        <v>598551.9960345412</v>
      </c>
      <c r="N25" s="111">
        <f t="shared" si="6"/>
        <v>0</v>
      </c>
      <c r="O25" s="111">
        <f t="shared" si="6"/>
        <v>598551.9960345412</v>
      </c>
    </row>
    <row r="26" spans="8:15" ht="15.75">
      <c r="H26" s="106"/>
      <c r="I26" s="106"/>
      <c r="J26" s="106"/>
      <c r="K26" s="106"/>
      <c r="L26" s="106"/>
      <c r="M26" s="106"/>
      <c r="N26" s="106"/>
      <c r="O26" s="106"/>
    </row>
    <row r="27" spans="6:16" ht="15.75">
      <c r="F27" s="102" t="s">
        <v>887</v>
      </c>
      <c r="G27" s="106"/>
      <c r="H27" s="103">
        <f aca="true" t="shared" si="7" ref="H27:O27">H17+H25</f>
        <v>16</v>
      </c>
      <c r="I27" s="111">
        <f t="shared" si="7"/>
        <v>1067431.995690816</v>
      </c>
      <c r="J27" s="111">
        <f t="shared" si="7"/>
        <v>1783518.75</v>
      </c>
      <c r="K27" s="111">
        <f t="shared" si="7"/>
        <v>351988.8398325</v>
      </c>
      <c r="L27" s="111">
        <f t="shared" si="7"/>
        <v>365380.33686131245</v>
      </c>
      <c r="M27" s="111">
        <f t="shared" si="7"/>
        <v>2500887.926693812</v>
      </c>
      <c r="N27" s="111">
        <f t="shared" si="7"/>
        <v>0</v>
      </c>
      <c r="O27" s="111">
        <f t="shared" si="7"/>
        <v>2500887.926693812</v>
      </c>
      <c r="P27" s="106"/>
    </row>
    <row r="28" spans="6:16" ht="15.75">
      <c r="F28" s="102"/>
      <c r="G28" s="106"/>
      <c r="H28" s="103"/>
      <c r="I28" s="111"/>
      <c r="J28" s="111"/>
      <c r="K28" s="111"/>
      <c r="L28" s="111"/>
      <c r="M28" s="111"/>
      <c r="N28" s="111"/>
      <c r="O28" s="111"/>
      <c r="P28" s="106"/>
    </row>
    <row r="29" spans="3:16" ht="15.75">
      <c r="C29" s="102" t="s">
        <v>1516</v>
      </c>
      <c r="F29" s="102"/>
      <c r="G29" s="106"/>
      <c r="H29" s="103"/>
      <c r="I29" s="111"/>
      <c r="J29" s="111"/>
      <c r="K29" s="111"/>
      <c r="L29" s="111"/>
      <c r="M29" s="111"/>
      <c r="N29" s="111"/>
      <c r="O29" s="111"/>
      <c r="P29" s="106"/>
    </row>
    <row r="30" spans="3:16" ht="15.75">
      <c r="C30" s="106" t="s">
        <v>1517</v>
      </c>
      <c r="F30" s="102"/>
      <c r="G30" s="106"/>
      <c r="H30" s="103"/>
      <c r="I30" s="111"/>
      <c r="J30" s="111"/>
      <c r="K30" s="111"/>
      <c r="L30" s="111"/>
      <c r="M30" s="111"/>
      <c r="N30" s="111"/>
      <c r="O30" s="111"/>
      <c r="P30" s="106"/>
    </row>
    <row r="31" spans="3:16" ht="15.75">
      <c r="C31" s="106" t="s">
        <v>1518</v>
      </c>
      <c r="F31" s="102"/>
      <c r="G31" s="106"/>
      <c r="H31" s="107">
        <v>3</v>
      </c>
      <c r="I31" s="111"/>
      <c r="J31" s="109">
        <f>H31*168*D41*0.15</f>
        <v>5076.540000000001</v>
      </c>
      <c r="K31" s="109">
        <f>J31*$K$5</f>
        <v>1001.8876588560001</v>
      </c>
      <c r="L31" s="109">
        <f>J31*$L$5</f>
        <v>1040.0047071498</v>
      </c>
      <c r="M31" s="109">
        <f>J31+K31+L31</f>
        <v>7118.432366005801</v>
      </c>
      <c r="N31" s="109">
        <f>$N$5*M31</f>
        <v>0</v>
      </c>
      <c r="O31" s="109">
        <f>M31+N31</f>
        <v>7118.432366005801</v>
      </c>
      <c r="P31" s="106"/>
    </row>
    <row r="32" spans="3:16" ht="15.75">
      <c r="C32" s="106" t="s">
        <v>1519</v>
      </c>
      <c r="F32" s="102"/>
      <c r="G32" s="106"/>
      <c r="H32" s="107">
        <v>1</v>
      </c>
      <c r="I32" s="111"/>
      <c r="J32" s="111">
        <v>0</v>
      </c>
      <c r="K32" s="109">
        <f>J32*$K$5</f>
        <v>0</v>
      </c>
      <c r="L32" s="109">
        <f>J32*$L$5</f>
        <v>0</v>
      </c>
      <c r="M32" s="109">
        <f>J32+K32+L32</f>
        <v>0</v>
      </c>
      <c r="N32" s="109">
        <f>$N$5*M32</f>
        <v>0</v>
      </c>
      <c r="O32" s="109">
        <f>M32+N32</f>
        <v>0</v>
      </c>
      <c r="P32" s="106"/>
    </row>
    <row r="33" spans="3:16" ht="15.75">
      <c r="C33" s="106" t="s">
        <v>1520</v>
      </c>
      <c r="F33" s="102"/>
      <c r="G33" s="106"/>
      <c r="H33" s="107">
        <v>1</v>
      </c>
      <c r="I33" s="111"/>
      <c r="J33" s="109">
        <f>H33*168*D40*0.15</f>
        <v>1323</v>
      </c>
      <c r="K33" s="109">
        <f>J33*$K$5</f>
        <v>261.10251719999997</v>
      </c>
      <c r="L33" s="109">
        <f>J33*$L$5</f>
        <v>271.03622300999996</v>
      </c>
      <c r="M33" s="109">
        <f>J33+K33+L33</f>
        <v>1855.13874021</v>
      </c>
      <c r="N33" s="109">
        <f>$N$5*M33</f>
        <v>0</v>
      </c>
      <c r="O33" s="109">
        <f>M33+N33</f>
        <v>1855.13874021</v>
      </c>
      <c r="P33" s="106"/>
    </row>
    <row r="34" spans="3:16" ht="15.75">
      <c r="C34" s="106" t="s">
        <v>1521</v>
      </c>
      <c r="F34" s="102"/>
      <c r="G34" s="106"/>
      <c r="H34" s="107">
        <v>1</v>
      </c>
      <c r="I34" s="111"/>
      <c r="J34" s="109">
        <f>H34*168*D40*0.15</f>
        <v>1323</v>
      </c>
      <c r="K34" s="109">
        <f>J34*$K$5</f>
        <v>261.10251719999997</v>
      </c>
      <c r="L34" s="109">
        <f>J34*$L$5</f>
        <v>271.03622300999996</v>
      </c>
      <c r="M34" s="109">
        <f>J34+K34+L34</f>
        <v>1855.13874021</v>
      </c>
      <c r="N34" s="109">
        <f>$N$5*M34</f>
        <v>0</v>
      </c>
      <c r="O34" s="109">
        <f>M34+N34</f>
        <v>1855.13874021</v>
      </c>
      <c r="P34" s="106"/>
    </row>
    <row r="35" spans="3:16" ht="15.75">
      <c r="C35" s="106" t="s">
        <v>643</v>
      </c>
      <c r="F35" s="102"/>
      <c r="G35" s="106"/>
      <c r="H35" s="107"/>
      <c r="I35" s="111"/>
      <c r="J35" s="111">
        <f aca="true" t="shared" si="8" ref="J35:O35">SUM(J31:J34)</f>
        <v>7722.540000000001</v>
      </c>
      <c r="K35" s="111">
        <f t="shared" si="8"/>
        <v>1524.092693256</v>
      </c>
      <c r="L35" s="111">
        <f t="shared" si="8"/>
        <v>1582.0771531697999</v>
      </c>
      <c r="M35" s="111">
        <f t="shared" si="8"/>
        <v>10828.709846425802</v>
      </c>
      <c r="N35" s="111">
        <f t="shared" si="8"/>
        <v>0</v>
      </c>
      <c r="O35" s="111">
        <f t="shared" si="8"/>
        <v>10828.709846425802</v>
      </c>
      <c r="P35" s="106"/>
    </row>
    <row r="36" spans="6:16" ht="15.75">
      <c r="F36" s="102"/>
      <c r="G36" s="106"/>
      <c r="H36" s="103"/>
      <c r="I36" s="111"/>
      <c r="J36" s="111"/>
      <c r="K36" s="111"/>
      <c r="L36" s="111"/>
      <c r="M36" s="111"/>
      <c r="N36" s="111"/>
      <c r="O36" s="111"/>
      <c r="P36" s="106"/>
    </row>
    <row r="37" spans="8:15" ht="15.75">
      <c r="H37" s="106"/>
      <c r="I37" s="106"/>
      <c r="J37" s="106"/>
      <c r="K37" s="106"/>
      <c r="L37" s="106"/>
      <c r="M37" s="106"/>
      <c r="N37" s="106"/>
      <c r="O37" s="106"/>
    </row>
    <row r="38" spans="3:15" ht="15.75">
      <c r="C38" s="8" t="s">
        <v>754</v>
      </c>
      <c r="F38" s="14"/>
      <c r="H38" s="106"/>
      <c r="I38" s="106"/>
      <c r="J38" s="106"/>
      <c r="K38" s="106"/>
      <c r="L38" s="106"/>
      <c r="M38" s="106"/>
      <c r="N38" s="106"/>
      <c r="O38" s="106"/>
    </row>
    <row r="39" spans="3:6" ht="12.75">
      <c r="C39" s="8" t="s">
        <v>1526</v>
      </c>
      <c r="D39" s="9" t="s">
        <v>755</v>
      </c>
      <c r="F39" s="14"/>
    </row>
    <row r="40" spans="3:6" ht="12.75">
      <c r="C40" t="s">
        <v>756</v>
      </c>
      <c r="D40" s="112">
        <f>'Labor and Indirect Rates (NSF)'!C129</f>
        <v>52.5</v>
      </c>
      <c r="E40" t="s">
        <v>757</v>
      </c>
      <c r="F40" s="14"/>
    </row>
    <row r="41" spans="3:6" ht="12.75">
      <c r="C41" t="s">
        <v>758</v>
      </c>
      <c r="D41" s="112">
        <f>'Labor and Indirect Rates (NSF)'!C130</f>
        <v>67.15</v>
      </c>
      <c r="E41" t="s">
        <v>757</v>
      </c>
      <c r="F41" s="25"/>
    </row>
    <row r="42" spans="3:6" ht="12.75">
      <c r="C42" t="s">
        <v>759</v>
      </c>
      <c r="D42" s="29">
        <f>'Labor and Indirect Rates (NSF)'!C131</f>
        <v>56.25</v>
      </c>
      <c r="E42" t="s">
        <v>757</v>
      </c>
      <c r="F42" s="113"/>
    </row>
    <row r="43" spans="3:6" ht="12.75">
      <c r="C43" t="s">
        <v>760</v>
      </c>
      <c r="D43" s="29">
        <f>'Labor and Indirect Rates (NSF)'!C132</f>
        <v>89.65</v>
      </c>
      <c r="E43" t="s">
        <v>757</v>
      </c>
      <c r="F43" s="113"/>
    </row>
    <row r="44" spans="5:6" ht="12.75">
      <c r="E44" s="114"/>
      <c r="F44" s="113"/>
    </row>
    <row r="45" spans="3:7" ht="12.75">
      <c r="C45" s="32" t="s">
        <v>767</v>
      </c>
      <c r="G45" s="33">
        <v>1755</v>
      </c>
    </row>
    <row r="46" ht="12.75">
      <c r="F46" s="14"/>
    </row>
    <row r="47" spans="4:6" ht="12.75">
      <c r="D47" s="18"/>
      <c r="F47" s="14"/>
    </row>
    <row r="48" spans="4:6" ht="12.75">
      <c r="D48" s="18"/>
      <c r="F48" s="14"/>
    </row>
    <row r="49" spans="4:6" ht="12.75">
      <c r="D49" s="18"/>
      <c r="F49" s="14"/>
    </row>
    <row r="50" spans="4:6" ht="12.75">
      <c r="D50" s="18"/>
      <c r="F50" s="14"/>
    </row>
    <row r="51" spans="4:6" ht="12.75">
      <c r="D51" s="18"/>
      <c r="F51" s="14"/>
    </row>
    <row r="52" ht="12.75">
      <c r="F52" s="14"/>
    </row>
    <row r="53" ht="12.75">
      <c r="F53" s="14"/>
    </row>
  </sheetData>
  <printOptions gridLines="1"/>
  <pageMargins left="0.75" right="0.75" top="1" bottom="1" header="0.5" footer="0.5"/>
  <pageSetup fitToHeight="1" fitToWidth="1" horizontalDpi="300" verticalDpi="300" orientation="landscape" scale="72" r:id="rId1"/>
</worksheet>
</file>

<file path=xl/worksheets/sheet13.xml><?xml version="1.0" encoding="utf-8"?>
<worksheet xmlns="http://schemas.openxmlformats.org/spreadsheetml/2006/main" xmlns:r="http://schemas.openxmlformats.org/officeDocument/2006/relationships">
  <sheetPr>
    <pageSetUpPr fitToPage="1"/>
  </sheetPr>
  <dimension ref="C2:P53"/>
  <sheetViews>
    <sheetView zoomScale="75" zoomScaleNormal="75" workbookViewId="0" topLeftCell="A1">
      <selection activeCell="I7" sqref="I7"/>
    </sheetView>
  </sheetViews>
  <sheetFormatPr defaultColWidth="9.140625" defaultRowHeight="12.75"/>
  <cols>
    <col min="4" max="4" width="8.421875" style="0" customWidth="1"/>
    <col min="6" max="6" width="11.00390625" style="0" customWidth="1"/>
    <col min="9" max="9" width="12.7109375" style="0" customWidth="1"/>
    <col min="10" max="10" width="19.140625" style="0" customWidth="1"/>
    <col min="11" max="11" width="18.7109375" style="0" customWidth="1"/>
    <col min="12" max="12" width="20.140625" style="0" customWidth="1"/>
    <col min="13" max="13" width="14.140625" style="0" customWidth="1"/>
    <col min="14" max="15" width="15.57421875" style="0" customWidth="1"/>
    <col min="16" max="16" width="11.57421875" style="0" customWidth="1"/>
  </cols>
  <sheetData>
    <row r="2" ht="15.75">
      <c r="C2" s="69" t="s">
        <v>1525</v>
      </c>
    </row>
    <row r="3" spans="3:13" ht="15.75">
      <c r="C3" s="102" t="s">
        <v>1498</v>
      </c>
      <c r="J3" s="103" t="s">
        <v>1499</v>
      </c>
      <c r="K3" s="65"/>
      <c r="L3" s="103" t="s">
        <v>1500</v>
      </c>
      <c r="M3" s="65"/>
    </row>
    <row r="4" spans="8:15" ht="15.75">
      <c r="H4" s="103" t="s">
        <v>877</v>
      </c>
      <c r="I4" s="103" t="s">
        <v>1501</v>
      </c>
      <c r="J4" s="103" t="s">
        <v>1502</v>
      </c>
      <c r="K4" s="103" t="s">
        <v>1503</v>
      </c>
      <c r="L4" s="103" t="s">
        <v>1504</v>
      </c>
      <c r="M4" s="103" t="s">
        <v>951</v>
      </c>
      <c r="N4" s="103" t="s">
        <v>737</v>
      </c>
      <c r="O4" s="103" t="s">
        <v>887</v>
      </c>
    </row>
    <row r="5" spans="8:15" ht="15.75">
      <c r="H5" s="103"/>
      <c r="I5" s="103"/>
      <c r="J5" s="104">
        <f>'Labor and Indirect Rates (NSF)'!J10</f>
        <v>0.5984977705958046</v>
      </c>
      <c r="K5" s="104">
        <f>'Labor and Indirect Rates (NSF)'!H19</f>
        <v>0.1973564</v>
      </c>
      <c r="L5" s="104">
        <f>'Labor and Indirect Rates (NSF)'!H28</f>
        <v>0.20486486999999998</v>
      </c>
      <c r="M5" s="103"/>
      <c r="N5" s="105">
        <v>0</v>
      </c>
      <c r="O5" s="102"/>
    </row>
    <row r="6" spans="3:15" ht="15.75">
      <c r="C6" s="106" t="s">
        <v>825</v>
      </c>
      <c r="D6" s="106"/>
      <c r="E6" s="106"/>
      <c r="F6" s="106"/>
      <c r="G6" s="106"/>
      <c r="H6" s="107">
        <v>1</v>
      </c>
      <c r="I6" s="108">
        <f aca="true" t="shared" si="0" ref="I6:I16">J6*$J$5</f>
        <v>94165.09561001886</v>
      </c>
      <c r="J6" s="109">
        <f>H6*$G$45*D43</f>
        <v>157335.75</v>
      </c>
      <c r="K6" s="109">
        <f aca="true" t="shared" si="1" ref="K6:K17">J6*$K$5</f>
        <v>31051.217211299998</v>
      </c>
      <c r="L6" s="109">
        <f aca="true" t="shared" si="2" ref="L6:L17">J6*$L$5</f>
        <v>32232.567970102496</v>
      </c>
      <c r="M6" s="109">
        <f aca="true" t="shared" si="3" ref="M6:M17">J6+K6+L6</f>
        <v>220619.5351814025</v>
      </c>
      <c r="N6" s="109">
        <f aca="true" t="shared" si="4" ref="N6:N17">$N$5*M6</f>
        <v>0</v>
      </c>
      <c r="O6" s="109">
        <f aca="true" t="shared" si="5" ref="O6:O17">M6+N6</f>
        <v>220619.5351814025</v>
      </c>
    </row>
    <row r="7" spans="3:15" ht="15.75">
      <c r="C7" s="106" t="s">
        <v>1505</v>
      </c>
      <c r="D7" s="106"/>
      <c r="E7" s="106"/>
      <c r="F7" s="106"/>
      <c r="G7" s="106"/>
      <c r="H7" s="107">
        <v>1</v>
      </c>
      <c r="I7" s="108">
        <f t="shared" si="0"/>
        <v>70531.91489361704</v>
      </c>
      <c r="J7" s="109">
        <f>H7*$G$45*D41</f>
        <v>117848.25000000001</v>
      </c>
      <c r="K7" s="109">
        <f t="shared" si="1"/>
        <v>23258.106366300002</v>
      </c>
      <c r="L7" s="109">
        <f t="shared" si="2"/>
        <v>24142.966415977502</v>
      </c>
      <c r="M7" s="109">
        <f t="shared" si="3"/>
        <v>165249.32278227754</v>
      </c>
      <c r="N7" s="109">
        <f t="shared" si="4"/>
        <v>0</v>
      </c>
      <c r="O7" s="109">
        <f t="shared" si="5"/>
        <v>165249.32278227754</v>
      </c>
    </row>
    <row r="8" spans="3:15" ht="15.75">
      <c r="C8" s="106" t="s">
        <v>641</v>
      </c>
      <c r="D8" s="106"/>
      <c r="E8" s="106"/>
      <c r="F8" s="106"/>
      <c r="G8" s="106"/>
      <c r="H8" s="107">
        <v>0.5</v>
      </c>
      <c r="I8" s="108">
        <f t="shared" si="0"/>
        <v>37327.29598707245</v>
      </c>
      <c r="J8" s="109">
        <f>H8*$G$45*($D$40+$D$43)/2</f>
        <v>62368.3125</v>
      </c>
      <c r="K8" s="109">
        <f t="shared" si="1"/>
        <v>12308.785629074999</v>
      </c>
      <c r="L8" s="109">
        <f t="shared" si="2"/>
        <v>12777.076232431873</v>
      </c>
      <c r="M8" s="109">
        <f t="shared" si="3"/>
        <v>87454.17436150687</v>
      </c>
      <c r="N8" s="109">
        <f t="shared" si="4"/>
        <v>0</v>
      </c>
      <c r="O8" s="109">
        <f t="shared" si="5"/>
        <v>87454.17436150687</v>
      </c>
    </row>
    <row r="9" spans="3:15" ht="15.75">
      <c r="C9" s="106" t="s">
        <v>639</v>
      </c>
      <c r="D9" s="106"/>
      <c r="E9" s="106"/>
      <c r="F9" s="106"/>
      <c r="G9" s="106"/>
      <c r="H9" s="107">
        <v>1</v>
      </c>
      <c r="I9" s="108">
        <f t="shared" si="0"/>
        <v>62838.001615943984</v>
      </c>
      <c r="J9" s="109">
        <f>H9*$G$45*($D$40+$D$41)/2</f>
        <v>104992.875</v>
      </c>
      <c r="K9" s="109">
        <f t="shared" si="1"/>
        <v>20721.01583565</v>
      </c>
      <c r="L9" s="109">
        <f t="shared" si="2"/>
        <v>21509.35168780125</v>
      </c>
      <c r="M9" s="109">
        <f t="shared" si="3"/>
        <v>147223.24252345125</v>
      </c>
      <c r="N9" s="109">
        <f t="shared" si="4"/>
        <v>0</v>
      </c>
      <c r="O9" s="109">
        <f t="shared" si="5"/>
        <v>147223.24252345125</v>
      </c>
    </row>
    <row r="10" spans="3:15" ht="15.75">
      <c r="C10" s="106" t="s">
        <v>1506</v>
      </c>
      <c r="D10" s="106"/>
      <c r="E10" s="106"/>
      <c r="F10" s="106"/>
      <c r="G10" s="106"/>
      <c r="H10" s="107">
        <v>0.5</v>
      </c>
      <c r="I10" s="108">
        <f t="shared" si="0"/>
        <v>31419.000807971992</v>
      </c>
      <c r="J10" s="109">
        <f>H10*$G$45*($D$40+$D$41)/2</f>
        <v>52496.4375</v>
      </c>
      <c r="K10" s="109">
        <f t="shared" si="1"/>
        <v>10360.507917825</v>
      </c>
      <c r="L10" s="109">
        <f t="shared" si="2"/>
        <v>10754.675843900624</v>
      </c>
      <c r="M10" s="109">
        <f t="shared" si="3"/>
        <v>73611.62126172562</v>
      </c>
      <c r="N10" s="109">
        <f t="shared" si="4"/>
        <v>0</v>
      </c>
      <c r="O10" s="109">
        <f t="shared" si="5"/>
        <v>73611.62126172562</v>
      </c>
    </row>
    <row r="11" spans="3:15" ht="15.75">
      <c r="C11" s="106" t="s">
        <v>1507</v>
      </c>
      <c r="D11" s="106"/>
      <c r="E11" s="106"/>
      <c r="F11" s="106"/>
      <c r="G11" s="106"/>
      <c r="H11" s="107">
        <v>1.5</v>
      </c>
      <c r="I11" s="108">
        <f t="shared" si="0"/>
        <v>94257.00242391597</v>
      </c>
      <c r="J11" s="109">
        <f>H11*$G$45*($D$40+$D$41)/2</f>
        <v>157489.3125</v>
      </c>
      <c r="K11" s="109">
        <f t="shared" si="1"/>
        <v>31081.523753474998</v>
      </c>
      <c r="L11" s="109">
        <f t="shared" si="2"/>
        <v>32264.02753170187</v>
      </c>
      <c r="M11" s="109">
        <f t="shared" si="3"/>
        <v>220834.86378517686</v>
      </c>
      <c r="N11" s="109">
        <f t="shared" si="4"/>
        <v>0</v>
      </c>
      <c r="O11" s="109">
        <f t="shared" si="5"/>
        <v>220834.86378517686</v>
      </c>
    </row>
    <row r="12" spans="3:15" ht="15.75">
      <c r="C12" s="106" t="s">
        <v>603</v>
      </c>
      <c r="D12" s="106"/>
      <c r="E12" s="106"/>
      <c r="F12" s="106"/>
      <c r="G12" s="106"/>
      <c r="H12" s="107">
        <v>1.5</v>
      </c>
      <c r="I12" s="108">
        <f t="shared" si="0"/>
        <v>94257.00242391597</v>
      </c>
      <c r="J12" s="109">
        <f>H12*$G$45*($D$40+$D$41)/2</f>
        <v>157489.3125</v>
      </c>
      <c r="K12" s="109">
        <f t="shared" si="1"/>
        <v>31081.523753474998</v>
      </c>
      <c r="L12" s="109">
        <f t="shared" si="2"/>
        <v>32264.02753170187</v>
      </c>
      <c r="M12" s="109">
        <f t="shared" si="3"/>
        <v>220834.86378517686</v>
      </c>
      <c r="N12" s="109">
        <f t="shared" si="4"/>
        <v>0</v>
      </c>
      <c r="O12" s="109">
        <f t="shared" si="5"/>
        <v>220834.86378517686</v>
      </c>
    </row>
    <row r="13" spans="3:15" ht="15.75">
      <c r="C13" s="106" t="s">
        <v>1508</v>
      </c>
      <c r="D13" s="106"/>
      <c r="E13" s="106"/>
      <c r="F13" s="106"/>
      <c r="G13" s="106"/>
      <c r="H13" s="107">
        <v>2</v>
      </c>
      <c r="I13" s="108">
        <f t="shared" si="0"/>
        <v>125676.00323188797</v>
      </c>
      <c r="J13" s="109">
        <f>H13*$G$45*($D$40+$D$41)/2</f>
        <v>209985.75</v>
      </c>
      <c r="K13" s="109">
        <f t="shared" si="1"/>
        <v>41442.0316713</v>
      </c>
      <c r="L13" s="109">
        <f t="shared" si="2"/>
        <v>43018.7033756025</v>
      </c>
      <c r="M13" s="109">
        <f t="shared" si="3"/>
        <v>294446.4850469025</v>
      </c>
      <c r="N13" s="109">
        <f t="shared" si="4"/>
        <v>0</v>
      </c>
      <c r="O13" s="109">
        <f t="shared" si="5"/>
        <v>294446.4850469025</v>
      </c>
    </row>
    <row r="14" spans="3:15" ht="15.75">
      <c r="C14" s="106" t="s">
        <v>1509</v>
      </c>
      <c r="D14" s="106"/>
      <c r="E14" s="106"/>
      <c r="F14" s="106"/>
      <c r="G14" s="106"/>
      <c r="H14" s="107">
        <v>1</v>
      </c>
      <c r="I14" s="108">
        <f t="shared" si="0"/>
        <v>74654.5919741449</v>
      </c>
      <c r="J14" s="109">
        <f>H14*$G$45*($D$40+$D$43)/2</f>
        <v>124736.625</v>
      </c>
      <c r="K14" s="109">
        <f t="shared" si="1"/>
        <v>24617.571258149997</v>
      </c>
      <c r="L14" s="109">
        <f t="shared" si="2"/>
        <v>25554.152464863746</v>
      </c>
      <c r="M14" s="109">
        <f t="shared" si="3"/>
        <v>174908.34872301374</v>
      </c>
      <c r="N14" s="109">
        <f t="shared" si="4"/>
        <v>0</v>
      </c>
      <c r="O14" s="109">
        <f t="shared" si="5"/>
        <v>174908.34872301374</v>
      </c>
    </row>
    <row r="15" spans="3:15" ht="15.75">
      <c r="C15" s="106" t="s">
        <v>1510</v>
      </c>
      <c r="D15" s="106"/>
      <c r="E15" s="106"/>
      <c r="F15" s="106"/>
      <c r="G15" s="106"/>
      <c r="H15" s="107">
        <v>0</v>
      </c>
      <c r="I15" s="108">
        <f t="shared" si="0"/>
        <v>0</v>
      </c>
      <c r="J15" s="109">
        <f>H15*$G$45*($D$40+$D$43)/2</f>
        <v>0</v>
      </c>
      <c r="K15" s="109">
        <f t="shared" si="1"/>
        <v>0</v>
      </c>
      <c r="L15" s="109">
        <f t="shared" si="2"/>
        <v>0</v>
      </c>
      <c r="M15" s="109">
        <f t="shared" si="3"/>
        <v>0</v>
      </c>
      <c r="N15" s="109">
        <f t="shared" si="4"/>
        <v>0</v>
      </c>
      <c r="O15" s="109">
        <f t="shared" si="5"/>
        <v>0</v>
      </c>
    </row>
    <row r="16" spans="3:16" ht="15.75">
      <c r="C16" s="106" t="s">
        <v>1511</v>
      </c>
      <c r="D16" s="106"/>
      <c r="E16" s="106"/>
      <c r="F16" s="106"/>
      <c r="G16" s="106"/>
      <c r="H16" s="107">
        <v>2</v>
      </c>
      <c r="I16" s="108">
        <f t="shared" si="0"/>
        <v>126831.40317802315</v>
      </c>
      <c r="J16" s="109">
        <f>H16*$G$45*D40*1.15</f>
        <v>211916.24999999997</v>
      </c>
      <c r="K16" s="109">
        <f t="shared" si="1"/>
        <v>41823.02820149999</v>
      </c>
      <c r="L16" s="109">
        <f t="shared" si="2"/>
        <v>43414.19500713749</v>
      </c>
      <c r="M16" s="109">
        <f t="shared" si="3"/>
        <v>297153.47320863744</v>
      </c>
      <c r="N16" s="109">
        <f t="shared" si="4"/>
        <v>0</v>
      </c>
      <c r="O16" s="109">
        <f t="shared" si="5"/>
        <v>297153.47320863744</v>
      </c>
      <c r="P16" s="106"/>
    </row>
    <row r="17" spans="3:15" ht="15.75">
      <c r="C17" s="106"/>
      <c r="D17" s="106"/>
      <c r="E17" s="106"/>
      <c r="F17" s="102" t="s">
        <v>951</v>
      </c>
      <c r="G17" s="106"/>
      <c r="H17" s="103">
        <v>12</v>
      </c>
      <c r="I17" s="110">
        <f>SUM(I6:I16)</f>
        <v>811957.3121465123</v>
      </c>
      <c r="J17" s="111">
        <f>SUM(J6:J16)</f>
        <v>1356658.875</v>
      </c>
      <c r="K17" s="111">
        <f t="shared" si="1"/>
        <v>267745.31159805</v>
      </c>
      <c r="L17" s="111">
        <f t="shared" si="2"/>
        <v>277931.7440612212</v>
      </c>
      <c r="M17" s="111">
        <f t="shared" si="3"/>
        <v>1902335.930659271</v>
      </c>
      <c r="N17" s="111">
        <f t="shared" si="4"/>
        <v>0</v>
      </c>
      <c r="O17" s="111">
        <f t="shared" si="5"/>
        <v>1902335.930659271</v>
      </c>
    </row>
    <row r="18" spans="3:15" ht="15.75">
      <c r="C18" s="106"/>
      <c r="D18" s="106"/>
      <c r="E18" s="106"/>
      <c r="F18" s="106"/>
      <c r="G18" s="106"/>
      <c r="H18" s="106"/>
      <c r="I18" s="106"/>
      <c r="J18" s="106"/>
      <c r="K18" s="106"/>
      <c r="L18" s="106"/>
      <c r="M18" s="106"/>
      <c r="N18" s="106"/>
      <c r="O18" s="106"/>
    </row>
    <row r="19" spans="3:15" ht="15.75">
      <c r="C19" s="106"/>
      <c r="D19" s="106"/>
      <c r="E19" s="106"/>
      <c r="F19" s="106"/>
      <c r="G19" s="106"/>
      <c r="H19" s="106"/>
      <c r="I19" s="106"/>
      <c r="J19" s="106"/>
      <c r="K19" s="106"/>
      <c r="L19" s="106"/>
      <c r="M19" s="106"/>
      <c r="N19" s="106"/>
      <c r="O19" s="106"/>
    </row>
    <row r="20" spans="3:15" ht="15.75">
      <c r="C20" s="102" t="s">
        <v>1512</v>
      </c>
      <c r="D20" s="106"/>
      <c r="E20" s="106"/>
      <c r="F20" s="106"/>
      <c r="G20" s="106"/>
      <c r="H20" s="106"/>
      <c r="I20" s="106"/>
      <c r="J20" s="106"/>
      <c r="K20" s="106"/>
      <c r="L20" s="106"/>
      <c r="M20" s="106"/>
      <c r="N20" s="106"/>
      <c r="O20" s="106"/>
    </row>
    <row r="21" spans="3:15" ht="15.75">
      <c r="C21" s="106"/>
      <c r="D21" s="106"/>
      <c r="E21" s="106"/>
      <c r="F21" s="106"/>
      <c r="G21" s="106"/>
      <c r="H21" s="106"/>
      <c r="I21" s="106"/>
      <c r="J21" s="106"/>
      <c r="K21" s="106"/>
      <c r="L21" s="106"/>
      <c r="M21" s="106"/>
      <c r="N21" s="106"/>
      <c r="O21" s="106"/>
    </row>
    <row r="22" spans="3:15" ht="15.75">
      <c r="C22" s="106" t="s">
        <v>1513</v>
      </c>
      <c r="D22" s="106"/>
      <c r="E22" s="106"/>
      <c r="F22" s="106"/>
      <c r="G22" s="106"/>
      <c r="H22" s="107">
        <v>1</v>
      </c>
      <c r="I22" s="108">
        <f>J22*$J$5</f>
        <v>82348.50525181794</v>
      </c>
      <c r="J22" s="109">
        <f>H22*$G$45*($D$41+$D$43)/2</f>
        <v>137592</v>
      </c>
      <c r="K22" s="109">
        <f>J22*$K$5</f>
        <v>27154.6617888</v>
      </c>
      <c r="L22" s="109">
        <f>J22*$L$5</f>
        <v>28187.767193039996</v>
      </c>
      <c r="M22" s="109">
        <f>J22+K22+L22</f>
        <v>192934.42898184</v>
      </c>
      <c r="N22" s="109">
        <f>$N$5*M22</f>
        <v>0</v>
      </c>
      <c r="O22" s="109">
        <f>M22+N22</f>
        <v>192934.42898184</v>
      </c>
    </row>
    <row r="23" spans="3:15" ht="15.75">
      <c r="C23" s="106" t="s">
        <v>1514</v>
      </c>
      <c r="D23" s="106"/>
      <c r="E23" s="106"/>
      <c r="F23" s="106"/>
      <c r="G23" s="106"/>
      <c r="H23" s="107">
        <v>3</v>
      </c>
      <c r="I23" s="108">
        <f>J23*$J$5</f>
        <v>188514.00484783194</v>
      </c>
      <c r="J23" s="109">
        <f>H23*$G$45*($D$40+$D$41)/2</f>
        <v>314978.625</v>
      </c>
      <c r="K23" s="109">
        <f>J23*$K$5</f>
        <v>62163.047506949995</v>
      </c>
      <c r="L23" s="109">
        <f>J23*$L$5</f>
        <v>64528.05506340374</v>
      </c>
      <c r="M23" s="109">
        <f>J23+K23+L23</f>
        <v>441669.7275703537</v>
      </c>
      <c r="N23" s="109">
        <f>$N$5*M23</f>
        <v>0</v>
      </c>
      <c r="O23" s="109">
        <f>M23+N23</f>
        <v>441669.7275703537</v>
      </c>
    </row>
    <row r="24" spans="3:15" ht="15.75">
      <c r="C24" s="106" t="s">
        <v>1515</v>
      </c>
      <c r="D24" s="106"/>
      <c r="E24" s="106"/>
      <c r="F24" s="106"/>
      <c r="G24" s="106"/>
      <c r="H24" s="107">
        <v>2</v>
      </c>
      <c r="I24" s="108">
        <f>J24*$J$5</f>
        <v>110288.17667654189</v>
      </c>
      <c r="J24" s="109">
        <f>H24*$G$45*($D$40)</f>
        <v>184275</v>
      </c>
      <c r="K24" s="109">
        <f>J24*$K$5</f>
        <v>36367.850609999994</v>
      </c>
      <c r="L24" s="109">
        <f>J24*$L$5</f>
        <v>37751.47391925</v>
      </c>
      <c r="M24" s="109">
        <f>J24+K24+L24</f>
        <v>258394.32452924998</v>
      </c>
      <c r="N24" s="109">
        <f>$N$5*M24</f>
        <v>0</v>
      </c>
      <c r="O24" s="109">
        <f>M24+N24</f>
        <v>258394.32452924998</v>
      </c>
    </row>
    <row r="25" spans="3:15" ht="15.75">
      <c r="C25" s="106"/>
      <c r="D25" s="106"/>
      <c r="E25" s="106"/>
      <c r="F25" s="102" t="s">
        <v>951</v>
      </c>
      <c r="G25" s="106"/>
      <c r="H25" s="103">
        <v>6</v>
      </c>
      <c r="I25" s="111">
        <f aca="true" t="shared" si="6" ref="I25:O25">SUM(I22:I24)</f>
        <v>381150.6867761918</v>
      </c>
      <c r="J25" s="111">
        <f t="shared" si="6"/>
        <v>636845.625</v>
      </c>
      <c r="K25" s="111">
        <f t="shared" si="6"/>
        <v>125685.55990575</v>
      </c>
      <c r="L25" s="111">
        <f t="shared" si="6"/>
        <v>130467.29617569373</v>
      </c>
      <c r="M25" s="111">
        <f t="shared" si="6"/>
        <v>892998.4810814436</v>
      </c>
      <c r="N25" s="111">
        <f t="shared" si="6"/>
        <v>0</v>
      </c>
      <c r="O25" s="111">
        <f t="shared" si="6"/>
        <v>892998.4810814436</v>
      </c>
    </row>
    <row r="26" spans="8:15" ht="15.75">
      <c r="H26" s="106"/>
      <c r="I26" s="106"/>
      <c r="J26" s="106"/>
      <c r="K26" s="106"/>
      <c r="L26" s="106"/>
      <c r="M26" s="106"/>
      <c r="N26" s="106"/>
      <c r="O26" s="106"/>
    </row>
    <row r="27" spans="6:16" ht="15.75">
      <c r="F27" s="102" t="s">
        <v>887</v>
      </c>
      <c r="G27" s="106"/>
      <c r="H27" s="103">
        <f aca="true" t="shared" si="7" ref="H27:O27">H17+H25</f>
        <v>18</v>
      </c>
      <c r="I27" s="111">
        <f t="shared" si="7"/>
        <v>1193107.9989227043</v>
      </c>
      <c r="J27" s="111">
        <f t="shared" si="7"/>
        <v>1993504.5</v>
      </c>
      <c r="K27" s="111">
        <f t="shared" si="7"/>
        <v>393430.8715038</v>
      </c>
      <c r="L27" s="111">
        <f t="shared" si="7"/>
        <v>408399.04023691494</v>
      </c>
      <c r="M27" s="111">
        <f t="shared" si="7"/>
        <v>2795334.4117407147</v>
      </c>
      <c r="N27" s="111">
        <f t="shared" si="7"/>
        <v>0</v>
      </c>
      <c r="O27" s="111">
        <f t="shared" si="7"/>
        <v>2795334.4117407147</v>
      </c>
      <c r="P27" s="106"/>
    </row>
    <row r="28" spans="6:16" ht="15.75">
      <c r="F28" s="102"/>
      <c r="G28" s="106"/>
      <c r="H28" s="103"/>
      <c r="I28" s="111"/>
      <c r="J28" s="111"/>
      <c r="K28" s="111"/>
      <c r="L28" s="111"/>
      <c r="M28" s="111"/>
      <c r="N28" s="111"/>
      <c r="O28" s="111"/>
      <c r="P28" s="106"/>
    </row>
    <row r="29" spans="3:16" ht="15.75">
      <c r="C29" s="102" t="s">
        <v>1516</v>
      </c>
      <c r="F29" s="102"/>
      <c r="G29" s="106"/>
      <c r="H29" s="103"/>
      <c r="I29" s="111"/>
      <c r="J29" s="111"/>
      <c r="K29" s="111"/>
      <c r="L29" s="111"/>
      <c r="M29" s="111"/>
      <c r="N29" s="111"/>
      <c r="O29" s="111"/>
      <c r="P29" s="106"/>
    </row>
    <row r="30" spans="3:16" ht="15.75">
      <c r="C30" s="106" t="s">
        <v>1517</v>
      </c>
      <c r="F30" s="102"/>
      <c r="G30" s="106"/>
      <c r="H30" s="103"/>
      <c r="I30" s="111"/>
      <c r="J30" s="111"/>
      <c r="K30" s="111"/>
      <c r="L30" s="111"/>
      <c r="M30" s="111"/>
      <c r="N30" s="111"/>
      <c r="O30" s="111"/>
      <c r="P30" s="106"/>
    </row>
    <row r="31" spans="3:16" ht="15.75">
      <c r="C31" s="106" t="s">
        <v>1518</v>
      </c>
      <c r="F31" s="102"/>
      <c r="G31" s="106"/>
      <c r="H31" s="107">
        <v>3</v>
      </c>
      <c r="I31" s="111"/>
      <c r="J31" s="109">
        <f>H31*168*D41*0.15</f>
        <v>5076.540000000001</v>
      </c>
      <c r="K31" s="109">
        <f>J31*$K$5</f>
        <v>1001.8876588560001</v>
      </c>
      <c r="L31" s="109">
        <f>J31*$L$5</f>
        <v>1040.0047071498</v>
      </c>
      <c r="M31" s="109">
        <f>J31+K31+L31</f>
        <v>7118.432366005801</v>
      </c>
      <c r="N31" s="109">
        <f>$N$5*M31</f>
        <v>0</v>
      </c>
      <c r="O31" s="109">
        <f>M31+N31</f>
        <v>7118.432366005801</v>
      </c>
      <c r="P31" s="106"/>
    </row>
    <row r="32" spans="3:16" ht="15.75">
      <c r="C32" s="106" t="s">
        <v>1519</v>
      </c>
      <c r="F32" s="102"/>
      <c r="G32" s="106"/>
      <c r="H32" s="107">
        <v>1</v>
      </c>
      <c r="I32" s="111"/>
      <c r="J32" s="111">
        <v>0</v>
      </c>
      <c r="K32" s="109">
        <f>J32*$K$5</f>
        <v>0</v>
      </c>
      <c r="L32" s="109">
        <f>J32*$L$5</f>
        <v>0</v>
      </c>
      <c r="M32" s="109">
        <f>J32+K32+L32</f>
        <v>0</v>
      </c>
      <c r="N32" s="109">
        <f>$N$5*M32</f>
        <v>0</v>
      </c>
      <c r="O32" s="109">
        <f>M32+N32</f>
        <v>0</v>
      </c>
      <c r="P32" s="106"/>
    </row>
    <row r="33" spans="3:16" ht="15.75">
      <c r="C33" s="106" t="s">
        <v>1520</v>
      </c>
      <c r="F33" s="102"/>
      <c r="G33" s="106"/>
      <c r="H33" s="107">
        <v>1</v>
      </c>
      <c r="I33" s="111"/>
      <c r="J33" s="109">
        <f>H33*168*D40*0.15</f>
        <v>1323</v>
      </c>
      <c r="K33" s="109">
        <f>J33*$K$5</f>
        <v>261.10251719999997</v>
      </c>
      <c r="L33" s="109">
        <f>J33*$L$5</f>
        <v>271.03622300999996</v>
      </c>
      <c r="M33" s="109">
        <f>J33+K33+L33</f>
        <v>1855.13874021</v>
      </c>
      <c r="N33" s="109">
        <f>$N$5*M33</f>
        <v>0</v>
      </c>
      <c r="O33" s="109">
        <f>M33+N33</f>
        <v>1855.13874021</v>
      </c>
      <c r="P33" s="106"/>
    </row>
    <row r="34" spans="3:16" ht="15.75">
      <c r="C34" s="106" t="s">
        <v>1521</v>
      </c>
      <c r="F34" s="102"/>
      <c r="G34" s="106"/>
      <c r="H34" s="107">
        <v>1</v>
      </c>
      <c r="I34" s="111"/>
      <c r="J34" s="109">
        <f>H34*168*D40*0.15</f>
        <v>1323</v>
      </c>
      <c r="K34" s="109">
        <f>J34*$K$5</f>
        <v>261.10251719999997</v>
      </c>
      <c r="L34" s="109">
        <f>J34*$L$5</f>
        <v>271.03622300999996</v>
      </c>
      <c r="M34" s="109">
        <f>J34+K34+L34</f>
        <v>1855.13874021</v>
      </c>
      <c r="N34" s="109">
        <f>$N$5*M34</f>
        <v>0</v>
      </c>
      <c r="O34" s="109">
        <f>M34+N34</f>
        <v>1855.13874021</v>
      </c>
      <c r="P34" s="106"/>
    </row>
    <row r="35" spans="3:16" ht="15.75">
      <c r="C35" s="106" t="s">
        <v>643</v>
      </c>
      <c r="F35" s="102"/>
      <c r="G35" s="106"/>
      <c r="H35" s="107"/>
      <c r="I35" s="111"/>
      <c r="J35" s="111">
        <f aca="true" t="shared" si="8" ref="J35:O35">SUM(J31:J34)</f>
        <v>7722.540000000001</v>
      </c>
      <c r="K35" s="111">
        <f t="shared" si="8"/>
        <v>1524.092693256</v>
      </c>
      <c r="L35" s="111">
        <f t="shared" si="8"/>
        <v>1582.0771531697999</v>
      </c>
      <c r="M35" s="111">
        <f t="shared" si="8"/>
        <v>10828.709846425802</v>
      </c>
      <c r="N35" s="111">
        <f t="shared" si="8"/>
        <v>0</v>
      </c>
      <c r="O35" s="111">
        <f t="shared" si="8"/>
        <v>10828.709846425802</v>
      </c>
      <c r="P35" s="106"/>
    </row>
    <row r="36" spans="6:16" ht="15.75">
      <c r="F36" s="102"/>
      <c r="G36" s="106"/>
      <c r="H36" s="103"/>
      <c r="I36" s="111"/>
      <c r="J36" s="111"/>
      <c r="K36" s="111"/>
      <c r="L36" s="111"/>
      <c r="M36" s="111"/>
      <c r="N36" s="111"/>
      <c r="O36" s="111"/>
      <c r="P36" s="106"/>
    </row>
    <row r="37" spans="8:15" ht="15.75">
      <c r="H37" s="106"/>
      <c r="I37" s="106"/>
      <c r="J37" s="106"/>
      <c r="K37" s="106"/>
      <c r="L37" s="106"/>
      <c r="M37" s="106"/>
      <c r="N37" s="106"/>
      <c r="O37" s="106"/>
    </row>
    <row r="38" spans="3:15" ht="15.75">
      <c r="C38" s="8" t="s">
        <v>754</v>
      </c>
      <c r="F38" s="14"/>
      <c r="H38" s="106"/>
      <c r="I38" s="106"/>
      <c r="J38" s="106"/>
      <c r="K38" s="106"/>
      <c r="L38" s="106"/>
      <c r="M38" s="106"/>
      <c r="N38" s="106"/>
      <c r="O38" s="106"/>
    </row>
    <row r="39" spans="3:6" ht="12.75">
      <c r="C39" s="8" t="s">
        <v>1522</v>
      </c>
      <c r="D39" s="9" t="s">
        <v>755</v>
      </c>
      <c r="F39" s="14"/>
    </row>
    <row r="40" spans="3:6" ht="12.75">
      <c r="C40" t="s">
        <v>756</v>
      </c>
      <c r="D40" s="112">
        <f>'Labor and Indirect Rates (NSF)'!C129</f>
        <v>52.5</v>
      </c>
      <c r="E40" t="s">
        <v>757</v>
      </c>
      <c r="F40" s="14"/>
    </row>
    <row r="41" spans="3:6" ht="12.75">
      <c r="C41" t="s">
        <v>758</v>
      </c>
      <c r="D41" s="112">
        <f>'Labor and Indirect Rates (NSF)'!C130</f>
        <v>67.15</v>
      </c>
      <c r="E41" t="s">
        <v>757</v>
      </c>
      <c r="F41" s="25"/>
    </row>
    <row r="42" spans="3:6" ht="12.75">
      <c r="C42" t="s">
        <v>759</v>
      </c>
      <c r="D42" s="29">
        <f>'Labor and Indirect Rates (NSF)'!C131</f>
        <v>56.25</v>
      </c>
      <c r="E42" t="s">
        <v>757</v>
      </c>
      <c r="F42" s="113"/>
    </row>
    <row r="43" spans="3:6" ht="12.75">
      <c r="C43" t="s">
        <v>760</v>
      </c>
      <c r="D43" s="29">
        <f>'Labor and Indirect Rates (NSF)'!C132</f>
        <v>89.65</v>
      </c>
      <c r="E43" t="s">
        <v>757</v>
      </c>
      <c r="F43" s="113"/>
    </row>
    <row r="44" spans="5:6" ht="12.75">
      <c r="E44" s="114"/>
      <c r="F44" s="113"/>
    </row>
    <row r="45" spans="3:7" ht="12.75">
      <c r="C45" s="32" t="s">
        <v>767</v>
      </c>
      <c r="G45" s="33">
        <v>1755</v>
      </c>
    </row>
    <row r="46" ht="12.75">
      <c r="F46" s="14"/>
    </row>
    <row r="47" spans="4:6" ht="12.75">
      <c r="D47" s="18"/>
      <c r="F47" s="14"/>
    </row>
    <row r="48" spans="4:6" ht="12.75">
      <c r="D48" s="18"/>
      <c r="F48" s="14"/>
    </row>
    <row r="49" spans="4:6" ht="12.75">
      <c r="D49" s="18"/>
      <c r="F49" s="14"/>
    </row>
    <row r="50" spans="4:6" ht="12.75">
      <c r="D50" s="18"/>
      <c r="F50" s="14"/>
    </row>
    <row r="51" spans="4:6" ht="12.75">
      <c r="D51" s="18"/>
      <c r="F51" s="14"/>
    </row>
    <row r="52" ht="12.75">
      <c r="F52" s="14"/>
    </row>
    <row r="53" ht="12.75">
      <c r="F53" s="14"/>
    </row>
  </sheetData>
  <printOptions gridLines="1"/>
  <pageMargins left="0.75" right="0.75" top="1" bottom="1" header="0.5" footer="0.5"/>
  <pageSetup fitToHeight="1" fitToWidth="1" horizontalDpi="300" verticalDpi="300" orientation="landscape" scale="72" r:id="rId1"/>
</worksheet>
</file>

<file path=xl/worksheets/sheet14.xml><?xml version="1.0" encoding="utf-8"?>
<worksheet xmlns="http://schemas.openxmlformats.org/spreadsheetml/2006/main" xmlns:r="http://schemas.openxmlformats.org/officeDocument/2006/relationships">
  <sheetPr codeName="Sheet26">
    <pageSetUpPr fitToPage="1"/>
  </sheetPr>
  <dimension ref="A1:I58"/>
  <sheetViews>
    <sheetView workbookViewId="0" topLeftCell="A1">
      <selection activeCell="B58" sqref="B58"/>
    </sheetView>
  </sheetViews>
  <sheetFormatPr defaultColWidth="9.140625" defaultRowHeight="12.75"/>
  <cols>
    <col min="1" max="1" width="43.8515625" style="0" customWidth="1"/>
    <col min="2" max="2" width="9.7109375" style="0" bestFit="1" customWidth="1"/>
    <col min="3" max="3" width="12.8515625" style="0" customWidth="1"/>
    <col min="4" max="4" width="10.28125" style="0" bestFit="1" customWidth="1"/>
    <col min="5" max="5" width="19.00390625" style="0" customWidth="1"/>
    <col min="6" max="6" width="7.57421875" style="0" customWidth="1"/>
    <col min="7" max="7" width="11.00390625" style="0" customWidth="1"/>
  </cols>
  <sheetData>
    <row r="1" spans="1:6" ht="15.75">
      <c r="A1" s="350" t="s">
        <v>1548</v>
      </c>
      <c r="B1" s="351"/>
      <c r="C1" s="351"/>
      <c r="D1" s="351"/>
      <c r="E1" s="352"/>
      <c r="F1" s="116"/>
    </row>
    <row r="2" spans="1:6" ht="15.75">
      <c r="A2" s="353" t="s">
        <v>1549</v>
      </c>
      <c r="B2" s="354"/>
      <c r="C2" s="354"/>
      <c r="D2" s="354"/>
      <c r="E2" s="355"/>
      <c r="F2" s="117"/>
    </row>
    <row r="3" spans="1:6" ht="15.75">
      <c r="A3" s="353" t="s">
        <v>1790</v>
      </c>
      <c r="B3" s="356"/>
      <c r="C3" s="356"/>
      <c r="D3" s="356"/>
      <c r="E3" s="357"/>
      <c r="F3" s="5"/>
    </row>
    <row r="4" spans="1:6" ht="12.75">
      <c r="A4" s="358" t="s">
        <v>1697</v>
      </c>
      <c r="B4" s="358"/>
      <c r="C4" s="358"/>
      <c r="D4" s="358"/>
      <c r="E4" s="358"/>
      <c r="F4" s="5"/>
    </row>
    <row r="5" spans="1:6" ht="15.75">
      <c r="A5" s="119" t="s">
        <v>1550</v>
      </c>
      <c r="B5" s="5"/>
      <c r="C5" s="5"/>
      <c r="D5" s="65" t="s">
        <v>1544</v>
      </c>
      <c r="E5" s="65" t="s">
        <v>1551</v>
      </c>
      <c r="F5" s="65"/>
    </row>
    <row r="6" spans="1:6" ht="12.75">
      <c r="A6" s="120" t="s">
        <v>1695</v>
      </c>
      <c r="B6" s="5"/>
      <c r="C6" s="5"/>
      <c r="D6" s="133">
        <v>85</v>
      </c>
      <c r="E6" s="33">
        <v>168</v>
      </c>
      <c r="F6" s="33"/>
    </row>
    <row r="7" spans="1:6" ht="12.75">
      <c r="A7" s="5"/>
      <c r="B7" s="5"/>
      <c r="C7" s="5"/>
      <c r="D7" s="65" t="s">
        <v>1529</v>
      </c>
      <c r="E7" s="5"/>
      <c r="F7" s="5"/>
    </row>
    <row r="8" spans="1:6" ht="12.75">
      <c r="A8" s="5"/>
      <c r="B8" s="5"/>
      <c r="C8" s="5"/>
      <c r="D8" s="65"/>
      <c r="E8" s="5"/>
      <c r="F8" s="5"/>
    </row>
    <row r="9" spans="2:4" ht="12.75">
      <c r="B9" s="65" t="s">
        <v>1499</v>
      </c>
      <c r="C9" s="65" t="s">
        <v>1552</v>
      </c>
      <c r="D9" s="65" t="s">
        <v>1553</v>
      </c>
    </row>
    <row r="10" spans="1:6" ht="12.75">
      <c r="A10" s="8" t="s">
        <v>1554</v>
      </c>
      <c r="B10" s="6"/>
      <c r="C10" s="6"/>
      <c r="D10" s="6"/>
      <c r="E10" s="9" t="s">
        <v>887</v>
      </c>
      <c r="F10" s="9"/>
    </row>
    <row r="11" spans="1:6" ht="12.75">
      <c r="A11" t="s">
        <v>1517</v>
      </c>
      <c r="B11" s="121"/>
      <c r="C11" s="121"/>
      <c r="D11" s="121"/>
      <c r="E11" s="121"/>
      <c r="F11" s="122"/>
    </row>
    <row r="12" spans="1:6" ht="12.75">
      <c r="A12" t="s">
        <v>1518</v>
      </c>
      <c r="B12" s="121">
        <f>3*E6*G14*1.15</f>
        <v>38920.14000000001</v>
      </c>
      <c r="C12" s="121">
        <f>B12*'Labor and Indirect Rates (NSF)'!$H$19</f>
        <v>7681.138717896001</v>
      </c>
      <c r="D12" s="121">
        <f>C12*'Labor and Indirect Rates (NSF)'!$H$29</f>
        <v>3089.517370158302</v>
      </c>
      <c r="E12" s="121">
        <f>SUM(B12:D12)</f>
        <v>49690.79608805431</v>
      </c>
      <c r="F12" s="34"/>
    </row>
    <row r="13" spans="1:8" ht="12.75">
      <c r="A13" t="s">
        <v>1555</v>
      </c>
      <c r="B13" s="121">
        <f>1*E6*(G13+G14)/2/2</f>
        <v>6585.6</v>
      </c>
      <c r="C13" s="121">
        <f>B13*'Labor and Indirect Rates (NSF)'!$H$19</f>
        <v>1299.71030784</v>
      </c>
      <c r="D13" s="121">
        <f>C13*'Labor and Indirect Rates (NSF)'!$H$29</f>
        <v>522.7711306514959</v>
      </c>
      <c r="E13" s="121">
        <f>SUM(B13:D13)</f>
        <v>8408.081438491496</v>
      </c>
      <c r="F13" s="34"/>
      <c r="G13" s="123">
        <f>'Labor and Indirect Rates (NSF)'!C132</f>
        <v>89.65</v>
      </c>
      <c r="H13" t="s">
        <v>1556</v>
      </c>
    </row>
    <row r="14" spans="1:8" ht="12.75">
      <c r="A14" t="s">
        <v>1520</v>
      </c>
      <c r="B14" s="121">
        <f>E6*G15*1.15</f>
        <v>10143</v>
      </c>
      <c r="C14" s="121">
        <f>B14*'Labor and Indirect Rates (NSF)'!$H$19</f>
        <v>2001.7859652</v>
      </c>
      <c r="D14" s="121">
        <f>C14*'Labor and Indirect Rates (NSF)'!$H$29</f>
        <v>805.16089319092</v>
      </c>
      <c r="E14" s="121">
        <f>SUM(B14:D14)</f>
        <v>12949.94685839092</v>
      </c>
      <c r="F14" s="34"/>
      <c r="G14" s="123">
        <f>'Labor and Indirect Rates (NSF)'!C130</f>
        <v>67.15</v>
      </c>
      <c r="H14" t="s">
        <v>1557</v>
      </c>
    </row>
    <row r="15" spans="1:8" ht="12.75">
      <c r="A15" t="s">
        <v>1521</v>
      </c>
      <c r="B15" s="121">
        <f>E6*G15*1.15</f>
        <v>10143</v>
      </c>
      <c r="C15" s="121">
        <f>B15*'Labor and Indirect Rates (NSF)'!$H$19</f>
        <v>2001.7859652</v>
      </c>
      <c r="D15" s="121">
        <f>C15*'Labor and Indirect Rates (NSF)'!$H$29</f>
        <v>805.16089319092</v>
      </c>
      <c r="E15" s="121">
        <f>SUM(B15:D15)</f>
        <v>12949.94685839092</v>
      </c>
      <c r="F15" s="34"/>
      <c r="G15" s="123">
        <f>'Labor and Indirect Rates (NSF)'!C129</f>
        <v>52.5</v>
      </c>
      <c r="H15" t="s">
        <v>1558</v>
      </c>
    </row>
    <row r="16" spans="2:6" ht="12.75">
      <c r="B16" s="121"/>
      <c r="C16" s="121"/>
      <c r="D16" s="121"/>
      <c r="E16" s="121"/>
      <c r="F16" s="34"/>
    </row>
    <row r="17" spans="1:9" ht="12.75">
      <c r="A17" t="s">
        <v>1559</v>
      </c>
      <c r="B17" s="121">
        <f>E6/168*20600*1.01*1.03</f>
        <v>21430.18</v>
      </c>
      <c r="C17" s="121">
        <f>B17*0</f>
        <v>0</v>
      </c>
      <c r="D17" s="121">
        <f>B17*'Labor and Indirect Rates (NSF)'!$H$55</f>
        <v>2571.6216</v>
      </c>
      <c r="E17" s="121">
        <f>SUM(B17:D17)</f>
        <v>24001.8016</v>
      </c>
      <c r="F17" s="34"/>
      <c r="G17" s="32" t="s">
        <v>767</v>
      </c>
      <c r="I17" s="33">
        <f>'Labor and Indirect Rates (NSF)'!D144</f>
        <v>1755</v>
      </c>
    </row>
    <row r="18" spans="1:6" ht="12.75">
      <c r="A18" t="s">
        <v>1560</v>
      </c>
      <c r="B18" s="121">
        <f>E6/168*51500*1.03*1.03</f>
        <v>54636.35</v>
      </c>
      <c r="C18" s="121">
        <f>B18*'Labor and Indirect Rates (NSF)'!$G$69</f>
        <v>3824.5445000000004</v>
      </c>
      <c r="D18" s="121">
        <f>B18*'Labor and Indirect Rates (NSF)'!$H$69</f>
        <v>10230.6565375</v>
      </c>
      <c r="E18" s="121">
        <f>SUM(B18:D18)</f>
        <v>68691.5510375</v>
      </c>
      <c r="F18" s="34"/>
    </row>
    <row r="19" spans="1:6" ht="12.75">
      <c r="A19" t="s">
        <v>1561</v>
      </c>
      <c r="B19" s="121">
        <f>E6/168*18540*1.03*1.03</f>
        <v>19669.086000000003</v>
      </c>
      <c r="C19" s="121">
        <f>B19*'Labor and Indirect Rates (NSF)'!$G$82</f>
        <v>1376.8360200000004</v>
      </c>
      <c r="D19" s="121">
        <f>B19*'Labor and Indirect Rates (NSF)'!$H$86</f>
        <v>1322.7460335000003</v>
      </c>
      <c r="E19" s="121">
        <f>SUM(B19:D19)</f>
        <v>22368.6680535</v>
      </c>
      <c r="F19" s="34"/>
    </row>
    <row r="20" spans="2:6" ht="12.75">
      <c r="B20" s="121"/>
      <c r="C20" s="121"/>
      <c r="D20" s="121"/>
      <c r="E20" s="121"/>
      <c r="F20" s="34"/>
    </row>
    <row r="21" spans="1:7" ht="12.75">
      <c r="A21" s="8" t="s">
        <v>1562</v>
      </c>
      <c r="B21" s="121"/>
      <c r="C21" s="121"/>
      <c r="D21" s="121"/>
      <c r="E21" s="121"/>
      <c r="F21" s="34"/>
      <c r="G21" s="35"/>
    </row>
    <row r="22" spans="1:7" ht="12.75">
      <c r="A22" t="s">
        <v>1563</v>
      </c>
      <c r="B22" s="121">
        <f>2*E6*G15*1.15</f>
        <v>20286</v>
      </c>
      <c r="C22" s="121">
        <f>B22*'Labor and Indirect Rates (NSF)'!$H$19</f>
        <v>4003.5719304</v>
      </c>
      <c r="D22" s="121">
        <f>C22*'Labor and Indirect Rates (NSF)'!$H$29</f>
        <v>1610.32178638184</v>
      </c>
      <c r="E22" s="121">
        <f>SUM(B22:D22)</f>
        <v>25899.89371678184</v>
      </c>
      <c r="F22" s="34"/>
      <c r="G22" s="35"/>
    </row>
    <row r="23" spans="1:7" ht="12.75">
      <c r="A23" t="s">
        <v>1718</v>
      </c>
      <c r="B23" s="121">
        <f>2*$E$6*$G$15*0.75*1.15</f>
        <v>15214.499999999998</v>
      </c>
      <c r="C23" s="121">
        <f>B23*'Labor and Indirect Rates (NSF)'!$H$19</f>
        <v>3002.6789477999996</v>
      </c>
      <c r="D23" s="121">
        <f>C23*'Labor and Indirect Rates (NSF)'!$H$29</f>
        <v>1207.7413397863797</v>
      </c>
      <c r="E23" s="121">
        <f>SUM(B23:D23)</f>
        <v>19424.920287586378</v>
      </c>
      <c r="F23" s="34"/>
      <c r="G23" s="35"/>
    </row>
    <row r="24" spans="1:6" ht="12.75">
      <c r="A24" t="s">
        <v>1565</v>
      </c>
      <c r="B24" s="121">
        <f>2*40*G14*E6/336</f>
        <v>2686</v>
      </c>
      <c r="C24" s="121">
        <f>B24*'Labor and Indirect Rates (NSF)'!$H$19</f>
        <v>530.0992904</v>
      </c>
      <c r="D24" s="121">
        <f>C24*'Labor and Indirect Rates (NSF)'!$H$29</f>
        <v>213.21720981078684</v>
      </c>
      <c r="E24" s="121">
        <f>SUM(B24:D24)</f>
        <v>3429.3165002107867</v>
      </c>
      <c r="F24" s="34"/>
    </row>
    <row r="25" spans="1:6" ht="12.75">
      <c r="A25" t="s">
        <v>1716</v>
      </c>
      <c r="B25" s="121">
        <f>11200*1.03*1.03</f>
        <v>11882.08</v>
      </c>
      <c r="C25" s="121">
        <f>B25*'Labor and Indirect Rates (NSF)'!$G$69</f>
        <v>831.7456000000001</v>
      </c>
      <c r="D25" s="121">
        <f>B25*'Labor and Indirect Rates (NSF)'!$H$69</f>
        <v>2224.91948</v>
      </c>
      <c r="E25" s="121">
        <f>SUM(B25:D25)</f>
        <v>14938.74508</v>
      </c>
      <c r="F25" s="34"/>
    </row>
    <row r="26" spans="2:6" ht="12.75">
      <c r="B26" s="121"/>
      <c r="C26" s="121"/>
      <c r="D26" s="121"/>
      <c r="E26" s="121"/>
      <c r="F26" s="34"/>
    </row>
    <row r="27" spans="2:6" ht="12.75">
      <c r="B27" s="121"/>
      <c r="C27" s="121"/>
      <c r="D27" s="121"/>
      <c r="E27" s="121"/>
      <c r="F27" s="34"/>
    </row>
    <row r="28" spans="1:6" ht="12.75">
      <c r="A28" s="8" t="s">
        <v>1567</v>
      </c>
      <c r="B28" s="121"/>
      <c r="C28" s="121"/>
      <c r="D28" s="121"/>
      <c r="E28" s="121"/>
      <c r="F28" s="34"/>
    </row>
    <row r="29" spans="1:6" ht="12.75">
      <c r="A29" t="s">
        <v>1568</v>
      </c>
      <c r="B29" s="121">
        <f>$E$6*$G$15/4*1.15</f>
        <v>2535.75</v>
      </c>
      <c r="C29" s="121">
        <f>B29*'Labor and Indirect Rates (NSF)'!$H$19</f>
        <v>500.4464913</v>
      </c>
      <c r="D29" s="121">
        <f>C29*'Labor and Indirect Rates (NSF)'!$H$29</f>
        <v>201.29022329773</v>
      </c>
      <c r="E29" s="121">
        <f>SUM(B29:D29)</f>
        <v>3237.48671459773</v>
      </c>
      <c r="F29" s="34"/>
    </row>
    <row r="30" spans="1:6" ht="12.75">
      <c r="A30" t="s">
        <v>1559</v>
      </c>
      <c r="B30" s="121">
        <f>E6/168*4800*1.03*1.03</f>
        <v>5092.32</v>
      </c>
      <c r="C30" s="121">
        <f>B30*0</f>
        <v>0</v>
      </c>
      <c r="D30" s="121">
        <f>B30*'Labor and Indirect Rates (NSF)'!$H$55</f>
        <v>611.0784</v>
      </c>
      <c r="E30" s="121">
        <f>SUM(B30:D30)</f>
        <v>5703.3984</v>
      </c>
      <c r="F30" s="34"/>
    </row>
    <row r="31" spans="1:6" ht="12.75">
      <c r="A31" t="s">
        <v>1560</v>
      </c>
      <c r="B31" s="121">
        <f>E6/168*8200*1.03*1.03</f>
        <v>8699.380000000001</v>
      </c>
      <c r="C31" s="121">
        <f>B31*'Labor and Indirect Rates (NSF)'!$G$69</f>
        <v>608.9566000000001</v>
      </c>
      <c r="D31" s="121">
        <f>B31*'Labor and Indirect Rates (NSF)'!$H$69</f>
        <v>1628.9589050000002</v>
      </c>
      <c r="E31" s="121">
        <f>SUM(B31:D31)</f>
        <v>10937.295505</v>
      </c>
      <c r="F31" s="34"/>
    </row>
    <row r="32" spans="1:6" ht="12.75">
      <c r="A32" t="s">
        <v>1561</v>
      </c>
      <c r="B32" s="121">
        <f>E6/168*39500*1.03*1.03</f>
        <v>41905.55</v>
      </c>
      <c r="C32" s="121">
        <f>B32*'Labor and Indirect Rates (NSF)'!$G$82</f>
        <v>2933.3885000000005</v>
      </c>
      <c r="D32" s="121">
        <f>B32*'Labor and Indirect Rates (NSF)'!$H$86</f>
        <v>2818.1482375000005</v>
      </c>
      <c r="E32" s="124">
        <f>SUM(B32:D32)</f>
        <v>47657.0867375</v>
      </c>
      <c r="F32" s="125"/>
    </row>
    <row r="33" spans="2:6" ht="12.75">
      <c r="B33" s="121"/>
      <c r="C33" s="121"/>
      <c r="D33" s="121"/>
      <c r="E33" s="121"/>
      <c r="F33" s="34"/>
    </row>
    <row r="34" spans="1:6" ht="12.75">
      <c r="A34" s="8" t="s">
        <v>1569</v>
      </c>
      <c r="B34" s="121">
        <f>SUM(B12:B32)</f>
        <v>269828.93600000005</v>
      </c>
      <c r="C34" s="121">
        <f>SUM(C11:C32)</f>
        <v>30596.688836036006</v>
      </c>
      <c r="D34" s="121">
        <f>SUM(D11:D32)</f>
        <v>29863.310039968368</v>
      </c>
      <c r="E34" s="121">
        <f>SUM(E11:E32)</f>
        <v>330288.93487600435</v>
      </c>
      <c r="F34" s="34"/>
    </row>
    <row r="35" spans="1:6" ht="12.75">
      <c r="A35" s="8"/>
      <c r="B35" s="121"/>
      <c r="C35" s="121"/>
      <c r="D35" s="121"/>
      <c r="E35" s="121"/>
      <c r="F35" s="121"/>
    </row>
    <row r="36" spans="2:6" ht="12.75">
      <c r="B36" s="121"/>
      <c r="C36" s="121"/>
      <c r="D36" s="121"/>
      <c r="E36" s="121"/>
      <c r="F36" s="121"/>
    </row>
    <row r="37" spans="1:6" ht="12.75">
      <c r="A37" s="8" t="s">
        <v>1570</v>
      </c>
      <c r="B37" s="121"/>
      <c r="C37" s="121"/>
      <c r="D37" s="121"/>
      <c r="E37" s="121"/>
      <c r="F37" s="121"/>
    </row>
    <row r="38" spans="1:6" ht="12.75">
      <c r="A38" t="s">
        <v>1792</v>
      </c>
      <c r="B38" s="121">
        <f>11*D6*E6</f>
        <v>157080</v>
      </c>
      <c r="C38" s="121">
        <v>0</v>
      </c>
      <c r="D38" s="121">
        <v>0</v>
      </c>
      <c r="E38" s="124">
        <f>SUM(B38:D38)</f>
        <v>157080</v>
      </c>
      <c r="F38" s="124"/>
    </row>
    <row r="39" spans="2:6" ht="12.75">
      <c r="B39" s="121"/>
      <c r="C39" s="121"/>
      <c r="D39" s="121"/>
      <c r="E39" s="124"/>
      <c r="F39" s="124"/>
    </row>
    <row r="40" spans="2:6" ht="12.75">
      <c r="B40" s="121"/>
      <c r="C40" s="121"/>
      <c r="D40" s="121"/>
      <c r="E40" s="121"/>
      <c r="F40" s="121"/>
    </row>
    <row r="41" spans="1:6" ht="12.75">
      <c r="A41" s="8" t="s">
        <v>1571</v>
      </c>
      <c r="B41" s="126">
        <f>SUM(B34:B39)</f>
        <v>426908.93600000005</v>
      </c>
      <c r="C41" s="126">
        <f>SUM(C34:C39)</f>
        <v>30596.688836036006</v>
      </c>
      <c r="D41" s="126">
        <f>SUM(D34:D39)</f>
        <v>29863.310039968368</v>
      </c>
      <c r="E41" s="127">
        <f>SUM(E34:E39)</f>
        <v>487368.93487600435</v>
      </c>
      <c r="F41" s="127"/>
    </row>
    <row r="42" spans="1:6" ht="15" hidden="1">
      <c r="A42" s="8" t="s">
        <v>1572</v>
      </c>
      <c r="B42" s="121"/>
      <c r="C42" s="121"/>
      <c r="D42" s="121"/>
      <c r="E42" s="128">
        <f>E41-D41</f>
        <v>457505.624836036</v>
      </c>
      <c r="F42" s="128"/>
    </row>
    <row r="43" spans="2:6" ht="12.75" hidden="1">
      <c r="B43" s="121"/>
      <c r="C43" s="121"/>
      <c r="D43" s="121"/>
      <c r="E43" s="121"/>
      <c r="F43" s="121"/>
    </row>
    <row r="44" spans="2:6" ht="12.75" hidden="1">
      <c r="B44" s="121" t="s">
        <v>1573</v>
      </c>
      <c r="C44" s="121"/>
      <c r="D44" s="121"/>
      <c r="E44" s="121">
        <f>E42/24</f>
        <v>19062.734368168167</v>
      </c>
      <c r="F44" s="121"/>
    </row>
    <row r="45" spans="2:6" ht="12.75" hidden="1">
      <c r="B45" s="121" t="s">
        <v>1574</v>
      </c>
      <c r="C45" s="121"/>
      <c r="D45" s="121"/>
      <c r="E45" s="121"/>
      <c r="F45" s="121"/>
    </row>
    <row r="46" spans="2:6" ht="12.75" hidden="1">
      <c r="B46" s="121"/>
      <c r="C46" s="121"/>
      <c r="D46" s="121"/>
      <c r="E46" s="121"/>
      <c r="F46" s="121"/>
    </row>
    <row r="47" spans="2:6" ht="12.75" hidden="1">
      <c r="B47" s="121" t="s">
        <v>1575</v>
      </c>
      <c r="C47" s="121"/>
      <c r="D47" s="121"/>
      <c r="E47" s="121">
        <f>E44*1.35</f>
        <v>25734.691397027025</v>
      </c>
      <c r="F47" s="121"/>
    </row>
    <row r="48" spans="2:6" ht="12.75" hidden="1">
      <c r="B48" s="121" t="s">
        <v>707</v>
      </c>
      <c r="C48" s="121"/>
      <c r="D48" s="121"/>
      <c r="E48" s="121"/>
      <c r="F48" s="121"/>
    </row>
    <row r="49" spans="2:6" ht="12.75">
      <c r="B49" s="121"/>
      <c r="C49" s="121"/>
      <c r="D49" s="121"/>
      <c r="E49" s="121"/>
      <c r="F49" s="121"/>
    </row>
    <row r="50" spans="1:6" ht="12.75">
      <c r="A50" s="8" t="s">
        <v>1576</v>
      </c>
      <c r="B50" s="121"/>
      <c r="C50" s="121"/>
      <c r="D50" s="121"/>
      <c r="E50" s="129">
        <f>E41*0</f>
        <v>0</v>
      </c>
      <c r="F50" s="121"/>
    </row>
    <row r="51" spans="1:6" ht="12.75">
      <c r="A51" s="8"/>
      <c r="B51" s="121"/>
      <c r="C51" s="121"/>
      <c r="D51" s="121"/>
      <c r="E51" s="129"/>
      <c r="F51" s="121"/>
    </row>
    <row r="52" spans="1:6" ht="12.75">
      <c r="A52" s="8" t="s">
        <v>1577</v>
      </c>
      <c r="B52" s="121"/>
      <c r="C52" s="121"/>
      <c r="D52" s="121"/>
      <c r="E52" s="129">
        <f>E41+E50</f>
        <v>487368.93487600435</v>
      </c>
      <c r="F52" s="121"/>
    </row>
    <row r="53" spans="2:6" ht="12.75">
      <c r="B53" s="121"/>
      <c r="C53" s="121"/>
      <c r="D53" s="121"/>
      <c r="E53" s="121"/>
      <c r="F53" s="121"/>
    </row>
    <row r="54" spans="1:9" ht="12.75">
      <c r="A54" s="8" t="s">
        <v>1578</v>
      </c>
      <c r="B54" s="121"/>
      <c r="C54" s="121"/>
      <c r="D54" s="121"/>
      <c r="E54" s="127">
        <f>E52/7/3</f>
        <v>23208.04451790497</v>
      </c>
      <c r="F54" s="130"/>
      <c r="G54" s="8"/>
      <c r="H54" s="131"/>
      <c r="I54" s="8"/>
    </row>
    <row r="55" spans="1:6" ht="12.75">
      <c r="A55" s="10"/>
      <c r="B55" s="35"/>
      <c r="C55" s="35"/>
      <c r="D55" s="35"/>
      <c r="E55" s="132"/>
      <c r="F55" s="132"/>
    </row>
    <row r="57" ht="12.75">
      <c r="E57" s="35"/>
    </row>
    <row r="58" spans="5:6" ht="12.75">
      <c r="E58" s="57"/>
      <c r="F58" s="57"/>
    </row>
  </sheetData>
  <mergeCells count="4">
    <mergeCell ref="A1:E1"/>
    <mergeCell ref="A2:E2"/>
    <mergeCell ref="A3:E3"/>
    <mergeCell ref="A4:E4"/>
  </mergeCells>
  <printOptions gridLines="1"/>
  <pageMargins left="0.75" right="0.75" top="1" bottom="1" header="0.5" footer="0.5"/>
  <pageSetup fitToHeight="1" fitToWidth="1" horizontalDpi="600" verticalDpi="600" orientation="portrait" scale="94" r:id="rId1"/>
</worksheet>
</file>

<file path=xl/worksheets/sheet15.xml><?xml version="1.0" encoding="utf-8"?>
<worksheet xmlns="http://schemas.openxmlformats.org/spreadsheetml/2006/main" xmlns:r="http://schemas.openxmlformats.org/officeDocument/2006/relationships">
  <sheetPr codeName="Sheet27">
    <pageSetUpPr fitToPage="1"/>
  </sheetPr>
  <dimension ref="A1:I58"/>
  <sheetViews>
    <sheetView workbookViewId="0" topLeftCell="A1">
      <selection activeCell="B58" sqref="B58"/>
    </sheetView>
  </sheetViews>
  <sheetFormatPr defaultColWidth="9.140625" defaultRowHeight="12.75"/>
  <cols>
    <col min="1" max="1" width="43.8515625" style="0" customWidth="1"/>
    <col min="2" max="2" width="9.7109375" style="0" bestFit="1" customWidth="1"/>
    <col min="3" max="3" width="12.8515625" style="0" customWidth="1"/>
    <col min="4" max="4" width="10.28125" style="0" bestFit="1" customWidth="1"/>
    <col min="5" max="5" width="19.00390625" style="0" customWidth="1"/>
    <col min="6" max="6" width="7.57421875" style="0" customWidth="1"/>
    <col min="7" max="7" width="11.00390625" style="0" customWidth="1"/>
  </cols>
  <sheetData>
    <row r="1" spans="1:6" ht="15.75">
      <c r="A1" s="350" t="s">
        <v>1717</v>
      </c>
      <c r="B1" s="351"/>
      <c r="C1" s="351"/>
      <c r="D1" s="351"/>
      <c r="E1" s="352"/>
      <c r="F1" s="116"/>
    </row>
    <row r="2" spans="1:6" ht="15.75">
      <c r="A2" s="353" t="s">
        <v>1549</v>
      </c>
      <c r="B2" s="354"/>
      <c r="C2" s="354"/>
      <c r="D2" s="354"/>
      <c r="E2" s="355"/>
      <c r="F2" s="117"/>
    </row>
    <row r="3" spans="1:6" ht="15.75">
      <c r="A3" s="353" t="s">
        <v>1790</v>
      </c>
      <c r="B3" s="356"/>
      <c r="C3" s="356"/>
      <c r="D3" s="356"/>
      <c r="E3" s="357"/>
      <c r="F3" s="5"/>
    </row>
    <row r="4" spans="1:6" ht="12.75">
      <c r="A4" s="358" t="s">
        <v>1697</v>
      </c>
      <c r="B4" s="358"/>
      <c r="C4" s="358"/>
      <c r="D4" s="358"/>
      <c r="E4" s="358"/>
      <c r="F4" s="5"/>
    </row>
    <row r="5" spans="1:6" ht="15.75">
      <c r="A5" s="119" t="s">
        <v>1550</v>
      </c>
      <c r="B5" s="5"/>
      <c r="C5" s="5"/>
      <c r="D5" s="65" t="s">
        <v>1544</v>
      </c>
      <c r="E5" s="65" t="s">
        <v>1551</v>
      </c>
      <c r="F5" s="65"/>
    </row>
    <row r="6" spans="1:6" ht="12.75">
      <c r="A6" s="120" t="s">
        <v>1695</v>
      </c>
      <c r="B6" s="5"/>
      <c r="C6" s="5"/>
      <c r="D6" s="133">
        <v>85</v>
      </c>
      <c r="E6" s="33">
        <v>168</v>
      </c>
      <c r="F6" s="33"/>
    </row>
    <row r="7" spans="1:6" ht="12.75">
      <c r="A7" s="5"/>
      <c r="B7" s="5"/>
      <c r="C7" s="5"/>
      <c r="D7" s="65" t="s">
        <v>1529</v>
      </c>
      <c r="E7" s="5"/>
      <c r="F7" s="5"/>
    </row>
    <row r="8" spans="1:6" ht="12.75">
      <c r="A8" s="5"/>
      <c r="B8" s="5"/>
      <c r="C8" s="5"/>
      <c r="D8" s="65"/>
      <c r="E8" s="5"/>
      <c r="F8" s="5"/>
    </row>
    <row r="9" spans="2:4" ht="12.75">
      <c r="B9" s="65" t="s">
        <v>1499</v>
      </c>
      <c r="C9" s="65" t="s">
        <v>1552</v>
      </c>
      <c r="D9" s="65" t="s">
        <v>1553</v>
      </c>
    </row>
    <row r="10" spans="1:6" ht="12.75">
      <c r="A10" s="8" t="s">
        <v>1554</v>
      </c>
      <c r="B10" s="6"/>
      <c r="C10" s="6"/>
      <c r="D10" s="6"/>
      <c r="E10" s="9" t="s">
        <v>887</v>
      </c>
      <c r="F10" s="9"/>
    </row>
    <row r="11" spans="1:6" ht="12.75">
      <c r="A11" t="s">
        <v>1517</v>
      </c>
      <c r="B11" s="121"/>
      <c r="C11" s="121"/>
      <c r="D11" s="121"/>
      <c r="E11" s="121"/>
      <c r="F11" s="122"/>
    </row>
    <row r="12" spans="1:6" ht="12.75">
      <c r="A12" t="s">
        <v>1518</v>
      </c>
      <c r="B12" s="121">
        <f>3*E6*G14*1.15</f>
        <v>38920.14000000001</v>
      </c>
      <c r="C12" s="121">
        <f>B12*'Labor and Indirect Rates (NSF)'!$H$19</f>
        <v>7681.138717896001</v>
      </c>
      <c r="D12" s="121">
        <f>C12*'Labor and Indirect Rates (NSF)'!$H$29</f>
        <v>3089.517370158302</v>
      </c>
      <c r="E12" s="121">
        <f>SUM(B12:D12)</f>
        <v>49690.79608805431</v>
      </c>
      <c r="F12" s="34"/>
    </row>
    <row r="13" spans="1:8" ht="12.75">
      <c r="A13" t="s">
        <v>1555</v>
      </c>
      <c r="B13" s="121">
        <f>1*E6*(G13+G14)/2/2</f>
        <v>6585.6</v>
      </c>
      <c r="C13" s="121">
        <f>B13*'Labor and Indirect Rates (NSF)'!$H$19</f>
        <v>1299.71030784</v>
      </c>
      <c r="D13" s="121">
        <f>C13*'Labor and Indirect Rates (NSF)'!$H$29</f>
        <v>522.7711306514959</v>
      </c>
      <c r="E13" s="121">
        <f>SUM(B13:D13)</f>
        <v>8408.081438491496</v>
      </c>
      <c r="F13" s="34"/>
      <c r="G13" s="123">
        <f>'Labor and Indirect Rates (NSF)'!C132</f>
        <v>89.65</v>
      </c>
      <c r="H13" t="s">
        <v>1556</v>
      </c>
    </row>
    <row r="14" spans="1:8" ht="12.75">
      <c r="A14" t="s">
        <v>1520</v>
      </c>
      <c r="B14" s="121">
        <f>E6*G15*1.15</f>
        <v>10143</v>
      </c>
      <c r="C14" s="121">
        <f>B14*'Labor and Indirect Rates (NSF)'!$H$19</f>
        <v>2001.7859652</v>
      </c>
      <c r="D14" s="121">
        <f>C14*'Labor and Indirect Rates (NSF)'!$H$29</f>
        <v>805.16089319092</v>
      </c>
      <c r="E14" s="121">
        <f>SUM(B14:D14)</f>
        <v>12949.94685839092</v>
      </c>
      <c r="F14" s="34"/>
      <c r="G14" s="123">
        <f>'Labor and Indirect Rates (NSF)'!C130</f>
        <v>67.15</v>
      </c>
      <c r="H14" t="s">
        <v>1557</v>
      </c>
    </row>
    <row r="15" spans="1:8" ht="12.75">
      <c r="A15" t="s">
        <v>1521</v>
      </c>
      <c r="B15" s="121">
        <f>E6*G15*1.15</f>
        <v>10143</v>
      </c>
      <c r="C15" s="121">
        <f>B15*'Labor and Indirect Rates (NSF)'!$H$19</f>
        <v>2001.7859652</v>
      </c>
      <c r="D15" s="121">
        <f>C15*'Labor and Indirect Rates (NSF)'!$H$29</f>
        <v>805.16089319092</v>
      </c>
      <c r="E15" s="121">
        <f>SUM(B15:D15)</f>
        <v>12949.94685839092</v>
      </c>
      <c r="F15" s="34"/>
      <c r="G15" s="123">
        <f>'Labor and Indirect Rates (NSF)'!C129</f>
        <v>52.5</v>
      </c>
      <c r="H15" t="s">
        <v>1558</v>
      </c>
    </row>
    <row r="16" spans="2:6" ht="12.75">
      <c r="B16" s="121"/>
      <c r="C16" s="121"/>
      <c r="D16" s="121"/>
      <c r="E16" s="121"/>
      <c r="F16" s="34"/>
    </row>
    <row r="17" spans="1:9" ht="12.75">
      <c r="A17" t="s">
        <v>1559</v>
      </c>
      <c r="B17" s="121">
        <f>E6/168*20600*1.01*1.03</f>
        <v>21430.18</v>
      </c>
      <c r="C17" s="121">
        <f>B17*0</f>
        <v>0</v>
      </c>
      <c r="D17" s="121">
        <f>B17*'Labor and Indirect Rates (NSF)'!$H$55</f>
        <v>2571.6216</v>
      </c>
      <c r="E17" s="121">
        <f>SUM(B17:D17)</f>
        <v>24001.8016</v>
      </c>
      <c r="F17" s="34"/>
      <c r="G17" s="32" t="s">
        <v>767</v>
      </c>
      <c r="I17" s="33">
        <f>'Labor and Indirect Rates (NSF)'!D144</f>
        <v>1755</v>
      </c>
    </row>
    <row r="18" spans="1:6" ht="12.75">
      <c r="A18" t="s">
        <v>1560</v>
      </c>
      <c r="B18" s="121">
        <f>E6/168*51500*1.03*1.03</f>
        <v>54636.35</v>
      </c>
      <c r="C18" s="121">
        <f>B18*'Labor and Indirect Rates (NSF)'!$G$69</f>
        <v>3824.5445000000004</v>
      </c>
      <c r="D18" s="121">
        <f>B18*'Labor and Indirect Rates (NSF)'!$H$69</f>
        <v>10230.6565375</v>
      </c>
      <c r="E18" s="121">
        <f>SUM(B18:D18)</f>
        <v>68691.5510375</v>
      </c>
      <c r="F18" s="34"/>
    </row>
    <row r="19" spans="1:6" ht="12.75">
      <c r="A19" t="s">
        <v>1561</v>
      </c>
      <c r="B19" s="121">
        <f>E6/168*18540*1.03*1.03</f>
        <v>19669.086000000003</v>
      </c>
      <c r="C19" s="121">
        <f>B19*'Labor and Indirect Rates (NSF)'!$G$82</f>
        <v>1376.8360200000004</v>
      </c>
      <c r="D19" s="121">
        <f>B19*'Labor and Indirect Rates (NSF)'!$H$86</f>
        <v>1322.7460335000003</v>
      </c>
      <c r="E19" s="121">
        <f>SUM(B19:D19)</f>
        <v>22368.6680535</v>
      </c>
      <c r="F19" s="34"/>
    </row>
    <row r="20" spans="2:6" ht="12.75">
      <c r="B20" s="121"/>
      <c r="C20" s="121"/>
      <c r="D20" s="121"/>
      <c r="E20" s="121"/>
      <c r="F20" s="34"/>
    </row>
    <row r="21" spans="1:7" ht="12.75">
      <c r="A21" s="8" t="s">
        <v>1562</v>
      </c>
      <c r="B21" s="121"/>
      <c r="C21" s="121"/>
      <c r="D21" s="121"/>
      <c r="E21" s="121"/>
      <c r="F21" s="34"/>
      <c r="G21" s="35"/>
    </row>
    <row r="22" spans="1:7" ht="12.75">
      <c r="A22" t="s">
        <v>1563</v>
      </c>
      <c r="B22" s="121">
        <f>2*E6*G15*1.15</f>
        <v>20286</v>
      </c>
      <c r="C22" s="121">
        <f>B22*'Labor and Indirect Rates (NSF)'!$H$19</f>
        <v>4003.5719304</v>
      </c>
      <c r="D22" s="121">
        <f>C22*'Labor and Indirect Rates (NSF)'!$H$29</f>
        <v>1610.32178638184</v>
      </c>
      <c r="E22" s="121">
        <f>SUM(B22:D22)</f>
        <v>25899.89371678184</v>
      </c>
      <c r="F22" s="34"/>
      <c r="G22" s="35"/>
    </row>
    <row r="23" spans="1:7" ht="12.75">
      <c r="A23" t="s">
        <v>1719</v>
      </c>
      <c r="B23" s="121">
        <f>2*$E$6*$G$15*0.75*1.15</f>
        <v>15214.499999999998</v>
      </c>
      <c r="C23" s="121">
        <f>B23*'Labor and Indirect Rates (NSF)'!$H$19</f>
        <v>3002.6789477999996</v>
      </c>
      <c r="D23" s="121">
        <f>C23*'Labor and Indirect Rates (NSF)'!$H$29</f>
        <v>1207.7413397863797</v>
      </c>
      <c r="E23" s="121">
        <f>SUM(B23:D23)</f>
        <v>19424.920287586378</v>
      </c>
      <c r="F23" s="34"/>
      <c r="G23" s="35"/>
    </row>
    <row r="24" spans="1:6" ht="12.75">
      <c r="A24" t="s">
        <v>1565</v>
      </c>
      <c r="B24" s="121">
        <f>2*40*G14*E6/336</f>
        <v>2686</v>
      </c>
      <c r="C24" s="121">
        <f>B24*'Labor and Indirect Rates (NSF)'!$H$19</f>
        <v>530.0992904</v>
      </c>
      <c r="D24" s="121">
        <f>C24*'Labor and Indirect Rates (NSF)'!$H$29</f>
        <v>213.21720981078684</v>
      </c>
      <c r="E24" s="121">
        <f>SUM(B24:D24)</f>
        <v>3429.3165002107867</v>
      </c>
      <c r="F24" s="34"/>
    </row>
    <row r="25" spans="1:6" ht="12.75">
      <c r="A25" t="s">
        <v>1716</v>
      </c>
      <c r="B25" s="121">
        <f>22400*1.03*1.03</f>
        <v>23764.16</v>
      </c>
      <c r="C25" s="121">
        <f>B25*'Labor and Indirect Rates (NSF)'!$G$69</f>
        <v>1663.4912000000002</v>
      </c>
      <c r="D25" s="121">
        <f>B25*'Labor and Indirect Rates (NSF)'!$H$69</f>
        <v>4449.83896</v>
      </c>
      <c r="E25" s="121">
        <f>SUM(B25:D25)</f>
        <v>29877.49016</v>
      </c>
      <c r="F25" s="34"/>
    </row>
    <row r="26" spans="2:6" ht="12.75">
      <c r="B26" s="121"/>
      <c r="C26" s="121"/>
      <c r="D26" s="121"/>
      <c r="E26" s="121"/>
      <c r="F26" s="34"/>
    </row>
    <row r="27" spans="2:6" ht="12.75">
      <c r="B27" s="121"/>
      <c r="C27" s="121"/>
      <c r="D27" s="121"/>
      <c r="E27" s="121"/>
      <c r="F27" s="34"/>
    </row>
    <row r="28" spans="1:6" ht="12.75">
      <c r="A28" s="8" t="s">
        <v>1567</v>
      </c>
      <c r="B28" s="121"/>
      <c r="C28" s="121"/>
      <c r="D28" s="121"/>
      <c r="E28" s="121"/>
      <c r="F28" s="34"/>
    </row>
    <row r="29" spans="1:6" ht="12.75">
      <c r="A29" t="s">
        <v>1568</v>
      </c>
      <c r="B29" s="121">
        <f>$E$6*$G$15/4*1.15</f>
        <v>2535.75</v>
      </c>
      <c r="C29" s="121">
        <f>B29*'Labor and Indirect Rates (NSF)'!$H$19</f>
        <v>500.4464913</v>
      </c>
      <c r="D29" s="121">
        <f>C29*'Labor and Indirect Rates (NSF)'!$H$29</f>
        <v>201.29022329773</v>
      </c>
      <c r="E29" s="121">
        <f>SUM(B29:D29)</f>
        <v>3237.48671459773</v>
      </c>
      <c r="F29" s="34"/>
    </row>
    <row r="30" spans="1:6" ht="12.75">
      <c r="A30" t="s">
        <v>1559</v>
      </c>
      <c r="B30" s="121">
        <f>E6/168*4800*1.03*1.03</f>
        <v>5092.32</v>
      </c>
      <c r="C30" s="121">
        <f>B30*0</f>
        <v>0</v>
      </c>
      <c r="D30" s="121">
        <f>B30*'Labor and Indirect Rates (NSF)'!$H$55</f>
        <v>611.0784</v>
      </c>
      <c r="E30" s="121">
        <f>SUM(B30:D30)</f>
        <v>5703.3984</v>
      </c>
      <c r="F30" s="34"/>
    </row>
    <row r="31" spans="1:6" ht="12.75">
      <c r="A31" t="s">
        <v>1560</v>
      </c>
      <c r="B31" s="121">
        <f>E6/168*8200*1.03*1.03</f>
        <v>8699.380000000001</v>
      </c>
      <c r="C31" s="121">
        <f>B31*'Labor and Indirect Rates (NSF)'!$G$69</f>
        <v>608.9566000000001</v>
      </c>
      <c r="D31" s="121">
        <f>B31*'Labor and Indirect Rates (NSF)'!$H$69</f>
        <v>1628.9589050000002</v>
      </c>
      <c r="E31" s="121">
        <f>SUM(B31:D31)</f>
        <v>10937.295505</v>
      </c>
      <c r="F31" s="34"/>
    </row>
    <row r="32" spans="1:6" ht="12.75">
      <c r="A32" t="s">
        <v>1561</v>
      </c>
      <c r="B32" s="121">
        <f>E6/168*39500*1.03*1.03</f>
        <v>41905.55</v>
      </c>
      <c r="C32" s="121">
        <f>B32*'Labor and Indirect Rates (NSF)'!$G$82</f>
        <v>2933.3885000000005</v>
      </c>
      <c r="D32" s="121">
        <f>B32*'Labor and Indirect Rates (NSF)'!$H$86</f>
        <v>2818.1482375000005</v>
      </c>
      <c r="E32" s="124">
        <f>SUM(B32:D32)</f>
        <v>47657.0867375</v>
      </c>
      <c r="F32" s="125"/>
    </row>
    <row r="33" spans="2:6" ht="12.75">
      <c r="B33" s="121"/>
      <c r="C33" s="121"/>
      <c r="D33" s="121"/>
      <c r="E33" s="121"/>
      <c r="F33" s="34"/>
    </row>
    <row r="34" spans="1:6" ht="12.75">
      <c r="A34" s="8" t="s">
        <v>1569</v>
      </c>
      <c r="B34" s="121">
        <f>SUM(B12:B32)</f>
        <v>281711.01600000006</v>
      </c>
      <c r="C34" s="121">
        <f>SUM(C11:C32)</f>
        <v>31428.43443603601</v>
      </c>
      <c r="D34" s="121">
        <f>SUM(D11:D32)</f>
        <v>32088.22951996837</v>
      </c>
      <c r="E34" s="121">
        <f>SUM(E11:E32)</f>
        <v>345227.6799560044</v>
      </c>
      <c r="F34" s="34"/>
    </row>
    <row r="35" spans="1:6" ht="12.75">
      <c r="A35" s="8"/>
      <c r="B35" s="121"/>
      <c r="C35" s="121"/>
      <c r="D35" s="121"/>
      <c r="E35" s="121"/>
      <c r="F35" s="121"/>
    </row>
    <row r="36" spans="2:6" ht="12.75">
      <c r="B36" s="121"/>
      <c r="C36" s="121"/>
      <c r="D36" s="121"/>
      <c r="E36" s="121"/>
      <c r="F36" s="121"/>
    </row>
    <row r="37" spans="1:6" ht="12.75">
      <c r="A37" s="8" t="s">
        <v>1570</v>
      </c>
      <c r="B37" s="121"/>
      <c r="C37" s="121"/>
      <c r="D37" s="121"/>
      <c r="E37" s="121"/>
      <c r="F37" s="121"/>
    </row>
    <row r="38" spans="1:6" ht="12.75">
      <c r="A38" t="s">
        <v>1791</v>
      </c>
      <c r="B38" s="121">
        <f>7.4*D6*E6</f>
        <v>105672</v>
      </c>
      <c r="C38" s="121">
        <v>0</v>
      </c>
      <c r="D38" s="121">
        <v>0</v>
      </c>
      <c r="E38" s="124">
        <f>SUM(B38:D38)</f>
        <v>105672</v>
      </c>
      <c r="F38" s="124"/>
    </row>
    <row r="39" spans="2:6" ht="12.75">
      <c r="B39" s="121"/>
      <c r="C39" s="121"/>
      <c r="D39" s="121"/>
      <c r="E39" s="124"/>
      <c r="F39" s="124"/>
    </row>
    <row r="40" spans="2:6" ht="12.75">
      <c r="B40" s="121"/>
      <c r="C40" s="121"/>
      <c r="D40" s="121"/>
      <c r="E40" s="121"/>
      <c r="F40" s="121"/>
    </row>
    <row r="41" spans="1:6" ht="12.75">
      <c r="A41" s="8" t="s">
        <v>1571</v>
      </c>
      <c r="B41" s="126">
        <f>SUM(B34:B39)</f>
        <v>387383.01600000006</v>
      </c>
      <c r="C41" s="126">
        <f>SUM(C34:C39)</f>
        <v>31428.43443603601</v>
      </c>
      <c r="D41" s="126">
        <f>SUM(D34:D39)</f>
        <v>32088.22951996837</v>
      </c>
      <c r="E41" s="127">
        <f>SUM(E34:E39)</f>
        <v>450899.6799560044</v>
      </c>
      <c r="F41" s="127"/>
    </row>
    <row r="42" spans="1:6" ht="15" hidden="1">
      <c r="A42" s="8" t="s">
        <v>1572</v>
      </c>
      <c r="B42" s="121"/>
      <c r="C42" s="121"/>
      <c r="D42" s="121"/>
      <c r="E42" s="128">
        <f>E41-D41</f>
        <v>418811.450436036</v>
      </c>
      <c r="F42" s="128"/>
    </row>
    <row r="43" spans="2:6" ht="12.75" hidden="1">
      <c r="B43" s="121"/>
      <c r="C43" s="121"/>
      <c r="D43" s="121"/>
      <c r="E43" s="121"/>
      <c r="F43" s="121"/>
    </row>
    <row r="44" spans="2:6" ht="12.75" hidden="1">
      <c r="B44" s="121" t="s">
        <v>1573</v>
      </c>
      <c r="C44" s="121"/>
      <c r="D44" s="121"/>
      <c r="E44" s="121">
        <f>E42/24</f>
        <v>17450.4771015015</v>
      </c>
      <c r="F44" s="121"/>
    </row>
    <row r="45" spans="2:6" ht="12.75" hidden="1">
      <c r="B45" s="121" t="s">
        <v>1574</v>
      </c>
      <c r="C45" s="121"/>
      <c r="D45" s="121"/>
      <c r="E45" s="121"/>
      <c r="F45" s="121"/>
    </row>
    <row r="46" spans="2:6" ht="12.75" hidden="1">
      <c r="B46" s="121"/>
      <c r="C46" s="121"/>
      <c r="D46" s="121"/>
      <c r="E46" s="121"/>
      <c r="F46" s="121"/>
    </row>
    <row r="47" spans="2:6" ht="12.75" hidden="1">
      <c r="B47" s="121" t="s">
        <v>1575</v>
      </c>
      <c r="C47" s="121"/>
      <c r="D47" s="121"/>
      <c r="E47" s="121">
        <f>E44*1.35</f>
        <v>23558.144087027027</v>
      </c>
      <c r="F47" s="121"/>
    </row>
    <row r="48" spans="2:6" ht="12.75" hidden="1">
      <c r="B48" s="121" t="s">
        <v>707</v>
      </c>
      <c r="C48" s="121"/>
      <c r="D48" s="121"/>
      <c r="E48" s="121"/>
      <c r="F48" s="121"/>
    </row>
    <row r="49" spans="2:6" ht="12.75">
      <c r="B49" s="121"/>
      <c r="C49" s="121"/>
      <c r="D49" s="121"/>
      <c r="E49" s="121"/>
      <c r="F49" s="121"/>
    </row>
    <row r="50" spans="1:6" ht="12.75">
      <c r="A50" s="8" t="s">
        <v>1576</v>
      </c>
      <c r="B50" s="121"/>
      <c r="C50" s="121"/>
      <c r="D50" s="121"/>
      <c r="E50" s="129">
        <f>E41*0</f>
        <v>0</v>
      </c>
      <c r="F50" s="121"/>
    </row>
    <row r="51" spans="1:6" ht="12.75">
      <c r="A51" s="8"/>
      <c r="B51" s="121"/>
      <c r="C51" s="121"/>
      <c r="D51" s="121"/>
      <c r="E51" s="129"/>
      <c r="F51" s="121"/>
    </row>
    <row r="52" spans="1:6" ht="12.75">
      <c r="A52" s="8" t="s">
        <v>1577</v>
      </c>
      <c r="B52" s="121"/>
      <c r="C52" s="121"/>
      <c r="D52" s="121"/>
      <c r="E52" s="129">
        <f>E41+E50</f>
        <v>450899.6799560044</v>
      </c>
      <c r="F52" s="121"/>
    </row>
    <row r="53" spans="2:6" ht="12.75">
      <c r="B53" s="121"/>
      <c r="C53" s="121"/>
      <c r="D53" s="121"/>
      <c r="E53" s="121"/>
      <c r="F53" s="121"/>
    </row>
    <row r="54" spans="1:9" ht="12.75">
      <c r="A54" s="8" t="s">
        <v>1578</v>
      </c>
      <c r="B54" s="121"/>
      <c r="C54" s="121"/>
      <c r="D54" s="121"/>
      <c r="E54" s="127">
        <f>E52/7/3</f>
        <v>21471.413331238302</v>
      </c>
      <c r="F54" s="130"/>
      <c r="G54" s="8"/>
      <c r="H54" s="131"/>
      <c r="I54" s="8"/>
    </row>
    <row r="55" spans="1:6" ht="12.75">
      <c r="A55" s="10"/>
      <c r="B55" s="35"/>
      <c r="C55" s="35"/>
      <c r="D55" s="35"/>
      <c r="E55" s="132"/>
      <c r="F55" s="132"/>
    </row>
    <row r="57" ht="12.75">
      <c r="E57" s="35"/>
    </row>
    <row r="58" spans="5:6" ht="12.75">
      <c r="E58" s="57"/>
      <c r="F58" s="57"/>
    </row>
  </sheetData>
  <mergeCells count="4">
    <mergeCell ref="A1:E1"/>
    <mergeCell ref="A2:E2"/>
    <mergeCell ref="A3:E3"/>
    <mergeCell ref="A4:E4"/>
  </mergeCells>
  <printOptions gridLines="1"/>
  <pageMargins left="0.75" right="0.75" top="1" bottom="1" header="0.5" footer="0.5"/>
  <pageSetup fitToHeight="1" fitToWidth="1" horizontalDpi="600" verticalDpi="600" orientation="portrait" scale="94" r:id="rId1"/>
</worksheet>
</file>

<file path=xl/worksheets/sheet16.xml><?xml version="1.0" encoding="utf-8"?>
<worksheet xmlns="http://schemas.openxmlformats.org/spreadsheetml/2006/main" xmlns:r="http://schemas.openxmlformats.org/officeDocument/2006/relationships">
  <sheetPr codeName="Sheet25">
    <pageSetUpPr fitToPage="1"/>
  </sheetPr>
  <dimension ref="A1:I58"/>
  <sheetViews>
    <sheetView workbookViewId="0" topLeftCell="A13">
      <selection activeCell="B59" sqref="B59"/>
    </sheetView>
  </sheetViews>
  <sheetFormatPr defaultColWidth="9.140625" defaultRowHeight="12.75"/>
  <cols>
    <col min="1" max="1" width="43.8515625" style="0" customWidth="1"/>
    <col min="2" max="2" width="9.7109375" style="0" bestFit="1" customWidth="1"/>
    <col min="3" max="3" width="12.8515625" style="0" customWidth="1"/>
    <col min="4" max="4" width="10.28125" style="0" bestFit="1" customWidth="1"/>
    <col min="5" max="5" width="19.00390625" style="0" customWidth="1"/>
    <col min="6" max="6" width="7.57421875" style="0" customWidth="1"/>
    <col min="7" max="7" width="11.00390625" style="0" customWidth="1"/>
  </cols>
  <sheetData>
    <row r="1" spans="1:6" ht="15.75">
      <c r="A1" s="350" t="s">
        <v>1548</v>
      </c>
      <c r="B1" s="351"/>
      <c r="C1" s="351"/>
      <c r="D1" s="351"/>
      <c r="E1" s="352"/>
      <c r="F1" s="116"/>
    </row>
    <row r="2" spans="1:6" ht="15.75">
      <c r="A2" s="353" t="s">
        <v>1549</v>
      </c>
      <c r="B2" s="354"/>
      <c r="C2" s="354"/>
      <c r="D2" s="354"/>
      <c r="E2" s="355"/>
      <c r="F2" s="117"/>
    </row>
    <row r="3" spans="1:6" ht="15.75">
      <c r="A3" s="353" t="s">
        <v>1579</v>
      </c>
      <c r="B3" s="356"/>
      <c r="C3" s="356"/>
      <c r="D3" s="356"/>
      <c r="E3" s="357"/>
      <c r="F3" s="5"/>
    </row>
    <row r="4" spans="1:6" ht="12.75">
      <c r="A4" s="358" t="s">
        <v>1697</v>
      </c>
      <c r="B4" s="358"/>
      <c r="C4" s="358"/>
      <c r="D4" s="358"/>
      <c r="E4" s="358"/>
      <c r="F4" s="5"/>
    </row>
    <row r="5" spans="1:6" ht="15.75">
      <c r="A5" s="119" t="s">
        <v>1550</v>
      </c>
      <c r="B5" s="5"/>
      <c r="C5" s="5"/>
      <c r="D5" s="65" t="s">
        <v>1544</v>
      </c>
      <c r="E5" s="65" t="s">
        <v>1551</v>
      </c>
      <c r="F5" s="65"/>
    </row>
    <row r="6" spans="1:6" ht="12.75">
      <c r="A6" s="120" t="s">
        <v>1695</v>
      </c>
      <c r="B6" s="5"/>
      <c r="C6" s="5"/>
      <c r="D6" s="133">
        <v>85</v>
      </c>
      <c r="E6" s="33">
        <v>168</v>
      </c>
      <c r="F6" s="33"/>
    </row>
    <row r="7" spans="1:6" ht="12.75">
      <c r="A7" s="5"/>
      <c r="B7" s="5"/>
      <c r="C7" s="5"/>
      <c r="D7" s="65" t="s">
        <v>1529</v>
      </c>
      <c r="E7" s="5"/>
      <c r="F7" s="5"/>
    </row>
    <row r="8" spans="1:6" ht="12.75">
      <c r="A8" s="5"/>
      <c r="B8" s="5"/>
      <c r="C8" s="5"/>
      <c r="D8" s="65"/>
      <c r="E8" s="5"/>
      <c r="F8" s="5"/>
    </row>
    <row r="9" spans="2:4" ht="12.75">
      <c r="B9" s="65" t="s">
        <v>1499</v>
      </c>
      <c r="C9" s="65" t="s">
        <v>1552</v>
      </c>
      <c r="D9" s="65" t="s">
        <v>1553</v>
      </c>
    </row>
    <row r="10" spans="1:6" ht="12.75">
      <c r="A10" s="8" t="s">
        <v>1554</v>
      </c>
      <c r="B10" s="6"/>
      <c r="C10" s="6"/>
      <c r="D10" s="6"/>
      <c r="E10" s="9" t="s">
        <v>887</v>
      </c>
      <c r="F10" s="9"/>
    </row>
    <row r="11" spans="1:6" ht="12.75">
      <c r="A11" t="s">
        <v>1517</v>
      </c>
      <c r="B11" s="121"/>
      <c r="C11" s="121"/>
      <c r="D11" s="121"/>
      <c r="E11" s="121"/>
      <c r="F11" s="122"/>
    </row>
    <row r="12" spans="1:6" ht="12.75">
      <c r="A12" t="s">
        <v>1518</v>
      </c>
      <c r="B12" s="121">
        <f>3*E6*G14*1.15</f>
        <v>38920.14000000001</v>
      </c>
      <c r="C12" s="121">
        <f>B12*'Labor and Indirect Rates (NSF)'!$H$19</f>
        <v>7681.138717896001</v>
      </c>
      <c r="D12" s="121">
        <f>C12*'Labor and Indirect Rates (NSF)'!$H$29</f>
        <v>3089.517370158302</v>
      </c>
      <c r="E12" s="121">
        <f>SUM(B12:D12)</f>
        <v>49690.79608805431</v>
      </c>
      <c r="F12" s="34"/>
    </row>
    <row r="13" spans="1:8" ht="12.75">
      <c r="A13" t="s">
        <v>1555</v>
      </c>
      <c r="B13" s="121">
        <f>1*E6*(G13+G14)/2/2</f>
        <v>6585.6</v>
      </c>
      <c r="C13" s="121">
        <f>B13*'Labor and Indirect Rates (NSF)'!$H$19</f>
        <v>1299.71030784</v>
      </c>
      <c r="D13" s="121">
        <f>C13*'Labor and Indirect Rates (NSF)'!$H$29</f>
        <v>522.7711306514959</v>
      </c>
      <c r="E13" s="121">
        <f>SUM(B13:D13)</f>
        <v>8408.081438491496</v>
      </c>
      <c r="F13" s="34"/>
      <c r="G13" s="123">
        <f>'Labor and Indirect Rates (NSF)'!C132</f>
        <v>89.65</v>
      </c>
      <c r="H13" t="s">
        <v>1556</v>
      </c>
    </row>
    <row r="14" spans="1:8" ht="12.75">
      <c r="A14" t="s">
        <v>1520</v>
      </c>
      <c r="B14" s="121">
        <f>E6*G15*1.15</f>
        <v>10143</v>
      </c>
      <c r="C14" s="121">
        <f>B14*'Labor and Indirect Rates (NSF)'!$H$19</f>
        <v>2001.7859652</v>
      </c>
      <c r="D14" s="121">
        <f>C14*'Labor and Indirect Rates (NSF)'!$H$29</f>
        <v>805.16089319092</v>
      </c>
      <c r="E14" s="121">
        <f>SUM(B14:D14)</f>
        <v>12949.94685839092</v>
      </c>
      <c r="F14" s="34"/>
      <c r="G14" s="123">
        <f>'Labor and Indirect Rates (NSF)'!C130</f>
        <v>67.15</v>
      </c>
      <c r="H14" t="s">
        <v>1557</v>
      </c>
    </row>
    <row r="15" spans="1:8" ht="12.75">
      <c r="A15" t="s">
        <v>1521</v>
      </c>
      <c r="B15" s="121">
        <f>E6*G15*1.15</f>
        <v>10143</v>
      </c>
      <c r="C15" s="121">
        <f>B15*'Labor and Indirect Rates (NSF)'!$H$19</f>
        <v>2001.7859652</v>
      </c>
      <c r="D15" s="121">
        <f>C15*'Labor and Indirect Rates (NSF)'!$H$29</f>
        <v>805.16089319092</v>
      </c>
      <c r="E15" s="121">
        <f>SUM(B15:D15)</f>
        <v>12949.94685839092</v>
      </c>
      <c r="F15" s="34"/>
      <c r="G15" s="123">
        <f>'Labor and Indirect Rates (NSF)'!C129</f>
        <v>52.5</v>
      </c>
      <c r="H15" t="s">
        <v>1558</v>
      </c>
    </row>
    <row r="16" spans="2:6" ht="12.75">
      <c r="B16" s="121"/>
      <c r="C16" s="121"/>
      <c r="D16" s="121"/>
      <c r="E16" s="121"/>
      <c r="F16" s="34"/>
    </row>
    <row r="17" spans="1:9" ht="12.75">
      <c r="A17" t="s">
        <v>1559</v>
      </c>
      <c r="B17" s="121">
        <f>E6/168*20600*1.01*1.03</f>
        <v>21430.18</v>
      </c>
      <c r="C17" s="121">
        <f>B17*0</f>
        <v>0</v>
      </c>
      <c r="D17" s="121">
        <f>B17*'Labor and Indirect Rates (NSF)'!$H$55</f>
        <v>2571.6216</v>
      </c>
      <c r="E17" s="121">
        <f>SUM(B17:D17)</f>
        <v>24001.8016</v>
      </c>
      <c r="F17" s="34"/>
      <c r="G17" s="32" t="s">
        <v>767</v>
      </c>
      <c r="I17" s="33">
        <f>'Labor and Indirect Rates (NSF)'!D144</f>
        <v>1755</v>
      </c>
    </row>
    <row r="18" spans="1:6" ht="12.75">
      <c r="A18" t="s">
        <v>1560</v>
      </c>
      <c r="B18" s="121">
        <f>E6/168*51500*1.03*1.03</f>
        <v>54636.35</v>
      </c>
      <c r="C18" s="121">
        <f>B18*'Labor and Indirect Rates (NSF)'!$G$69</f>
        <v>3824.5445000000004</v>
      </c>
      <c r="D18" s="121">
        <f>B18*'Labor and Indirect Rates (NSF)'!$H$69</f>
        <v>10230.6565375</v>
      </c>
      <c r="E18" s="121">
        <f>SUM(B18:D18)</f>
        <v>68691.5510375</v>
      </c>
      <c r="F18" s="34"/>
    </row>
    <row r="19" spans="1:6" ht="12.75">
      <c r="A19" t="s">
        <v>1561</v>
      </c>
      <c r="B19" s="121">
        <f>E6/168*18540*1.03*1.03</f>
        <v>19669.086000000003</v>
      </c>
      <c r="C19" s="121">
        <f>B19*'Labor and Indirect Rates (NSF)'!$G$82</f>
        <v>1376.8360200000004</v>
      </c>
      <c r="D19" s="121">
        <f>B19*'Labor and Indirect Rates (NSF)'!$H$86</f>
        <v>1322.7460335000003</v>
      </c>
      <c r="E19" s="121">
        <f>SUM(B19:D19)</f>
        <v>22368.6680535</v>
      </c>
      <c r="F19" s="34"/>
    </row>
    <row r="20" spans="2:6" ht="12.75">
      <c r="B20" s="121"/>
      <c r="C20" s="121"/>
      <c r="D20" s="121"/>
      <c r="E20" s="121"/>
      <c r="F20" s="34"/>
    </row>
    <row r="21" spans="1:7" ht="12.75">
      <c r="A21" s="8" t="s">
        <v>1562</v>
      </c>
      <c r="B21" s="121"/>
      <c r="C21" s="121"/>
      <c r="D21" s="121"/>
      <c r="E21" s="121"/>
      <c r="F21" s="34"/>
      <c r="G21" s="35"/>
    </row>
    <row r="22" spans="1:7" ht="12.75">
      <c r="A22" t="s">
        <v>1563</v>
      </c>
      <c r="B22" s="121">
        <f>2*E6*G15*1.15</f>
        <v>20286</v>
      </c>
      <c r="C22" s="121">
        <f>B22*'Labor and Indirect Rates (NSF)'!$H$19</f>
        <v>4003.5719304</v>
      </c>
      <c r="D22" s="121">
        <f>C22*'Labor and Indirect Rates (NSF)'!$H$29</f>
        <v>1610.32178638184</v>
      </c>
      <c r="E22" s="121">
        <f>SUM(B22:D22)</f>
        <v>25899.89371678184</v>
      </c>
      <c r="F22" s="34"/>
      <c r="G22" s="35"/>
    </row>
    <row r="23" spans="1:7" ht="12.75">
      <c r="A23" t="s">
        <v>1564</v>
      </c>
      <c r="B23" s="121">
        <f>2*$E$6*$G$15*0.75*1.15</f>
        <v>15214.499999999998</v>
      </c>
      <c r="C23" s="121">
        <f>B23*'Labor and Indirect Rates (NSF)'!$H$19</f>
        <v>3002.6789477999996</v>
      </c>
      <c r="D23" s="121">
        <f>C23*'Labor and Indirect Rates (NSF)'!$H$29</f>
        <v>1207.7413397863797</v>
      </c>
      <c r="E23" s="121">
        <f>SUM(B23:D23)</f>
        <v>19424.920287586378</v>
      </c>
      <c r="F23" s="34"/>
      <c r="G23" s="35"/>
    </row>
    <row r="24" spans="1:6" ht="12.75">
      <c r="A24" t="s">
        <v>1565</v>
      </c>
      <c r="B24" s="121">
        <f>2*40*G14*E6/336</f>
        <v>2686</v>
      </c>
      <c r="C24" s="121">
        <f>B24*'Labor and Indirect Rates (NSF)'!$H$19</f>
        <v>530.0992904</v>
      </c>
      <c r="D24" s="121">
        <f>C24*'Labor and Indirect Rates (NSF)'!$H$29</f>
        <v>213.21720981078684</v>
      </c>
      <c r="E24" s="121">
        <f>SUM(B24:D24)</f>
        <v>3429.3165002107867</v>
      </c>
      <c r="F24" s="34"/>
    </row>
    <row r="25" spans="1:6" ht="12.75">
      <c r="A25" t="s">
        <v>1560</v>
      </c>
      <c r="B25" s="121">
        <f>11200*1.03*1.03</f>
        <v>11882.08</v>
      </c>
      <c r="C25" s="121">
        <f>B25*'Labor and Indirect Rates (NSF)'!$G$69</f>
        <v>831.7456000000001</v>
      </c>
      <c r="D25" s="121">
        <f>B25*'Labor and Indirect Rates (NSF)'!$H$69</f>
        <v>2224.91948</v>
      </c>
      <c r="E25" s="121">
        <f>SUM(B25:D25)</f>
        <v>14938.74508</v>
      </c>
      <c r="F25" s="34"/>
    </row>
    <row r="26" spans="1:6" ht="12.75">
      <c r="A26" t="s">
        <v>1566</v>
      </c>
      <c r="B26" s="121">
        <f>11200*1.03*1.03</f>
        <v>11882.08</v>
      </c>
      <c r="C26" s="121">
        <f>B26*'Labor and Indirect Rates (NSF)'!$G$69</f>
        <v>831.7456000000001</v>
      </c>
      <c r="D26" s="121">
        <f>B26*'Labor and Indirect Rates (NSF)'!$H$69</f>
        <v>2224.91948</v>
      </c>
      <c r="E26" s="121">
        <f>SUM(B26:D26)</f>
        <v>14938.74508</v>
      </c>
      <c r="F26" s="34"/>
    </row>
    <row r="27" spans="2:6" ht="12.75">
      <c r="B27" s="121"/>
      <c r="C27" s="121"/>
      <c r="D27" s="121"/>
      <c r="E27" s="121"/>
      <c r="F27" s="34"/>
    </row>
    <row r="28" spans="1:6" ht="12.75">
      <c r="A28" s="8" t="s">
        <v>1567</v>
      </c>
      <c r="B28" s="121"/>
      <c r="C28" s="121"/>
      <c r="D28" s="121"/>
      <c r="E28" s="121"/>
      <c r="F28" s="34"/>
    </row>
    <row r="29" spans="1:6" ht="12.75">
      <c r="A29" t="s">
        <v>1568</v>
      </c>
      <c r="B29" s="121">
        <f>$E$6*$G$15/4*1.15</f>
        <v>2535.75</v>
      </c>
      <c r="C29" s="121">
        <f>B29*'Labor and Indirect Rates (NSF)'!$H$19</f>
        <v>500.4464913</v>
      </c>
      <c r="D29" s="121">
        <f>C29*'Labor and Indirect Rates (NSF)'!$H$29</f>
        <v>201.29022329773</v>
      </c>
      <c r="E29" s="121">
        <f>SUM(B29:D29)</f>
        <v>3237.48671459773</v>
      </c>
      <c r="F29" s="34"/>
    </row>
    <row r="30" spans="1:6" ht="12.75">
      <c r="A30" t="s">
        <v>1559</v>
      </c>
      <c r="B30" s="121">
        <f>E6/168*4800*1.03*1.03</f>
        <v>5092.32</v>
      </c>
      <c r="C30" s="121">
        <f>B30*0</f>
        <v>0</v>
      </c>
      <c r="D30" s="121">
        <f>B30*'Labor and Indirect Rates (NSF)'!$H$55</f>
        <v>611.0784</v>
      </c>
      <c r="E30" s="121">
        <f>SUM(B30:D30)</f>
        <v>5703.3984</v>
      </c>
      <c r="F30" s="34"/>
    </row>
    <row r="31" spans="1:6" ht="12.75">
      <c r="A31" t="s">
        <v>1560</v>
      </c>
      <c r="B31" s="121">
        <f>E6/168*8200*1.03*1.03</f>
        <v>8699.380000000001</v>
      </c>
      <c r="C31" s="121">
        <f>B31*'Labor and Indirect Rates (NSF)'!$G$69</f>
        <v>608.9566000000001</v>
      </c>
      <c r="D31" s="121">
        <f>B31*'Labor and Indirect Rates (NSF)'!$H$69</f>
        <v>1628.9589050000002</v>
      </c>
      <c r="E31" s="121">
        <f>SUM(B31:D31)</f>
        <v>10937.295505</v>
      </c>
      <c r="F31" s="34"/>
    </row>
    <row r="32" spans="1:6" ht="12.75">
      <c r="A32" t="s">
        <v>1561</v>
      </c>
      <c r="B32" s="121">
        <f>E6/168*39500*1.03*1.03</f>
        <v>41905.55</v>
      </c>
      <c r="C32" s="121">
        <f>B32*'Labor and Indirect Rates (NSF)'!$G$82</f>
        <v>2933.3885000000005</v>
      </c>
      <c r="D32" s="121">
        <f>B32*'Labor and Indirect Rates (NSF)'!$H$86</f>
        <v>2818.1482375000005</v>
      </c>
      <c r="E32" s="124">
        <f>SUM(B32:D32)</f>
        <v>47657.0867375</v>
      </c>
      <c r="F32" s="125"/>
    </row>
    <row r="33" spans="2:6" ht="12.75">
      <c r="B33" s="121"/>
      <c r="C33" s="121"/>
      <c r="D33" s="121"/>
      <c r="E33" s="121"/>
      <c r="F33" s="34"/>
    </row>
    <row r="34" spans="1:6" ht="12.75">
      <c r="A34" s="8" t="s">
        <v>1569</v>
      </c>
      <c r="B34" s="121">
        <f>SUM(B12:B32)</f>
        <v>281711.016</v>
      </c>
      <c r="C34" s="121">
        <f>SUM(C11:C32)</f>
        <v>31428.434436036005</v>
      </c>
      <c r="D34" s="121">
        <f>SUM(D11:D32)</f>
        <v>32088.22951996837</v>
      </c>
      <c r="E34" s="121">
        <f>SUM(E11:E32)</f>
        <v>345227.6799560044</v>
      </c>
      <c r="F34" s="34"/>
    </row>
    <row r="35" spans="1:6" ht="12.75">
      <c r="A35" s="8"/>
      <c r="B35" s="121"/>
      <c r="C35" s="121"/>
      <c r="D35" s="121"/>
      <c r="E35" s="121"/>
      <c r="F35" s="121"/>
    </row>
    <row r="36" spans="2:6" ht="12.75">
      <c r="B36" s="121"/>
      <c r="C36" s="121"/>
      <c r="D36" s="121"/>
      <c r="E36" s="121"/>
      <c r="F36" s="121"/>
    </row>
    <row r="37" spans="1:6" ht="12.75">
      <c r="A37" s="8" t="s">
        <v>1570</v>
      </c>
      <c r="B37" s="121"/>
      <c r="C37" s="121"/>
      <c r="D37" s="121"/>
      <c r="E37" s="121"/>
      <c r="F37" s="121"/>
    </row>
    <row r="38" spans="1:6" ht="12.75">
      <c r="A38" t="s">
        <v>1696</v>
      </c>
      <c r="B38" s="121">
        <f>12*D6*E6</f>
        <v>171360</v>
      </c>
      <c r="C38" s="121">
        <v>0</v>
      </c>
      <c r="D38" s="121">
        <v>0</v>
      </c>
      <c r="E38" s="124">
        <f>SUM(B38:D38)</f>
        <v>171360</v>
      </c>
      <c r="F38" s="124"/>
    </row>
    <row r="39" spans="2:6" ht="12.75">
      <c r="B39" s="121"/>
      <c r="C39" s="121"/>
      <c r="D39" s="121"/>
      <c r="E39" s="124"/>
      <c r="F39" s="124"/>
    </row>
    <row r="40" spans="2:6" ht="12.75">
      <c r="B40" s="121"/>
      <c r="C40" s="121"/>
      <c r="D40" s="121"/>
      <c r="E40" s="121"/>
      <c r="F40" s="121"/>
    </row>
    <row r="41" spans="1:6" ht="12.75">
      <c r="A41" s="8" t="s">
        <v>1571</v>
      </c>
      <c r="B41" s="126">
        <f>SUM(B34:B39)</f>
        <v>453071.016</v>
      </c>
      <c r="C41" s="126">
        <f>SUM(C34:C39)</f>
        <v>31428.434436036005</v>
      </c>
      <c r="D41" s="126">
        <f>SUM(D34:D39)</f>
        <v>32088.22951996837</v>
      </c>
      <c r="E41" s="127">
        <f>SUM(E34:E39)</f>
        <v>516587.6799560044</v>
      </c>
      <c r="F41" s="127"/>
    </row>
    <row r="42" spans="1:6" ht="15" hidden="1">
      <c r="A42" s="8" t="s">
        <v>1572</v>
      </c>
      <c r="B42" s="121"/>
      <c r="C42" s="121"/>
      <c r="D42" s="121"/>
      <c r="E42" s="128">
        <f>E41-D41</f>
        <v>484499.450436036</v>
      </c>
      <c r="F42" s="128"/>
    </row>
    <row r="43" spans="2:6" ht="12.75" hidden="1">
      <c r="B43" s="121"/>
      <c r="C43" s="121"/>
      <c r="D43" s="121"/>
      <c r="E43" s="121"/>
      <c r="F43" s="121"/>
    </row>
    <row r="44" spans="2:6" ht="12.75" hidden="1">
      <c r="B44" s="121" t="s">
        <v>1573</v>
      </c>
      <c r="C44" s="121"/>
      <c r="D44" s="121"/>
      <c r="E44" s="121">
        <f>E42/24</f>
        <v>20187.4771015015</v>
      </c>
      <c r="F44" s="121"/>
    </row>
    <row r="45" spans="2:6" ht="12.75" hidden="1">
      <c r="B45" s="121" t="s">
        <v>1574</v>
      </c>
      <c r="C45" s="121"/>
      <c r="D45" s="121"/>
      <c r="E45" s="121"/>
      <c r="F45" s="121"/>
    </row>
    <row r="46" spans="2:6" ht="12.75" hidden="1">
      <c r="B46" s="121"/>
      <c r="C46" s="121"/>
      <c r="D46" s="121"/>
      <c r="E46" s="121"/>
      <c r="F46" s="121"/>
    </row>
    <row r="47" spans="2:6" ht="12.75" hidden="1">
      <c r="B47" s="121" t="s">
        <v>1575</v>
      </c>
      <c r="C47" s="121"/>
      <c r="D47" s="121"/>
      <c r="E47" s="121">
        <f>E44*1.35</f>
        <v>27253.094087027024</v>
      </c>
      <c r="F47" s="121"/>
    </row>
    <row r="48" spans="2:6" ht="12.75" hidden="1">
      <c r="B48" s="121" t="s">
        <v>707</v>
      </c>
      <c r="C48" s="121"/>
      <c r="D48" s="121"/>
      <c r="E48" s="121"/>
      <c r="F48" s="121"/>
    </row>
    <row r="49" spans="2:6" ht="12.75">
      <c r="B49" s="121"/>
      <c r="C49" s="121"/>
      <c r="D49" s="121"/>
      <c r="E49" s="121"/>
      <c r="F49" s="121"/>
    </row>
    <row r="50" spans="1:6" ht="12.75">
      <c r="A50" s="8" t="s">
        <v>1576</v>
      </c>
      <c r="B50" s="121"/>
      <c r="C50" s="121"/>
      <c r="D50" s="121"/>
      <c r="E50" s="129">
        <f>E41*0</f>
        <v>0</v>
      </c>
      <c r="F50" s="121"/>
    </row>
    <row r="51" spans="1:6" ht="12.75">
      <c r="A51" s="8"/>
      <c r="B51" s="121"/>
      <c r="C51" s="121"/>
      <c r="D51" s="121"/>
      <c r="E51" s="129"/>
      <c r="F51" s="121"/>
    </row>
    <row r="52" spans="1:6" ht="12.75">
      <c r="A52" s="8" t="s">
        <v>1577</v>
      </c>
      <c r="B52" s="121"/>
      <c r="C52" s="121"/>
      <c r="D52" s="121"/>
      <c r="E52" s="129">
        <f>E41+E50</f>
        <v>516587.6799560044</v>
      </c>
      <c r="F52" s="121"/>
    </row>
    <row r="53" spans="2:6" ht="12.75">
      <c r="B53" s="121"/>
      <c r="C53" s="121"/>
      <c r="D53" s="121"/>
      <c r="E53" s="121"/>
      <c r="F53" s="121"/>
    </row>
    <row r="54" spans="1:9" ht="12.75">
      <c r="A54" s="8" t="s">
        <v>1578</v>
      </c>
      <c r="B54" s="121"/>
      <c r="C54" s="121"/>
      <c r="D54" s="121"/>
      <c r="E54" s="127">
        <f>E52/7/3</f>
        <v>24599.413331238306</v>
      </c>
      <c r="F54" s="130"/>
      <c r="G54" s="8"/>
      <c r="H54" s="131"/>
      <c r="I54" s="8"/>
    </row>
    <row r="55" spans="1:6" ht="12.75">
      <c r="A55" s="10"/>
      <c r="B55" s="35"/>
      <c r="C55" s="35"/>
      <c r="D55" s="35"/>
      <c r="E55" s="132"/>
      <c r="F55" s="132"/>
    </row>
    <row r="57" ht="12.75">
      <c r="E57" s="35"/>
    </row>
    <row r="58" spans="5:6" ht="12.75">
      <c r="E58" s="57"/>
      <c r="F58" s="57"/>
    </row>
  </sheetData>
  <mergeCells count="4">
    <mergeCell ref="A1:E1"/>
    <mergeCell ref="A2:E2"/>
    <mergeCell ref="A3:E3"/>
    <mergeCell ref="A4:E4"/>
  </mergeCells>
  <printOptions gridLines="1"/>
  <pageMargins left="0.75" right="0.75" top="1" bottom="1" header="0.5" footer="0.5"/>
  <pageSetup fitToHeight="1" fitToWidth="1" horizontalDpi="600" verticalDpi="600" orientation="portrait" scale="94" r:id="rId1"/>
</worksheet>
</file>

<file path=xl/worksheets/sheet2.xml><?xml version="1.0" encoding="utf-8"?>
<worksheet xmlns="http://schemas.openxmlformats.org/spreadsheetml/2006/main" xmlns:r="http://schemas.openxmlformats.org/officeDocument/2006/relationships">
  <sheetPr>
    <pageSetUpPr fitToPage="1"/>
  </sheetPr>
  <dimension ref="A1:AH200"/>
  <sheetViews>
    <sheetView showZeros="0" zoomScale="75" zoomScaleNormal="75" workbookViewId="0" topLeftCell="A1">
      <pane xSplit="2" ySplit="7" topLeftCell="F8" activePane="bottomRight" state="frozen"/>
      <selection pane="topLeft" activeCell="A1" sqref="A1"/>
      <selection pane="topRight" activeCell="C1" sqref="C1"/>
      <selection pane="bottomLeft" activeCell="A8" sqref="A8"/>
      <selection pane="bottomRight" activeCell="B34" sqref="B34"/>
    </sheetView>
  </sheetViews>
  <sheetFormatPr defaultColWidth="9.140625" defaultRowHeight="12.75"/>
  <cols>
    <col min="2" max="2" width="33.28125" style="0" customWidth="1"/>
    <col min="3" max="3" width="13.140625" style="0" customWidth="1"/>
    <col min="4" max="4" width="11.421875" style="0" customWidth="1"/>
    <col min="5" max="5" width="11.140625" style="0" customWidth="1"/>
    <col min="6" max="6" width="16.7109375" style="0" customWidth="1"/>
    <col min="7" max="7" width="11.140625" style="0" bestFit="1" customWidth="1"/>
    <col min="8" max="8" width="11.00390625" style="0" customWidth="1"/>
    <col min="9" max="10" width="11.28125" style="0" customWidth="1"/>
    <col min="11" max="11" width="10.00390625" style="0" customWidth="1"/>
    <col min="12" max="12" width="12.7109375" style="0" customWidth="1"/>
    <col min="13" max="13" width="14.7109375" style="0" customWidth="1"/>
    <col min="14" max="14" width="13.8515625" style="0" customWidth="1"/>
    <col min="15" max="15" width="5.28125" style="0" customWidth="1"/>
    <col min="16" max="16" width="4.00390625" style="0" customWidth="1"/>
    <col min="17" max="17" width="6.8515625" style="0" customWidth="1"/>
    <col min="18" max="18" width="5.140625" style="0" customWidth="1"/>
    <col min="19" max="19" width="3.8515625" style="0" customWidth="1"/>
    <col min="20" max="20" width="7.8515625" style="0" customWidth="1"/>
    <col min="21" max="21" width="10.00390625" style="0" customWidth="1"/>
    <col min="22" max="22" width="13.7109375" style="0" customWidth="1"/>
    <col min="23" max="23" width="18.28125" style="0" customWidth="1"/>
    <col min="24" max="25" width="12.8515625" style="0" customWidth="1"/>
    <col min="26" max="26" width="58.57421875" style="0" customWidth="1"/>
    <col min="32" max="32" width="26.57421875" style="0" customWidth="1"/>
    <col min="33" max="33" width="15.7109375" style="0" customWidth="1"/>
    <col min="34" max="34" width="13.140625" style="0" customWidth="1"/>
  </cols>
  <sheetData>
    <row r="1" ht="18">
      <c r="A1" s="36" t="s">
        <v>618</v>
      </c>
    </row>
    <row r="2" spans="2:12" ht="51">
      <c r="B2" s="236" t="s">
        <v>1493</v>
      </c>
      <c r="G2" s="339" t="s">
        <v>815</v>
      </c>
      <c r="H2" s="339"/>
      <c r="I2" s="339"/>
      <c r="J2" s="339"/>
      <c r="K2" s="339"/>
      <c r="L2" s="339"/>
    </row>
    <row r="3" spans="7:12" ht="12.75">
      <c r="G3" s="41">
        <f>'Labor and Indirect Rates (NSF)'!C130</f>
        <v>67.15</v>
      </c>
      <c r="H3" s="41">
        <f>'Labor and Indirect Rates (NSF)'!C132</f>
        <v>89.65</v>
      </c>
      <c r="I3" s="41">
        <f>'Labor and Indirect Rates (NSF)'!C131</f>
        <v>56.25</v>
      </c>
      <c r="J3" s="41">
        <f>'Labor and Indirect Rates (NSF)'!C129</f>
        <v>52.5</v>
      </c>
      <c r="K3" s="41">
        <f>'Labor and Indirect Rates (NSF)'!C139</f>
        <v>83.25</v>
      </c>
      <c r="L3" s="41">
        <f>'Labor and Indirect Rates (NSF)'!C138</f>
        <v>99.4</v>
      </c>
    </row>
    <row r="4" spans="1:26" ht="12.75">
      <c r="A4" s="42"/>
      <c r="B4" s="42"/>
      <c r="C4" s="42"/>
      <c r="D4" s="42"/>
      <c r="E4" s="42"/>
      <c r="F4" s="42"/>
      <c r="G4" s="42"/>
      <c r="H4" s="42"/>
      <c r="I4" s="43"/>
      <c r="J4" s="43"/>
      <c r="K4" s="43"/>
      <c r="L4" s="43"/>
      <c r="M4" s="44" t="s">
        <v>643</v>
      </c>
      <c r="N4" s="44"/>
      <c r="O4" s="42"/>
      <c r="P4" s="42"/>
      <c r="Q4" s="42"/>
      <c r="R4" s="42"/>
      <c r="S4" s="42"/>
      <c r="T4" s="42"/>
      <c r="U4" s="42"/>
      <c r="V4" s="42"/>
      <c r="W4" s="43"/>
      <c r="X4" s="45"/>
      <c r="Y4" s="45"/>
      <c r="Z4" s="45"/>
    </row>
    <row r="5" spans="1:26" ht="12.75">
      <c r="A5" s="44" t="s">
        <v>816</v>
      </c>
      <c r="B5" s="42"/>
      <c r="C5" s="338" t="s">
        <v>647</v>
      </c>
      <c r="D5" s="338"/>
      <c r="E5" s="338"/>
      <c r="F5" s="44" t="s">
        <v>643</v>
      </c>
      <c r="G5" s="338" t="s">
        <v>666</v>
      </c>
      <c r="H5" s="338"/>
      <c r="I5" s="338"/>
      <c r="J5" s="338"/>
      <c r="K5" s="338"/>
      <c r="L5" s="338"/>
      <c r="M5" s="44" t="s">
        <v>642</v>
      </c>
      <c r="N5" s="44" t="s">
        <v>643</v>
      </c>
      <c r="O5" s="338" t="s">
        <v>817</v>
      </c>
      <c r="P5" s="338"/>
      <c r="Q5" s="338"/>
      <c r="R5" s="338"/>
      <c r="S5" s="338"/>
      <c r="T5" s="338"/>
      <c r="U5" s="42"/>
      <c r="V5" s="42"/>
      <c r="W5" s="44" t="s">
        <v>643</v>
      </c>
      <c r="X5" s="42" t="s">
        <v>389</v>
      </c>
      <c r="Y5" s="42" t="s">
        <v>389</v>
      </c>
      <c r="Z5" s="45"/>
    </row>
    <row r="6" spans="1:26" ht="12.75">
      <c r="A6" s="44" t="s">
        <v>818</v>
      </c>
      <c r="B6" s="42" t="s">
        <v>819</v>
      </c>
      <c r="C6" s="44" t="s">
        <v>820</v>
      </c>
      <c r="D6" s="44" t="s">
        <v>821</v>
      </c>
      <c r="E6" s="44" t="s">
        <v>822</v>
      </c>
      <c r="F6" s="44" t="s">
        <v>823</v>
      </c>
      <c r="G6" s="42" t="s">
        <v>824</v>
      </c>
      <c r="H6" s="42" t="s">
        <v>825</v>
      </c>
      <c r="I6" s="43" t="s">
        <v>826</v>
      </c>
      <c r="J6" s="43" t="s">
        <v>667</v>
      </c>
      <c r="K6" s="43" t="s">
        <v>827</v>
      </c>
      <c r="L6" s="43" t="s">
        <v>702</v>
      </c>
      <c r="M6" s="44" t="s">
        <v>697</v>
      </c>
      <c r="N6" s="44" t="s">
        <v>876</v>
      </c>
      <c r="O6" s="42" t="s">
        <v>667</v>
      </c>
      <c r="P6" s="42" t="s">
        <v>828</v>
      </c>
      <c r="Q6" s="42" t="s">
        <v>826</v>
      </c>
      <c r="R6" s="42" t="s">
        <v>697</v>
      </c>
      <c r="S6" s="42" t="s">
        <v>828</v>
      </c>
      <c r="T6" s="42" t="s">
        <v>829</v>
      </c>
      <c r="U6" s="42" t="s">
        <v>830</v>
      </c>
      <c r="V6" s="44" t="s">
        <v>831</v>
      </c>
      <c r="W6" s="46" t="s">
        <v>832</v>
      </c>
      <c r="X6" s="46" t="s">
        <v>832</v>
      </c>
      <c r="Y6" s="46" t="s">
        <v>832</v>
      </c>
      <c r="Z6" s="44" t="s">
        <v>833</v>
      </c>
    </row>
    <row r="7" spans="1:25" ht="12.75">
      <c r="A7" s="37"/>
      <c r="B7" s="38"/>
      <c r="C7" s="39"/>
      <c r="D7" s="39"/>
      <c r="E7" s="39"/>
      <c r="F7" s="39"/>
      <c r="G7" s="39"/>
      <c r="H7" s="39"/>
      <c r="I7" s="39"/>
      <c r="J7" s="39"/>
      <c r="K7" s="39"/>
      <c r="L7" s="39"/>
      <c r="M7" s="39"/>
      <c r="N7" s="39"/>
      <c r="O7" s="39"/>
      <c r="P7" s="39"/>
      <c r="Q7" s="39"/>
      <c r="R7" s="39"/>
      <c r="S7" s="39"/>
      <c r="T7" s="39"/>
      <c r="U7" s="39"/>
      <c r="V7" s="39"/>
      <c r="W7" s="39"/>
      <c r="X7" t="s">
        <v>391</v>
      </c>
      <c r="Y7" t="s">
        <v>390</v>
      </c>
    </row>
    <row r="8" spans="1:23" ht="12.75">
      <c r="A8" s="37" t="s">
        <v>1060</v>
      </c>
      <c r="B8" s="8" t="s">
        <v>1241</v>
      </c>
      <c r="C8" s="35"/>
      <c r="D8" s="35"/>
      <c r="E8" s="35"/>
      <c r="F8" s="47">
        <f aca="true" t="shared" si="0" ref="F8:F14">SUM(C8:E8)</f>
        <v>0</v>
      </c>
      <c r="G8" s="40"/>
      <c r="H8" s="40"/>
      <c r="I8" s="40"/>
      <c r="J8" s="40"/>
      <c r="K8" s="40"/>
      <c r="L8" s="40"/>
      <c r="M8" s="47">
        <f aca="true" t="shared" si="1" ref="M8:M14">$G$3*G8+$H$3*H8+$I$3*I8+$J$3*J8+$K$3*K8+$L$3*L8</f>
        <v>0</v>
      </c>
      <c r="N8" s="47"/>
      <c r="U8" s="48">
        <f aca="true" t="shared" si="2" ref="U8:U20">((O8*P8)+Q8+(R8*S8)+T8)/100</f>
        <v>0</v>
      </c>
      <c r="V8" s="47">
        <f aca="true" t="shared" si="3" ref="V8:V14">+(F8+M8)*U8</f>
        <v>0</v>
      </c>
      <c r="W8" s="47">
        <f aca="true" t="shared" si="4" ref="W8:W14">+F8+M8+V8</f>
        <v>0</v>
      </c>
    </row>
    <row r="9" spans="1:26" ht="13.5" thickBot="1">
      <c r="A9" s="37" t="s">
        <v>1185</v>
      </c>
      <c r="B9" s="72" t="s">
        <v>888</v>
      </c>
      <c r="C9" s="35"/>
      <c r="D9" s="35"/>
      <c r="E9" s="35"/>
      <c r="F9" s="47">
        <f t="shared" si="0"/>
        <v>0</v>
      </c>
      <c r="G9" s="40">
        <v>1764</v>
      </c>
      <c r="H9" s="40">
        <v>882</v>
      </c>
      <c r="I9" s="40">
        <v>0</v>
      </c>
      <c r="J9" s="40"/>
      <c r="K9" s="40"/>
      <c r="L9" s="40"/>
      <c r="M9" s="47">
        <f t="shared" si="1"/>
        <v>197523.90000000002</v>
      </c>
      <c r="N9" s="47">
        <f>M9+F9</f>
        <v>197523.90000000002</v>
      </c>
      <c r="O9">
        <v>1</v>
      </c>
      <c r="P9">
        <v>2</v>
      </c>
      <c r="Q9">
        <v>4</v>
      </c>
      <c r="R9">
        <v>1</v>
      </c>
      <c r="S9">
        <v>2</v>
      </c>
      <c r="T9">
        <v>8</v>
      </c>
      <c r="U9" s="48">
        <f t="shared" si="2"/>
        <v>0.16</v>
      </c>
      <c r="V9" s="47">
        <f t="shared" si="3"/>
        <v>31603.824000000004</v>
      </c>
      <c r="W9" s="47">
        <f t="shared" si="4"/>
        <v>229127.72400000002</v>
      </c>
      <c r="X9" s="35">
        <f>SUM(W9:W10)</f>
        <v>229127.72400000002</v>
      </c>
      <c r="Y9" s="132">
        <f>SUM(W9:W10)</f>
        <v>229127.72400000002</v>
      </c>
      <c r="Z9" t="s">
        <v>522</v>
      </c>
    </row>
    <row r="10" spans="1:34" ht="15.75">
      <c r="A10" s="37" t="s">
        <v>1186</v>
      </c>
      <c r="B10" s="183" t="s">
        <v>1242</v>
      </c>
      <c r="C10" s="35"/>
      <c r="D10" s="189"/>
      <c r="E10" s="35"/>
      <c r="F10" s="47">
        <f t="shared" si="0"/>
        <v>0</v>
      </c>
      <c r="G10" s="40"/>
      <c r="H10" s="40"/>
      <c r="I10" s="40"/>
      <c r="J10" s="40">
        <v>0</v>
      </c>
      <c r="K10" s="40"/>
      <c r="L10" s="40"/>
      <c r="M10" s="47">
        <f t="shared" si="1"/>
        <v>0</v>
      </c>
      <c r="N10" s="47">
        <f>M10+F10</f>
        <v>0</v>
      </c>
      <c r="O10">
        <v>1</v>
      </c>
      <c r="P10">
        <v>2</v>
      </c>
      <c r="Q10">
        <v>4</v>
      </c>
      <c r="R10">
        <v>1</v>
      </c>
      <c r="S10">
        <v>2</v>
      </c>
      <c r="T10">
        <v>8</v>
      </c>
      <c r="U10" s="48">
        <f t="shared" si="2"/>
        <v>0.16</v>
      </c>
      <c r="V10" s="47">
        <f t="shared" si="3"/>
        <v>0</v>
      </c>
      <c r="W10" s="47">
        <f t="shared" si="4"/>
        <v>0</v>
      </c>
      <c r="Y10" s="8"/>
      <c r="Z10" t="s">
        <v>880</v>
      </c>
      <c r="AB10" s="318" t="s">
        <v>994</v>
      </c>
      <c r="AC10" s="319"/>
      <c r="AD10" s="319"/>
      <c r="AE10" s="319"/>
      <c r="AF10" s="320" t="s">
        <v>996</v>
      </c>
      <c r="AG10" s="333" t="s">
        <v>945</v>
      </c>
      <c r="AH10" s="333" t="s">
        <v>389</v>
      </c>
    </row>
    <row r="11" spans="1:32" ht="12.75">
      <c r="A11" s="37"/>
      <c r="B11" s="183"/>
      <c r="C11" s="35"/>
      <c r="D11" s="189"/>
      <c r="E11" s="35"/>
      <c r="F11" s="47"/>
      <c r="G11" s="40"/>
      <c r="H11" s="40"/>
      <c r="I11" s="40"/>
      <c r="J11" s="40"/>
      <c r="K11" s="40"/>
      <c r="L11" s="40"/>
      <c r="M11" s="47"/>
      <c r="N11" s="47"/>
      <c r="U11" s="48"/>
      <c r="V11" s="47"/>
      <c r="W11" s="47"/>
      <c r="Y11" s="8"/>
      <c r="AB11" s="140"/>
      <c r="AC11" s="70"/>
      <c r="AD11" s="70"/>
      <c r="AE11" s="70"/>
      <c r="AF11" s="135"/>
    </row>
    <row r="12" spans="1:34" ht="15.75">
      <c r="A12" s="37"/>
      <c r="B12" s="8"/>
      <c r="C12" s="35"/>
      <c r="D12" s="189"/>
      <c r="E12" s="35"/>
      <c r="F12" s="47">
        <f t="shared" si="0"/>
        <v>0</v>
      </c>
      <c r="G12" s="40"/>
      <c r="H12" s="40"/>
      <c r="I12" s="40"/>
      <c r="J12" s="40"/>
      <c r="K12" s="40"/>
      <c r="L12" s="40"/>
      <c r="M12" s="47">
        <f t="shared" si="1"/>
        <v>0</v>
      </c>
      <c r="N12" s="47"/>
      <c r="U12" s="48">
        <f t="shared" si="2"/>
        <v>0</v>
      </c>
      <c r="V12" s="47">
        <f t="shared" si="3"/>
        <v>0</v>
      </c>
      <c r="W12" s="47">
        <f t="shared" si="4"/>
        <v>0</v>
      </c>
      <c r="Y12" s="8"/>
      <c r="AB12" s="306" t="s">
        <v>623</v>
      </c>
      <c r="AC12" s="307"/>
      <c r="AD12" s="307"/>
      <c r="AE12" s="307"/>
      <c r="AF12" s="308">
        <f>X40-V42+X80-V82</f>
        <v>3573250</v>
      </c>
      <c r="AG12" s="334">
        <f>SUM(V81:V82)/AF12</f>
        <v>0.1452606170852865</v>
      </c>
      <c r="AH12" s="335">
        <f>AF12*(1+AG12)</f>
        <v>4092302.5000000005</v>
      </c>
    </row>
    <row r="13" spans="1:33" ht="15.75">
      <c r="A13" s="37" t="s">
        <v>1188</v>
      </c>
      <c r="B13" s="79" t="s">
        <v>646</v>
      </c>
      <c r="C13" s="35"/>
      <c r="D13" s="189"/>
      <c r="E13" s="35"/>
      <c r="F13" s="47">
        <f t="shared" si="0"/>
        <v>0</v>
      </c>
      <c r="G13" s="40"/>
      <c r="H13" s="40"/>
      <c r="I13" s="40"/>
      <c r="J13" s="40"/>
      <c r="K13" s="40"/>
      <c r="L13" s="40"/>
      <c r="M13" s="47">
        <f t="shared" si="1"/>
        <v>0</v>
      </c>
      <c r="N13" s="47"/>
      <c r="U13" s="48">
        <f t="shared" si="2"/>
        <v>0</v>
      </c>
      <c r="V13" s="47">
        <f t="shared" si="3"/>
        <v>0</v>
      </c>
      <c r="W13" s="47">
        <f t="shared" si="4"/>
        <v>0</v>
      </c>
      <c r="Y13" s="132">
        <f>SUM(W15:W43)</f>
        <v>4439009.8235</v>
      </c>
      <c r="AB13" s="309" t="s">
        <v>848</v>
      </c>
      <c r="AC13" s="307"/>
      <c r="AD13" s="307"/>
      <c r="AE13" s="307"/>
      <c r="AF13" s="308">
        <f>X20-SUM(V21:V24)+X55-SUM(V56:V60)</f>
        <v>3042726.9900000007</v>
      </c>
      <c r="AG13" s="334">
        <f>SUM(V82:V83)/AF13</f>
        <v>0.17058793040120893</v>
      </c>
    </row>
    <row r="14" spans="1:32" ht="15.75">
      <c r="A14" s="37" t="s">
        <v>1243</v>
      </c>
      <c r="B14" s="8" t="s">
        <v>840</v>
      </c>
      <c r="C14" s="35"/>
      <c r="D14" s="35"/>
      <c r="E14" s="35"/>
      <c r="F14" s="47">
        <f t="shared" si="0"/>
        <v>0</v>
      </c>
      <c r="G14" s="40"/>
      <c r="H14" s="40"/>
      <c r="I14" s="40"/>
      <c r="J14" s="40"/>
      <c r="K14" s="40"/>
      <c r="L14" s="40"/>
      <c r="M14" s="47">
        <f t="shared" si="1"/>
        <v>0</v>
      </c>
      <c r="N14" s="47"/>
      <c r="U14" s="48">
        <f t="shared" si="2"/>
        <v>0</v>
      </c>
      <c r="V14" s="47">
        <f t="shared" si="3"/>
        <v>0</v>
      </c>
      <c r="W14" s="47">
        <f t="shared" si="4"/>
        <v>0</v>
      </c>
      <c r="X14" s="35">
        <f>SUM(W15:W19)</f>
        <v>884544.912</v>
      </c>
      <c r="Y14" s="132"/>
      <c r="AB14" s="309" t="s">
        <v>840</v>
      </c>
      <c r="AC14" s="307"/>
      <c r="AD14" s="307"/>
      <c r="AE14" s="307"/>
      <c r="AF14" s="308">
        <f>X14-SUM(V15:V19)+X45-SUM(V46:V54)</f>
        <v>2807345.6500000004</v>
      </c>
    </row>
    <row r="15" spans="1:32" ht="15.75">
      <c r="A15" s="37"/>
      <c r="B15" s="64" t="s">
        <v>875</v>
      </c>
      <c r="C15" s="35"/>
      <c r="D15" s="35"/>
      <c r="E15" s="35"/>
      <c r="F15" s="47">
        <f aca="true" t="shared" si="5" ref="F15:F24">SUM(C15:E15)</f>
        <v>0</v>
      </c>
      <c r="G15" s="93">
        <v>70</v>
      </c>
      <c r="H15" s="93">
        <v>0</v>
      </c>
      <c r="I15" s="93">
        <v>104</v>
      </c>
      <c r="J15" s="40">
        <v>340</v>
      </c>
      <c r="K15" s="40">
        <v>0</v>
      </c>
      <c r="L15" s="40">
        <v>0</v>
      </c>
      <c r="M15" s="47">
        <f aca="true" t="shared" si="6" ref="M15:M23">$G$3*G15+$H$3*H15+$I$3*I15+$J$3*J15+$K$3*K15+$L$3*L15</f>
        <v>28400.5</v>
      </c>
      <c r="N15" s="47">
        <f>M15+F15</f>
        <v>28400.5</v>
      </c>
      <c r="O15">
        <v>1</v>
      </c>
      <c r="P15">
        <v>2</v>
      </c>
      <c r="Q15">
        <v>4</v>
      </c>
      <c r="R15">
        <v>1</v>
      </c>
      <c r="S15">
        <v>2</v>
      </c>
      <c r="T15">
        <v>8</v>
      </c>
      <c r="U15" s="48">
        <f>((O15*P15)+Q15+(R15*S15)+T15)/100</f>
        <v>0.16</v>
      </c>
      <c r="V15" s="47">
        <f aca="true" t="shared" si="7" ref="V15:V23">+(F15+M15)*U15</f>
        <v>4544.08</v>
      </c>
      <c r="W15" s="47">
        <f aca="true" t="shared" si="8" ref="W15:W23">+F15+M15+V15</f>
        <v>32944.58</v>
      </c>
      <c r="Y15" s="8"/>
      <c r="Z15" t="s">
        <v>521</v>
      </c>
      <c r="AB15" s="306" t="s">
        <v>639</v>
      </c>
      <c r="AC15" s="307"/>
      <c r="AD15" s="307"/>
      <c r="AE15" s="307"/>
      <c r="AF15" s="308">
        <f>X29-SUM(V30:V35)+X63-SUM(V64:V71)</f>
        <v>877659</v>
      </c>
    </row>
    <row r="16" spans="1:32" ht="15.75">
      <c r="A16" s="37"/>
      <c r="B16" s="186" t="s">
        <v>636</v>
      </c>
      <c r="C16" s="35">
        <v>12000</v>
      </c>
      <c r="D16" s="35">
        <v>0</v>
      </c>
      <c r="E16" s="35"/>
      <c r="F16" s="47">
        <f t="shared" si="5"/>
        <v>12000</v>
      </c>
      <c r="G16" s="93">
        <v>120</v>
      </c>
      <c r="H16" s="93">
        <v>0</v>
      </c>
      <c r="I16" s="93">
        <v>0</v>
      </c>
      <c r="J16" s="40">
        <v>160</v>
      </c>
      <c r="K16" s="40">
        <v>0</v>
      </c>
      <c r="L16" s="40">
        <v>0</v>
      </c>
      <c r="M16" s="47">
        <f t="shared" si="6"/>
        <v>16458</v>
      </c>
      <c r="N16" s="47">
        <f>M16+F16</f>
        <v>28458</v>
      </c>
      <c r="O16">
        <v>2</v>
      </c>
      <c r="P16" s="40">
        <v>2</v>
      </c>
      <c r="Q16">
        <v>8</v>
      </c>
      <c r="R16" s="40">
        <v>1</v>
      </c>
      <c r="S16" s="40">
        <v>2</v>
      </c>
      <c r="T16" s="40">
        <v>4</v>
      </c>
      <c r="U16" s="48">
        <f t="shared" si="2"/>
        <v>0.18</v>
      </c>
      <c r="V16" s="47">
        <f t="shared" si="7"/>
        <v>5122.44</v>
      </c>
      <c r="W16" s="47">
        <f t="shared" si="8"/>
        <v>33580.44</v>
      </c>
      <c r="Y16" s="8"/>
      <c r="AB16" s="309" t="s">
        <v>619</v>
      </c>
      <c r="AC16" s="307"/>
      <c r="AD16" s="307"/>
      <c r="AE16" s="307"/>
      <c r="AF16" s="308">
        <f>X26-SUM(V27:V28)+0</f>
        <v>629322</v>
      </c>
    </row>
    <row r="17" spans="1:32" ht="15.75">
      <c r="A17" s="37"/>
      <c r="B17" s="7" t="s">
        <v>388</v>
      </c>
      <c r="C17" s="35">
        <v>1500</v>
      </c>
      <c r="D17" s="35"/>
      <c r="E17" s="35"/>
      <c r="F17" s="47">
        <f t="shared" si="5"/>
        <v>1500</v>
      </c>
      <c r="G17" s="93">
        <v>80</v>
      </c>
      <c r="H17" s="93">
        <v>0</v>
      </c>
      <c r="I17" s="93">
        <v>0</v>
      </c>
      <c r="J17" s="40">
        <v>80</v>
      </c>
      <c r="K17" s="40">
        <v>0</v>
      </c>
      <c r="L17" s="40">
        <v>0</v>
      </c>
      <c r="M17" s="47">
        <f t="shared" si="6"/>
        <v>9572</v>
      </c>
      <c r="N17" s="47">
        <f>M17+F17</f>
        <v>11072</v>
      </c>
      <c r="O17">
        <v>2</v>
      </c>
      <c r="P17" s="40">
        <v>2</v>
      </c>
      <c r="Q17">
        <v>8</v>
      </c>
      <c r="R17" s="40">
        <v>1</v>
      </c>
      <c r="S17" s="40">
        <v>2</v>
      </c>
      <c r="T17" s="40">
        <v>4</v>
      </c>
      <c r="U17" s="48">
        <f t="shared" si="2"/>
        <v>0.18</v>
      </c>
      <c r="V17" s="47">
        <f t="shared" si="7"/>
        <v>1992.96</v>
      </c>
      <c r="W17" s="47">
        <f t="shared" si="8"/>
        <v>13064.96</v>
      </c>
      <c r="Y17" s="8"/>
      <c r="AB17" s="306" t="s">
        <v>641</v>
      </c>
      <c r="AC17" s="307"/>
      <c r="AD17" s="307"/>
      <c r="AE17" s="307"/>
      <c r="AF17" s="308">
        <f>X36-SUM(V38:V39)+X72-SUM(V74:V79)</f>
        <v>224178.94999999995</v>
      </c>
    </row>
    <row r="18" spans="1:32" ht="15.75">
      <c r="A18" s="37"/>
      <c r="B18" s="187" t="s">
        <v>703</v>
      </c>
      <c r="C18" s="35">
        <v>119400</v>
      </c>
      <c r="D18" s="35">
        <v>129500</v>
      </c>
      <c r="E18" s="35"/>
      <c r="F18" s="47">
        <f t="shared" si="5"/>
        <v>248900</v>
      </c>
      <c r="G18" s="93">
        <v>400</v>
      </c>
      <c r="H18" s="93">
        <v>0</v>
      </c>
      <c r="I18" s="93">
        <v>598</v>
      </c>
      <c r="J18" s="40">
        <v>960</v>
      </c>
      <c r="K18" s="40">
        <v>160</v>
      </c>
      <c r="L18" s="40">
        <v>40</v>
      </c>
      <c r="M18" s="47">
        <f t="shared" si="6"/>
        <v>128193.5</v>
      </c>
      <c r="N18" s="47">
        <f>M18+F18</f>
        <v>377093.5</v>
      </c>
      <c r="O18">
        <v>3</v>
      </c>
      <c r="P18" s="40">
        <v>2</v>
      </c>
      <c r="Q18">
        <v>8</v>
      </c>
      <c r="R18" s="40">
        <v>1</v>
      </c>
      <c r="S18" s="40">
        <v>2</v>
      </c>
      <c r="T18" s="40">
        <v>8</v>
      </c>
      <c r="U18" s="48">
        <f t="shared" si="2"/>
        <v>0.24</v>
      </c>
      <c r="V18" s="47">
        <f t="shared" si="7"/>
        <v>90502.44</v>
      </c>
      <c r="W18" s="47">
        <f t="shared" si="8"/>
        <v>467595.94</v>
      </c>
      <c r="Y18" s="8"/>
      <c r="AB18" s="309" t="s">
        <v>888</v>
      </c>
      <c r="AC18" s="307"/>
      <c r="AD18" s="307"/>
      <c r="AE18" s="307"/>
      <c r="AF18" s="308">
        <f>Y9-V9</f>
        <v>197523.90000000002</v>
      </c>
    </row>
    <row r="19" spans="1:32" ht="15.75">
      <c r="A19" s="37"/>
      <c r="B19" s="188" t="s">
        <v>704</v>
      </c>
      <c r="C19" s="35">
        <v>7680</v>
      </c>
      <c r="D19" s="35">
        <v>204012</v>
      </c>
      <c r="E19" s="35"/>
      <c r="F19" s="47">
        <f t="shared" si="5"/>
        <v>211692</v>
      </c>
      <c r="G19" s="93">
        <v>328</v>
      </c>
      <c r="H19" s="93">
        <v>0</v>
      </c>
      <c r="I19" s="93">
        <v>80</v>
      </c>
      <c r="J19" s="40">
        <v>1068</v>
      </c>
      <c r="K19" s="40">
        <v>288</v>
      </c>
      <c r="L19" s="40">
        <v>0</v>
      </c>
      <c r="M19" s="47">
        <f t="shared" si="6"/>
        <v>106571.2</v>
      </c>
      <c r="N19" s="47">
        <f>M19+F19</f>
        <v>318263.2</v>
      </c>
      <c r="O19">
        <v>1</v>
      </c>
      <c r="P19" s="40">
        <v>2</v>
      </c>
      <c r="Q19">
        <v>0</v>
      </c>
      <c r="R19" s="40">
        <v>2</v>
      </c>
      <c r="S19" s="40">
        <v>1</v>
      </c>
      <c r="T19" s="40">
        <v>2</v>
      </c>
      <c r="U19" s="48">
        <f t="shared" si="2"/>
        <v>0.06</v>
      </c>
      <c r="V19" s="47">
        <f t="shared" si="7"/>
        <v>19095.792</v>
      </c>
      <c r="W19" s="47">
        <f t="shared" si="8"/>
        <v>337358.992</v>
      </c>
      <c r="Y19" s="8"/>
      <c r="AB19" s="310"/>
      <c r="AC19" s="307"/>
      <c r="AD19" s="307"/>
      <c r="AE19" s="307"/>
      <c r="AF19" s="311"/>
    </row>
    <row r="20" spans="1:32" ht="15.75">
      <c r="A20" s="37" t="s">
        <v>1245</v>
      </c>
      <c r="B20" s="8" t="s">
        <v>848</v>
      </c>
      <c r="C20" s="35"/>
      <c r="D20" s="35"/>
      <c r="E20" s="35"/>
      <c r="F20" s="47">
        <f t="shared" si="5"/>
        <v>0</v>
      </c>
      <c r="G20" s="40"/>
      <c r="H20" s="40"/>
      <c r="I20" s="40"/>
      <c r="J20" s="40"/>
      <c r="K20" s="40"/>
      <c r="L20" s="40"/>
      <c r="M20" s="47">
        <f t="shared" si="6"/>
        <v>0</v>
      </c>
      <c r="N20" s="47"/>
      <c r="U20" s="48">
        <f t="shared" si="2"/>
        <v>0</v>
      </c>
      <c r="V20" s="47">
        <f t="shared" si="7"/>
        <v>0</v>
      </c>
      <c r="W20" s="47">
        <f t="shared" si="8"/>
        <v>0</v>
      </c>
      <c r="X20" s="35">
        <f>SUM(W21:W24)</f>
        <v>1543994.3020000001</v>
      </c>
      <c r="Y20" s="132"/>
      <c r="AB20" s="312" t="s">
        <v>699</v>
      </c>
      <c r="AC20" s="307"/>
      <c r="AD20" s="307"/>
      <c r="AE20" s="307"/>
      <c r="AF20" s="313">
        <f>SUM(AF11:AF19)</f>
        <v>11352006.49</v>
      </c>
    </row>
    <row r="21" spans="1:32" ht="15">
      <c r="A21" s="37"/>
      <c r="B21" s="64" t="s">
        <v>875</v>
      </c>
      <c r="C21" s="35">
        <v>5000</v>
      </c>
      <c r="D21" s="35"/>
      <c r="E21" s="35"/>
      <c r="F21" s="47">
        <f t="shared" si="5"/>
        <v>5000</v>
      </c>
      <c r="G21" s="93">
        <v>198</v>
      </c>
      <c r="H21" s="93">
        <v>0</v>
      </c>
      <c r="I21" s="93">
        <v>477</v>
      </c>
      <c r="J21" s="40">
        <v>486</v>
      </c>
      <c r="K21" s="40">
        <v>0</v>
      </c>
      <c r="L21" s="40">
        <v>0</v>
      </c>
      <c r="M21" s="47">
        <f t="shared" si="6"/>
        <v>65641.95</v>
      </c>
      <c r="N21" s="47">
        <f>M21+F21</f>
        <v>70641.95</v>
      </c>
      <c r="O21">
        <v>1</v>
      </c>
      <c r="P21">
        <v>2</v>
      </c>
      <c r="Q21">
        <v>4</v>
      </c>
      <c r="R21">
        <v>1</v>
      </c>
      <c r="S21">
        <v>2</v>
      </c>
      <c r="T21">
        <v>8</v>
      </c>
      <c r="U21" s="48">
        <f aca="true" t="shared" si="9" ref="U21:U28">((O21*P21)+Q21+(R21*S21)+T21)/100</f>
        <v>0.16</v>
      </c>
      <c r="V21" s="47">
        <f t="shared" si="7"/>
        <v>11302.712</v>
      </c>
      <c r="W21" s="47">
        <f t="shared" si="8"/>
        <v>81944.662</v>
      </c>
      <c r="Y21" s="8"/>
      <c r="Z21" t="s">
        <v>521</v>
      </c>
      <c r="AB21" s="310"/>
      <c r="AC21" s="307"/>
      <c r="AD21" s="307"/>
      <c r="AE21" s="307"/>
      <c r="AF21" s="314"/>
    </row>
    <row r="22" spans="1:32" ht="15.75">
      <c r="A22" s="37"/>
      <c r="B22" s="2" t="s">
        <v>637</v>
      </c>
      <c r="C22" s="35">
        <v>38991</v>
      </c>
      <c r="D22" s="35">
        <v>0</v>
      </c>
      <c r="E22" s="35"/>
      <c r="F22" s="47">
        <f t="shared" si="5"/>
        <v>38991</v>
      </c>
      <c r="G22" s="93">
        <v>220</v>
      </c>
      <c r="H22" s="93">
        <v>0</v>
      </c>
      <c r="I22" s="93">
        <v>0</v>
      </c>
      <c r="J22" s="40">
        <v>1268</v>
      </c>
      <c r="K22" s="40">
        <v>376</v>
      </c>
      <c r="L22" s="40">
        <v>1181</v>
      </c>
      <c r="M22" s="47">
        <f t="shared" si="6"/>
        <v>230036.40000000002</v>
      </c>
      <c r="N22" s="47">
        <f>M22+F22</f>
        <v>269027.4</v>
      </c>
      <c r="O22">
        <v>2</v>
      </c>
      <c r="P22" s="40">
        <v>4</v>
      </c>
      <c r="Q22">
        <v>4</v>
      </c>
      <c r="R22" s="40">
        <v>4</v>
      </c>
      <c r="S22" s="40">
        <v>1</v>
      </c>
      <c r="T22" s="40">
        <v>4</v>
      </c>
      <c r="U22" s="48">
        <f t="shared" si="9"/>
        <v>0.2</v>
      </c>
      <c r="V22" s="47">
        <f t="shared" si="7"/>
        <v>53805.48000000001</v>
      </c>
      <c r="W22" s="47">
        <f t="shared" si="8"/>
        <v>322832.88</v>
      </c>
      <c r="Y22" s="8"/>
      <c r="AB22" s="305" t="s">
        <v>993</v>
      </c>
      <c r="AC22" s="307"/>
      <c r="AD22" s="307"/>
      <c r="AE22" s="307"/>
      <c r="AF22" s="314"/>
    </row>
    <row r="23" spans="1:32" ht="15.75">
      <c r="A23" s="37"/>
      <c r="B23" s="234" t="s">
        <v>638</v>
      </c>
      <c r="C23" s="35">
        <v>54700</v>
      </c>
      <c r="D23" s="35">
        <v>0</v>
      </c>
      <c r="E23" s="35"/>
      <c r="F23" s="47">
        <f t="shared" si="5"/>
        <v>54700</v>
      </c>
      <c r="G23" s="93">
        <v>645</v>
      </c>
      <c r="H23" s="93">
        <v>108</v>
      </c>
      <c r="I23" s="93">
        <v>1820</v>
      </c>
      <c r="J23" s="40">
        <v>1536</v>
      </c>
      <c r="K23" s="40">
        <v>248</v>
      </c>
      <c r="L23" s="40">
        <v>1020</v>
      </c>
      <c r="M23" s="47">
        <f t="shared" si="6"/>
        <v>358042.95</v>
      </c>
      <c r="N23" s="47">
        <f>M23+F23</f>
        <v>412742.95</v>
      </c>
      <c r="O23">
        <v>2</v>
      </c>
      <c r="P23" s="40">
        <v>4</v>
      </c>
      <c r="Q23">
        <v>4</v>
      </c>
      <c r="R23" s="40">
        <v>4</v>
      </c>
      <c r="S23" s="40">
        <v>1</v>
      </c>
      <c r="T23" s="40">
        <v>4</v>
      </c>
      <c r="U23" s="48">
        <f t="shared" si="9"/>
        <v>0.2</v>
      </c>
      <c r="V23" s="47">
        <f t="shared" si="7"/>
        <v>82548.59000000001</v>
      </c>
      <c r="W23" s="47">
        <f t="shared" si="8"/>
        <v>495291.54000000004</v>
      </c>
      <c r="Y23" s="8"/>
      <c r="AB23" s="309" t="s">
        <v>991</v>
      </c>
      <c r="AC23" s="307"/>
      <c r="AD23" s="307"/>
      <c r="AE23" s="307"/>
      <c r="AF23" s="308">
        <f>Y83-SUM(V85:V95)</f>
        <v>936045.75</v>
      </c>
    </row>
    <row r="24" spans="1:32" ht="15.75">
      <c r="A24" s="37"/>
      <c r="B24" s="235" t="s">
        <v>680</v>
      </c>
      <c r="C24" s="35">
        <v>85700</v>
      </c>
      <c r="D24" s="35">
        <v>0</v>
      </c>
      <c r="E24" s="35"/>
      <c r="F24" s="47">
        <f t="shared" si="5"/>
        <v>85700</v>
      </c>
      <c r="G24" s="93">
        <v>1100</v>
      </c>
      <c r="H24" s="93">
        <v>179</v>
      </c>
      <c r="I24" s="93">
        <v>2824</v>
      </c>
      <c r="J24" s="40">
        <v>2056</v>
      </c>
      <c r="K24" s="40">
        <v>248</v>
      </c>
      <c r="L24" s="40">
        <v>740</v>
      </c>
      <c r="M24" s="47">
        <f>$G$3*G24+$H$3*H24+$I$3*I24+$J$3*J24+$K$3*K24+$L$3*L24</f>
        <v>450904.35</v>
      </c>
      <c r="N24" s="47">
        <f>M24+F24</f>
        <v>536604.35</v>
      </c>
      <c r="O24">
        <v>4</v>
      </c>
      <c r="P24" s="40">
        <v>2</v>
      </c>
      <c r="Q24">
        <v>4</v>
      </c>
      <c r="R24" s="40">
        <v>4</v>
      </c>
      <c r="S24" s="40">
        <v>1</v>
      </c>
      <c r="T24" s="40">
        <v>4</v>
      </c>
      <c r="U24" s="48">
        <f t="shared" si="9"/>
        <v>0.2</v>
      </c>
      <c r="V24" s="47">
        <f>+(F24+M24)*U24</f>
        <v>107320.87</v>
      </c>
      <c r="W24" s="47">
        <f>+F24+M24+V24</f>
        <v>643925.22</v>
      </c>
      <c r="Y24" s="8"/>
      <c r="AB24" s="309" t="s">
        <v>992</v>
      </c>
      <c r="AC24" s="307"/>
      <c r="AD24" s="307"/>
      <c r="AE24" s="307"/>
      <c r="AF24" s="308">
        <f>Y96-SUM(V98:V127)</f>
        <v>2908164.95</v>
      </c>
    </row>
    <row r="25" spans="1:32" ht="15.75">
      <c r="A25" s="37"/>
      <c r="B25" s="80" t="s">
        <v>682</v>
      </c>
      <c r="C25" s="35"/>
      <c r="D25" s="35"/>
      <c r="E25" s="35"/>
      <c r="F25" s="47"/>
      <c r="G25" s="93"/>
      <c r="H25" s="93"/>
      <c r="I25" s="93"/>
      <c r="J25" s="40"/>
      <c r="K25" s="40"/>
      <c r="L25" s="40"/>
      <c r="M25" s="47"/>
      <c r="N25" s="47"/>
      <c r="P25" s="40"/>
      <c r="R25" s="40"/>
      <c r="S25" s="40"/>
      <c r="T25" s="40"/>
      <c r="U25" s="48"/>
      <c r="V25" s="47"/>
      <c r="W25" s="47"/>
      <c r="Y25" s="8"/>
      <c r="AB25" s="309"/>
      <c r="AC25" s="307"/>
      <c r="AD25" s="307"/>
      <c r="AE25" s="307"/>
      <c r="AF25" s="308"/>
    </row>
    <row r="26" spans="1:32" ht="15.75">
      <c r="A26" s="37" t="s">
        <v>1246</v>
      </c>
      <c r="B26" s="8" t="s">
        <v>619</v>
      </c>
      <c r="C26" s="35"/>
      <c r="D26" s="35"/>
      <c r="E26" s="35"/>
      <c r="F26" s="47">
        <f>SUM(C26:E26)</f>
        <v>0</v>
      </c>
      <c r="G26" s="93"/>
      <c r="H26" s="93"/>
      <c r="I26" s="93"/>
      <c r="J26" s="40"/>
      <c r="K26" s="40"/>
      <c r="L26" s="40"/>
      <c r="M26" s="47">
        <f>$G$3*G26+$H$3*H26+$I$3*I26+$J$3*J26+$K$3*K26+$L$3*L26</f>
        <v>0</v>
      </c>
      <c r="N26" s="47"/>
      <c r="U26" s="48">
        <f t="shared" si="9"/>
        <v>0</v>
      </c>
      <c r="V26" s="47">
        <f>+(F26+M26)*U26</f>
        <v>0</v>
      </c>
      <c r="W26" s="47">
        <f>+F26+M26+V26</f>
        <v>0</v>
      </c>
      <c r="X26" s="35">
        <f>SUM(W27:W28)</f>
        <v>766190.52</v>
      </c>
      <c r="Y26" s="132"/>
      <c r="AB26" s="310"/>
      <c r="AC26" s="307"/>
      <c r="AD26" s="307"/>
      <c r="AE26" s="307"/>
      <c r="AF26" s="311"/>
    </row>
    <row r="27" spans="1:32" ht="15.75">
      <c r="A27" s="37"/>
      <c r="B27" s="64" t="s">
        <v>875</v>
      </c>
      <c r="C27" s="35"/>
      <c r="D27" s="35"/>
      <c r="E27" s="35"/>
      <c r="F27" s="47">
        <f>SUM(C27:E27)</f>
        <v>0</v>
      </c>
      <c r="G27" s="93">
        <v>80</v>
      </c>
      <c r="H27" s="93">
        <v>0</v>
      </c>
      <c r="I27" s="93">
        <v>0</v>
      </c>
      <c r="J27" s="40">
        <v>400</v>
      </c>
      <c r="K27" s="40"/>
      <c r="L27" s="40"/>
      <c r="M27" s="47">
        <f>$G$3*G27+$H$3*H27+$I$3*I27+$J$3*J27+$K$3*K27+$L$3*L27</f>
        <v>26372</v>
      </c>
      <c r="N27" s="47">
        <f>M27+F27</f>
        <v>26372</v>
      </c>
      <c r="O27">
        <v>1</v>
      </c>
      <c r="P27">
        <v>2</v>
      </c>
      <c r="Q27">
        <v>4</v>
      </c>
      <c r="R27">
        <v>1</v>
      </c>
      <c r="S27">
        <v>2</v>
      </c>
      <c r="T27">
        <v>8</v>
      </c>
      <c r="U27" s="48">
        <f t="shared" si="9"/>
        <v>0.16</v>
      </c>
      <c r="V27" s="47">
        <f>+(F27+M27)*U27</f>
        <v>4219.52</v>
      </c>
      <c r="W27" s="47">
        <f>+F27+M27+V27</f>
        <v>30591.52</v>
      </c>
      <c r="Y27" s="8"/>
      <c r="Z27" t="s">
        <v>521</v>
      </c>
      <c r="AB27" s="312" t="s">
        <v>699</v>
      </c>
      <c r="AC27" s="307"/>
      <c r="AD27" s="307"/>
      <c r="AE27" s="307"/>
      <c r="AF27" s="313">
        <f>SUM(AF23:AF26)</f>
        <v>3844210.7</v>
      </c>
    </row>
    <row r="28" spans="1:32" ht="16.5" thickBot="1">
      <c r="A28" s="37"/>
      <c r="B28" s="8" t="s">
        <v>1318</v>
      </c>
      <c r="C28" s="35">
        <v>120000</v>
      </c>
      <c r="D28" s="35">
        <v>240000</v>
      </c>
      <c r="E28" s="35"/>
      <c r="F28" s="47">
        <f>SUM(C28:E28)</f>
        <v>360000</v>
      </c>
      <c r="G28" s="93">
        <v>1040</v>
      </c>
      <c r="H28" s="93">
        <v>520</v>
      </c>
      <c r="I28" s="93">
        <v>0</v>
      </c>
      <c r="J28" s="40">
        <v>2080</v>
      </c>
      <c r="K28" s="40">
        <v>160</v>
      </c>
      <c r="L28" s="40">
        <v>40</v>
      </c>
      <c r="M28" s="47">
        <f>$G$3*G28+$H$3*H28+$I$3*I28+$J$3*J28+$K$3*K28+$L$3*L28</f>
        <v>242950</v>
      </c>
      <c r="N28" s="47">
        <f>M28+F28</f>
        <v>602950</v>
      </c>
      <c r="O28">
        <v>2</v>
      </c>
      <c r="P28" s="40">
        <v>2</v>
      </c>
      <c r="Q28">
        <v>8</v>
      </c>
      <c r="R28" s="40">
        <v>1</v>
      </c>
      <c r="S28" s="40">
        <v>2</v>
      </c>
      <c r="T28" s="40">
        <v>8</v>
      </c>
      <c r="U28" s="48">
        <f t="shared" si="9"/>
        <v>0.22</v>
      </c>
      <c r="V28" s="47">
        <f>+(F28+M28)*U28</f>
        <v>132649</v>
      </c>
      <c r="W28" s="47">
        <f>+F28+M28+V28</f>
        <v>735599</v>
      </c>
      <c r="Y28" s="8"/>
      <c r="AB28" s="310"/>
      <c r="AC28" s="307"/>
      <c r="AD28" s="307"/>
      <c r="AE28" s="307"/>
      <c r="AF28" s="311"/>
    </row>
    <row r="29" spans="1:32" ht="16.5" thickBot="1">
      <c r="A29" s="37" t="s">
        <v>1247</v>
      </c>
      <c r="B29" s="83" t="s">
        <v>639</v>
      </c>
      <c r="C29" s="35"/>
      <c r="D29" s="35"/>
      <c r="E29" s="35"/>
      <c r="F29" s="47"/>
      <c r="G29" s="93"/>
      <c r="H29" s="93"/>
      <c r="I29" s="93"/>
      <c r="J29" s="40"/>
      <c r="K29" s="40"/>
      <c r="L29" s="40"/>
      <c r="M29" s="47"/>
      <c r="N29" s="47"/>
      <c r="P29" s="40"/>
      <c r="R29" s="40"/>
      <c r="S29" s="40"/>
      <c r="T29" s="40"/>
      <c r="U29" s="48"/>
      <c r="V29" s="47"/>
      <c r="W29" s="47"/>
      <c r="X29" s="35">
        <f>SUM(W30:W35)</f>
        <v>497865.1975</v>
      </c>
      <c r="Y29" s="132"/>
      <c r="AB29" s="315" t="s">
        <v>995</v>
      </c>
      <c r="AC29" s="316"/>
      <c r="AD29" s="316"/>
      <c r="AE29" s="316"/>
      <c r="AF29" s="317">
        <f>AF27+AF20</f>
        <v>15196217.190000001</v>
      </c>
    </row>
    <row r="30" spans="1:25" ht="12.75">
      <c r="A30" s="37"/>
      <c r="B30" s="2" t="s">
        <v>875</v>
      </c>
      <c r="C30" s="35">
        <v>0</v>
      </c>
      <c r="D30" s="35">
        <v>0</v>
      </c>
      <c r="E30" s="35">
        <v>0</v>
      </c>
      <c r="F30" s="47">
        <f aca="true" t="shared" si="10" ref="F30:F35">SUM(C30:E30)</f>
        <v>0</v>
      </c>
      <c r="G30" s="93">
        <v>120</v>
      </c>
      <c r="H30" s="93">
        <v>120</v>
      </c>
      <c r="I30" s="93">
        <v>183</v>
      </c>
      <c r="J30" s="40">
        <v>440</v>
      </c>
      <c r="K30" s="40">
        <v>0</v>
      </c>
      <c r="L30" s="40">
        <v>0</v>
      </c>
      <c r="M30" s="47">
        <f aca="true" t="shared" si="11" ref="M30:M35">$G$3*G30+$H$3*H30+$I$3*I30+$J$3*J30+$K$3*K30+$L$3*L30</f>
        <v>52209.75</v>
      </c>
      <c r="N30" s="47">
        <f aca="true" t="shared" si="12" ref="N30:N35">M30+F30</f>
        <v>52209.75</v>
      </c>
      <c r="O30" s="40">
        <v>1</v>
      </c>
      <c r="P30" s="40">
        <v>2</v>
      </c>
      <c r="Q30" s="40">
        <v>8</v>
      </c>
      <c r="R30" s="40">
        <v>1</v>
      </c>
      <c r="S30" s="40">
        <v>1</v>
      </c>
      <c r="T30" s="40">
        <v>4</v>
      </c>
      <c r="U30" s="48">
        <f aca="true" t="shared" si="13" ref="U30:U35">((O30*P30)+Q30+(R30*S30)+T30)/100</f>
        <v>0.15</v>
      </c>
      <c r="V30" s="47">
        <f aca="true" t="shared" si="14" ref="V30:V35">+(F30+M30)*U30</f>
        <v>7831.4625</v>
      </c>
      <c r="W30" s="47">
        <f aca="true" t="shared" si="15" ref="W30:W35">+F30+M30+V30</f>
        <v>60041.2125</v>
      </c>
      <c r="Y30" s="8"/>
    </row>
    <row r="31" spans="1:25" ht="12.75">
      <c r="A31" s="37"/>
      <c r="B31" s="2" t="s">
        <v>644</v>
      </c>
      <c r="C31" s="35">
        <v>51000</v>
      </c>
      <c r="D31" s="35">
        <v>0</v>
      </c>
      <c r="E31" s="35">
        <v>0</v>
      </c>
      <c r="F31" s="47">
        <f t="shared" si="10"/>
        <v>51000</v>
      </c>
      <c r="G31" s="93">
        <v>200</v>
      </c>
      <c r="H31" s="93">
        <v>0</v>
      </c>
      <c r="I31" s="93">
        <v>359</v>
      </c>
      <c r="J31" s="40">
        <v>800</v>
      </c>
      <c r="K31" s="40">
        <v>0</v>
      </c>
      <c r="L31" s="40">
        <v>0</v>
      </c>
      <c r="M31" s="47">
        <f t="shared" si="11"/>
        <v>75623.75</v>
      </c>
      <c r="N31" s="47">
        <f t="shared" si="12"/>
        <v>126623.75</v>
      </c>
      <c r="O31" s="40">
        <v>6</v>
      </c>
      <c r="P31" s="40">
        <v>2</v>
      </c>
      <c r="Q31" s="40">
        <v>8</v>
      </c>
      <c r="R31" s="40">
        <v>4</v>
      </c>
      <c r="S31" s="40">
        <v>2</v>
      </c>
      <c r="T31" s="40">
        <v>8</v>
      </c>
      <c r="U31" s="48">
        <f t="shared" si="13"/>
        <v>0.36</v>
      </c>
      <c r="V31" s="47">
        <f t="shared" si="14"/>
        <v>45584.549999999996</v>
      </c>
      <c r="W31" s="47">
        <f t="shared" si="15"/>
        <v>172208.3</v>
      </c>
      <c r="Y31" s="8"/>
    </row>
    <row r="32" spans="1:25" ht="12.75">
      <c r="A32" s="37"/>
      <c r="B32" s="64" t="s">
        <v>693</v>
      </c>
      <c r="C32" s="35">
        <v>5000</v>
      </c>
      <c r="D32" s="35">
        <v>0</v>
      </c>
      <c r="E32" s="35">
        <v>0</v>
      </c>
      <c r="F32" s="47">
        <f t="shared" si="10"/>
        <v>5000</v>
      </c>
      <c r="G32" s="93">
        <v>440</v>
      </c>
      <c r="H32" s="93">
        <v>80</v>
      </c>
      <c r="I32" s="93">
        <v>605</v>
      </c>
      <c r="J32" s="40">
        <v>880</v>
      </c>
      <c r="K32" s="40">
        <v>0</v>
      </c>
      <c r="L32" s="40">
        <v>40</v>
      </c>
      <c r="M32" s="47">
        <f t="shared" si="11"/>
        <v>120925.25</v>
      </c>
      <c r="N32" s="47">
        <f t="shared" si="12"/>
        <v>125925.25</v>
      </c>
      <c r="O32" s="40">
        <v>2</v>
      </c>
      <c r="P32" s="40">
        <v>2</v>
      </c>
      <c r="Q32" s="40">
        <v>8</v>
      </c>
      <c r="R32" s="40">
        <v>1</v>
      </c>
      <c r="S32" s="40">
        <v>2</v>
      </c>
      <c r="T32" s="40">
        <v>8</v>
      </c>
      <c r="U32" s="48">
        <f t="shared" si="13"/>
        <v>0.22</v>
      </c>
      <c r="V32" s="47">
        <f t="shared" si="14"/>
        <v>27703.555</v>
      </c>
      <c r="W32" s="47">
        <f t="shared" si="15"/>
        <v>153628.805</v>
      </c>
      <c r="Y32" s="8"/>
    </row>
    <row r="33" spans="1:25" ht="12.75">
      <c r="A33" s="37"/>
      <c r="B33" s="2" t="s">
        <v>694</v>
      </c>
      <c r="C33" s="35">
        <v>5000</v>
      </c>
      <c r="D33" s="35">
        <v>0</v>
      </c>
      <c r="E33" s="35">
        <v>0</v>
      </c>
      <c r="F33" s="47">
        <f t="shared" si="10"/>
        <v>5000</v>
      </c>
      <c r="G33" s="93">
        <v>40</v>
      </c>
      <c r="H33" s="93">
        <v>0</v>
      </c>
      <c r="I33" s="93">
        <v>88</v>
      </c>
      <c r="J33" s="40">
        <v>160</v>
      </c>
      <c r="K33" s="40">
        <v>0</v>
      </c>
      <c r="L33" s="40">
        <v>0</v>
      </c>
      <c r="M33" s="47">
        <f t="shared" si="11"/>
        <v>16036</v>
      </c>
      <c r="N33" s="47">
        <f t="shared" si="12"/>
        <v>21036</v>
      </c>
      <c r="O33" s="40">
        <v>4</v>
      </c>
      <c r="P33" s="40">
        <v>2</v>
      </c>
      <c r="Q33" s="40">
        <v>8</v>
      </c>
      <c r="R33" s="40">
        <v>4</v>
      </c>
      <c r="S33" s="40">
        <v>2</v>
      </c>
      <c r="T33" s="40">
        <v>8</v>
      </c>
      <c r="U33" s="48">
        <f t="shared" si="13"/>
        <v>0.32</v>
      </c>
      <c r="V33" s="47">
        <f t="shared" si="14"/>
        <v>6731.52</v>
      </c>
      <c r="W33" s="47">
        <f t="shared" si="15"/>
        <v>27767.52</v>
      </c>
      <c r="Y33" s="8"/>
    </row>
    <row r="34" spans="1:25" ht="12.75">
      <c r="A34" s="37"/>
      <c r="B34" s="2" t="s">
        <v>661</v>
      </c>
      <c r="C34" s="35">
        <v>10000</v>
      </c>
      <c r="D34" s="35">
        <v>0</v>
      </c>
      <c r="E34" s="35">
        <v>0</v>
      </c>
      <c r="F34" s="47">
        <f t="shared" si="10"/>
        <v>10000</v>
      </c>
      <c r="G34" s="93">
        <v>160</v>
      </c>
      <c r="H34" s="93">
        <v>0</v>
      </c>
      <c r="I34" s="93">
        <v>0</v>
      </c>
      <c r="J34" s="40">
        <v>320</v>
      </c>
      <c r="K34" s="40">
        <v>0</v>
      </c>
      <c r="L34" s="40">
        <v>0</v>
      </c>
      <c r="M34" s="47">
        <f t="shared" si="11"/>
        <v>27544</v>
      </c>
      <c r="N34" s="47">
        <f t="shared" si="12"/>
        <v>37544</v>
      </c>
      <c r="O34" s="40">
        <v>1</v>
      </c>
      <c r="P34" s="40">
        <v>2</v>
      </c>
      <c r="Q34" s="40">
        <v>4</v>
      </c>
      <c r="R34" s="40">
        <v>1</v>
      </c>
      <c r="S34" s="40">
        <v>2</v>
      </c>
      <c r="T34" s="40">
        <v>8</v>
      </c>
      <c r="U34" s="48">
        <f t="shared" si="13"/>
        <v>0.16</v>
      </c>
      <c r="V34" s="47">
        <f t="shared" si="14"/>
        <v>6007.04</v>
      </c>
      <c r="W34" s="47">
        <f t="shared" si="15"/>
        <v>43551.04</v>
      </c>
      <c r="Y34" s="8"/>
    </row>
    <row r="35" spans="1:25" ht="12.75">
      <c r="A35" s="37"/>
      <c r="B35" s="2" t="s">
        <v>662</v>
      </c>
      <c r="C35" s="35">
        <v>13000</v>
      </c>
      <c r="D35" s="35">
        <v>0</v>
      </c>
      <c r="E35" s="35">
        <v>0</v>
      </c>
      <c r="F35" s="47">
        <f t="shared" si="10"/>
        <v>13000</v>
      </c>
      <c r="G35" s="93">
        <v>40</v>
      </c>
      <c r="H35" s="93">
        <v>0</v>
      </c>
      <c r="I35" s="93">
        <v>68</v>
      </c>
      <c r="J35" s="40">
        <v>320</v>
      </c>
      <c r="K35" s="40">
        <v>0</v>
      </c>
      <c r="L35" s="40">
        <v>0</v>
      </c>
      <c r="M35" s="47">
        <f t="shared" si="11"/>
        <v>23311</v>
      </c>
      <c r="N35" s="47">
        <f t="shared" si="12"/>
        <v>36311</v>
      </c>
      <c r="O35" s="40">
        <v>2</v>
      </c>
      <c r="P35" s="40">
        <v>2</v>
      </c>
      <c r="Q35" s="40">
        <v>4</v>
      </c>
      <c r="R35" s="40">
        <v>1</v>
      </c>
      <c r="S35" s="40">
        <v>2</v>
      </c>
      <c r="T35" s="40">
        <v>2</v>
      </c>
      <c r="U35" s="48">
        <f t="shared" si="13"/>
        <v>0.12</v>
      </c>
      <c r="V35" s="47">
        <f t="shared" si="14"/>
        <v>4357.32</v>
      </c>
      <c r="W35" s="47">
        <f t="shared" si="15"/>
        <v>40668.32</v>
      </c>
      <c r="Y35" s="8"/>
    </row>
    <row r="36" spans="1:25" ht="12.75">
      <c r="A36" s="37" t="s">
        <v>1248</v>
      </c>
      <c r="B36" s="83" t="s">
        <v>641</v>
      </c>
      <c r="C36" s="35"/>
      <c r="D36" s="35"/>
      <c r="E36" s="35"/>
      <c r="F36" s="47"/>
      <c r="G36" s="40"/>
      <c r="H36" s="40"/>
      <c r="I36" s="40"/>
      <c r="J36" s="40"/>
      <c r="K36" s="40"/>
      <c r="L36" s="40"/>
      <c r="M36" s="47"/>
      <c r="N36" s="47"/>
      <c r="U36" s="48"/>
      <c r="V36" s="47"/>
      <c r="W36" s="47"/>
      <c r="X36" s="35">
        <f>SUM(W37:W39)</f>
        <v>138014.892</v>
      </c>
      <c r="Y36" s="132"/>
    </row>
    <row r="37" spans="1:25" ht="12.75">
      <c r="A37" s="37"/>
      <c r="B37" s="64" t="s">
        <v>875</v>
      </c>
      <c r="C37" s="35">
        <v>0</v>
      </c>
      <c r="D37" s="35">
        <v>0</v>
      </c>
      <c r="E37" s="35">
        <v>0</v>
      </c>
      <c r="F37" s="47">
        <f>SUM(C37:E37)</f>
        <v>0</v>
      </c>
      <c r="G37" s="40">
        <v>0</v>
      </c>
      <c r="H37" s="40">
        <v>0</v>
      </c>
      <c r="I37" s="40">
        <v>0</v>
      </c>
      <c r="J37" s="40">
        <v>0</v>
      </c>
      <c r="K37" s="40">
        <v>0</v>
      </c>
      <c r="L37" s="40">
        <v>0</v>
      </c>
      <c r="M37" s="47">
        <f>$G$3*G37+$H$3*H37+$I$3*I37+$J$3*J37+$K$3*K37+$L$3*L37</f>
        <v>0</v>
      </c>
      <c r="N37" s="47">
        <f>M37+F37</f>
        <v>0</v>
      </c>
      <c r="O37" s="40">
        <v>1</v>
      </c>
      <c r="P37" s="40">
        <v>2</v>
      </c>
      <c r="Q37" s="40">
        <v>4</v>
      </c>
      <c r="R37" s="40">
        <v>1</v>
      </c>
      <c r="S37" s="40">
        <v>2</v>
      </c>
      <c r="T37" s="40">
        <v>8</v>
      </c>
      <c r="U37" s="48">
        <f>((O37*P37)+Q37+(R37*S37)+T37)/100</f>
        <v>0.16</v>
      </c>
      <c r="V37" s="47">
        <f>+(F37+M37)*U37</f>
        <v>0</v>
      </c>
      <c r="W37" s="47">
        <f>+F37+M37+V37</f>
        <v>0</v>
      </c>
      <c r="Y37" s="8"/>
    </row>
    <row r="38" spans="1:26" ht="12.75">
      <c r="A38" s="37"/>
      <c r="B38" s="2" t="s">
        <v>621</v>
      </c>
      <c r="C38" s="35">
        <v>7500</v>
      </c>
      <c r="D38" s="35">
        <v>38454</v>
      </c>
      <c r="E38" s="35"/>
      <c r="F38" s="47">
        <f>SUM(C38:E38)</f>
        <v>45954</v>
      </c>
      <c r="G38" s="40">
        <v>96</v>
      </c>
      <c r="H38" s="40">
        <v>0</v>
      </c>
      <c r="I38" s="40">
        <v>0</v>
      </c>
      <c r="J38" s="40">
        <v>114</v>
      </c>
      <c r="K38" s="40">
        <v>0</v>
      </c>
      <c r="L38" s="40"/>
      <c r="M38" s="47">
        <f>$G$3*G38+$H$3*H38+$I$3*I38+$J$3*J38+$K$3*K38+$L$3*L38</f>
        <v>12431.400000000001</v>
      </c>
      <c r="N38" s="47">
        <f>M38+F38</f>
        <v>58385.4</v>
      </c>
      <c r="O38">
        <v>1</v>
      </c>
      <c r="P38">
        <v>2</v>
      </c>
      <c r="Q38">
        <v>8</v>
      </c>
      <c r="R38">
        <v>4</v>
      </c>
      <c r="S38">
        <v>1</v>
      </c>
      <c r="T38">
        <v>8</v>
      </c>
      <c r="U38" s="48">
        <f>((O38*P38)+Q38+(R38*S38)+T38)/100</f>
        <v>0.22</v>
      </c>
      <c r="V38" s="47">
        <f>+(F38+M38)*U38</f>
        <v>12844.788</v>
      </c>
      <c r="W38" s="47">
        <f>+F38+M38+V38</f>
        <v>71230.188</v>
      </c>
      <c r="Y38" s="8"/>
      <c r="Z38" t="s">
        <v>1492</v>
      </c>
    </row>
    <row r="39" spans="1:25" ht="12.75">
      <c r="A39" s="37"/>
      <c r="B39" s="2" t="s">
        <v>622</v>
      </c>
      <c r="C39" s="35">
        <v>0</v>
      </c>
      <c r="D39" s="35">
        <v>0</v>
      </c>
      <c r="E39" s="35">
        <v>0</v>
      </c>
      <c r="F39" s="47">
        <f>SUM(C39:E39)</f>
        <v>0</v>
      </c>
      <c r="G39" s="40">
        <v>777</v>
      </c>
      <c r="H39" s="40"/>
      <c r="I39" s="40"/>
      <c r="J39" s="40"/>
      <c r="K39" s="40"/>
      <c r="L39" s="40"/>
      <c r="M39" s="47">
        <f>$G$3*G39+$H$3*H39+$I$3*I39+$J$3*J39+$K$3*K39+$L$3*L39</f>
        <v>52175.55</v>
      </c>
      <c r="N39" s="47">
        <f>M39+F39</f>
        <v>52175.55</v>
      </c>
      <c r="O39">
        <v>2</v>
      </c>
      <c r="P39">
        <v>2</v>
      </c>
      <c r="Q39">
        <v>15</v>
      </c>
      <c r="R39">
        <v>1</v>
      </c>
      <c r="S39">
        <v>1</v>
      </c>
      <c r="T39">
        <v>8</v>
      </c>
      <c r="U39" s="48">
        <f>((O39*P39)+Q39+(R39*S39)+T39)/100</f>
        <v>0.28</v>
      </c>
      <c r="V39" s="47">
        <f>+(F39+M39)*U39</f>
        <v>14609.154000000002</v>
      </c>
      <c r="W39" s="47">
        <f>+F39+M39+V39</f>
        <v>66784.704</v>
      </c>
      <c r="Y39" s="8"/>
    </row>
    <row r="40" spans="1:25" ht="12.75">
      <c r="A40" s="37" t="s">
        <v>1249</v>
      </c>
      <c r="B40" s="83" t="s">
        <v>623</v>
      </c>
      <c r="C40" s="35"/>
      <c r="D40" s="35"/>
      <c r="E40" s="35"/>
      <c r="F40" s="47"/>
      <c r="G40" s="40"/>
      <c r="H40" s="40"/>
      <c r="I40" s="40"/>
      <c r="J40" s="40"/>
      <c r="K40" s="40"/>
      <c r="L40" s="40"/>
      <c r="M40" s="47"/>
      <c r="N40" s="47"/>
      <c r="U40" s="48"/>
      <c r="V40" s="47"/>
      <c r="W40" s="47"/>
      <c r="X40" s="35">
        <f>SUM(W41:W43)</f>
        <v>608400</v>
      </c>
      <c r="Y40" s="132"/>
    </row>
    <row r="41" spans="1:26" ht="12.75">
      <c r="A41" s="37"/>
      <c r="B41" s="80" t="s">
        <v>875</v>
      </c>
      <c r="C41" s="35"/>
      <c r="D41" s="35"/>
      <c r="E41" s="35"/>
      <c r="F41" s="47">
        <f>SUM(C41:E41)</f>
        <v>0</v>
      </c>
      <c r="G41" s="40">
        <v>0</v>
      </c>
      <c r="H41" s="40">
        <v>0</v>
      </c>
      <c r="I41" s="40">
        <v>0</v>
      </c>
      <c r="J41" s="40">
        <v>0</v>
      </c>
      <c r="K41" s="40">
        <v>0</v>
      </c>
      <c r="L41" s="40">
        <v>0</v>
      </c>
      <c r="M41" s="47">
        <f>$G$3*G41+$H$3*H41+$I$3*I41+$J$3*J41+$K$3*K41+$L$3*L41</f>
        <v>0</v>
      </c>
      <c r="N41" s="47">
        <f>M41+F41</f>
        <v>0</v>
      </c>
      <c r="O41">
        <v>1</v>
      </c>
      <c r="P41">
        <v>2</v>
      </c>
      <c r="Q41">
        <v>4</v>
      </c>
      <c r="R41">
        <v>1</v>
      </c>
      <c r="S41">
        <v>2</v>
      </c>
      <c r="T41">
        <v>8</v>
      </c>
      <c r="U41" s="48">
        <f>((O41*P41)+Q41+(R41*S41)+T41)/100</f>
        <v>0.16</v>
      </c>
      <c r="V41" s="47">
        <f>+(F41+M41)*U41</f>
        <v>0</v>
      </c>
      <c r="W41" s="47">
        <f>+F41+M41+V41</f>
        <v>0</v>
      </c>
      <c r="Y41" s="8"/>
      <c r="Z41" t="s">
        <v>521</v>
      </c>
    </row>
    <row r="42" spans="1:25" ht="12.75">
      <c r="A42" s="37"/>
      <c r="B42" s="80" t="s">
        <v>624</v>
      </c>
      <c r="C42" s="35"/>
      <c r="D42" s="35"/>
      <c r="E42" s="35">
        <v>520000</v>
      </c>
      <c r="F42" s="47">
        <f>SUM(C42:E42)</f>
        <v>520000</v>
      </c>
      <c r="G42" s="40"/>
      <c r="H42" s="40"/>
      <c r="I42" s="40"/>
      <c r="J42" s="40"/>
      <c r="K42" s="40"/>
      <c r="L42" s="40"/>
      <c r="M42" s="47">
        <f>$G$3*G42+$H$3*H42+$I$3*I42+$J$3*J42+$K$3*K42+$L$3*L42</f>
        <v>0</v>
      </c>
      <c r="N42" s="47">
        <f>M42+F42</f>
        <v>520000</v>
      </c>
      <c r="O42" s="40">
        <v>2</v>
      </c>
      <c r="P42" s="40">
        <v>2</v>
      </c>
      <c r="Q42" s="40">
        <v>8</v>
      </c>
      <c r="R42" s="40">
        <v>1</v>
      </c>
      <c r="S42" s="40">
        <v>1</v>
      </c>
      <c r="T42" s="40">
        <v>4</v>
      </c>
      <c r="U42" s="48">
        <f>((O42*P42)+Q42+(R42*S42)+T42)/100</f>
        <v>0.17</v>
      </c>
      <c r="V42" s="47">
        <f>+(F42+M42)*U42</f>
        <v>88400</v>
      </c>
      <c r="W42" s="47">
        <f>+F42+M42+V42</f>
        <v>608400</v>
      </c>
      <c r="Y42" s="8"/>
    </row>
    <row r="43" spans="1:25" ht="12.75">
      <c r="A43" s="37"/>
      <c r="B43" s="64"/>
      <c r="C43" s="35"/>
      <c r="D43" s="35"/>
      <c r="E43" s="35"/>
      <c r="F43" s="47"/>
      <c r="G43" s="40"/>
      <c r="H43" s="40"/>
      <c r="I43" s="40"/>
      <c r="J43" s="40"/>
      <c r="K43" s="40"/>
      <c r="L43" s="40"/>
      <c r="M43" s="47"/>
      <c r="N43" s="47"/>
      <c r="U43" s="48"/>
      <c r="V43" s="47"/>
      <c r="W43" s="47"/>
      <c r="Y43" s="8"/>
    </row>
    <row r="44" spans="1:25" ht="12.75">
      <c r="A44" s="37" t="s">
        <v>1189</v>
      </c>
      <c r="B44" s="79" t="s">
        <v>651</v>
      </c>
      <c r="C44" s="35"/>
      <c r="D44" s="35"/>
      <c r="E44" s="35"/>
      <c r="F44" s="47">
        <f>SUM(C44:E44)</f>
        <v>0</v>
      </c>
      <c r="G44" s="40"/>
      <c r="H44" s="40"/>
      <c r="I44" s="40"/>
      <c r="J44" s="40"/>
      <c r="K44" s="40"/>
      <c r="L44" s="40"/>
      <c r="M44" s="47">
        <f>$G$3*G44+$H$3*H44+$I$3*I44+$J$3*J44+$K$3*K44+$L$3*L44</f>
        <v>0</v>
      </c>
      <c r="N44" s="47"/>
      <c r="U44" s="48">
        <f>((O44*P44)+Q44+(R44*S44)+T44)/100</f>
        <v>0</v>
      </c>
      <c r="V44" s="47">
        <f>+(F44+M44)*U44</f>
        <v>0</v>
      </c>
      <c r="W44" s="47">
        <f>+F44+M44+V44</f>
        <v>0</v>
      </c>
      <c r="Y44" s="132">
        <f>SUM(W45:W82)</f>
        <v>8828154.7915</v>
      </c>
    </row>
    <row r="45" spans="1:25" ht="12.75">
      <c r="A45" s="37" t="s">
        <v>1250</v>
      </c>
      <c r="B45" s="8" t="s">
        <v>840</v>
      </c>
      <c r="C45" s="35"/>
      <c r="D45" s="35"/>
      <c r="E45" s="35"/>
      <c r="F45" s="47">
        <f>SUM(C45:E45)</f>
        <v>0</v>
      </c>
      <c r="G45" s="40"/>
      <c r="H45" s="40"/>
      <c r="I45" s="40"/>
      <c r="J45" s="40"/>
      <c r="K45" s="40"/>
      <c r="L45" s="40"/>
      <c r="M45" s="47">
        <f>$G$3*G45+$H$3*H45+$I$3*I45+$J$3*J45+$K$3*K45+$L$3*L45</f>
        <v>0</v>
      </c>
      <c r="N45" s="47"/>
      <c r="U45" s="48">
        <f>((O45*P45)+Q45+(R45*S45)+T45)/100</f>
        <v>0</v>
      </c>
      <c r="V45" s="47">
        <f>+(F45+M45)*U45</f>
        <v>0</v>
      </c>
      <c r="W45" s="47">
        <f>+F45+M45+V45</f>
        <v>0</v>
      </c>
      <c r="X45" s="35">
        <f>SUM(W46:W54)</f>
        <v>2371527.955</v>
      </c>
      <c r="Y45" s="132"/>
    </row>
    <row r="46" spans="1:26" ht="12.75">
      <c r="A46" s="37"/>
      <c r="B46" s="64" t="s">
        <v>875</v>
      </c>
      <c r="C46" s="35"/>
      <c r="D46" s="35"/>
      <c r="E46" s="35"/>
      <c r="F46" s="47">
        <f>SUM(C46:E46)</f>
        <v>0</v>
      </c>
      <c r="G46" s="93">
        <v>60</v>
      </c>
      <c r="H46" s="93">
        <v>0</v>
      </c>
      <c r="I46" s="93">
        <v>72</v>
      </c>
      <c r="J46" s="40">
        <v>560</v>
      </c>
      <c r="K46" s="40">
        <v>0</v>
      </c>
      <c r="L46" s="40">
        <v>0</v>
      </c>
      <c r="M46" s="47">
        <f>$G$3*G46+$H$3*H46+$I$3*I46+$J$3*J46+$K$3*K46+$L$3*L46</f>
        <v>37479</v>
      </c>
      <c r="N46" s="47">
        <f>M46+F46</f>
        <v>37479</v>
      </c>
      <c r="O46">
        <v>1</v>
      </c>
      <c r="P46">
        <v>2</v>
      </c>
      <c r="Q46">
        <v>4</v>
      </c>
      <c r="R46">
        <v>1</v>
      </c>
      <c r="S46">
        <v>2</v>
      </c>
      <c r="T46">
        <v>8</v>
      </c>
      <c r="U46" s="48">
        <f>((O46*P46)+Q46+(R46*S46)+T46)/100</f>
        <v>0.16</v>
      </c>
      <c r="V46" s="47">
        <f>+(F46+M46)*U46</f>
        <v>5996.64</v>
      </c>
      <c r="W46" s="47">
        <f>+F46+M46+V46</f>
        <v>43475.64</v>
      </c>
      <c r="Y46" s="8"/>
      <c r="Z46" t="s">
        <v>521</v>
      </c>
    </row>
    <row r="47" spans="1:25" ht="12.75">
      <c r="A47" s="37"/>
      <c r="B47" s="1" t="s">
        <v>636</v>
      </c>
      <c r="C47" s="35">
        <v>0</v>
      </c>
      <c r="D47" s="35">
        <v>120000</v>
      </c>
      <c r="E47" s="35"/>
      <c r="F47" s="47">
        <f aca="true" t="shared" si="16" ref="F47:F56">SUM(C47:E47)</f>
        <v>120000</v>
      </c>
      <c r="G47" s="93">
        <v>60</v>
      </c>
      <c r="H47" s="93">
        <v>0</v>
      </c>
      <c r="I47" s="93">
        <v>72</v>
      </c>
      <c r="J47" s="40">
        <v>320</v>
      </c>
      <c r="K47" s="40">
        <v>0</v>
      </c>
      <c r="L47" s="40">
        <v>0</v>
      </c>
      <c r="M47" s="47">
        <f aca="true" t="shared" si="17" ref="M47:M56">$G$3*G47+$H$3*H47+$I$3*I47+$J$3*J47+$K$3*K47+$L$3*L47</f>
        <v>24879</v>
      </c>
      <c r="N47" s="47">
        <f aca="true" t="shared" si="18" ref="N47:N54">M47+F47</f>
        <v>144879</v>
      </c>
      <c r="O47">
        <v>2</v>
      </c>
      <c r="P47" s="40">
        <v>2</v>
      </c>
      <c r="Q47">
        <v>8</v>
      </c>
      <c r="R47" s="40">
        <v>1</v>
      </c>
      <c r="S47" s="40">
        <v>2</v>
      </c>
      <c r="T47" s="40">
        <v>4</v>
      </c>
      <c r="U47" s="48">
        <f aca="true" t="shared" si="19" ref="U47:U56">((O47*P47)+Q47+(R47*S47)+T47)/100</f>
        <v>0.18</v>
      </c>
      <c r="V47" s="47">
        <f aca="true" t="shared" si="20" ref="V47:V56">+(F47+M47)*U47</f>
        <v>26078.219999999998</v>
      </c>
      <c r="W47" s="47">
        <f aca="true" t="shared" si="21" ref="W47:W56">+F47+M47+V47</f>
        <v>170957.22</v>
      </c>
      <c r="Y47" s="8"/>
    </row>
    <row r="48" spans="1:25" ht="12.75">
      <c r="A48" s="37"/>
      <c r="B48" s="8" t="s">
        <v>1251</v>
      </c>
      <c r="C48" s="35">
        <v>1500</v>
      </c>
      <c r="D48" s="35"/>
      <c r="E48" s="35"/>
      <c r="F48" s="47">
        <f t="shared" si="16"/>
        <v>1500</v>
      </c>
      <c r="G48" s="93">
        <v>80</v>
      </c>
      <c r="H48" s="93">
        <v>0</v>
      </c>
      <c r="I48" s="93">
        <v>0</v>
      </c>
      <c r="J48" s="40">
        <v>80</v>
      </c>
      <c r="K48" s="40">
        <v>0</v>
      </c>
      <c r="L48" s="40">
        <v>0</v>
      </c>
      <c r="M48" s="47">
        <f t="shared" si="17"/>
        <v>9572</v>
      </c>
      <c r="N48" s="47">
        <f t="shared" si="18"/>
        <v>11072</v>
      </c>
      <c r="O48">
        <v>2</v>
      </c>
      <c r="P48" s="40">
        <v>2</v>
      </c>
      <c r="Q48">
        <v>8</v>
      </c>
      <c r="R48" s="40">
        <v>1</v>
      </c>
      <c r="S48" s="40">
        <v>2</v>
      </c>
      <c r="T48" s="40">
        <v>4</v>
      </c>
      <c r="U48" s="48">
        <f t="shared" si="19"/>
        <v>0.18</v>
      </c>
      <c r="V48" s="47">
        <f t="shared" si="20"/>
        <v>1992.96</v>
      </c>
      <c r="W48" s="47">
        <f t="shared" si="21"/>
        <v>13064.96</v>
      </c>
      <c r="Y48" s="8"/>
    </row>
    <row r="49" spans="1:25" ht="12.75">
      <c r="A49" s="37"/>
      <c r="B49" s="2" t="s">
        <v>705</v>
      </c>
      <c r="C49" s="35">
        <v>0</v>
      </c>
      <c r="D49" s="35">
        <v>110000</v>
      </c>
      <c r="E49" s="35"/>
      <c r="F49" s="47">
        <f t="shared" si="16"/>
        <v>110000</v>
      </c>
      <c r="G49" s="93">
        <v>120</v>
      </c>
      <c r="H49" s="93">
        <v>0</v>
      </c>
      <c r="I49" s="93">
        <v>0</v>
      </c>
      <c r="J49" s="40">
        <v>120</v>
      </c>
      <c r="K49" s="40">
        <v>0</v>
      </c>
      <c r="L49" s="40">
        <v>0</v>
      </c>
      <c r="M49" s="47">
        <f t="shared" si="17"/>
        <v>14358</v>
      </c>
      <c r="N49" s="47">
        <f t="shared" si="18"/>
        <v>124358</v>
      </c>
      <c r="O49">
        <v>4</v>
      </c>
      <c r="P49" s="40">
        <v>2</v>
      </c>
      <c r="Q49">
        <v>8</v>
      </c>
      <c r="R49" s="40">
        <v>1</v>
      </c>
      <c r="S49" s="40">
        <v>2</v>
      </c>
      <c r="T49" s="40">
        <v>4</v>
      </c>
      <c r="U49" s="48">
        <f t="shared" si="19"/>
        <v>0.22</v>
      </c>
      <c r="V49" s="47">
        <f t="shared" si="20"/>
        <v>27358.76</v>
      </c>
      <c r="W49" s="47">
        <f t="shared" si="21"/>
        <v>151716.76</v>
      </c>
      <c r="Y49" s="8"/>
    </row>
    <row r="50" spans="1:25" ht="12.75">
      <c r="A50" s="37"/>
      <c r="B50" s="64" t="s">
        <v>1252</v>
      </c>
      <c r="C50" s="35">
        <v>5910</v>
      </c>
      <c r="D50" s="35">
        <v>59100</v>
      </c>
      <c r="E50" s="35"/>
      <c r="F50" s="47">
        <f t="shared" si="16"/>
        <v>65010</v>
      </c>
      <c r="G50" s="93">
        <v>170</v>
      </c>
      <c r="H50" s="93">
        <v>0</v>
      </c>
      <c r="I50" s="93">
        <v>203</v>
      </c>
      <c r="J50" s="40">
        <v>340</v>
      </c>
      <c r="K50" s="40">
        <v>74</v>
      </c>
      <c r="L50" s="40">
        <v>0</v>
      </c>
      <c r="M50" s="47">
        <f t="shared" si="17"/>
        <v>46844.75</v>
      </c>
      <c r="N50" s="47">
        <f t="shared" si="18"/>
        <v>111854.75</v>
      </c>
      <c r="O50">
        <v>3</v>
      </c>
      <c r="P50" s="40">
        <v>2</v>
      </c>
      <c r="Q50">
        <v>4</v>
      </c>
      <c r="R50" s="40">
        <v>4</v>
      </c>
      <c r="S50" s="40">
        <v>1</v>
      </c>
      <c r="T50" s="40">
        <v>4</v>
      </c>
      <c r="U50" s="48">
        <f t="shared" si="19"/>
        <v>0.18</v>
      </c>
      <c r="V50" s="47">
        <f t="shared" si="20"/>
        <v>20133.855</v>
      </c>
      <c r="W50" s="47">
        <f t="shared" si="21"/>
        <v>131988.605</v>
      </c>
      <c r="Y50" s="8"/>
    </row>
    <row r="51" spans="1:25" ht="12.75">
      <c r="A51" s="37"/>
      <c r="B51" s="64" t="s">
        <v>706</v>
      </c>
      <c r="C51" s="35">
        <v>22930</v>
      </c>
      <c r="D51" s="35">
        <v>179300</v>
      </c>
      <c r="E51" s="35"/>
      <c r="F51" s="47">
        <f t="shared" si="16"/>
        <v>202230</v>
      </c>
      <c r="G51" s="93">
        <v>346</v>
      </c>
      <c r="H51" s="93">
        <v>0</v>
      </c>
      <c r="I51" s="93">
        <v>413</v>
      </c>
      <c r="J51" s="40">
        <v>692</v>
      </c>
      <c r="K51" s="40">
        <v>150</v>
      </c>
      <c r="L51" s="40">
        <v>0</v>
      </c>
      <c r="M51" s="47">
        <f t="shared" si="17"/>
        <v>95282.65</v>
      </c>
      <c r="N51" s="47">
        <f t="shared" si="18"/>
        <v>297512.65</v>
      </c>
      <c r="O51">
        <v>3</v>
      </c>
      <c r="P51" s="40">
        <v>2</v>
      </c>
      <c r="Q51">
        <v>4</v>
      </c>
      <c r="R51" s="40">
        <v>4</v>
      </c>
      <c r="S51" s="40">
        <v>1</v>
      </c>
      <c r="T51" s="40">
        <v>4</v>
      </c>
      <c r="U51" s="48">
        <f t="shared" si="19"/>
        <v>0.18</v>
      </c>
      <c r="V51" s="47">
        <f t="shared" si="20"/>
        <v>53552.277</v>
      </c>
      <c r="W51" s="47">
        <f t="shared" si="21"/>
        <v>351064.927</v>
      </c>
      <c r="Y51" s="8"/>
    </row>
    <row r="52" spans="1:25" ht="12.75">
      <c r="A52" s="37"/>
      <c r="B52" s="81" t="s">
        <v>703</v>
      </c>
      <c r="C52" s="35">
        <v>143500</v>
      </c>
      <c r="D52" s="35">
        <v>180000</v>
      </c>
      <c r="E52" s="35"/>
      <c r="F52" s="47">
        <f t="shared" si="16"/>
        <v>323500</v>
      </c>
      <c r="G52" s="93">
        <v>320</v>
      </c>
      <c r="H52" s="93">
        <v>0</v>
      </c>
      <c r="I52" s="93">
        <v>502</v>
      </c>
      <c r="J52" s="40">
        <v>1600</v>
      </c>
      <c r="K52" s="40">
        <v>160</v>
      </c>
      <c r="L52" s="40">
        <v>80</v>
      </c>
      <c r="M52" s="47">
        <f t="shared" si="17"/>
        <v>154997.5</v>
      </c>
      <c r="N52" s="47">
        <f t="shared" si="18"/>
        <v>478497.5</v>
      </c>
      <c r="O52">
        <v>3</v>
      </c>
      <c r="P52" s="40">
        <v>2</v>
      </c>
      <c r="Q52">
        <v>8</v>
      </c>
      <c r="R52" s="40">
        <v>1</v>
      </c>
      <c r="S52" s="40">
        <v>2</v>
      </c>
      <c r="T52" s="40">
        <v>8</v>
      </c>
      <c r="U52" s="48">
        <f t="shared" si="19"/>
        <v>0.24</v>
      </c>
      <c r="V52" s="47">
        <f t="shared" si="20"/>
        <v>114839.4</v>
      </c>
      <c r="W52" s="47">
        <f t="shared" si="21"/>
        <v>593336.9</v>
      </c>
      <c r="Y52" s="8"/>
    </row>
    <row r="53" spans="1:25" ht="12.75">
      <c r="A53" s="37"/>
      <c r="B53" s="2" t="s">
        <v>704</v>
      </c>
      <c r="C53" s="35">
        <v>8960</v>
      </c>
      <c r="D53" s="35">
        <v>390992</v>
      </c>
      <c r="E53" s="35"/>
      <c r="F53" s="47">
        <f t="shared" si="16"/>
        <v>399952</v>
      </c>
      <c r="G53" s="93">
        <v>116</v>
      </c>
      <c r="H53" s="93">
        <v>0</v>
      </c>
      <c r="I53" s="93">
        <v>219</v>
      </c>
      <c r="J53" s="40">
        <v>2828</v>
      </c>
      <c r="K53" s="40">
        <v>840</v>
      </c>
      <c r="L53" s="40">
        <v>56</v>
      </c>
      <c r="M53" s="47">
        <f t="shared" si="17"/>
        <v>244074.55</v>
      </c>
      <c r="N53" s="47">
        <f t="shared" si="18"/>
        <v>644026.55</v>
      </c>
      <c r="O53">
        <v>1</v>
      </c>
      <c r="P53" s="40">
        <v>2</v>
      </c>
      <c r="Q53">
        <v>0</v>
      </c>
      <c r="R53" s="40">
        <v>2</v>
      </c>
      <c r="S53" s="40">
        <v>1</v>
      </c>
      <c r="T53" s="40">
        <v>2</v>
      </c>
      <c r="U53" s="48">
        <f t="shared" si="19"/>
        <v>0.06</v>
      </c>
      <c r="V53" s="47">
        <f t="shared" si="20"/>
        <v>38641.593</v>
      </c>
      <c r="W53" s="47">
        <f t="shared" si="21"/>
        <v>682668.143</v>
      </c>
      <c r="Y53" s="8"/>
    </row>
    <row r="54" spans="1:26" ht="12.75">
      <c r="A54" s="37"/>
      <c r="B54" s="2" t="s">
        <v>645</v>
      </c>
      <c r="C54" s="35">
        <v>0</v>
      </c>
      <c r="D54" s="35">
        <v>180000</v>
      </c>
      <c r="E54" s="35"/>
      <c r="F54" s="47">
        <f t="shared" si="16"/>
        <v>180000</v>
      </c>
      <c r="G54" s="93">
        <v>60</v>
      </c>
      <c r="H54" s="93">
        <v>0</v>
      </c>
      <c r="I54" s="93">
        <v>72</v>
      </c>
      <c r="J54" s="40">
        <v>120</v>
      </c>
      <c r="K54" s="40">
        <v>0</v>
      </c>
      <c r="L54" s="40">
        <v>0</v>
      </c>
      <c r="M54" s="47">
        <f t="shared" si="17"/>
        <v>14379</v>
      </c>
      <c r="N54" s="47">
        <f t="shared" si="18"/>
        <v>194379</v>
      </c>
      <c r="O54">
        <v>3</v>
      </c>
      <c r="P54" s="40">
        <v>2</v>
      </c>
      <c r="Q54">
        <v>8</v>
      </c>
      <c r="R54" s="40">
        <v>1</v>
      </c>
      <c r="S54" s="40">
        <v>2</v>
      </c>
      <c r="T54" s="40">
        <v>4</v>
      </c>
      <c r="U54" s="48">
        <f t="shared" si="19"/>
        <v>0.2</v>
      </c>
      <c r="V54" s="47">
        <f t="shared" si="20"/>
        <v>38875.8</v>
      </c>
      <c r="W54" s="47">
        <f t="shared" si="21"/>
        <v>233254.8</v>
      </c>
      <c r="Y54" s="8"/>
      <c r="Z54" t="s">
        <v>1004</v>
      </c>
    </row>
    <row r="55" spans="1:25" ht="12.75">
      <c r="A55" s="37" t="s">
        <v>1254</v>
      </c>
      <c r="B55" s="8" t="s">
        <v>848</v>
      </c>
      <c r="C55" s="35"/>
      <c r="D55" s="35"/>
      <c r="E55" s="35"/>
      <c r="F55" s="47">
        <f t="shared" si="16"/>
        <v>0</v>
      </c>
      <c r="G55" s="40"/>
      <c r="H55" s="40"/>
      <c r="I55" s="40"/>
      <c r="J55" s="40"/>
      <c r="K55" s="40"/>
      <c r="L55" s="40"/>
      <c r="M55" s="47">
        <f t="shared" si="17"/>
        <v>0</v>
      </c>
      <c r="N55" s="47"/>
      <c r="U55" s="48">
        <f t="shared" si="19"/>
        <v>0</v>
      </c>
      <c r="V55" s="47">
        <f t="shared" si="20"/>
        <v>0</v>
      </c>
      <c r="W55" s="47">
        <f t="shared" si="21"/>
        <v>0</v>
      </c>
      <c r="X55" s="35">
        <f>SUM(W56:W62)</f>
        <v>2174995.518</v>
      </c>
      <c r="Y55" s="132"/>
    </row>
    <row r="56" spans="1:26" ht="12.75">
      <c r="A56" s="37"/>
      <c r="B56" s="64" t="s">
        <v>875</v>
      </c>
      <c r="C56" s="35">
        <v>5000</v>
      </c>
      <c r="D56" s="35"/>
      <c r="E56" s="35"/>
      <c r="F56" s="47">
        <f t="shared" si="16"/>
        <v>5000</v>
      </c>
      <c r="G56" s="93">
        <v>105</v>
      </c>
      <c r="H56" s="93">
        <v>0</v>
      </c>
      <c r="I56" s="93">
        <v>125</v>
      </c>
      <c r="J56" s="93">
        <v>0</v>
      </c>
      <c r="K56" s="40">
        <v>0</v>
      </c>
      <c r="L56" s="40">
        <v>0</v>
      </c>
      <c r="M56" s="47">
        <f t="shared" si="17"/>
        <v>14082</v>
      </c>
      <c r="N56" s="47">
        <f>M56+F56</f>
        <v>19082</v>
      </c>
      <c r="O56">
        <v>1</v>
      </c>
      <c r="P56">
        <v>2</v>
      </c>
      <c r="Q56">
        <v>4</v>
      </c>
      <c r="R56">
        <v>1</v>
      </c>
      <c r="S56">
        <v>2</v>
      </c>
      <c r="T56">
        <v>8</v>
      </c>
      <c r="U56" s="48">
        <f t="shared" si="19"/>
        <v>0.16</v>
      </c>
      <c r="V56" s="47">
        <f t="shared" si="20"/>
        <v>3053.12</v>
      </c>
      <c r="W56" s="47">
        <f t="shared" si="21"/>
        <v>22135.12</v>
      </c>
      <c r="Y56" s="8"/>
      <c r="Z56" t="s">
        <v>521</v>
      </c>
    </row>
    <row r="57" spans="1:25" ht="12.75">
      <c r="A57" s="37"/>
      <c r="B57" s="1" t="s">
        <v>640</v>
      </c>
      <c r="C57" s="35">
        <v>16000</v>
      </c>
      <c r="D57" s="35">
        <v>0</v>
      </c>
      <c r="E57" s="35"/>
      <c r="F57" s="47">
        <f>SUM(C57:E57)</f>
        <v>16000</v>
      </c>
      <c r="G57" s="93">
        <v>55</v>
      </c>
      <c r="H57" s="93">
        <v>0</v>
      </c>
      <c r="I57" s="93">
        <v>55</v>
      </c>
      <c r="J57" s="93">
        <v>220</v>
      </c>
      <c r="K57" s="40">
        <v>0</v>
      </c>
      <c r="L57" s="40">
        <v>0</v>
      </c>
      <c r="M57" s="47">
        <f>$G$3*G57+$H$3*H57+$I$3*I57+$J$3*J57+$K$3*K57+$L$3*L57</f>
        <v>18337</v>
      </c>
      <c r="N57" s="47">
        <f>M57+F57</f>
        <v>34337</v>
      </c>
      <c r="O57">
        <v>3</v>
      </c>
      <c r="P57" s="40">
        <v>2</v>
      </c>
      <c r="Q57">
        <v>8</v>
      </c>
      <c r="R57" s="40">
        <v>1</v>
      </c>
      <c r="S57" s="40">
        <v>2</v>
      </c>
      <c r="T57" s="40">
        <v>4</v>
      </c>
      <c r="U57" s="48">
        <f>((O57*P57)+Q57+(R57*S57)+T57)/100</f>
        <v>0.2</v>
      </c>
      <c r="V57" s="47">
        <f>+(F57+M57)*U57</f>
        <v>6867.400000000001</v>
      </c>
      <c r="W57" s="47">
        <f>+F57+M57+V57</f>
        <v>41204.4</v>
      </c>
      <c r="Y57" s="8"/>
    </row>
    <row r="58" spans="1:25" ht="12.75">
      <c r="A58" s="37"/>
      <c r="B58" s="64" t="s">
        <v>625</v>
      </c>
      <c r="C58" s="35">
        <v>206000</v>
      </c>
      <c r="D58" s="35">
        <v>0</v>
      </c>
      <c r="E58" s="35"/>
      <c r="F58" s="47">
        <f>SUM(C58:E58)</f>
        <v>206000</v>
      </c>
      <c r="G58" s="93">
        <v>348</v>
      </c>
      <c r="H58" s="93">
        <v>164</v>
      </c>
      <c r="I58" s="93">
        <v>1006</v>
      </c>
      <c r="J58" s="93">
        <v>2178</v>
      </c>
      <c r="K58" s="40">
        <v>352</v>
      </c>
      <c r="L58" s="40">
        <v>2480</v>
      </c>
      <c r="M58" s="47">
        <f>$G$3*G58+$H$3*H58+$I$3*I58+$J$3*J58+$K$3*K58+$L$3*L58</f>
        <v>484819.3</v>
      </c>
      <c r="N58" s="47">
        <f>M58+F58</f>
        <v>690819.3</v>
      </c>
      <c r="O58">
        <v>4</v>
      </c>
      <c r="P58" s="40">
        <v>2</v>
      </c>
      <c r="Q58">
        <v>4</v>
      </c>
      <c r="R58" s="40">
        <v>4</v>
      </c>
      <c r="S58" s="40">
        <v>1</v>
      </c>
      <c r="T58" s="40">
        <v>4</v>
      </c>
      <c r="U58" s="48">
        <f>((O58*P58)+Q58+(R58*S58)+T58)/100</f>
        <v>0.2</v>
      </c>
      <c r="V58" s="47">
        <f>+(F58+M58)*U58</f>
        <v>138163.86000000002</v>
      </c>
      <c r="W58" s="47">
        <f>+F58+M58+V58</f>
        <v>828983.16</v>
      </c>
      <c r="Y58" s="8"/>
    </row>
    <row r="59" spans="1:25" ht="12.75">
      <c r="A59" s="37"/>
      <c r="B59" s="64" t="s">
        <v>500</v>
      </c>
      <c r="C59" s="35">
        <v>21958</v>
      </c>
      <c r="D59" s="35">
        <v>0</v>
      </c>
      <c r="E59" s="35"/>
      <c r="F59" s="47">
        <f>SUM(C59:E59)</f>
        <v>21958</v>
      </c>
      <c r="G59" s="93">
        <v>220</v>
      </c>
      <c r="H59" s="93">
        <v>0</v>
      </c>
      <c r="I59" s="93">
        <v>0</v>
      </c>
      <c r="J59" s="93">
        <v>1268</v>
      </c>
      <c r="K59" s="40">
        <v>376</v>
      </c>
      <c r="L59" s="40">
        <v>849</v>
      </c>
      <c r="M59" s="47">
        <f>$G$3*G59+$H$3*H59+$I$3*I59+$J$3*J59+$K$3*K59+$L$3*L59</f>
        <v>197035.6</v>
      </c>
      <c r="N59" s="47">
        <f>M59+F59</f>
        <v>218993.6</v>
      </c>
      <c r="O59">
        <v>4</v>
      </c>
      <c r="P59" s="40">
        <v>4</v>
      </c>
      <c r="Q59">
        <v>4</v>
      </c>
      <c r="R59" s="40">
        <v>4</v>
      </c>
      <c r="S59" s="40">
        <v>1</v>
      </c>
      <c r="T59" s="40">
        <v>4</v>
      </c>
      <c r="U59" s="48">
        <f>((O59*P59)+Q59+(R59*S59)+T59)/100</f>
        <v>0.28</v>
      </c>
      <c r="V59" s="47">
        <f>+(F59+M59)*U59</f>
        <v>61318.208000000006</v>
      </c>
      <c r="W59" s="47">
        <f>+F59+M59+V59</f>
        <v>280311.808</v>
      </c>
      <c r="Y59" s="8"/>
    </row>
    <row r="60" spans="1:25" ht="12.75">
      <c r="A60" s="37"/>
      <c r="B60" s="64" t="s">
        <v>627</v>
      </c>
      <c r="C60" s="35">
        <v>90560</v>
      </c>
      <c r="D60" s="35">
        <v>0</v>
      </c>
      <c r="E60" s="35"/>
      <c r="F60" s="47">
        <f>SUM(C60:E60)</f>
        <v>90560</v>
      </c>
      <c r="G60" s="93">
        <v>275</v>
      </c>
      <c r="H60" s="93">
        <v>110</v>
      </c>
      <c r="I60" s="93">
        <v>968</v>
      </c>
      <c r="J60" s="336">
        <v>1470</v>
      </c>
      <c r="K60" s="40">
        <v>216</v>
      </c>
      <c r="L60" s="40">
        <v>3220</v>
      </c>
      <c r="M60" s="47">
        <f>$G$3*G60+$H$3*H60+$I$3*I60+$J$3*J60+$K$3*K60+$L$3*L60</f>
        <v>498002.75</v>
      </c>
      <c r="N60" s="47">
        <f>M60+F60</f>
        <v>588562.75</v>
      </c>
      <c r="O60">
        <v>6</v>
      </c>
      <c r="P60" s="40">
        <v>4</v>
      </c>
      <c r="Q60">
        <v>4</v>
      </c>
      <c r="R60" s="40">
        <v>4</v>
      </c>
      <c r="S60" s="40">
        <v>1</v>
      </c>
      <c r="T60" s="40">
        <v>4</v>
      </c>
      <c r="U60" s="48">
        <f>((O60*P60)+Q60+(R60*S60)+T60)/100</f>
        <v>0.36</v>
      </c>
      <c r="V60" s="47">
        <f>+(F60+M60)*U60</f>
        <v>211882.59</v>
      </c>
      <c r="W60" s="47">
        <f>+F60+M60+V60</f>
        <v>800445.34</v>
      </c>
      <c r="Y60" s="8"/>
    </row>
    <row r="61" spans="1:25" ht="12.75">
      <c r="A61" s="37"/>
      <c r="B61" s="80" t="s">
        <v>681</v>
      </c>
      <c r="C61" s="35"/>
      <c r="D61" s="35"/>
      <c r="E61" s="35"/>
      <c r="F61" s="47"/>
      <c r="G61" s="93"/>
      <c r="H61" s="93"/>
      <c r="I61" s="93"/>
      <c r="J61" s="93"/>
      <c r="K61" s="40"/>
      <c r="L61" s="40"/>
      <c r="M61" s="47"/>
      <c r="N61" s="47"/>
      <c r="P61" s="40"/>
      <c r="R61" s="40"/>
      <c r="S61" s="40"/>
      <c r="T61" s="40"/>
      <c r="U61" s="48"/>
      <c r="V61" s="47"/>
      <c r="W61" s="47"/>
      <c r="Y61" s="8"/>
    </row>
    <row r="62" spans="1:25" ht="12.75">
      <c r="A62" s="37"/>
      <c r="B62" s="64" t="s">
        <v>628</v>
      </c>
      <c r="C62" s="35">
        <v>0</v>
      </c>
      <c r="D62" s="35">
        <v>160000</v>
      </c>
      <c r="E62" s="35"/>
      <c r="F62" s="47">
        <f>SUM(C62:E62)</f>
        <v>160000</v>
      </c>
      <c r="G62" s="93">
        <v>110</v>
      </c>
      <c r="H62" s="93">
        <v>0</v>
      </c>
      <c r="I62" s="93">
        <v>0</v>
      </c>
      <c r="J62" s="93">
        <v>440</v>
      </c>
      <c r="K62" s="40">
        <v>0</v>
      </c>
      <c r="L62" s="40">
        <v>0</v>
      </c>
      <c r="M62" s="47">
        <f>$G$3*G62+$H$3*H62+$I$3*I62+$J$3*J62+$K$3*K62+$L$3*L62</f>
        <v>30486.5</v>
      </c>
      <c r="N62" s="47">
        <f>M62+F62</f>
        <v>190486.5</v>
      </c>
      <c r="O62">
        <v>1</v>
      </c>
      <c r="P62" s="40">
        <v>2</v>
      </c>
      <c r="Q62">
        <v>0</v>
      </c>
      <c r="R62" s="40">
        <v>2</v>
      </c>
      <c r="S62" s="40">
        <v>1</v>
      </c>
      <c r="T62" s="40">
        <v>2</v>
      </c>
      <c r="U62" s="48">
        <f>((O62*P62)+Q62+(R62*S62)+T62)/100</f>
        <v>0.06</v>
      </c>
      <c r="V62" s="47">
        <f>+(F62+M62)*U62</f>
        <v>11429.189999999999</v>
      </c>
      <c r="W62" s="47">
        <f>+F62+M62+V62</f>
        <v>201915.69</v>
      </c>
      <c r="Y62" s="8"/>
    </row>
    <row r="63" spans="1:25" ht="12.75">
      <c r="A63" s="37" t="s">
        <v>1255</v>
      </c>
      <c r="B63" s="83" t="s">
        <v>639</v>
      </c>
      <c r="C63" s="35"/>
      <c r="D63" s="35"/>
      <c r="E63" s="35"/>
      <c r="F63" s="47"/>
      <c r="G63" s="93"/>
      <c r="H63" s="93"/>
      <c r="I63" s="93"/>
      <c r="J63" s="93"/>
      <c r="K63" s="40"/>
      <c r="L63" s="40"/>
      <c r="M63" s="47"/>
      <c r="N63" s="47"/>
      <c r="P63" s="40"/>
      <c r="R63" s="40"/>
      <c r="S63" s="40"/>
      <c r="T63" s="40"/>
      <c r="U63" s="48"/>
      <c r="V63" s="47"/>
      <c r="W63" s="47"/>
      <c r="X63" s="35">
        <f>SUM(W64:W71)</f>
        <v>571041.3975</v>
      </c>
      <c r="Y63" s="132"/>
    </row>
    <row r="64" spans="1:25" ht="12.75">
      <c r="A64" s="37"/>
      <c r="B64" s="64" t="s">
        <v>875</v>
      </c>
      <c r="C64" s="35">
        <v>0</v>
      </c>
      <c r="D64" s="35">
        <v>0</v>
      </c>
      <c r="E64" s="35">
        <v>0</v>
      </c>
      <c r="F64" s="47">
        <f aca="true" t="shared" si="22" ref="F64:F71">SUM(C64:E64)</f>
        <v>0</v>
      </c>
      <c r="G64" s="93">
        <v>120</v>
      </c>
      <c r="H64" s="93">
        <v>120</v>
      </c>
      <c r="I64" s="93">
        <v>223</v>
      </c>
      <c r="J64" s="93">
        <v>440</v>
      </c>
      <c r="K64" s="40">
        <v>0</v>
      </c>
      <c r="L64" s="40">
        <v>0</v>
      </c>
      <c r="M64" s="47">
        <f aca="true" t="shared" si="23" ref="M64:M71">$G$3*G64+$H$3*H64+$I$3*I64+$J$3*J64+$K$3*K64+$L$3*L64</f>
        <v>54459.75</v>
      </c>
      <c r="N64" s="47">
        <f aca="true" t="shared" si="24" ref="N64:N71">M64+F64</f>
        <v>54459.75</v>
      </c>
      <c r="O64" s="40">
        <v>1</v>
      </c>
      <c r="P64" s="40">
        <v>2</v>
      </c>
      <c r="Q64" s="40">
        <v>8</v>
      </c>
      <c r="R64" s="40">
        <v>1</v>
      </c>
      <c r="S64" s="40">
        <v>1</v>
      </c>
      <c r="T64" s="40">
        <v>4</v>
      </c>
      <c r="U64" s="48">
        <f aca="true" t="shared" si="25" ref="U64:U71">((O64*P64)+Q64+(R64*S64)+T64)/100</f>
        <v>0.15</v>
      </c>
      <c r="V64" s="47">
        <f aca="true" t="shared" si="26" ref="V64:V71">+(F64+M64)*U64</f>
        <v>8168.9625</v>
      </c>
      <c r="W64" s="47">
        <f aca="true" t="shared" si="27" ref="W64:W71">+F64+M64+V64</f>
        <v>62628.7125</v>
      </c>
      <c r="Y64" s="8"/>
    </row>
    <row r="65" spans="1:25" ht="12.75">
      <c r="A65" s="37"/>
      <c r="B65" s="2" t="s">
        <v>644</v>
      </c>
      <c r="C65" s="35">
        <v>20000</v>
      </c>
      <c r="D65" s="35">
        <v>0</v>
      </c>
      <c r="E65" s="35">
        <v>0</v>
      </c>
      <c r="F65" s="47">
        <f t="shared" si="22"/>
        <v>20000</v>
      </c>
      <c r="G65" s="93">
        <v>90</v>
      </c>
      <c r="H65" s="93">
        <v>0</v>
      </c>
      <c r="I65" s="93">
        <v>127</v>
      </c>
      <c r="J65" s="93">
        <v>640</v>
      </c>
      <c r="K65" s="40">
        <v>0</v>
      </c>
      <c r="L65" s="40">
        <v>0</v>
      </c>
      <c r="M65" s="47">
        <f t="shared" si="23"/>
        <v>46787.25</v>
      </c>
      <c r="N65" s="47">
        <f t="shared" si="24"/>
        <v>66787.25</v>
      </c>
      <c r="O65" s="40">
        <v>3</v>
      </c>
      <c r="P65" s="40">
        <v>4</v>
      </c>
      <c r="Q65" s="40">
        <v>8</v>
      </c>
      <c r="R65" s="40">
        <v>3</v>
      </c>
      <c r="S65" s="40">
        <v>2</v>
      </c>
      <c r="T65" s="40">
        <v>8</v>
      </c>
      <c r="U65" s="48">
        <f t="shared" si="25"/>
        <v>0.34</v>
      </c>
      <c r="V65" s="47">
        <f t="shared" si="26"/>
        <v>22707.665</v>
      </c>
      <c r="W65" s="47">
        <f t="shared" si="27"/>
        <v>89494.91500000001</v>
      </c>
      <c r="Y65" s="8"/>
    </row>
    <row r="66" spans="1:25" ht="12.75">
      <c r="A66" s="37"/>
      <c r="B66" s="2" t="s">
        <v>663</v>
      </c>
      <c r="C66" s="35">
        <v>10000</v>
      </c>
      <c r="D66" s="35">
        <v>0</v>
      </c>
      <c r="E66" s="35">
        <v>0</v>
      </c>
      <c r="F66" s="47">
        <f t="shared" si="22"/>
        <v>10000</v>
      </c>
      <c r="G66" s="93">
        <v>440</v>
      </c>
      <c r="H66" s="93">
        <v>20</v>
      </c>
      <c r="I66" s="93">
        <v>545</v>
      </c>
      <c r="J66" s="93">
        <v>880</v>
      </c>
      <c r="K66" s="40">
        <v>0</v>
      </c>
      <c r="L66" s="40">
        <v>0</v>
      </c>
      <c r="M66" s="47">
        <f t="shared" si="23"/>
        <v>108195.25</v>
      </c>
      <c r="N66" s="47">
        <f t="shared" si="24"/>
        <v>118195.25</v>
      </c>
      <c r="O66" s="40">
        <v>2</v>
      </c>
      <c r="P66" s="40">
        <v>4</v>
      </c>
      <c r="Q66" s="40">
        <v>8</v>
      </c>
      <c r="R66" s="40">
        <v>2</v>
      </c>
      <c r="S66" s="40">
        <v>2</v>
      </c>
      <c r="T66" s="40">
        <v>8</v>
      </c>
      <c r="U66" s="48">
        <f t="shared" si="25"/>
        <v>0.28</v>
      </c>
      <c r="V66" s="47">
        <f t="shared" si="26"/>
        <v>33094.670000000006</v>
      </c>
      <c r="W66" s="47">
        <f t="shared" si="27"/>
        <v>151289.92</v>
      </c>
      <c r="Y66" s="8"/>
    </row>
    <row r="67" spans="1:25" ht="12.75">
      <c r="A67" s="37"/>
      <c r="B67" s="64" t="s">
        <v>768</v>
      </c>
      <c r="C67" s="35">
        <v>2000</v>
      </c>
      <c r="D67" s="35">
        <v>0</v>
      </c>
      <c r="E67" s="35">
        <v>0</v>
      </c>
      <c r="F67" s="47">
        <f t="shared" si="22"/>
        <v>2000</v>
      </c>
      <c r="G67" s="93">
        <v>40</v>
      </c>
      <c r="H67" s="93">
        <v>0</v>
      </c>
      <c r="I67" s="93">
        <v>0</v>
      </c>
      <c r="J67" s="93">
        <v>80</v>
      </c>
      <c r="K67" s="40">
        <v>0</v>
      </c>
      <c r="L67" s="40">
        <v>0</v>
      </c>
      <c r="M67" s="47">
        <f t="shared" si="23"/>
        <v>6886</v>
      </c>
      <c r="N67" s="47">
        <f t="shared" si="24"/>
        <v>8886</v>
      </c>
      <c r="O67" s="40">
        <v>1</v>
      </c>
      <c r="P67" s="40">
        <v>2</v>
      </c>
      <c r="Q67" s="40">
        <v>0</v>
      </c>
      <c r="R67" s="40">
        <v>1</v>
      </c>
      <c r="S67" s="40">
        <v>1</v>
      </c>
      <c r="T67" s="40">
        <v>2</v>
      </c>
      <c r="U67" s="48">
        <f t="shared" si="25"/>
        <v>0.05</v>
      </c>
      <c r="V67" s="47">
        <f t="shared" si="26"/>
        <v>444.3</v>
      </c>
      <c r="W67" s="47">
        <f t="shared" si="27"/>
        <v>9330.3</v>
      </c>
      <c r="Y67" s="8"/>
    </row>
    <row r="68" spans="1:25" ht="12.75">
      <c r="A68" s="37"/>
      <c r="B68" s="2" t="s">
        <v>629</v>
      </c>
      <c r="C68" s="35">
        <v>40000</v>
      </c>
      <c r="D68" s="35">
        <v>0</v>
      </c>
      <c r="E68" s="35">
        <v>0</v>
      </c>
      <c r="F68" s="47">
        <f t="shared" si="22"/>
        <v>40000</v>
      </c>
      <c r="G68" s="93">
        <v>40</v>
      </c>
      <c r="H68" s="93">
        <v>0</v>
      </c>
      <c r="I68" s="93">
        <v>68</v>
      </c>
      <c r="J68" s="93">
        <v>160</v>
      </c>
      <c r="K68" s="40">
        <v>0</v>
      </c>
      <c r="L68" s="40">
        <v>0</v>
      </c>
      <c r="M68" s="47">
        <f t="shared" si="23"/>
        <v>14911</v>
      </c>
      <c r="N68" s="47">
        <f t="shared" si="24"/>
        <v>54911</v>
      </c>
      <c r="O68" s="40">
        <v>2</v>
      </c>
      <c r="P68" s="40">
        <v>2</v>
      </c>
      <c r="Q68" s="40">
        <v>4</v>
      </c>
      <c r="R68" s="40">
        <v>1</v>
      </c>
      <c r="S68" s="40">
        <v>1</v>
      </c>
      <c r="T68" s="40">
        <v>4</v>
      </c>
      <c r="U68" s="48">
        <f t="shared" si="25"/>
        <v>0.13</v>
      </c>
      <c r="V68" s="47">
        <f t="shared" si="26"/>
        <v>7138.43</v>
      </c>
      <c r="W68" s="47">
        <f t="shared" si="27"/>
        <v>62049.43</v>
      </c>
      <c r="Y68" s="8"/>
    </row>
    <row r="69" spans="1:25" ht="12.75">
      <c r="A69" s="37"/>
      <c r="B69" s="2" t="s">
        <v>664</v>
      </c>
      <c r="C69" s="35">
        <v>37000</v>
      </c>
      <c r="D69" s="35">
        <v>0</v>
      </c>
      <c r="E69" s="35">
        <v>0</v>
      </c>
      <c r="F69" s="47">
        <f t="shared" si="22"/>
        <v>37000</v>
      </c>
      <c r="G69" s="93">
        <v>40</v>
      </c>
      <c r="H69" s="93">
        <v>0</v>
      </c>
      <c r="I69" s="93">
        <v>68</v>
      </c>
      <c r="J69" s="93">
        <v>160</v>
      </c>
      <c r="K69" s="40">
        <v>840</v>
      </c>
      <c r="L69" s="40">
        <v>0</v>
      </c>
      <c r="M69" s="47">
        <f t="shared" si="23"/>
        <v>84841</v>
      </c>
      <c r="N69" s="47">
        <f t="shared" si="24"/>
        <v>121841</v>
      </c>
      <c r="O69" s="40">
        <v>1</v>
      </c>
      <c r="P69" s="40">
        <v>2</v>
      </c>
      <c r="Q69" s="40">
        <v>4</v>
      </c>
      <c r="R69" s="40">
        <v>1</v>
      </c>
      <c r="S69" s="40">
        <v>2</v>
      </c>
      <c r="T69" s="40">
        <v>4</v>
      </c>
      <c r="U69" s="48">
        <f t="shared" si="25"/>
        <v>0.12</v>
      </c>
      <c r="V69" s="47">
        <f t="shared" si="26"/>
        <v>14620.92</v>
      </c>
      <c r="W69" s="47">
        <f t="shared" si="27"/>
        <v>136461.92</v>
      </c>
      <c r="Y69" s="8"/>
    </row>
    <row r="70" spans="1:25" ht="12.75">
      <c r="A70" s="37"/>
      <c r="B70" s="2" t="s">
        <v>665</v>
      </c>
      <c r="C70" s="35">
        <v>25000</v>
      </c>
      <c r="D70" s="35">
        <v>0</v>
      </c>
      <c r="E70" s="35">
        <v>0</v>
      </c>
      <c r="F70" s="47">
        <f t="shared" si="22"/>
        <v>25000</v>
      </c>
      <c r="G70" s="93">
        <v>40</v>
      </c>
      <c r="H70" s="93">
        <v>0</v>
      </c>
      <c r="I70" s="93">
        <v>0</v>
      </c>
      <c r="J70" s="93">
        <v>240</v>
      </c>
      <c r="K70" s="40">
        <v>0</v>
      </c>
      <c r="L70" s="40">
        <v>0</v>
      </c>
      <c r="M70" s="47">
        <f t="shared" si="23"/>
        <v>15286</v>
      </c>
      <c r="N70" s="47">
        <f t="shared" si="24"/>
        <v>40286</v>
      </c>
      <c r="O70" s="40">
        <v>1</v>
      </c>
      <c r="P70" s="40">
        <v>2</v>
      </c>
      <c r="Q70" s="40">
        <v>4</v>
      </c>
      <c r="R70" s="40">
        <v>1</v>
      </c>
      <c r="S70" s="40">
        <v>2</v>
      </c>
      <c r="T70" s="40">
        <v>4</v>
      </c>
      <c r="U70" s="48">
        <f t="shared" si="25"/>
        <v>0.12</v>
      </c>
      <c r="V70" s="47">
        <f t="shared" si="26"/>
        <v>4834.32</v>
      </c>
      <c r="W70" s="47">
        <f t="shared" si="27"/>
        <v>45120.32</v>
      </c>
      <c r="Y70" s="8"/>
    </row>
    <row r="71" spans="1:25" ht="12.75">
      <c r="A71" s="37"/>
      <c r="B71" s="2" t="s">
        <v>661</v>
      </c>
      <c r="C71" s="35">
        <v>5000</v>
      </c>
      <c r="D71" s="35">
        <v>0</v>
      </c>
      <c r="E71" s="35">
        <v>0</v>
      </c>
      <c r="F71" s="47">
        <f t="shared" si="22"/>
        <v>5000</v>
      </c>
      <c r="G71" s="93">
        <v>20</v>
      </c>
      <c r="H71" s="93">
        <v>0</v>
      </c>
      <c r="I71" s="93">
        <v>0</v>
      </c>
      <c r="J71" s="93">
        <v>120</v>
      </c>
      <c r="K71" s="40">
        <v>0</v>
      </c>
      <c r="L71" s="40">
        <v>0</v>
      </c>
      <c r="M71" s="47">
        <f t="shared" si="23"/>
        <v>7643</v>
      </c>
      <c r="N71" s="47">
        <f t="shared" si="24"/>
        <v>12643</v>
      </c>
      <c r="O71" s="40">
        <v>1</v>
      </c>
      <c r="P71" s="40">
        <v>2</v>
      </c>
      <c r="Q71" s="40">
        <v>4</v>
      </c>
      <c r="R71" s="40">
        <v>1</v>
      </c>
      <c r="S71" s="40">
        <v>2</v>
      </c>
      <c r="T71" s="40">
        <v>8</v>
      </c>
      <c r="U71" s="48">
        <f t="shared" si="25"/>
        <v>0.16</v>
      </c>
      <c r="V71" s="47">
        <f t="shared" si="26"/>
        <v>2022.88</v>
      </c>
      <c r="W71" s="47">
        <f t="shared" si="27"/>
        <v>14665.880000000001</v>
      </c>
      <c r="Y71" s="8"/>
    </row>
    <row r="72" spans="1:25" ht="12.75">
      <c r="A72" s="37" t="s">
        <v>1256</v>
      </c>
      <c r="B72" s="83" t="s">
        <v>641</v>
      </c>
      <c r="C72" s="35"/>
      <c r="D72" s="35"/>
      <c r="E72" s="35"/>
      <c r="F72" s="47"/>
      <c r="G72" s="40"/>
      <c r="H72" s="40"/>
      <c r="I72" s="40"/>
      <c r="J72" s="40"/>
      <c r="K72" s="40"/>
      <c r="L72" s="40"/>
      <c r="M72" s="47"/>
      <c r="N72" s="47"/>
      <c r="P72" s="40"/>
      <c r="R72" s="40"/>
      <c r="S72" s="40"/>
      <c r="T72" s="40"/>
      <c r="U72" s="48"/>
      <c r="V72" s="47"/>
      <c r="W72" s="47"/>
      <c r="X72" s="35">
        <f>SUM(W73:W79)</f>
        <v>138287.42099999997</v>
      </c>
      <c r="Y72" s="132"/>
    </row>
    <row r="73" spans="1:26" ht="12.75">
      <c r="A73" s="37"/>
      <c r="B73" s="64" t="s">
        <v>875</v>
      </c>
      <c r="C73" s="35">
        <v>0</v>
      </c>
      <c r="D73" s="35">
        <v>0</v>
      </c>
      <c r="E73" s="35">
        <v>0</v>
      </c>
      <c r="F73" s="47">
        <f aca="true" t="shared" si="28" ref="F73:F81">SUM(C73:E73)</f>
        <v>0</v>
      </c>
      <c r="G73" s="40">
        <v>0</v>
      </c>
      <c r="H73" s="40">
        <v>0</v>
      </c>
      <c r="I73" s="40">
        <v>0</v>
      </c>
      <c r="J73" s="40">
        <v>0</v>
      </c>
      <c r="K73" s="40">
        <v>0</v>
      </c>
      <c r="L73" s="40">
        <v>0</v>
      </c>
      <c r="M73" s="47">
        <f aca="true" t="shared" si="29" ref="M73:M81">$G$3*G73+$H$3*H73+$I$3*I73+$J$3*J73+$K$3*K73+$L$3*L73</f>
        <v>0</v>
      </c>
      <c r="N73" s="47">
        <f aca="true" t="shared" si="30" ref="N73:N79">M73+F73</f>
        <v>0</v>
      </c>
      <c r="O73" s="40">
        <v>1</v>
      </c>
      <c r="P73" s="40">
        <v>2</v>
      </c>
      <c r="Q73" s="40">
        <v>4</v>
      </c>
      <c r="R73" s="40">
        <v>1</v>
      </c>
      <c r="S73" s="40">
        <v>2</v>
      </c>
      <c r="T73" s="40">
        <v>8</v>
      </c>
      <c r="U73" s="48">
        <f aca="true" t="shared" si="31" ref="U73:U81">((O73*P73)+Q73+(R73*S73)+T73)/100</f>
        <v>0.16</v>
      </c>
      <c r="V73" s="47">
        <f aca="true" t="shared" si="32" ref="V73:V81">+(F73+M73)*U73</f>
        <v>0</v>
      </c>
      <c r="W73" s="47">
        <f aca="true" t="shared" si="33" ref="W73:W81">+F73+M73+V73</f>
        <v>0</v>
      </c>
      <c r="Y73" s="8"/>
      <c r="Z73" t="s">
        <v>630</v>
      </c>
    </row>
    <row r="74" spans="1:26" ht="12.75">
      <c r="A74" s="37"/>
      <c r="B74" s="2" t="s">
        <v>621</v>
      </c>
      <c r="C74" s="35">
        <v>21350</v>
      </c>
      <c r="D74" s="35">
        <v>36124</v>
      </c>
      <c r="E74" s="35">
        <v>0</v>
      </c>
      <c r="F74" s="47">
        <f t="shared" si="28"/>
        <v>57474</v>
      </c>
      <c r="G74" s="40">
        <v>68</v>
      </c>
      <c r="H74" s="40">
        <v>0</v>
      </c>
      <c r="I74" s="40">
        <v>0</v>
      </c>
      <c r="J74" s="40">
        <v>180</v>
      </c>
      <c r="K74" s="40">
        <v>0</v>
      </c>
      <c r="L74" s="40">
        <v>0</v>
      </c>
      <c r="M74" s="47">
        <f t="shared" si="29"/>
        <v>14016.2</v>
      </c>
      <c r="N74" s="47">
        <f t="shared" si="30"/>
        <v>71490.2</v>
      </c>
      <c r="O74" s="40">
        <v>1</v>
      </c>
      <c r="P74" s="40">
        <v>2</v>
      </c>
      <c r="Q74" s="40">
        <v>8</v>
      </c>
      <c r="R74" s="40">
        <v>4</v>
      </c>
      <c r="S74" s="40">
        <v>1</v>
      </c>
      <c r="T74" s="40">
        <v>8</v>
      </c>
      <c r="U74" s="48">
        <f t="shared" si="31"/>
        <v>0.22</v>
      </c>
      <c r="V74" s="47">
        <f t="shared" si="32"/>
        <v>15727.844</v>
      </c>
      <c r="W74" s="47">
        <f t="shared" si="33"/>
        <v>87218.044</v>
      </c>
      <c r="Y74" s="8"/>
      <c r="Z74" t="s">
        <v>630</v>
      </c>
    </row>
    <row r="75" spans="1:25" ht="12.75">
      <c r="A75" s="37"/>
      <c r="B75" s="2" t="s">
        <v>631</v>
      </c>
      <c r="C75" s="35">
        <v>0</v>
      </c>
      <c r="D75" s="35">
        <v>0</v>
      </c>
      <c r="E75" s="35">
        <v>0</v>
      </c>
      <c r="F75" s="47">
        <f t="shared" si="28"/>
        <v>0</v>
      </c>
      <c r="G75" s="40">
        <v>152</v>
      </c>
      <c r="H75" s="40">
        <v>0</v>
      </c>
      <c r="I75" s="40">
        <v>0</v>
      </c>
      <c r="J75" s="40">
        <v>0</v>
      </c>
      <c r="K75" s="40">
        <v>0</v>
      </c>
      <c r="L75" s="40">
        <v>0</v>
      </c>
      <c r="M75" s="47">
        <f t="shared" si="29"/>
        <v>10206.800000000001</v>
      </c>
      <c r="N75" s="47">
        <f t="shared" si="30"/>
        <v>10206.800000000001</v>
      </c>
      <c r="O75" s="40">
        <v>2</v>
      </c>
      <c r="P75" s="40">
        <v>2</v>
      </c>
      <c r="Q75" s="40">
        <v>15</v>
      </c>
      <c r="R75" s="40">
        <v>1</v>
      </c>
      <c r="S75" s="40">
        <v>1</v>
      </c>
      <c r="T75" s="40">
        <v>8</v>
      </c>
      <c r="U75" s="48">
        <f t="shared" si="31"/>
        <v>0.28</v>
      </c>
      <c r="V75" s="47">
        <f t="shared" si="32"/>
        <v>2857.9040000000005</v>
      </c>
      <c r="W75" s="47">
        <f t="shared" si="33"/>
        <v>13064.704000000002</v>
      </c>
      <c r="Y75" s="8"/>
    </row>
    <row r="76" spans="1:26" ht="12.75">
      <c r="A76" s="37"/>
      <c r="B76" s="9" t="s">
        <v>1257</v>
      </c>
      <c r="C76" s="35">
        <v>8100</v>
      </c>
      <c r="D76" s="35">
        <v>0</v>
      </c>
      <c r="E76" s="35">
        <v>0</v>
      </c>
      <c r="F76" s="47">
        <f t="shared" si="28"/>
        <v>8100</v>
      </c>
      <c r="G76" s="40">
        <v>15</v>
      </c>
      <c r="H76" s="40">
        <v>0</v>
      </c>
      <c r="I76" s="40">
        <v>0</v>
      </c>
      <c r="J76" s="40">
        <v>60</v>
      </c>
      <c r="K76" s="40">
        <v>0</v>
      </c>
      <c r="L76" s="40">
        <v>0</v>
      </c>
      <c r="M76" s="47">
        <f t="shared" si="29"/>
        <v>4157.25</v>
      </c>
      <c r="N76" s="47">
        <f t="shared" si="30"/>
        <v>12257.25</v>
      </c>
      <c r="O76" s="40">
        <v>1</v>
      </c>
      <c r="P76" s="40">
        <v>2</v>
      </c>
      <c r="Q76" s="40">
        <v>4</v>
      </c>
      <c r="R76" s="40">
        <v>4</v>
      </c>
      <c r="S76" s="40">
        <v>1</v>
      </c>
      <c r="T76" s="40">
        <v>4</v>
      </c>
      <c r="U76" s="48">
        <f t="shared" si="31"/>
        <v>0.14</v>
      </c>
      <c r="V76" s="47">
        <f t="shared" si="32"/>
        <v>1716.015</v>
      </c>
      <c r="W76" s="47">
        <f t="shared" si="33"/>
        <v>13973.265</v>
      </c>
      <c r="Y76" s="8"/>
      <c r="Z76" t="s">
        <v>632</v>
      </c>
    </row>
    <row r="77" spans="1:25" ht="12.75">
      <c r="A77" s="37"/>
      <c r="B77" s="9" t="s">
        <v>1258</v>
      </c>
      <c r="C77" s="35">
        <v>0</v>
      </c>
      <c r="D77" s="35">
        <v>0</v>
      </c>
      <c r="E77" s="35">
        <v>0</v>
      </c>
      <c r="F77" s="47">
        <f t="shared" si="28"/>
        <v>0</v>
      </c>
      <c r="G77" s="40">
        <v>50</v>
      </c>
      <c r="H77" s="40">
        <v>0</v>
      </c>
      <c r="I77" s="40">
        <v>0</v>
      </c>
      <c r="J77" s="40">
        <v>0</v>
      </c>
      <c r="K77" s="40">
        <v>0</v>
      </c>
      <c r="L77" s="40">
        <v>0</v>
      </c>
      <c r="M77" s="47">
        <f t="shared" si="29"/>
        <v>3357.5000000000005</v>
      </c>
      <c r="N77" s="47">
        <f t="shared" si="30"/>
        <v>3357.5000000000005</v>
      </c>
      <c r="O77" s="40">
        <v>2</v>
      </c>
      <c r="P77" s="40">
        <v>2</v>
      </c>
      <c r="Q77" s="40">
        <v>8</v>
      </c>
      <c r="R77" s="40">
        <v>1</v>
      </c>
      <c r="S77" s="40">
        <v>1</v>
      </c>
      <c r="T77" s="40">
        <v>4</v>
      </c>
      <c r="U77" s="48">
        <f t="shared" si="31"/>
        <v>0.17</v>
      </c>
      <c r="V77" s="47">
        <f t="shared" si="32"/>
        <v>570.7750000000001</v>
      </c>
      <c r="W77" s="47">
        <f t="shared" si="33"/>
        <v>3928.2750000000005</v>
      </c>
      <c r="Y77" s="8"/>
    </row>
    <row r="78" spans="1:26" ht="12.75">
      <c r="A78" s="37"/>
      <c r="B78" s="2" t="s">
        <v>633</v>
      </c>
      <c r="C78" s="35">
        <v>4750</v>
      </c>
      <c r="D78" s="35">
        <v>4000</v>
      </c>
      <c r="E78" s="35"/>
      <c r="F78" s="47">
        <f t="shared" si="28"/>
        <v>8750</v>
      </c>
      <c r="G78" s="40">
        <v>23</v>
      </c>
      <c r="H78" s="40"/>
      <c r="I78" s="40"/>
      <c r="J78" s="40">
        <v>48</v>
      </c>
      <c r="K78" s="40">
        <v>0</v>
      </c>
      <c r="L78" s="40"/>
      <c r="M78" s="47">
        <f>$G$3*G78+$H$3*H78+$I$3*I78+$J$3*J78+$K$3*K78+$L$3*L78</f>
        <v>4064.45</v>
      </c>
      <c r="N78" s="47">
        <f t="shared" si="30"/>
        <v>12814.45</v>
      </c>
      <c r="O78">
        <v>1</v>
      </c>
      <c r="P78">
        <v>2</v>
      </c>
      <c r="Q78">
        <v>8</v>
      </c>
      <c r="R78">
        <v>4</v>
      </c>
      <c r="S78">
        <v>1</v>
      </c>
      <c r="T78">
        <v>8</v>
      </c>
      <c r="U78" s="48">
        <f t="shared" si="31"/>
        <v>0.22</v>
      </c>
      <c r="V78" s="47">
        <f t="shared" si="32"/>
        <v>2819.179</v>
      </c>
      <c r="W78" s="47">
        <f t="shared" si="33"/>
        <v>15633.629</v>
      </c>
      <c r="Y78" s="8"/>
      <c r="Z78" t="s">
        <v>634</v>
      </c>
    </row>
    <row r="79" spans="1:25" ht="12.75">
      <c r="A79" s="37"/>
      <c r="B79" s="2" t="s">
        <v>631</v>
      </c>
      <c r="C79" s="35"/>
      <c r="D79" s="35"/>
      <c r="E79" s="35"/>
      <c r="F79" s="47">
        <f t="shared" si="28"/>
        <v>0</v>
      </c>
      <c r="G79" s="40">
        <v>52</v>
      </c>
      <c r="H79" s="40"/>
      <c r="I79" s="40"/>
      <c r="J79" s="40"/>
      <c r="K79" s="40"/>
      <c r="L79" s="40"/>
      <c r="M79" s="47">
        <f>$G$3*G79+$H$3*H79+$I$3*I79+$J$3*J79+$K$3*K79+$L$3*L79</f>
        <v>3491.8</v>
      </c>
      <c r="N79" s="47">
        <f t="shared" si="30"/>
        <v>3491.8</v>
      </c>
      <c r="O79">
        <v>2</v>
      </c>
      <c r="P79">
        <v>2</v>
      </c>
      <c r="Q79">
        <v>15</v>
      </c>
      <c r="R79">
        <v>1</v>
      </c>
      <c r="S79">
        <v>1</v>
      </c>
      <c r="T79">
        <v>8</v>
      </c>
      <c r="U79" s="48">
        <f t="shared" si="31"/>
        <v>0.28</v>
      </c>
      <c r="V79" s="47">
        <f t="shared" si="32"/>
        <v>977.7040000000002</v>
      </c>
      <c r="W79" s="47">
        <f t="shared" si="33"/>
        <v>4469.504000000001</v>
      </c>
      <c r="Y79" s="8"/>
    </row>
    <row r="80" spans="1:25" ht="12.75">
      <c r="A80" s="37" t="s">
        <v>1259</v>
      </c>
      <c r="B80" s="83" t="s">
        <v>623</v>
      </c>
      <c r="C80" s="35"/>
      <c r="D80" s="35"/>
      <c r="E80" s="35"/>
      <c r="F80" s="47">
        <f t="shared" si="28"/>
        <v>0</v>
      </c>
      <c r="G80" s="40"/>
      <c r="H80" s="40"/>
      <c r="I80" s="40"/>
      <c r="J80" s="40"/>
      <c r="K80" s="40"/>
      <c r="L80" s="40"/>
      <c r="M80" s="47">
        <f t="shared" si="29"/>
        <v>0</v>
      </c>
      <c r="N80" s="47"/>
      <c r="U80" s="48">
        <f t="shared" si="31"/>
        <v>0</v>
      </c>
      <c r="V80" s="47">
        <f t="shared" si="32"/>
        <v>0</v>
      </c>
      <c r="W80" s="47">
        <f t="shared" si="33"/>
        <v>0</v>
      </c>
      <c r="X80" s="35">
        <f>SUM(W81:W82)</f>
        <v>3572302.5</v>
      </c>
      <c r="Y80" s="132"/>
    </row>
    <row r="81" spans="1:26" ht="12.75">
      <c r="A81" s="37"/>
      <c r="B81" s="80" t="s">
        <v>875</v>
      </c>
      <c r="C81" s="35"/>
      <c r="D81" s="35"/>
      <c r="E81" s="35"/>
      <c r="F81" s="47">
        <f t="shared" si="28"/>
        <v>0</v>
      </c>
      <c r="G81" s="40">
        <v>0</v>
      </c>
      <c r="H81" s="40">
        <v>0</v>
      </c>
      <c r="I81" s="40">
        <v>0</v>
      </c>
      <c r="J81" s="40"/>
      <c r="K81" s="40"/>
      <c r="L81" s="40"/>
      <c r="M81" s="47">
        <f t="shared" si="29"/>
        <v>0</v>
      </c>
      <c r="N81" s="47">
        <f>M81+F81</f>
        <v>0</v>
      </c>
      <c r="O81">
        <v>1</v>
      </c>
      <c r="P81">
        <v>2</v>
      </c>
      <c r="Q81">
        <v>4</v>
      </c>
      <c r="R81">
        <v>1</v>
      </c>
      <c r="S81">
        <v>2</v>
      </c>
      <c r="T81">
        <v>8</v>
      </c>
      <c r="U81" s="48">
        <f t="shared" si="31"/>
        <v>0.16</v>
      </c>
      <c r="V81" s="47">
        <f t="shared" si="32"/>
        <v>0</v>
      </c>
      <c r="W81" s="47">
        <f t="shared" si="33"/>
        <v>0</v>
      </c>
      <c r="Y81" s="8"/>
      <c r="Z81" t="s">
        <v>521</v>
      </c>
    </row>
    <row r="82" spans="1:25" ht="12.75">
      <c r="A82" s="37"/>
      <c r="B82" s="80" t="s">
        <v>1290</v>
      </c>
      <c r="C82" s="35"/>
      <c r="D82" s="35"/>
      <c r="E82" s="35">
        <v>3053250</v>
      </c>
      <c r="F82" s="47">
        <f>SUM(C82:E82)</f>
        <v>3053250</v>
      </c>
      <c r="G82" s="40"/>
      <c r="H82" s="40"/>
      <c r="I82" s="40"/>
      <c r="J82" s="40"/>
      <c r="K82" s="40"/>
      <c r="L82" s="40"/>
      <c r="M82" s="47">
        <f>$G$3*G82+$H$3*H82+$I$3*I82+$J$3*J82+$K$3*K82+$L$3*L82</f>
        <v>0</v>
      </c>
      <c r="N82" s="47">
        <f>M82+F82</f>
        <v>3053250</v>
      </c>
      <c r="O82" s="40">
        <v>2</v>
      </c>
      <c r="P82" s="40">
        <v>2</v>
      </c>
      <c r="Q82" s="40">
        <v>8</v>
      </c>
      <c r="R82" s="40">
        <v>1</v>
      </c>
      <c r="S82" s="40">
        <v>1</v>
      </c>
      <c r="T82" s="40">
        <v>4</v>
      </c>
      <c r="U82" s="48">
        <f>((O82*P82)+Q82+(R82*S82)+T82)/100</f>
        <v>0.17</v>
      </c>
      <c r="V82" s="47">
        <f>+(F82+M82)*U82</f>
        <v>519052.50000000006</v>
      </c>
      <c r="W82" s="47">
        <f>+F82+M82+V82</f>
        <v>3572302.5</v>
      </c>
      <c r="Y82" s="8"/>
    </row>
    <row r="83" spans="1:25" ht="12.75">
      <c r="A83" s="37" t="s">
        <v>1260</v>
      </c>
      <c r="B83" s="79" t="s">
        <v>1261</v>
      </c>
      <c r="C83" s="35"/>
      <c r="D83" s="35"/>
      <c r="E83" s="35"/>
      <c r="F83" s="47">
        <f>SUM(C83:E83)</f>
        <v>0</v>
      </c>
      <c r="G83" s="40"/>
      <c r="H83" s="40"/>
      <c r="I83" s="40"/>
      <c r="J83" s="40"/>
      <c r="K83" s="40"/>
      <c r="L83" s="40"/>
      <c r="M83" s="47">
        <f>$G$3*G83+$H$3*H83+$I$3*I83+$J$3*J83+$K$3*K83+$L$3*L83</f>
        <v>0</v>
      </c>
      <c r="N83" s="47"/>
      <c r="U83" s="48">
        <f>((O83*P83)+Q83+(R83*S83)+T83)/100</f>
        <v>0</v>
      </c>
      <c r="V83" s="47">
        <f>+(F83+M83)*U83</f>
        <v>0</v>
      </c>
      <c r="W83" s="47">
        <f>+F83+M83+V83</f>
        <v>0</v>
      </c>
      <c r="Y83" s="132">
        <f>SUM(W84:W95)</f>
        <v>1143417.29</v>
      </c>
    </row>
    <row r="84" spans="1:25" ht="12.75">
      <c r="A84" s="37" t="s">
        <v>1262</v>
      </c>
      <c r="B84" s="8" t="s">
        <v>1263</v>
      </c>
      <c r="C84" s="35"/>
      <c r="D84" s="35"/>
      <c r="E84" s="35"/>
      <c r="F84" s="47"/>
      <c r="G84" s="40"/>
      <c r="H84" s="40"/>
      <c r="I84" s="40"/>
      <c r="J84" s="40"/>
      <c r="K84" s="40"/>
      <c r="L84" s="40"/>
      <c r="M84" s="47"/>
      <c r="N84" s="47"/>
      <c r="U84" s="48"/>
      <c r="V84" s="47"/>
      <c r="W84" s="47"/>
      <c r="X84" s="35">
        <f>SUM(W85:W88)</f>
        <v>320102.73000000004</v>
      </c>
      <c r="Y84" s="132"/>
    </row>
    <row r="85" spans="1:25" ht="12.75">
      <c r="A85" s="37"/>
      <c r="B85" s="64" t="s">
        <v>875</v>
      </c>
      <c r="C85" s="35">
        <v>0</v>
      </c>
      <c r="D85" s="35">
        <v>0</v>
      </c>
      <c r="E85" s="35">
        <v>0</v>
      </c>
      <c r="F85" s="47">
        <f>SUM(C85:E85)</f>
        <v>0</v>
      </c>
      <c r="G85" s="93">
        <v>40</v>
      </c>
      <c r="H85" s="93">
        <v>0</v>
      </c>
      <c r="I85" s="93">
        <v>48</v>
      </c>
      <c r="J85" s="40">
        <v>200</v>
      </c>
      <c r="K85" s="40">
        <v>0</v>
      </c>
      <c r="L85" s="40">
        <v>0</v>
      </c>
      <c r="M85" s="47">
        <f>$G$3*G85+$H$3*H85+$I$3*I85+$J$3*J85+$K$3*K85+$L$3*L85</f>
        <v>15886</v>
      </c>
      <c r="N85" s="47">
        <f>M85+F85</f>
        <v>15886</v>
      </c>
      <c r="O85" s="40">
        <v>1</v>
      </c>
      <c r="P85" s="40">
        <v>2</v>
      </c>
      <c r="Q85" s="40">
        <v>4</v>
      </c>
      <c r="R85" s="40">
        <v>1</v>
      </c>
      <c r="S85" s="40">
        <v>2</v>
      </c>
      <c r="T85" s="40">
        <v>8</v>
      </c>
      <c r="U85" s="48">
        <f>((O85*P85)+Q85+(R85*S85)+T85)/100</f>
        <v>0.16</v>
      </c>
      <c r="V85" s="47">
        <f>+(F85+M85)*U85</f>
        <v>2541.76</v>
      </c>
      <c r="W85" s="47">
        <f>+F85+M85+V85</f>
        <v>18427.760000000002</v>
      </c>
      <c r="Y85" s="8"/>
    </row>
    <row r="86" spans="1:25" ht="12.75">
      <c r="A86" s="37"/>
      <c r="B86" s="64" t="s">
        <v>523</v>
      </c>
      <c r="C86" s="35">
        <v>0</v>
      </c>
      <c r="D86" s="35">
        <v>45000</v>
      </c>
      <c r="E86" s="35">
        <v>0</v>
      </c>
      <c r="F86" s="47">
        <f>SUM(C86:E86)</f>
        <v>45000</v>
      </c>
      <c r="G86" s="93">
        <v>200</v>
      </c>
      <c r="H86" s="93">
        <v>80</v>
      </c>
      <c r="I86" s="93">
        <v>440</v>
      </c>
      <c r="J86" s="40">
        <v>600</v>
      </c>
      <c r="K86" s="40">
        <v>0</v>
      </c>
      <c r="L86" s="40">
        <v>0</v>
      </c>
      <c r="M86" s="47">
        <f>$G$3*G86+$H$3*H86+$I$3*I86+$J$3*J86+$K$3*K86+$L$3*L86</f>
        <v>76852</v>
      </c>
      <c r="N86" s="47">
        <f>M86+F86</f>
        <v>121852</v>
      </c>
      <c r="O86" s="40">
        <v>4</v>
      </c>
      <c r="P86" s="40">
        <v>2</v>
      </c>
      <c r="Q86" s="40">
        <v>8</v>
      </c>
      <c r="R86" s="40">
        <v>2</v>
      </c>
      <c r="S86" s="40">
        <v>2</v>
      </c>
      <c r="T86" s="40">
        <v>4</v>
      </c>
      <c r="U86" s="48">
        <f>((O86*P86)+Q86+(R86*S86)+T86)/100</f>
        <v>0.24</v>
      </c>
      <c r="V86" s="47">
        <f>+(F86+M86)*U86</f>
        <v>29244.48</v>
      </c>
      <c r="W86" s="47">
        <f>+F86+M86+V86</f>
        <v>151096.48</v>
      </c>
      <c r="Y86" s="8"/>
    </row>
    <row r="87" spans="1:25" ht="12.75">
      <c r="A87" s="37"/>
      <c r="B87" s="64" t="s">
        <v>524</v>
      </c>
      <c r="C87" s="35">
        <v>5000</v>
      </c>
      <c r="D87" s="35">
        <v>0</v>
      </c>
      <c r="E87" s="35">
        <v>0</v>
      </c>
      <c r="F87" s="47">
        <f>SUM(C87:E87)</f>
        <v>5000</v>
      </c>
      <c r="G87" s="93">
        <v>40</v>
      </c>
      <c r="H87" s="93">
        <v>0</v>
      </c>
      <c r="I87" s="93">
        <v>48</v>
      </c>
      <c r="J87" s="40">
        <v>200</v>
      </c>
      <c r="K87" s="40">
        <v>0</v>
      </c>
      <c r="L87" s="40">
        <v>0</v>
      </c>
      <c r="M87" s="47">
        <f>$G$3*G87+$H$3*H87+$I$3*I87+$J$3*J87+$K$3*K87+$L$3*L87</f>
        <v>15886</v>
      </c>
      <c r="N87" s="47">
        <f>M87+F87</f>
        <v>20886</v>
      </c>
      <c r="O87" s="40">
        <v>2</v>
      </c>
      <c r="P87" s="40">
        <v>2</v>
      </c>
      <c r="Q87" s="40">
        <v>4</v>
      </c>
      <c r="R87" s="40">
        <v>2</v>
      </c>
      <c r="S87" s="40">
        <v>2</v>
      </c>
      <c r="T87" s="40">
        <v>4</v>
      </c>
      <c r="U87" s="48">
        <f>((O87*P87)+Q87+(R87*S87)+T87)/100</f>
        <v>0.16</v>
      </c>
      <c r="V87" s="47">
        <f>+(F87+M87)*U87</f>
        <v>3341.76</v>
      </c>
      <c r="W87" s="47">
        <f>+F87+M87+V87</f>
        <v>24227.760000000002</v>
      </c>
      <c r="Y87" s="8"/>
    </row>
    <row r="88" spans="1:25" ht="12.75">
      <c r="A88" s="37"/>
      <c r="B88" s="64" t="s">
        <v>1299</v>
      </c>
      <c r="C88" s="35">
        <v>0</v>
      </c>
      <c r="D88" s="35">
        <v>50000</v>
      </c>
      <c r="E88" s="35">
        <v>0</v>
      </c>
      <c r="F88" s="47">
        <f>SUM(C88:E88)</f>
        <v>50000</v>
      </c>
      <c r="G88" s="93">
        <v>200</v>
      </c>
      <c r="H88" s="93">
        <v>80</v>
      </c>
      <c r="I88" s="93">
        <v>239</v>
      </c>
      <c r="J88" s="40">
        <v>340</v>
      </c>
      <c r="K88" s="40">
        <v>0</v>
      </c>
      <c r="L88" s="40">
        <v>0</v>
      </c>
      <c r="M88" s="47">
        <f>$G$3*G88+$H$3*H88+$I$3*I88+$J$3*J88+$K$3*K88+$L$3*L88</f>
        <v>51895.75</v>
      </c>
      <c r="N88" s="47">
        <f>M88+F88</f>
        <v>101895.75</v>
      </c>
      <c r="O88" s="40">
        <v>4</v>
      </c>
      <c r="P88" s="40">
        <v>2</v>
      </c>
      <c r="Q88" s="40">
        <v>8</v>
      </c>
      <c r="R88" s="40">
        <v>2</v>
      </c>
      <c r="S88" s="40">
        <v>2</v>
      </c>
      <c r="T88" s="40">
        <v>4</v>
      </c>
      <c r="U88" s="48">
        <f>((O88*P88)+Q88+(R88*S88)+T88)/100</f>
        <v>0.24</v>
      </c>
      <c r="V88" s="47">
        <f>+(F88+M88)*U88</f>
        <v>24454.98</v>
      </c>
      <c r="W88" s="47">
        <f>+F88+M88+V88</f>
        <v>126350.73</v>
      </c>
      <c r="Y88" s="8"/>
    </row>
    <row r="89" spans="1:25" ht="12.75">
      <c r="A89" s="37" t="s">
        <v>1264</v>
      </c>
      <c r="B89" s="84" t="s">
        <v>1265</v>
      </c>
      <c r="C89" s="35"/>
      <c r="D89" s="35"/>
      <c r="E89" s="35"/>
      <c r="F89" s="47"/>
      <c r="G89" s="93"/>
      <c r="H89" s="93"/>
      <c r="I89" s="93"/>
      <c r="J89" s="40"/>
      <c r="K89" s="40"/>
      <c r="L89" s="40"/>
      <c r="M89" s="47"/>
      <c r="N89" s="47"/>
      <c r="U89" s="48"/>
      <c r="V89" s="47"/>
      <c r="W89" s="47"/>
      <c r="X89" s="35">
        <f>SUM(W90:W93)</f>
        <v>630818.0800000001</v>
      </c>
      <c r="Y89" s="132"/>
    </row>
    <row r="90" spans="1:25" ht="12.75">
      <c r="A90" s="37"/>
      <c r="B90" s="64" t="s">
        <v>875</v>
      </c>
      <c r="C90" s="35">
        <v>0</v>
      </c>
      <c r="D90" s="35">
        <v>0</v>
      </c>
      <c r="E90" s="35">
        <v>0</v>
      </c>
      <c r="F90" s="47">
        <f>SUM(C90:E90)</f>
        <v>0</v>
      </c>
      <c r="G90" s="93">
        <v>40</v>
      </c>
      <c r="H90" s="93">
        <v>0</v>
      </c>
      <c r="I90" s="93">
        <v>48</v>
      </c>
      <c r="J90" s="40">
        <v>160</v>
      </c>
      <c r="K90" s="40">
        <v>0</v>
      </c>
      <c r="L90" s="40">
        <v>0</v>
      </c>
      <c r="M90" s="47">
        <f>$G$3*G90+$H$3*H90+$I$3*I90+$J$3*J90+$K$3*K90+$L$3*L90</f>
        <v>13786</v>
      </c>
      <c r="N90" s="47">
        <f>M90+F90</f>
        <v>13786</v>
      </c>
      <c r="O90" s="40">
        <v>1</v>
      </c>
      <c r="P90" s="40">
        <v>2</v>
      </c>
      <c r="Q90" s="40">
        <v>4</v>
      </c>
      <c r="R90" s="40">
        <v>1</v>
      </c>
      <c r="S90" s="40">
        <v>2</v>
      </c>
      <c r="T90" s="40">
        <v>8</v>
      </c>
      <c r="U90" s="48">
        <f>((O90*P90)+Q90+(R90*S90)+T90)/100</f>
        <v>0.16</v>
      </c>
      <c r="V90" s="47">
        <f>+(F90+M90)*U90</f>
        <v>2205.76</v>
      </c>
      <c r="W90" s="47">
        <f>+F90+M90+V90</f>
        <v>15991.76</v>
      </c>
      <c r="Y90" s="8"/>
    </row>
    <row r="91" spans="1:25" ht="12.75">
      <c r="A91" s="37"/>
      <c r="B91" s="64" t="s">
        <v>1301</v>
      </c>
      <c r="C91" s="35">
        <v>0</v>
      </c>
      <c r="D91" s="35">
        <v>200000</v>
      </c>
      <c r="E91" s="35">
        <v>0</v>
      </c>
      <c r="F91" s="47">
        <f>SUM(C91:E91)</f>
        <v>200000</v>
      </c>
      <c r="G91" s="93">
        <v>80</v>
      </c>
      <c r="H91" s="93">
        <v>80</v>
      </c>
      <c r="I91" s="93">
        <v>96</v>
      </c>
      <c r="J91" s="40">
        <v>240</v>
      </c>
      <c r="K91" s="40">
        <v>0</v>
      </c>
      <c r="L91" s="40">
        <v>0</v>
      </c>
      <c r="M91" s="47">
        <f>$G$3*G91+$H$3*H91+$I$3*I91+$J$3*J91+$K$3*K91+$L$3*L91</f>
        <v>30544</v>
      </c>
      <c r="N91" s="47">
        <f>M91+F91</f>
        <v>230544</v>
      </c>
      <c r="O91" s="40">
        <v>3</v>
      </c>
      <c r="P91" s="40">
        <v>2</v>
      </c>
      <c r="Q91" s="40">
        <v>8</v>
      </c>
      <c r="R91" s="40">
        <v>2</v>
      </c>
      <c r="S91" s="40">
        <v>2</v>
      </c>
      <c r="T91" s="40">
        <v>4</v>
      </c>
      <c r="U91" s="48">
        <f>((O91*P91)+Q91+(R91*S91)+T91)/100</f>
        <v>0.22</v>
      </c>
      <c r="V91" s="47">
        <f>+(F91+M91)*U91</f>
        <v>50719.68</v>
      </c>
      <c r="W91" s="47">
        <f>+F91+M91+V91</f>
        <v>281263.68</v>
      </c>
      <c r="Y91" s="8"/>
    </row>
    <row r="92" spans="1:25" ht="12.75">
      <c r="A92" s="37"/>
      <c r="B92" s="64" t="s">
        <v>1302</v>
      </c>
      <c r="C92" s="35">
        <v>0</v>
      </c>
      <c r="D92" s="35">
        <v>125000</v>
      </c>
      <c r="E92" s="35">
        <v>0</v>
      </c>
      <c r="F92" s="47">
        <f>SUM(C92:E92)</f>
        <v>125000</v>
      </c>
      <c r="G92" s="93">
        <v>120</v>
      </c>
      <c r="H92" s="93">
        <v>80</v>
      </c>
      <c r="I92" s="93">
        <v>0</v>
      </c>
      <c r="J92" s="40">
        <v>120</v>
      </c>
      <c r="K92" s="40">
        <v>0</v>
      </c>
      <c r="L92" s="40">
        <v>0</v>
      </c>
      <c r="M92" s="47">
        <f>$G$3*G92+$H$3*H92+$I$3*I92+$J$3*J92+$K$3*K92+$L$3*L92</f>
        <v>21530</v>
      </c>
      <c r="N92" s="47">
        <f>M92+F92</f>
        <v>146530</v>
      </c>
      <c r="O92" s="40">
        <v>3</v>
      </c>
      <c r="P92" s="40">
        <v>2</v>
      </c>
      <c r="Q92" s="40">
        <v>8</v>
      </c>
      <c r="R92" s="40">
        <v>2</v>
      </c>
      <c r="S92" s="40">
        <v>2</v>
      </c>
      <c r="T92" s="40">
        <v>4</v>
      </c>
      <c r="U92" s="48">
        <f>((O92*P92)+Q92+(R92*S92)+T92)/100</f>
        <v>0.22</v>
      </c>
      <c r="V92" s="47">
        <f>+(F92+M92)*U92</f>
        <v>32236.6</v>
      </c>
      <c r="W92" s="47">
        <f>+F92+M92+V92</f>
        <v>178766.6</v>
      </c>
      <c r="Y92" s="8"/>
    </row>
    <row r="93" spans="1:25" ht="12.75">
      <c r="A93" s="37"/>
      <c r="B93" s="64" t="s">
        <v>1303</v>
      </c>
      <c r="C93" s="35">
        <v>0</v>
      </c>
      <c r="D93" s="35">
        <v>75000</v>
      </c>
      <c r="E93" s="35">
        <v>0</v>
      </c>
      <c r="F93" s="47">
        <f>SUM(C93:E93)</f>
        <v>75000</v>
      </c>
      <c r="G93" s="93">
        <v>400</v>
      </c>
      <c r="H93" s="93">
        <v>80</v>
      </c>
      <c r="I93" s="93">
        <v>0</v>
      </c>
      <c r="J93" s="40">
        <v>340</v>
      </c>
      <c r="K93" s="40">
        <v>0</v>
      </c>
      <c r="L93" s="40">
        <v>0</v>
      </c>
      <c r="M93" s="47">
        <f>$G$3*G93+$H$3*H93+$I$3*I93+$J$3*J93+$K$3*K93+$L$3*L93</f>
        <v>51882</v>
      </c>
      <c r="N93" s="47">
        <f>M93+F93</f>
        <v>126882</v>
      </c>
      <c r="O93" s="40">
        <v>3</v>
      </c>
      <c r="P93" s="40">
        <v>2</v>
      </c>
      <c r="Q93" s="40">
        <v>8</v>
      </c>
      <c r="R93" s="40">
        <v>2</v>
      </c>
      <c r="S93" s="40">
        <v>2</v>
      </c>
      <c r="T93" s="40">
        <v>4</v>
      </c>
      <c r="U93" s="48">
        <f>((O93*P93)+Q93+(R93*S93)+T93)/100</f>
        <v>0.22</v>
      </c>
      <c r="V93" s="47">
        <f>+(F93+M93)*U93</f>
        <v>27914.04</v>
      </c>
      <c r="W93" s="47">
        <f>+F93+M93+V93</f>
        <v>154796.04</v>
      </c>
      <c r="Y93" s="8"/>
    </row>
    <row r="94" spans="1:25" ht="12.75">
      <c r="A94" s="37" t="s">
        <v>1266</v>
      </c>
      <c r="B94" s="84" t="s">
        <v>1267</v>
      </c>
      <c r="C94" s="35"/>
      <c r="D94" s="35"/>
      <c r="E94" s="35"/>
      <c r="F94" s="47"/>
      <c r="G94" s="93"/>
      <c r="H94" s="93"/>
      <c r="I94" s="93"/>
      <c r="J94" s="40"/>
      <c r="K94" s="40"/>
      <c r="L94" s="40"/>
      <c r="M94" s="47"/>
      <c r="N94" s="47"/>
      <c r="U94" s="48"/>
      <c r="V94" s="47"/>
      <c r="W94" s="47"/>
      <c r="X94" s="35">
        <f>SUM(W95)</f>
        <v>192496.48</v>
      </c>
      <c r="Y94" s="132"/>
    </row>
    <row r="95" spans="1:25" ht="12.75">
      <c r="A95" s="37"/>
      <c r="B95" s="64" t="s">
        <v>1304</v>
      </c>
      <c r="C95" s="35">
        <v>0</v>
      </c>
      <c r="D95" s="35">
        <v>0</v>
      </c>
      <c r="E95" s="35">
        <v>0</v>
      </c>
      <c r="F95" s="47">
        <f>SUM(C95:E95)</f>
        <v>0</v>
      </c>
      <c r="G95" s="93">
        <v>0</v>
      </c>
      <c r="H95" s="93">
        <v>1760</v>
      </c>
      <c r="I95" s="93">
        <v>0</v>
      </c>
      <c r="J95" s="40">
        <v>0</v>
      </c>
      <c r="K95" s="40">
        <v>0</v>
      </c>
      <c r="L95" s="40">
        <v>0</v>
      </c>
      <c r="M95" s="47">
        <f>$G$3*G95+$H$3*H95+$I$3*I95+$J$3*J95+$K$3*K95+$L$3*L95</f>
        <v>157784</v>
      </c>
      <c r="N95" s="47">
        <f>M95+F95</f>
        <v>157784</v>
      </c>
      <c r="O95" s="40">
        <v>1</v>
      </c>
      <c r="P95" s="40">
        <v>2</v>
      </c>
      <c r="Q95" s="40">
        <v>8</v>
      </c>
      <c r="R95" s="40">
        <v>2</v>
      </c>
      <c r="S95" s="40">
        <v>2</v>
      </c>
      <c r="T95" s="40">
        <v>8</v>
      </c>
      <c r="U95" s="48">
        <f>((O95*P95)+Q95+(R95*S95)+T95)/100</f>
        <v>0.22</v>
      </c>
      <c r="V95" s="47">
        <f>+(F95+M95)*U95</f>
        <v>34712.48</v>
      </c>
      <c r="W95" s="47">
        <f>+F95+M95+V95</f>
        <v>192496.48</v>
      </c>
      <c r="Y95" s="8"/>
    </row>
    <row r="96" spans="1:25" ht="12.75">
      <c r="A96" s="37" t="s">
        <v>1268</v>
      </c>
      <c r="B96" s="79" t="s">
        <v>1269</v>
      </c>
      <c r="C96" s="35"/>
      <c r="D96" s="35"/>
      <c r="E96" s="35"/>
      <c r="F96" s="47">
        <f>SUM(C96:E96)</f>
        <v>0</v>
      </c>
      <c r="G96" s="93"/>
      <c r="H96" s="93"/>
      <c r="I96" s="93"/>
      <c r="J96" s="40"/>
      <c r="K96" s="40"/>
      <c r="L96" s="40"/>
      <c r="M96" s="47">
        <f>$G$3*G96+$H$3*H96+$I$3*I96+$J$3*J96+$K$3*K96+$L$3*L96</f>
        <v>0</v>
      </c>
      <c r="N96" s="47"/>
      <c r="U96" s="48">
        <f>((O96*P96)+Q96+(R96*S96)+T96)/100</f>
        <v>0</v>
      </c>
      <c r="V96" s="47">
        <f>+(F96+M96)*U96</f>
        <v>0</v>
      </c>
      <c r="W96" s="47">
        <f>+F96+M96+V96</f>
        <v>0</v>
      </c>
      <c r="Y96" s="132">
        <f>SUM(W97:W127)</f>
        <v>3513392.958</v>
      </c>
    </row>
    <row r="97" spans="1:25" ht="12.75">
      <c r="A97" s="37" t="s">
        <v>1270</v>
      </c>
      <c r="B97" s="72" t="s">
        <v>1271</v>
      </c>
      <c r="C97" s="35"/>
      <c r="D97" s="35"/>
      <c r="E97" s="35"/>
      <c r="F97" s="47"/>
      <c r="G97" s="93"/>
      <c r="H97" s="93"/>
      <c r="I97" s="93"/>
      <c r="J97" s="40"/>
      <c r="K97" s="40"/>
      <c r="L97" s="40"/>
      <c r="M97" s="47"/>
      <c r="N97" s="47"/>
      <c r="U97" s="48"/>
      <c r="V97" s="47"/>
      <c r="W97" s="47"/>
      <c r="X97" s="35">
        <f>SUM(W98:W102)</f>
        <v>837380.165</v>
      </c>
      <c r="Y97" s="132"/>
    </row>
    <row r="98" spans="1:26" ht="12.75">
      <c r="A98" s="37"/>
      <c r="B98" s="64" t="s">
        <v>875</v>
      </c>
      <c r="C98" s="35"/>
      <c r="D98" s="35"/>
      <c r="E98" s="35"/>
      <c r="F98" s="47">
        <f>SUM(C98:E98)</f>
        <v>0</v>
      </c>
      <c r="G98" s="93">
        <v>240</v>
      </c>
      <c r="H98" s="93">
        <v>346</v>
      </c>
      <c r="I98" s="93">
        <v>90</v>
      </c>
      <c r="J98" s="40">
        <v>300</v>
      </c>
      <c r="K98" s="40"/>
      <c r="L98" s="40"/>
      <c r="M98" s="47">
        <f>$G$3*G98+$H$3*H98+$I$3*I98+$J$3*J98+$K$3*K98+$L$3*L98</f>
        <v>67947.4</v>
      </c>
      <c r="N98" s="47">
        <f>M98+F98</f>
        <v>67947.4</v>
      </c>
      <c r="O98">
        <v>1</v>
      </c>
      <c r="P98">
        <v>2</v>
      </c>
      <c r="Q98">
        <v>4</v>
      </c>
      <c r="R98">
        <v>1</v>
      </c>
      <c r="S98">
        <v>2</v>
      </c>
      <c r="T98">
        <v>8</v>
      </c>
      <c r="U98" s="48">
        <f>((O98*P98)+Q98+(R98*S98)+T98)/100</f>
        <v>0.16</v>
      </c>
      <c r="V98" s="47">
        <f>+(F98+M98)*U98</f>
        <v>10871.583999999999</v>
      </c>
      <c r="W98" s="47">
        <f>+F98+M98+V98</f>
        <v>78818.984</v>
      </c>
      <c r="Y98" s="8"/>
      <c r="Z98" t="s">
        <v>521</v>
      </c>
    </row>
    <row r="99" spans="1:25" ht="12.75">
      <c r="A99" s="37"/>
      <c r="B99" s="64" t="s">
        <v>537</v>
      </c>
      <c r="C99" s="35">
        <v>0</v>
      </c>
      <c r="D99" s="35">
        <v>61600</v>
      </c>
      <c r="E99" s="35">
        <v>0</v>
      </c>
      <c r="F99" s="47">
        <f>SUM(C99:E99)</f>
        <v>61600</v>
      </c>
      <c r="G99" s="93">
        <v>693</v>
      </c>
      <c r="H99" s="93">
        <v>0</v>
      </c>
      <c r="I99" s="93">
        <v>1347</v>
      </c>
      <c r="J99" s="40">
        <v>1213</v>
      </c>
      <c r="K99" s="40">
        <v>216</v>
      </c>
      <c r="L99" s="40">
        <v>0</v>
      </c>
      <c r="M99" s="47">
        <f>$G$3*G99+$H$3*H99+$I$3*I99+$J$3*J99+$K$3*K99+$L$3*L99</f>
        <v>203968.2</v>
      </c>
      <c r="N99" s="47">
        <f>M99+F99</f>
        <v>265568.2</v>
      </c>
      <c r="O99" s="40">
        <v>2</v>
      </c>
      <c r="P99" s="40">
        <v>2</v>
      </c>
      <c r="Q99" s="40">
        <v>4</v>
      </c>
      <c r="R99" s="40">
        <v>2</v>
      </c>
      <c r="S99" s="40">
        <v>2</v>
      </c>
      <c r="T99" s="40">
        <v>4</v>
      </c>
      <c r="U99" s="48">
        <f>((O99*P99)+Q99+(R99*S99)+T99)/100</f>
        <v>0.16</v>
      </c>
      <c r="V99" s="47">
        <f>+(F99+M99)*U99</f>
        <v>42490.912000000004</v>
      </c>
      <c r="W99" s="47">
        <f>+F99+M99+V99</f>
        <v>308059.112</v>
      </c>
      <c r="Y99" s="8"/>
    </row>
    <row r="100" spans="1:25" ht="12.75">
      <c r="A100" s="37"/>
      <c r="B100" s="64" t="s">
        <v>534</v>
      </c>
      <c r="C100" s="35">
        <v>28600</v>
      </c>
      <c r="D100" s="35">
        <v>0</v>
      </c>
      <c r="E100" s="35">
        <v>0</v>
      </c>
      <c r="F100" s="47">
        <f>SUM(C100:E100)</f>
        <v>28600</v>
      </c>
      <c r="G100" s="93">
        <v>433</v>
      </c>
      <c r="H100" s="93">
        <v>0</v>
      </c>
      <c r="I100" s="93">
        <v>173</v>
      </c>
      <c r="J100" s="40">
        <v>346</v>
      </c>
      <c r="K100" s="40">
        <v>173</v>
      </c>
      <c r="L100" s="40">
        <v>0</v>
      </c>
      <c r="M100" s="47">
        <f>$G$3*G100+$H$3*H100+$I$3*I100+$J$3*J100+$K$3*K100+$L$3*L100</f>
        <v>71374.45</v>
      </c>
      <c r="N100" s="47">
        <f>M100+F100</f>
        <v>99974.45</v>
      </c>
      <c r="O100" s="40">
        <v>3</v>
      </c>
      <c r="P100" s="40">
        <v>2</v>
      </c>
      <c r="Q100" s="40">
        <v>8</v>
      </c>
      <c r="R100" s="40">
        <v>2</v>
      </c>
      <c r="S100" s="40">
        <v>2</v>
      </c>
      <c r="T100" s="40">
        <v>4</v>
      </c>
      <c r="U100" s="48">
        <f>((O100*P100)+Q100+(R100*S100)+T100)/100</f>
        <v>0.22</v>
      </c>
      <c r="V100" s="47">
        <f>+(F100+M100)*U100</f>
        <v>21994.379</v>
      </c>
      <c r="W100" s="47">
        <f>+F100+M100+V100</f>
        <v>121968.829</v>
      </c>
      <c r="Y100" s="8"/>
    </row>
    <row r="101" spans="1:25" ht="12.75">
      <c r="A101" s="37"/>
      <c r="B101" s="64" t="s">
        <v>535</v>
      </c>
      <c r="C101" s="35">
        <v>0</v>
      </c>
      <c r="D101" s="35">
        <v>192500</v>
      </c>
      <c r="E101" s="35">
        <v>0</v>
      </c>
      <c r="F101" s="47">
        <f>SUM(C101:E101)</f>
        <v>192500</v>
      </c>
      <c r="G101" s="93">
        <v>303</v>
      </c>
      <c r="H101" s="93">
        <v>0</v>
      </c>
      <c r="I101" s="93">
        <v>477</v>
      </c>
      <c r="J101" s="40">
        <v>0</v>
      </c>
      <c r="K101" s="40">
        <v>0</v>
      </c>
      <c r="L101" s="40">
        <v>0</v>
      </c>
      <c r="M101" s="47">
        <f>$G$3*G101+$H$3*H101+$I$3*I101+$J$3*J101+$K$3*K101+$L$3*L101</f>
        <v>47177.7</v>
      </c>
      <c r="N101" s="47">
        <f>M101+F101</f>
        <v>239677.7</v>
      </c>
      <c r="O101" s="40">
        <v>2</v>
      </c>
      <c r="P101" s="40">
        <v>2</v>
      </c>
      <c r="Q101" s="40">
        <v>8</v>
      </c>
      <c r="R101" s="40">
        <v>2</v>
      </c>
      <c r="S101" s="40">
        <v>2</v>
      </c>
      <c r="T101" s="40">
        <v>4</v>
      </c>
      <c r="U101" s="48">
        <f>((O101*P101)+Q101+(R101*S101)+T101)/100</f>
        <v>0.2</v>
      </c>
      <c r="V101" s="47">
        <f>+(F101+M101)*U101</f>
        <v>47935.54000000001</v>
      </c>
      <c r="W101" s="47">
        <f>+F101+M101+V101</f>
        <v>287613.24</v>
      </c>
      <c r="Y101" s="8"/>
    </row>
    <row r="102" spans="1:25" ht="12.75">
      <c r="A102" s="37"/>
      <c r="B102" s="64" t="s">
        <v>536</v>
      </c>
      <c r="C102" s="35">
        <v>0</v>
      </c>
      <c r="D102" s="35">
        <v>33000</v>
      </c>
      <c r="E102" s="35">
        <v>0</v>
      </c>
      <c r="F102" s="47">
        <f>SUM(C102:E102)</f>
        <v>33000</v>
      </c>
      <c r="G102" s="93">
        <v>0</v>
      </c>
      <c r="H102" s="93">
        <v>0</v>
      </c>
      <c r="I102" s="93">
        <v>0</v>
      </c>
      <c r="J102" s="40">
        <v>0</v>
      </c>
      <c r="K102" s="40">
        <v>0</v>
      </c>
      <c r="L102" s="40">
        <v>0</v>
      </c>
      <c r="M102" s="47">
        <f>$G$3*G102+$H$3*H102+$I$3*I102+$J$3*J102+$K$3*K102+$L$3*L102</f>
        <v>0</v>
      </c>
      <c r="N102" s="47">
        <f>M102+F102</f>
        <v>33000</v>
      </c>
      <c r="O102" s="40">
        <v>2</v>
      </c>
      <c r="P102" s="40">
        <v>2</v>
      </c>
      <c r="Q102" s="40">
        <v>8</v>
      </c>
      <c r="R102" s="40">
        <v>2</v>
      </c>
      <c r="S102" s="40">
        <v>2</v>
      </c>
      <c r="T102" s="40">
        <v>8</v>
      </c>
      <c r="U102" s="48">
        <f>((O102*P102)+Q102+(R102*S102)+T102)/100</f>
        <v>0.24</v>
      </c>
      <c r="V102" s="47">
        <f>+(F102+M102)*U102</f>
        <v>7920</v>
      </c>
      <c r="W102" s="47">
        <f>+F102+M102+V102</f>
        <v>40920</v>
      </c>
      <c r="Y102" s="8"/>
    </row>
    <row r="103" spans="1:25" ht="12.75">
      <c r="A103" s="37" t="s">
        <v>1272</v>
      </c>
      <c r="B103" s="84" t="s">
        <v>379</v>
      </c>
      <c r="C103" s="35"/>
      <c r="D103" s="35"/>
      <c r="E103" s="35"/>
      <c r="F103" s="47"/>
      <c r="G103" s="93"/>
      <c r="H103" s="93"/>
      <c r="I103" s="93"/>
      <c r="J103" s="40"/>
      <c r="K103" s="40"/>
      <c r="L103" s="40"/>
      <c r="M103" s="47"/>
      <c r="N103" s="47"/>
      <c r="U103" s="48"/>
      <c r="V103" s="47"/>
      <c r="W103" s="47"/>
      <c r="X103" s="35">
        <f>SUM(W104:W114)</f>
        <v>331416.585</v>
      </c>
      <c r="Y103" s="132"/>
    </row>
    <row r="104" spans="1:26" ht="12.75">
      <c r="A104" s="37"/>
      <c r="B104" s="64" t="s">
        <v>875</v>
      </c>
      <c r="C104" s="35"/>
      <c r="D104" s="35"/>
      <c r="E104" s="35"/>
      <c r="F104" s="47">
        <f>SUM(C104:E104)</f>
        <v>0</v>
      </c>
      <c r="G104" s="93">
        <v>70</v>
      </c>
      <c r="H104" s="93">
        <v>0</v>
      </c>
      <c r="I104" s="93">
        <v>86</v>
      </c>
      <c r="J104" s="40">
        <v>625</v>
      </c>
      <c r="K104" s="40"/>
      <c r="L104" s="40"/>
      <c r="M104" s="47">
        <f>$G$3*G104+$H$3*H104+$I$3*I104+$J$3*J104+$K$3*K104+$L$3*L104</f>
        <v>42350.5</v>
      </c>
      <c r="N104" s="47">
        <f>M104+F104</f>
        <v>42350.5</v>
      </c>
      <c r="O104">
        <v>1</v>
      </c>
      <c r="P104">
        <v>2</v>
      </c>
      <c r="Q104">
        <v>4</v>
      </c>
      <c r="R104">
        <v>1</v>
      </c>
      <c r="S104">
        <v>2</v>
      </c>
      <c r="T104">
        <v>8</v>
      </c>
      <c r="U104" s="48">
        <f>((O104*P104)+Q104+(R104*S104)+T104)/100</f>
        <v>0.16</v>
      </c>
      <c r="V104" s="47">
        <f>+(F104+M104)*U104</f>
        <v>6776.08</v>
      </c>
      <c r="W104" s="47">
        <f>+F104+M104+V104</f>
        <v>49126.58</v>
      </c>
      <c r="Y104" s="8"/>
      <c r="Z104" t="s">
        <v>521</v>
      </c>
    </row>
    <row r="105" spans="1:25" ht="12.75">
      <c r="A105" s="37"/>
      <c r="B105" s="184" t="s">
        <v>380</v>
      </c>
      <c r="C105" s="35"/>
      <c r="D105" s="35">
        <v>832000</v>
      </c>
      <c r="E105" s="35"/>
      <c r="F105" s="47"/>
      <c r="G105" s="337">
        <v>1010</v>
      </c>
      <c r="H105" s="40"/>
      <c r="I105" s="337"/>
      <c r="J105" s="40">
        <v>670</v>
      </c>
      <c r="K105" s="40"/>
      <c r="L105" s="40"/>
      <c r="M105" s="47"/>
      <c r="N105" s="47"/>
      <c r="U105" s="48"/>
      <c r="V105" s="47"/>
      <c r="W105" s="47"/>
      <c r="Y105" s="8"/>
    </row>
    <row r="106" spans="1:25" ht="12.75">
      <c r="A106" s="37"/>
      <c r="B106" s="184" t="s">
        <v>381</v>
      </c>
      <c r="C106" s="35">
        <v>15625</v>
      </c>
      <c r="D106" s="35"/>
      <c r="E106" s="35"/>
      <c r="F106" s="47"/>
      <c r="G106" s="337">
        <v>675</v>
      </c>
      <c r="H106" s="40"/>
      <c r="I106" s="337"/>
      <c r="J106" s="40">
        <v>335</v>
      </c>
      <c r="K106" s="40"/>
      <c r="L106" s="40">
        <v>768</v>
      </c>
      <c r="M106" s="47"/>
      <c r="N106" s="47"/>
      <c r="U106" s="48"/>
      <c r="V106" s="47"/>
      <c r="W106" s="47"/>
      <c r="Y106" s="8"/>
    </row>
    <row r="107" spans="1:25" ht="12.75">
      <c r="A107" s="37"/>
      <c r="B107" s="184" t="s">
        <v>382</v>
      </c>
      <c r="C107" s="35">
        <v>21250</v>
      </c>
      <c r="D107" s="35"/>
      <c r="E107" s="35"/>
      <c r="F107" s="47"/>
      <c r="G107" s="337"/>
      <c r="H107" s="40"/>
      <c r="I107" s="337"/>
      <c r="J107" s="40">
        <v>96</v>
      </c>
      <c r="K107" s="40"/>
      <c r="L107" s="40"/>
      <c r="M107" s="47"/>
      <c r="N107" s="47"/>
      <c r="U107" s="48"/>
      <c r="V107" s="47"/>
      <c r="W107" s="47"/>
      <c r="Y107" s="8"/>
    </row>
    <row r="108" spans="1:25" ht="12.75">
      <c r="A108" s="37"/>
      <c r="B108" s="184" t="s">
        <v>383</v>
      </c>
      <c r="C108" s="35"/>
      <c r="D108" s="35">
        <v>26250</v>
      </c>
      <c r="E108" s="35"/>
      <c r="F108" s="47"/>
      <c r="G108" s="337">
        <v>1010</v>
      </c>
      <c r="H108" s="40"/>
      <c r="I108" s="337"/>
      <c r="J108" s="40">
        <v>2356</v>
      </c>
      <c r="K108" s="40"/>
      <c r="L108" s="40"/>
      <c r="M108" s="47"/>
      <c r="N108" s="47"/>
      <c r="U108" s="48"/>
      <c r="V108" s="47"/>
      <c r="W108" s="47"/>
      <c r="Y108" s="8"/>
    </row>
    <row r="109" spans="1:25" ht="12.75">
      <c r="A109" s="37"/>
      <c r="B109" s="184" t="s">
        <v>384</v>
      </c>
      <c r="C109" s="35">
        <v>21250</v>
      </c>
      <c r="D109" s="35"/>
      <c r="E109" s="35"/>
      <c r="F109" s="47"/>
      <c r="G109" s="337">
        <v>3040</v>
      </c>
      <c r="H109" s="40"/>
      <c r="I109" s="337"/>
      <c r="J109" s="40">
        <v>2022</v>
      </c>
      <c r="K109" s="40"/>
      <c r="L109" s="40">
        <v>768</v>
      </c>
      <c r="M109" s="47"/>
      <c r="N109" s="47"/>
      <c r="U109" s="48"/>
      <c r="V109" s="47"/>
      <c r="W109" s="47"/>
      <c r="X109" s="35"/>
      <c r="Y109" s="132"/>
    </row>
    <row r="110" spans="1:25" ht="12.75">
      <c r="A110" s="37"/>
      <c r="B110" s="64" t="s">
        <v>530</v>
      </c>
      <c r="C110" s="35">
        <v>21250</v>
      </c>
      <c r="D110" s="35">
        <v>0</v>
      </c>
      <c r="E110" s="35">
        <v>0</v>
      </c>
      <c r="F110" s="47">
        <f>SUM(C110:E110)</f>
        <v>21250</v>
      </c>
      <c r="G110" s="337">
        <v>0</v>
      </c>
      <c r="H110" s="40">
        <v>0</v>
      </c>
      <c r="I110" s="337">
        <v>0</v>
      </c>
      <c r="J110" s="40">
        <v>325</v>
      </c>
      <c r="K110" s="40">
        <v>0</v>
      </c>
      <c r="L110" s="40">
        <v>0</v>
      </c>
      <c r="M110" s="47">
        <f>$G$3*G110+$H$3*H110+$I$3*I110+$J$3*J110+$K$3*K110+$L$3*L110</f>
        <v>17062.5</v>
      </c>
      <c r="N110" s="47">
        <f>M110+F110</f>
        <v>38312.5</v>
      </c>
      <c r="O110" s="40">
        <v>4</v>
      </c>
      <c r="P110" s="40">
        <v>2</v>
      </c>
      <c r="Q110" s="40">
        <v>6</v>
      </c>
      <c r="R110" s="40">
        <v>2</v>
      </c>
      <c r="S110" s="40">
        <v>2</v>
      </c>
      <c r="T110" s="40">
        <v>4</v>
      </c>
      <c r="U110" s="48">
        <f>((O110*P110)+Q110+(R110*S110)+T110)/100</f>
        <v>0.22</v>
      </c>
      <c r="V110" s="47">
        <f>+(F110+M110)*U110</f>
        <v>8428.75</v>
      </c>
      <c r="W110" s="47">
        <f>+F110+M110+V110</f>
        <v>46741.25</v>
      </c>
      <c r="Y110" s="8"/>
    </row>
    <row r="111" spans="1:25" ht="12.75">
      <c r="A111" s="37"/>
      <c r="B111" s="64" t="s">
        <v>531</v>
      </c>
      <c r="C111" s="35">
        <v>21250</v>
      </c>
      <c r="D111" s="35">
        <v>0</v>
      </c>
      <c r="E111" s="35">
        <v>0</v>
      </c>
      <c r="F111" s="47">
        <f>SUM(C111:E111)</f>
        <v>21250</v>
      </c>
      <c r="G111" s="93">
        <v>340</v>
      </c>
      <c r="H111" s="93">
        <v>0</v>
      </c>
      <c r="I111" s="93">
        <v>406</v>
      </c>
      <c r="J111" s="40">
        <v>325</v>
      </c>
      <c r="K111" s="40">
        <v>0</v>
      </c>
      <c r="L111" s="40">
        <v>0</v>
      </c>
      <c r="M111" s="47">
        <f>$G$3*G111+$H$3*H111+$I$3*I111+$J$3*J111+$K$3*K111+$L$3*L111</f>
        <v>62731</v>
      </c>
      <c r="N111" s="47">
        <f>M111+F111</f>
        <v>83981</v>
      </c>
      <c r="O111" s="40">
        <v>4</v>
      </c>
      <c r="P111" s="40">
        <v>2</v>
      </c>
      <c r="Q111" s="40">
        <v>6</v>
      </c>
      <c r="R111" s="40">
        <v>2</v>
      </c>
      <c r="S111" s="40">
        <v>2</v>
      </c>
      <c r="T111" s="40">
        <v>4</v>
      </c>
      <c r="U111" s="48">
        <f>((O111*P111)+Q111+(R111*S111)+T111)/100</f>
        <v>0.22</v>
      </c>
      <c r="V111" s="47">
        <f>+(F111+M111)*U111</f>
        <v>18475.82</v>
      </c>
      <c r="W111" s="47">
        <f>+F111+M111+V111</f>
        <v>102456.82</v>
      </c>
      <c r="Y111" s="8"/>
    </row>
    <row r="112" spans="1:25" ht="12.75">
      <c r="A112" s="37"/>
      <c r="B112" s="64" t="s">
        <v>532</v>
      </c>
      <c r="C112" s="35">
        <v>0</v>
      </c>
      <c r="D112" s="35">
        <v>31250</v>
      </c>
      <c r="E112" s="35">
        <v>0</v>
      </c>
      <c r="F112" s="47">
        <f>SUM(C112:E112)</f>
        <v>31250</v>
      </c>
      <c r="G112" s="93">
        <v>345</v>
      </c>
      <c r="H112" s="93">
        <v>0</v>
      </c>
      <c r="I112" s="93">
        <v>412</v>
      </c>
      <c r="J112" s="40">
        <v>600</v>
      </c>
      <c r="K112" s="40">
        <v>0</v>
      </c>
      <c r="L112" s="40">
        <v>0</v>
      </c>
      <c r="M112" s="47">
        <f>$G$3*G112+$H$3*H112+$I$3*I112+$J$3*J112+$K$3*K112+$L$3*L112</f>
        <v>77841.75</v>
      </c>
      <c r="N112" s="47">
        <f>M112+F112</f>
        <v>109091.75</v>
      </c>
      <c r="O112" s="40">
        <v>4</v>
      </c>
      <c r="P112" s="40">
        <v>2</v>
      </c>
      <c r="Q112" s="40">
        <v>6</v>
      </c>
      <c r="R112" s="40">
        <v>2</v>
      </c>
      <c r="S112" s="40">
        <v>2</v>
      </c>
      <c r="T112" s="40">
        <v>4</v>
      </c>
      <c r="U112" s="48">
        <f>((O112*P112)+Q112+(R112*S112)+T112)/100</f>
        <v>0.22</v>
      </c>
      <c r="V112" s="47">
        <f>+(F112+M112)*U112</f>
        <v>24000.185</v>
      </c>
      <c r="W112" s="47">
        <f>+F112+M112+V112</f>
        <v>133091.935</v>
      </c>
      <c r="Y112" s="8"/>
    </row>
    <row r="113" spans="1:25" ht="12.75">
      <c r="A113" s="37"/>
      <c r="B113" s="64" t="s">
        <v>533</v>
      </c>
      <c r="C113" s="35">
        <v>20000</v>
      </c>
      <c r="D113" s="35"/>
      <c r="E113" s="35"/>
      <c r="F113" s="47"/>
      <c r="G113" s="93"/>
      <c r="H113" s="93"/>
      <c r="I113" s="93"/>
      <c r="J113" s="40"/>
      <c r="K113" s="40"/>
      <c r="L113" s="40"/>
      <c r="M113" s="47"/>
      <c r="N113" s="47"/>
      <c r="O113" s="40"/>
      <c r="P113" s="40"/>
      <c r="Q113" s="40"/>
      <c r="R113" s="40"/>
      <c r="S113" s="40"/>
      <c r="T113" s="40"/>
      <c r="U113" s="48"/>
      <c r="V113" s="47"/>
      <c r="W113" s="47"/>
      <c r="Y113" s="8"/>
    </row>
    <row r="114" spans="1:25" ht="12.75">
      <c r="A114" s="37"/>
      <c r="B114" s="184" t="s">
        <v>385</v>
      </c>
      <c r="C114" s="35">
        <v>25000</v>
      </c>
      <c r="D114" s="35"/>
      <c r="E114" s="35"/>
      <c r="F114" s="47"/>
      <c r="G114" s="93"/>
      <c r="H114" s="93"/>
      <c r="I114" s="93"/>
      <c r="J114" s="40"/>
      <c r="K114" s="40"/>
      <c r="L114" s="40"/>
      <c r="M114" s="47"/>
      <c r="N114" s="47"/>
      <c r="U114" s="48"/>
      <c r="V114" s="47"/>
      <c r="W114" s="47"/>
      <c r="Y114" s="8"/>
    </row>
    <row r="115" spans="1:25" ht="12.75">
      <c r="A115" s="37" t="s">
        <v>1274</v>
      </c>
      <c r="B115" s="84" t="s">
        <v>1275</v>
      </c>
      <c r="C115" s="35"/>
      <c r="D115" s="35"/>
      <c r="E115" s="35"/>
      <c r="F115" s="47"/>
      <c r="G115" s="93"/>
      <c r="H115" s="93"/>
      <c r="I115" s="93"/>
      <c r="J115" s="40"/>
      <c r="K115" s="40"/>
      <c r="L115" s="40"/>
      <c r="M115" s="47"/>
      <c r="N115" s="47"/>
      <c r="U115" s="48"/>
      <c r="V115" s="47"/>
      <c r="W115" s="47"/>
      <c r="X115" s="35">
        <f>SUM(W116:W125)</f>
        <v>2152099.7279999997</v>
      </c>
      <c r="Y115" s="132"/>
    </row>
    <row r="116" spans="1:26" ht="12.75">
      <c r="A116" s="37"/>
      <c r="B116" s="64" t="s">
        <v>875</v>
      </c>
      <c r="C116" s="35"/>
      <c r="D116" s="35"/>
      <c r="E116" s="35"/>
      <c r="F116" s="47">
        <f>SUM(C116:E116)</f>
        <v>0</v>
      </c>
      <c r="G116" s="93">
        <v>509</v>
      </c>
      <c r="H116" s="93">
        <v>0</v>
      </c>
      <c r="I116" s="93">
        <v>608</v>
      </c>
      <c r="J116" s="40">
        <v>1200</v>
      </c>
      <c r="K116" s="40"/>
      <c r="L116" s="40"/>
      <c r="M116" s="47">
        <f>$G$3*G116+$H$3*H116+$I$3*I116+$J$3*J116+$K$3*K116+$L$3*L116</f>
        <v>131379.35</v>
      </c>
      <c r="N116" s="47">
        <f>M116+F116</f>
        <v>131379.35</v>
      </c>
      <c r="O116">
        <v>1</v>
      </c>
      <c r="P116">
        <v>2</v>
      </c>
      <c r="Q116">
        <v>4</v>
      </c>
      <c r="R116">
        <v>1</v>
      </c>
      <c r="S116">
        <v>2</v>
      </c>
      <c r="T116">
        <v>8</v>
      </c>
      <c r="U116" s="48">
        <f>((O116*P116)+Q116+(R116*S116)+T116)/100</f>
        <v>0.16</v>
      </c>
      <c r="V116" s="47">
        <f>+(F116+M116)*U116</f>
        <v>21020.696</v>
      </c>
      <c r="W116" s="47">
        <f>+F116+M116+V116</f>
        <v>152400.046</v>
      </c>
      <c r="Y116" s="8"/>
      <c r="Z116" t="s">
        <v>521</v>
      </c>
    </row>
    <row r="117" spans="1:25" ht="12.75">
      <c r="A117" s="37"/>
      <c r="B117" s="64" t="s">
        <v>525</v>
      </c>
      <c r="C117" s="35">
        <v>0</v>
      </c>
      <c r="D117" s="35">
        <v>416250</v>
      </c>
      <c r="E117" s="35">
        <v>0</v>
      </c>
      <c r="F117" s="47">
        <f>SUM(C117:E117)</f>
        <v>416250</v>
      </c>
      <c r="G117" s="93">
        <v>1519</v>
      </c>
      <c r="H117" s="93">
        <v>0</v>
      </c>
      <c r="I117" s="93">
        <v>814</v>
      </c>
      <c r="J117" s="40">
        <v>1687</v>
      </c>
      <c r="K117" s="40">
        <v>0</v>
      </c>
      <c r="L117" s="40">
        <v>0</v>
      </c>
      <c r="M117" s="47">
        <f>$G$3*G117+$H$3*H117+$I$3*I117+$J$3*J117+$K$3*K117+$L$3*L117</f>
        <v>236355.85</v>
      </c>
      <c r="N117" s="47">
        <f>M117+F117</f>
        <v>652605.85</v>
      </c>
      <c r="O117" s="40">
        <v>4</v>
      </c>
      <c r="P117" s="40">
        <v>2</v>
      </c>
      <c r="Q117" s="40">
        <v>6</v>
      </c>
      <c r="R117" s="40">
        <v>2</v>
      </c>
      <c r="S117" s="40">
        <v>2</v>
      </c>
      <c r="T117" s="40">
        <v>4</v>
      </c>
      <c r="U117" s="48">
        <f>((O117*P117)+Q117+(R117*S117)+T117)/100</f>
        <v>0.22</v>
      </c>
      <c r="V117" s="47">
        <f>+(F117+M117)*U117</f>
        <v>143573.28699999998</v>
      </c>
      <c r="W117" s="47">
        <f>+F117+M117+V117</f>
        <v>796179.137</v>
      </c>
      <c r="Y117" s="8"/>
    </row>
    <row r="118" spans="1:25" ht="12.75">
      <c r="A118" s="37"/>
      <c r="B118" s="64" t="s">
        <v>526</v>
      </c>
      <c r="C118" s="35">
        <v>21250</v>
      </c>
      <c r="D118" s="35">
        <v>0</v>
      </c>
      <c r="E118" s="35">
        <v>0</v>
      </c>
      <c r="F118" s="47">
        <f aca="true" t="shared" si="34" ref="F118:F124">SUM(C118:E118)</f>
        <v>21250</v>
      </c>
      <c r="G118" s="93">
        <v>341</v>
      </c>
      <c r="H118" s="93">
        <v>0</v>
      </c>
      <c r="I118" s="93">
        <v>407</v>
      </c>
      <c r="J118" s="40">
        <v>325</v>
      </c>
      <c r="K118" s="40">
        <v>0</v>
      </c>
      <c r="L118" s="40">
        <v>532</v>
      </c>
      <c r="M118" s="47">
        <f aca="true" t="shared" si="35" ref="M118:M124">$G$3*G118+$H$3*H118+$I$3*I118+$J$3*J118+$K$3*K118+$L$3*L118</f>
        <v>115735.20000000001</v>
      </c>
      <c r="N118" s="47">
        <f aca="true" t="shared" si="36" ref="N118:N124">M118+F118</f>
        <v>136985.2</v>
      </c>
      <c r="O118" s="40">
        <v>4</v>
      </c>
      <c r="P118" s="40">
        <v>2</v>
      </c>
      <c r="Q118" s="40">
        <v>6</v>
      </c>
      <c r="R118" s="40">
        <v>2</v>
      </c>
      <c r="S118" s="40">
        <v>2</v>
      </c>
      <c r="T118" s="40">
        <v>4</v>
      </c>
      <c r="U118" s="48">
        <f aca="true" t="shared" si="37" ref="U118:U124">((O118*P118)+Q118+(R118*S118)+T118)/100</f>
        <v>0.22</v>
      </c>
      <c r="V118" s="47">
        <f aca="true" t="shared" si="38" ref="V118:V124">+(F118+M118)*U118</f>
        <v>30136.744000000002</v>
      </c>
      <c r="W118" s="47">
        <f aca="true" t="shared" si="39" ref="W118:W124">+F118+M118+V118</f>
        <v>167121.94400000002</v>
      </c>
      <c r="Y118" s="8"/>
    </row>
    <row r="119" spans="1:25" ht="12.75">
      <c r="A119" s="37"/>
      <c r="B119" s="64" t="s">
        <v>527</v>
      </c>
      <c r="C119" s="35">
        <v>15000</v>
      </c>
      <c r="D119" s="35">
        <v>0</v>
      </c>
      <c r="E119" s="35">
        <v>0</v>
      </c>
      <c r="F119" s="47">
        <f t="shared" si="34"/>
        <v>15000</v>
      </c>
      <c r="G119" s="93">
        <v>0</v>
      </c>
      <c r="H119" s="93">
        <v>0</v>
      </c>
      <c r="I119" s="93">
        <v>0</v>
      </c>
      <c r="J119" s="40">
        <v>96</v>
      </c>
      <c r="K119" s="40">
        <v>0</v>
      </c>
      <c r="L119" s="40">
        <v>0</v>
      </c>
      <c r="M119" s="47">
        <f t="shared" si="35"/>
        <v>5040</v>
      </c>
      <c r="N119" s="47">
        <f t="shared" si="36"/>
        <v>20040</v>
      </c>
      <c r="O119" s="40">
        <v>4</v>
      </c>
      <c r="P119" s="40">
        <v>2</v>
      </c>
      <c r="Q119" s="40">
        <v>6</v>
      </c>
      <c r="R119" s="40">
        <v>2</v>
      </c>
      <c r="S119" s="40">
        <v>2</v>
      </c>
      <c r="T119" s="40">
        <v>4</v>
      </c>
      <c r="U119" s="48">
        <f t="shared" si="37"/>
        <v>0.22</v>
      </c>
      <c r="V119" s="47">
        <f t="shared" si="38"/>
        <v>4408.8</v>
      </c>
      <c r="W119" s="47">
        <f t="shared" si="39"/>
        <v>24448.8</v>
      </c>
      <c r="Y119" s="8"/>
    </row>
    <row r="120" spans="1:25" ht="12.75">
      <c r="A120" s="37"/>
      <c r="B120" s="64" t="s">
        <v>528</v>
      </c>
      <c r="C120" s="35">
        <v>0</v>
      </c>
      <c r="D120" s="35">
        <v>41250</v>
      </c>
      <c r="E120" s="35">
        <v>0</v>
      </c>
      <c r="F120" s="47">
        <f t="shared" si="34"/>
        <v>41250</v>
      </c>
      <c r="G120" s="93">
        <v>850</v>
      </c>
      <c r="H120" s="93">
        <v>0</v>
      </c>
      <c r="I120" s="93">
        <v>1015</v>
      </c>
      <c r="J120" s="40">
        <v>2020</v>
      </c>
      <c r="K120" s="40">
        <v>0</v>
      </c>
      <c r="L120" s="40">
        <v>0</v>
      </c>
      <c r="M120" s="47">
        <f t="shared" si="35"/>
        <v>220221.25</v>
      </c>
      <c r="N120" s="47">
        <f t="shared" si="36"/>
        <v>261471.25</v>
      </c>
      <c r="O120" s="40">
        <v>4</v>
      </c>
      <c r="P120" s="40">
        <v>2</v>
      </c>
      <c r="Q120" s="40">
        <v>6</v>
      </c>
      <c r="R120" s="40">
        <v>2</v>
      </c>
      <c r="S120" s="40">
        <v>2</v>
      </c>
      <c r="T120" s="40">
        <v>4</v>
      </c>
      <c r="U120" s="48">
        <f t="shared" si="37"/>
        <v>0.22</v>
      </c>
      <c r="V120" s="47">
        <f t="shared" si="38"/>
        <v>57523.675</v>
      </c>
      <c r="W120" s="47">
        <f t="shared" si="39"/>
        <v>318994.925</v>
      </c>
      <c r="Y120" s="8"/>
    </row>
    <row r="121" spans="1:25" ht="12.75">
      <c r="A121" s="37"/>
      <c r="B121" s="64" t="s">
        <v>529</v>
      </c>
      <c r="C121" s="35">
        <v>21250</v>
      </c>
      <c r="D121" s="35">
        <v>0</v>
      </c>
      <c r="E121" s="35">
        <v>0</v>
      </c>
      <c r="F121" s="47">
        <f t="shared" si="34"/>
        <v>21250</v>
      </c>
      <c r="G121" s="93">
        <v>1524</v>
      </c>
      <c r="H121" s="93">
        <v>0</v>
      </c>
      <c r="I121" s="93">
        <v>1820</v>
      </c>
      <c r="J121" s="40">
        <v>1018</v>
      </c>
      <c r="K121" s="40">
        <v>0</v>
      </c>
      <c r="L121" s="40">
        <v>532</v>
      </c>
      <c r="M121" s="47">
        <f t="shared" si="35"/>
        <v>311037.4</v>
      </c>
      <c r="N121" s="47">
        <f t="shared" si="36"/>
        <v>332287.4</v>
      </c>
      <c r="O121" s="40">
        <v>4</v>
      </c>
      <c r="P121" s="40">
        <v>2</v>
      </c>
      <c r="Q121" s="40">
        <v>6</v>
      </c>
      <c r="R121" s="40">
        <v>2</v>
      </c>
      <c r="S121" s="40">
        <v>2</v>
      </c>
      <c r="T121" s="40">
        <v>4</v>
      </c>
      <c r="U121" s="48">
        <f t="shared" si="37"/>
        <v>0.22</v>
      </c>
      <c r="V121" s="47">
        <f t="shared" si="38"/>
        <v>73103.228</v>
      </c>
      <c r="W121" s="47">
        <f t="shared" si="39"/>
        <v>405390.628</v>
      </c>
      <c r="Y121" s="8"/>
    </row>
    <row r="122" spans="1:25" ht="12.75">
      <c r="A122" s="37"/>
      <c r="B122" s="64" t="s">
        <v>530</v>
      </c>
      <c r="C122" s="35">
        <v>21250</v>
      </c>
      <c r="D122" s="35">
        <v>0</v>
      </c>
      <c r="E122" s="35">
        <v>0</v>
      </c>
      <c r="F122" s="47">
        <f t="shared" si="34"/>
        <v>21250</v>
      </c>
      <c r="G122" s="93">
        <v>0</v>
      </c>
      <c r="H122" s="93">
        <v>0</v>
      </c>
      <c r="I122" s="93">
        <v>0</v>
      </c>
      <c r="J122" s="40">
        <v>324</v>
      </c>
      <c r="K122" s="40">
        <v>0</v>
      </c>
      <c r="L122" s="40">
        <v>0</v>
      </c>
      <c r="M122" s="47">
        <f t="shared" si="35"/>
        <v>17010</v>
      </c>
      <c r="N122" s="47">
        <f t="shared" si="36"/>
        <v>38260</v>
      </c>
      <c r="O122" s="40">
        <v>4</v>
      </c>
      <c r="P122" s="40">
        <v>2</v>
      </c>
      <c r="Q122" s="40">
        <v>6</v>
      </c>
      <c r="R122" s="40">
        <v>2</v>
      </c>
      <c r="S122" s="40">
        <v>2</v>
      </c>
      <c r="T122" s="40">
        <v>4</v>
      </c>
      <c r="U122" s="48">
        <f t="shared" si="37"/>
        <v>0.22</v>
      </c>
      <c r="V122" s="47">
        <f t="shared" si="38"/>
        <v>8417.2</v>
      </c>
      <c r="W122" s="47">
        <f t="shared" si="39"/>
        <v>46677.2</v>
      </c>
      <c r="Y122" s="8"/>
    </row>
    <row r="123" spans="1:25" ht="12.75">
      <c r="A123" s="37"/>
      <c r="B123" s="64" t="s">
        <v>531</v>
      </c>
      <c r="C123" s="35">
        <v>21250</v>
      </c>
      <c r="D123" s="35">
        <v>0</v>
      </c>
      <c r="E123" s="35">
        <v>0</v>
      </c>
      <c r="F123" s="47">
        <f t="shared" si="34"/>
        <v>21250</v>
      </c>
      <c r="G123" s="93">
        <v>510</v>
      </c>
      <c r="H123" s="93">
        <v>0</v>
      </c>
      <c r="I123" s="93">
        <v>609</v>
      </c>
      <c r="J123" s="40">
        <v>324</v>
      </c>
      <c r="K123" s="40">
        <v>0</v>
      </c>
      <c r="L123" s="40">
        <v>0</v>
      </c>
      <c r="M123" s="47">
        <f t="shared" si="35"/>
        <v>85512.75</v>
      </c>
      <c r="N123" s="47">
        <f t="shared" si="36"/>
        <v>106762.75</v>
      </c>
      <c r="O123" s="40">
        <v>4</v>
      </c>
      <c r="P123" s="40">
        <v>2</v>
      </c>
      <c r="Q123" s="40">
        <v>6</v>
      </c>
      <c r="R123" s="40">
        <v>2</v>
      </c>
      <c r="S123" s="40">
        <v>2</v>
      </c>
      <c r="T123" s="40">
        <v>4</v>
      </c>
      <c r="U123" s="48">
        <f t="shared" si="37"/>
        <v>0.22</v>
      </c>
      <c r="V123" s="47">
        <f t="shared" si="38"/>
        <v>23487.805</v>
      </c>
      <c r="W123" s="47">
        <f t="shared" si="39"/>
        <v>130250.555</v>
      </c>
      <c r="Y123" s="8"/>
    </row>
    <row r="124" spans="1:25" ht="12.75">
      <c r="A124" s="37"/>
      <c r="B124" s="64" t="s">
        <v>532</v>
      </c>
      <c r="C124" s="35">
        <v>31250</v>
      </c>
      <c r="D124" s="35">
        <v>0</v>
      </c>
      <c r="E124" s="35">
        <v>0</v>
      </c>
      <c r="F124" s="47">
        <f t="shared" si="34"/>
        <v>31250</v>
      </c>
      <c r="G124" s="93">
        <v>316</v>
      </c>
      <c r="H124" s="93">
        <v>0</v>
      </c>
      <c r="I124" s="93">
        <v>377</v>
      </c>
      <c r="J124" s="40">
        <v>324</v>
      </c>
      <c r="K124" s="40">
        <v>0</v>
      </c>
      <c r="L124" s="40">
        <v>0</v>
      </c>
      <c r="M124" s="47">
        <f t="shared" si="35"/>
        <v>59435.65</v>
      </c>
      <c r="N124" s="47">
        <f t="shared" si="36"/>
        <v>90685.65</v>
      </c>
      <c r="O124" s="40">
        <v>4</v>
      </c>
      <c r="P124" s="40">
        <v>2</v>
      </c>
      <c r="Q124" s="40">
        <v>6</v>
      </c>
      <c r="R124" s="40">
        <v>2</v>
      </c>
      <c r="S124" s="40">
        <v>2</v>
      </c>
      <c r="T124" s="40">
        <v>4</v>
      </c>
      <c r="U124" s="48">
        <f t="shared" si="37"/>
        <v>0.22</v>
      </c>
      <c r="V124" s="47">
        <f t="shared" si="38"/>
        <v>19950.842999999997</v>
      </c>
      <c r="W124" s="47">
        <f t="shared" si="39"/>
        <v>110636.49299999999</v>
      </c>
      <c r="Y124" s="8"/>
    </row>
    <row r="125" spans="1:25" ht="12.75">
      <c r="A125" s="37"/>
      <c r="B125" s="64" t="s">
        <v>533</v>
      </c>
      <c r="C125" s="35">
        <v>20000</v>
      </c>
      <c r="D125" s="35"/>
      <c r="E125" s="35"/>
      <c r="F125" s="47"/>
      <c r="G125" s="93"/>
      <c r="H125" s="93"/>
      <c r="I125" s="93"/>
      <c r="J125" s="40"/>
      <c r="K125" s="40"/>
      <c r="L125" s="40"/>
      <c r="M125" s="47"/>
      <c r="N125" s="47"/>
      <c r="O125" s="40"/>
      <c r="P125" s="40"/>
      <c r="Q125" s="40"/>
      <c r="R125" s="40"/>
      <c r="S125" s="40"/>
      <c r="T125" s="40"/>
      <c r="U125" s="48"/>
      <c r="V125" s="47"/>
      <c r="W125" s="47"/>
      <c r="Y125" s="8"/>
    </row>
    <row r="126" spans="1:25" ht="12.75">
      <c r="A126" s="37" t="s">
        <v>1276</v>
      </c>
      <c r="B126" s="84" t="s">
        <v>1267</v>
      </c>
      <c r="C126" s="35"/>
      <c r="D126" s="35"/>
      <c r="E126" s="35"/>
      <c r="F126" s="47"/>
      <c r="G126" s="40"/>
      <c r="H126" s="40"/>
      <c r="I126" s="40"/>
      <c r="J126" s="40"/>
      <c r="K126" s="40"/>
      <c r="L126" s="40"/>
      <c r="M126" s="47"/>
      <c r="N126" s="47"/>
      <c r="U126" s="48"/>
      <c r="V126" s="47"/>
      <c r="W126" s="47"/>
      <c r="X126" s="35">
        <f>SUM(W127)</f>
        <v>192496.48</v>
      </c>
      <c r="Y126" s="132"/>
    </row>
    <row r="127" spans="1:25" ht="12.75">
      <c r="A127" s="37"/>
      <c r="B127" s="64" t="s">
        <v>538</v>
      </c>
      <c r="C127" s="35">
        <v>0</v>
      </c>
      <c r="D127" s="35">
        <v>0</v>
      </c>
      <c r="E127" s="35">
        <v>0</v>
      </c>
      <c r="F127" s="47">
        <f>SUM(C127:E127)</f>
        <v>0</v>
      </c>
      <c r="G127" s="40">
        <v>0</v>
      </c>
      <c r="H127" s="40">
        <v>1760</v>
      </c>
      <c r="I127" s="40">
        <v>0</v>
      </c>
      <c r="J127" s="40">
        <v>0</v>
      </c>
      <c r="K127" s="40">
        <v>0</v>
      </c>
      <c r="L127" s="40">
        <v>0</v>
      </c>
      <c r="M127" s="47">
        <f>$G$3*G127+$H$3*H127+$I$3*I127+$J$3*J127+$K$3*K127+$L$3*L127</f>
        <v>157784</v>
      </c>
      <c r="N127" s="47">
        <f>M127+F127</f>
        <v>157784</v>
      </c>
      <c r="O127" s="40">
        <v>1</v>
      </c>
      <c r="P127" s="40">
        <v>2</v>
      </c>
      <c r="Q127" s="40">
        <v>8</v>
      </c>
      <c r="R127" s="40">
        <v>2</v>
      </c>
      <c r="S127" s="40">
        <v>2</v>
      </c>
      <c r="T127" s="40">
        <v>8</v>
      </c>
      <c r="U127" s="48">
        <f>((O127*P127)+Q127+(R127*S127)+T127)/100</f>
        <v>0.22</v>
      </c>
      <c r="V127" s="47">
        <f>+(F127+M127)*U127</f>
        <v>34712.48</v>
      </c>
      <c r="W127" s="47">
        <f>+F127+M127+V127</f>
        <v>192496.48</v>
      </c>
      <c r="Y127" s="8"/>
    </row>
    <row r="128" spans="1:25" ht="12.75">
      <c r="A128" s="37" t="s">
        <v>1277</v>
      </c>
      <c r="B128" s="79" t="s">
        <v>1278</v>
      </c>
      <c r="C128" s="35"/>
      <c r="D128" s="35"/>
      <c r="E128" s="35"/>
      <c r="F128" s="47">
        <f>SUM(C128:E128)</f>
        <v>0</v>
      </c>
      <c r="G128" s="40"/>
      <c r="H128" s="40"/>
      <c r="I128" s="40"/>
      <c r="J128" s="40"/>
      <c r="K128" s="40"/>
      <c r="L128" s="40"/>
      <c r="M128" s="47">
        <f>$G$3*G128+$H$3*H128+$I$3*I128+$J$3*J128+$K$3*K128+$L$3*L128</f>
        <v>0</v>
      </c>
      <c r="N128" s="47"/>
      <c r="U128" s="48">
        <f>((O128*P128)+Q128+(R128*S128)+T128)/100</f>
        <v>0</v>
      </c>
      <c r="V128" s="47">
        <f>+(F128+M128)*U128</f>
        <v>0</v>
      </c>
      <c r="W128" s="47">
        <f>+F128+M128+V128</f>
        <v>0</v>
      </c>
      <c r="Y128" s="8"/>
    </row>
    <row r="129" spans="1:26" ht="12.75">
      <c r="A129" s="37"/>
      <c r="B129" s="64" t="s">
        <v>875</v>
      </c>
      <c r="C129" s="35"/>
      <c r="D129" s="35"/>
      <c r="E129" s="35"/>
      <c r="F129" s="47">
        <f>SUM(C129:E129)</f>
        <v>0</v>
      </c>
      <c r="G129" s="40">
        <v>0</v>
      </c>
      <c r="H129" s="40">
        <v>0</v>
      </c>
      <c r="I129" s="40">
        <v>0</v>
      </c>
      <c r="J129" s="40"/>
      <c r="K129" s="40"/>
      <c r="L129" s="40"/>
      <c r="M129" s="47">
        <f>$G$3*G129+$H$3*H129+$I$3*I129+$J$3*J129+$K$3*K129+$L$3*L129</f>
        <v>0</v>
      </c>
      <c r="N129" s="47">
        <f>M129+F129</f>
        <v>0</v>
      </c>
      <c r="O129">
        <v>1</v>
      </c>
      <c r="P129">
        <v>2</v>
      </c>
      <c r="Q129">
        <v>4</v>
      </c>
      <c r="R129">
        <v>1</v>
      </c>
      <c r="S129">
        <v>2</v>
      </c>
      <c r="T129">
        <v>8</v>
      </c>
      <c r="U129" s="48">
        <f>((O129*P129)+Q129+(R129*S129)+T129)/100</f>
        <v>0.16</v>
      </c>
      <c r="V129" s="47">
        <f>+(F129+M129)*U129</f>
        <v>0</v>
      </c>
      <c r="W129" s="47">
        <f>+F129+M129+V129</f>
        <v>0</v>
      </c>
      <c r="Y129" s="8"/>
      <c r="Z129" t="s">
        <v>521</v>
      </c>
    </row>
    <row r="130" spans="1:25" ht="12.75">
      <c r="A130" s="37"/>
      <c r="B130" s="2"/>
      <c r="C130" s="35"/>
      <c r="D130" s="35"/>
      <c r="E130" s="35"/>
      <c r="F130" s="47"/>
      <c r="G130" s="40"/>
      <c r="H130" s="40"/>
      <c r="I130" s="40"/>
      <c r="J130" s="40"/>
      <c r="K130" s="40"/>
      <c r="L130" s="40"/>
      <c r="M130" s="47"/>
      <c r="N130" s="47"/>
      <c r="U130" s="48"/>
      <c r="V130" s="47"/>
      <c r="W130" s="47"/>
      <c r="Y130" s="8"/>
    </row>
    <row r="131" spans="2:25" ht="12.75">
      <c r="B131" s="8" t="s">
        <v>666</v>
      </c>
      <c r="F131" s="49"/>
      <c r="G131" s="50">
        <f aca="true" t="shared" si="40" ref="G131:L131">SUM(G9:G104,G110:G113,G115:G129)</f>
        <v>20666</v>
      </c>
      <c r="H131" s="50">
        <f t="shared" si="40"/>
        <v>6569</v>
      </c>
      <c r="I131" s="50">
        <f t="shared" si="40"/>
        <v>21504</v>
      </c>
      <c r="J131" s="50">
        <f t="shared" si="40"/>
        <v>41964</v>
      </c>
      <c r="K131" s="50">
        <f t="shared" si="40"/>
        <v>4877</v>
      </c>
      <c r="L131" s="50">
        <f t="shared" si="40"/>
        <v>10810</v>
      </c>
      <c r="M131" s="49"/>
      <c r="N131" s="49"/>
      <c r="U131" s="48">
        <f>((O131*P131)+Q131+(R131*S131)+T131)/100</f>
        <v>0</v>
      </c>
      <c r="V131" s="49"/>
      <c r="W131" s="49"/>
      <c r="Y131" s="8"/>
    </row>
    <row r="132" spans="2:25" ht="12.75">
      <c r="B132" s="8" t="s">
        <v>877</v>
      </c>
      <c r="F132" s="49"/>
      <c r="G132" s="51">
        <f aca="true" t="shared" si="41" ref="G132:L132">G131/1755</f>
        <v>11.775498575498576</v>
      </c>
      <c r="H132" s="51">
        <f t="shared" si="41"/>
        <v>3.743019943019943</v>
      </c>
      <c r="I132" s="51">
        <f t="shared" si="41"/>
        <v>12.252991452991454</v>
      </c>
      <c r="J132" s="51">
        <f t="shared" si="41"/>
        <v>23.91111111111111</v>
      </c>
      <c r="K132" s="51">
        <f t="shared" si="41"/>
        <v>2.778917378917379</v>
      </c>
      <c r="L132" s="51">
        <f t="shared" si="41"/>
        <v>6.15954415954416</v>
      </c>
      <c r="M132" s="49"/>
      <c r="N132" s="49"/>
      <c r="U132" s="48"/>
      <c r="V132" s="49"/>
      <c r="W132" s="49"/>
      <c r="Y132" s="8"/>
    </row>
    <row r="133" spans="2:23" ht="12.75">
      <c r="B133" s="8"/>
      <c r="F133" s="49"/>
      <c r="G133" s="40"/>
      <c r="H133" s="40"/>
      <c r="I133" s="40"/>
      <c r="J133" s="40"/>
      <c r="K133" s="40"/>
      <c r="L133" s="40"/>
      <c r="M133" s="49"/>
      <c r="N133" s="49"/>
      <c r="U133" s="48"/>
      <c r="V133" s="49"/>
      <c r="W133" s="49"/>
    </row>
    <row r="134" spans="2:25" ht="12.75">
      <c r="B134" s="8" t="s">
        <v>885</v>
      </c>
      <c r="C134" s="47">
        <f>SUM(C9:C104,C110:C113,C115:C130)</f>
        <v>1479339</v>
      </c>
      <c r="D134" s="47">
        <f>SUM(D9:D104,D110:D113,D115:D130)</f>
        <v>3302332</v>
      </c>
      <c r="E134" s="47">
        <f>SUM(E9:E104,E110:E113,E115:E130)</f>
        <v>3573250</v>
      </c>
      <c r="F134" s="52">
        <f>SUM(F9:F130)</f>
        <v>8314921</v>
      </c>
      <c r="G134" s="47">
        <f aca="true" t="shared" si="42" ref="G134:L134">G131*G3</f>
        <v>1387721.9000000001</v>
      </c>
      <c r="H134" s="47">
        <f t="shared" si="42"/>
        <v>588910.8500000001</v>
      </c>
      <c r="I134" s="47">
        <f t="shared" si="42"/>
        <v>1209600</v>
      </c>
      <c r="J134" s="47">
        <f t="shared" si="42"/>
        <v>2203110</v>
      </c>
      <c r="K134" s="47">
        <f t="shared" si="42"/>
        <v>406010.25</v>
      </c>
      <c r="L134" s="47">
        <f t="shared" si="42"/>
        <v>1074514</v>
      </c>
      <c r="M134" s="52">
        <f>SUM(M9:M130)</f>
        <v>6869867</v>
      </c>
      <c r="N134" s="52">
        <f>SUM(N9:N130)</f>
        <v>15184787.999999996</v>
      </c>
      <c r="O134" s="49"/>
      <c r="P134" s="49"/>
      <c r="Q134" s="49"/>
      <c r="R134" s="49"/>
      <c r="S134" s="49"/>
      <c r="T134" s="49"/>
      <c r="U134" s="53">
        <f>+V134/N134</f>
        <v>0.19547948822202857</v>
      </c>
      <c r="V134" s="52">
        <f>SUM(V9:V130)</f>
        <v>2968314.587</v>
      </c>
      <c r="W134" s="52">
        <f>SUM(W9:W130)</f>
        <v>18153102.587</v>
      </c>
      <c r="X134" s="52">
        <f>SUM(X9:X130)</f>
        <v>18153102.587000005</v>
      </c>
      <c r="Y134" s="52">
        <f>SUM(Y9:Y130)</f>
        <v>18153102.587</v>
      </c>
    </row>
    <row r="135" spans="1:23" ht="12.75">
      <c r="A135" s="37"/>
      <c r="B135" s="8"/>
      <c r="C135" s="47"/>
      <c r="D135" s="47"/>
      <c r="E135" s="47"/>
      <c r="F135" s="47">
        <f>SUM(C135:E135)</f>
        <v>0</v>
      </c>
      <c r="G135" s="50"/>
      <c r="H135" s="50"/>
      <c r="I135" s="50"/>
      <c r="J135" s="50"/>
      <c r="K135" s="50"/>
      <c r="L135" s="50"/>
      <c r="M135" s="47">
        <f>$G$3*G135+$H$3*H135+$I$3*I135+$J$3*J135+$K$3*K135+$L$3*L135</f>
        <v>0</v>
      </c>
      <c r="N135" s="47"/>
      <c r="O135" s="49"/>
      <c r="P135" s="49"/>
      <c r="Q135" s="49"/>
      <c r="R135" s="49"/>
      <c r="S135" s="49"/>
      <c r="T135" s="49"/>
      <c r="U135" s="48"/>
      <c r="V135" s="47">
        <f>+(F135+M135)*U135</f>
        <v>0</v>
      </c>
      <c r="W135" s="47">
        <f>+F135+M135+V135</f>
        <v>0</v>
      </c>
    </row>
    <row r="136" spans="1:27" ht="12.75">
      <c r="A136" s="37"/>
      <c r="B136" s="8" t="s">
        <v>886</v>
      </c>
      <c r="C136" s="54">
        <f>'Labor and Indirect Rates (NSF)'!F73</f>
        <v>0.25725</v>
      </c>
      <c r="D136" s="54">
        <f>'Labor and Indirect Rates (NSF)'!F86</f>
        <v>0.1372500000000001</v>
      </c>
      <c r="E136" s="54">
        <f>'Labor and Indirect Rates (NSF)'!F86</f>
        <v>0.1372500000000001</v>
      </c>
      <c r="F136" s="54"/>
      <c r="G136" s="54">
        <f>'Labor and Indirect Rates (NSF)'!$F$36</f>
        <v>0.4022212700000001</v>
      </c>
      <c r="H136" s="54">
        <f>'Labor and Indirect Rates (NSF)'!$F$36</f>
        <v>0.4022212700000001</v>
      </c>
      <c r="I136" s="54">
        <f>'Labor and Indirect Rates (NSF)'!$F$36</f>
        <v>0.4022212700000001</v>
      </c>
      <c r="J136" s="54">
        <f>'Labor and Indirect Rates (NSF)'!$F$36</f>
        <v>0.4022212700000001</v>
      </c>
      <c r="K136" s="54">
        <f>'Labor and Indirect Rates (NSF)'!$F$59</f>
        <v>0.1200000000000001</v>
      </c>
      <c r="L136" s="54">
        <f>'Labor and Indirect Rates (NSF)'!$F$59</f>
        <v>0.1200000000000001</v>
      </c>
      <c r="M136" s="54"/>
      <c r="N136" s="54"/>
      <c r="O136" s="54"/>
      <c r="P136" s="54"/>
      <c r="Q136" s="54"/>
      <c r="R136" s="54"/>
      <c r="S136" s="54"/>
      <c r="T136" s="54">
        <f>(N138-N134)/N138</f>
        <v>0.19633363322649458</v>
      </c>
      <c r="U136" s="54">
        <f>(V138/V134)-1</f>
        <v>0.2442974365279451</v>
      </c>
      <c r="V136" s="54">
        <f>+(F136+M136)*U136</f>
        <v>0</v>
      </c>
      <c r="W136" s="54">
        <f>+F136+M136+V136</f>
        <v>0</v>
      </c>
      <c r="X136" s="14"/>
      <c r="Y136" s="14"/>
      <c r="Z136" s="14"/>
      <c r="AA136" s="14"/>
    </row>
    <row r="137" spans="1:28" ht="12.75">
      <c r="A137" s="37"/>
      <c r="B137" s="8"/>
      <c r="C137" s="47"/>
      <c r="D137" s="47"/>
      <c r="E137" s="47"/>
      <c r="F137" s="47">
        <f>SUM(C137:E137)</f>
        <v>0</v>
      </c>
      <c r="G137" s="50"/>
      <c r="H137" s="50"/>
      <c r="I137" s="50"/>
      <c r="J137" s="50"/>
      <c r="K137" s="50"/>
      <c r="L137" s="50"/>
      <c r="M137" s="47">
        <f>$G$3*G137+$H$3*H137+$I$3*I137+$J$3*J137+$K$3*K137+$L$3*L137</f>
        <v>0</v>
      </c>
      <c r="N137" s="47"/>
      <c r="O137" s="49"/>
      <c r="P137" s="49"/>
      <c r="Q137" s="49"/>
      <c r="R137" s="49"/>
      <c r="S137" s="49"/>
      <c r="T137" s="49"/>
      <c r="U137" s="48"/>
      <c r="V137" s="47">
        <f>V134*(1+T136)</f>
        <v>3551094.5744249118</v>
      </c>
      <c r="W137" s="47">
        <f>N138+V137</f>
        <v>22445487.357045207</v>
      </c>
      <c r="AB137" s="14"/>
    </row>
    <row r="138" spans="2:23" ht="12.75">
      <c r="B138" s="8" t="s">
        <v>887</v>
      </c>
      <c r="C138" s="55">
        <f>C134*(1+C136)</f>
        <v>1859898.95775</v>
      </c>
      <c r="D138" s="55">
        <f>D134*(1+D136)</f>
        <v>3755577.0670000003</v>
      </c>
      <c r="E138" s="55">
        <f>E134*(1+E136)</f>
        <v>4063678.5625000005</v>
      </c>
      <c r="F138" s="56">
        <f>SUM(C138:E138)</f>
        <v>9679154.58725</v>
      </c>
      <c r="G138" s="55">
        <f aca="true" t="shared" si="43" ref="G138:L138">G134*(1+G136)</f>
        <v>1945893.1650248133</v>
      </c>
      <c r="H138" s="55">
        <f t="shared" si="43"/>
        <v>825783.3200037797</v>
      </c>
      <c r="I138" s="55">
        <f t="shared" si="43"/>
        <v>1696126.848192</v>
      </c>
      <c r="J138" s="55">
        <f t="shared" si="43"/>
        <v>3089247.7021497004</v>
      </c>
      <c r="K138" s="55">
        <f t="shared" si="43"/>
        <v>454731.48000000004</v>
      </c>
      <c r="L138" s="55">
        <f t="shared" si="43"/>
        <v>1203455.6800000002</v>
      </c>
      <c r="M138" s="56">
        <f>SUM(G138:L138)</f>
        <v>9215238.195370294</v>
      </c>
      <c r="N138" s="56">
        <f>M138+F138</f>
        <v>18894392.782620296</v>
      </c>
      <c r="O138" s="49"/>
      <c r="P138" s="49"/>
      <c r="Q138" s="49"/>
      <c r="R138" s="49"/>
      <c r="S138" s="49"/>
      <c r="T138" s="49"/>
      <c r="U138" s="48">
        <f>U134</f>
        <v>0.19547948822202857</v>
      </c>
      <c r="V138" s="56">
        <f>N138*U134</f>
        <v>3693466.231412606</v>
      </c>
      <c r="W138" s="52">
        <f>N138+V138</f>
        <v>22587859.0140329</v>
      </c>
    </row>
    <row r="140" spans="2:26" ht="12.75">
      <c r="B140" t="s">
        <v>386</v>
      </c>
      <c r="Z140" s="35">
        <f>Y134-V134</f>
        <v>15184788.000000002</v>
      </c>
    </row>
    <row r="141" ht="12.75">
      <c r="B141" s="10" t="s">
        <v>387</v>
      </c>
    </row>
    <row r="142" ht="18">
      <c r="B142" s="36"/>
    </row>
    <row r="144" spans="1:12" ht="12.75">
      <c r="A144" s="37"/>
      <c r="B144" s="84"/>
      <c r="G144" s="40"/>
      <c r="H144" s="40"/>
      <c r="I144" s="40"/>
      <c r="J144" s="40"/>
      <c r="K144" s="40"/>
      <c r="L144" s="40"/>
    </row>
    <row r="145" spans="1:2" ht="12.75">
      <c r="A145" s="37"/>
      <c r="B145" s="64"/>
    </row>
    <row r="146" spans="1:27" ht="12.75">
      <c r="A146" s="37"/>
      <c r="B146" s="64"/>
      <c r="C146" s="35"/>
      <c r="D146" s="35"/>
      <c r="E146" s="35"/>
      <c r="F146" s="92"/>
      <c r="G146" s="185"/>
      <c r="H146" s="185"/>
      <c r="I146" s="185"/>
      <c r="J146" s="185"/>
      <c r="K146" s="185"/>
      <c r="L146" s="185"/>
      <c r="M146" s="92"/>
      <c r="N146" s="92"/>
      <c r="O146" s="86"/>
      <c r="P146" s="86"/>
      <c r="Q146" s="86"/>
      <c r="R146" s="86"/>
      <c r="S146" s="86"/>
      <c r="T146" s="86"/>
      <c r="U146" s="94"/>
      <c r="V146" s="92"/>
      <c r="W146" s="92"/>
      <c r="X146" s="86"/>
      <c r="Y146" s="86"/>
      <c r="Z146" s="86"/>
      <c r="AA146" s="86"/>
    </row>
    <row r="147" spans="1:27" ht="12.75">
      <c r="A147" s="37"/>
      <c r="B147" s="64"/>
      <c r="C147" s="35"/>
      <c r="D147" s="35"/>
      <c r="E147" s="35"/>
      <c r="F147" s="92"/>
      <c r="G147" s="185"/>
      <c r="H147" s="185"/>
      <c r="I147" s="185"/>
      <c r="J147" s="185"/>
      <c r="K147" s="185"/>
      <c r="L147" s="185"/>
      <c r="M147" s="92"/>
      <c r="N147" s="92"/>
      <c r="O147" s="86"/>
      <c r="P147" s="86"/>
      <c r="Q147" s="86"/>
      <c r="R147" s="86"/>
      <c r="S147" s="86"/>
      <c r="T147" s="86"/>
      <c r="U147" s="94"/>
      <c r="V147" s="92"/>
      <c r="W147" s="92"/>
      <c r="X147" s="86"/>
      <c r="Y147" s="86"/>
      <c r="Z147" s="86"/>
      <c r="AA147" s="86"/>
    </row>
    <row r="148" spans="1:27" ht="12.75">
      <c r="A148" s="37"/>
      <c r="B148" s="64"/>
      <c r="C148" s="35"/>
      <c r="D148" s="35"/>
      <c r="E148" s="35"/>
      <c r="F148" s="92"/>
      <c r="G148" s="185"/>
      <c r="H148" s="185"/>
      <c r="I148" s="185"/>
      <c r="J148" s="185"/>
      <c r="K148" s="185"/>
      <c r="L148" s="185"/>
      <c r="M148" s="92"/>
      <c r="N148" s="92"/>
      <c r="O148" s="86"/>
      <c r="P148" s="86"/>
      <c r="Q148" s="86"/>
      <c r="R148" s="86"/>
      <c r="S148" s="86"/>
      <c r="T148" s="86"/>
      <c r="U148" s="94"/>
      <c r="V148" s="92"/>
      <c r="W148" s="92"/>
      <c r="X148" s="86"/>
      <c r="Y148" s="86"/>
      <c r="Z148" s="86"/>
      <c r="AA148" s="86"/>
    </row>
    <row r="149" spans="1:27" ht="12.75">
      <c r="A149" s="37"/>
      <c r="B149" s="64"/>
      <c r="C149" s="35"/>
      <c r="D149" s="35"/>
      <c r="E149" s="35"/>
      <c r="F149" s="92"/>
      <c r="G149" s="185"/>
      <c r="H149" s="185"/>
      <c r="I149" s="185"/>
      <c r="J149" s="185"/>
      <c r="K149" s="185"/>
      <c r="L149" s="185"/>
      <c r="M149" s="92"/>
      <c r="N149" s="92"/>
      <c r="O149" s="86"/>
      <c r="P149" s="86"/>
      <c r="Q149" s="86"/>
      <c r="R149" s="86"/>
      <c r="S149" s="86"/>
      <c r="T149" s="86"/>
      <c r="U149" s="94"/>
      <c r="V149" s="92"/>
      <c r="W149" s="92"/>
      <c r="X149" s="86"/>
      <c r="Y149" s="86"/>
      <c r="Z149" s="86"/>
      <c r="AA149" s="86"/>
    </row>
    <row r="150" spans="1:27" ht="12.75">
      <c r="A150" s="37"/>
      <c r="B150" s="64"/>
      <c r="C150" s="35"/>
      <c r="D150" s="35"/>
      <c r="E150" s="35"/>
      <c r="F150" s="92"/>
      <c r="G150" s="185"/>
      <c r="H150" s="185"/>
      <c r="I150" s="185"/>
      <c r="J150" s="185"/>
      <c r="K150" s="185"/>
      <c r="L150" s="185"/>
      <c r="M150" s="92"/>
      <c r="N150" s="92"/>
      <c r="O150" s="86"/>
      <c r="P150" s="86"/>
      <c r="Q150" s="86"/>
      <c r="R150" s="86"/>
      <c r="S150" s="86"/>
      <c r="T150" s="86"/>
      <c r="U150" s="94"/>
      <c r="V150" s="92"/>
      <c r="W150" s="92"/>
      <c r="X150" s="86"/>
      <c r="Y150" s="86"/>
      <c r="Z150" s="86"/>
      <c r="AA150" s="86"/>
    </row>
    <row r="151" spans="1:27" ht="12.75">
      <c r="A151" s="37"/>
      <c r="B151" s="64"/>
      <c r="C151" s="35"/>
      <c r="D151" s="35"/>
      <c r="E151" s="35"/>
      <c r="F151" s="92"/>
      <c r="G151" s="185"/>
      <c r="H151" s="185"/>
      <c r="I151" s="185"/>
      <c r="J151" s="185"/>
      <c r="K151" s="185"/>
      <c r="L151" s="185"/>
      <c r="M151" s="92"/>
      <c r="N151" s="92"/>
      <c r="O151" s="86"/>
      <c r="P151" s="86"/>
      <c r="Q151" s="86"/>
      <c r="R151" s="86"/>
      <c r="S151" s="86"/>
      <c r="T151" s="86"/>
      <c r="U151" s="86"/>
      <c r="V151" s="86"/>
      <c r="W151" s="86"/>
      <c r="X151" s="86"/>
      <c r="Y151" s="86"/>
      <c r="Z151" s="86"/>
      <c r="AA151" s="86"/>
    </row>
    <row r="152" spans="1:27" ht="12.75">
      <c r="A152" s="37"/>
      <c r="B152" s="64"/>
      <c r="C152" s="35"/>
      <c r="D152" s="35"/>
      <c r="E152" s="35"/>
      <c r="F152" s="92"/>
      <c r="G152" s="92"/>
      <c r="H152" s="92"/>
      <c r="I152" s="92"/>
      <c r="J152" s="92"/>
      <c r="K152" s="92"/>
      <c r="L152" s="92"/>
      <c r="M152" s="92"/>
      <c r="N152" s="92"/>
      <c r="O152" s="86"/>
      <c r="P152" s="86"/>
      <c r="Q152" s="86"/>
      <c r="R152" s="86"/>
      <c r="S152" s="86"/>
      <c r="T152" s="86"/>
      <c r="U152" s="86"/>
      <c r="V152" s="86"/>
      <c r="W152" s="86"/>
      <c r="X152" s="86"/>
      <c r="Y152" s="86"/>
      <c r="Z152" s="86"/>
      <c r="AA152" s="86"/>
    </row>
    <row r="153" spans="1:27" ht="12.75">
      <c r="A153" s="37"/>
      <c r="B153" s="64"/>
      <c r="C153" s="35"/>
      <c r="D153" s="35"/>
      <c r="E153" s="35"/>
      <c r="F153" s="92"/>
      <c r="G153" s="92"/>
      <c r="H153" s="92"/>
      <c r="I153" s="92"/>
      <c r="J153" s="92"/>
      <c r="K153" s="92"/>
      <c r="L153" s="92"/>
      <c r="M153" s="92"/>
      <c r="N153" s="92"/>
      <c r="O153" s="86"/>
      <c r="P153" s="86"/>
      <c r="Q153" s="86"/>
      <c r="R153" s="86"/>
      <c r="S153" s="86"/>
      <c r="T153" s="86"/>
      <c r="U153" s="86"/>
      <c r="V153" s="86"/>
      <c r="W153" s="86"/>
      <c r="X153" s="86"/>
      <c r="Y153" s="86"/>
      <c r="Z153" s="86"/>
      <c r="AA153" s="86"/>
    </row>
    <row r="154" spans="1:27" ht="12.75">
      <c r="A154" s="37"/>
      <c r="B154" s="64"/>
      <c r="C154" s="35"/>
      <c r="D154" s="35"/>
      <c r="E154" s="35"/>
      <c r="F154" s="92"/>
      <c r="G154" s="92"/>
      <c r="H154" s="92"/>
      <c r="I154" s="92"/>
      <c r="J154" s="92"/>
      <c r="K154" s="92"/>
      <c r="L154" s="92"/>
      <c r="M154" s="92"/>
      <c r="N154" s="92"/>
      <c r="O154" s="86"/>
      <c r="P154" s="86"/>
      <c r="Q154" s="86"/>
      <c r="R154" s="86"/>
      <c r="S154" s="86"/>
      <c r="T154" s="86"/>
      <c r="U154" s="86"/>
      <c r="V154" s="86"/>
      <c r="W154" s="86"/>
      <c r="X154" s="86"/>
      <c r="Y154" s="86"/>
      <c r="Z154" s="86"/>
      <c r="AA154" s="86"/>
    </row>
    <row r="155" spans="1:27" ht="12.75">
      <c r="A155" s="37"/>
      <c r="B155" s="64"/>
      <c r="C155" s="35"/>
      <c r="D155" s="35"/>
      <c r="E155" s="35"/>
      <c r="F155" s="92"/>
      <c r="G155" s="92"/>
      <c r="H155" s="92"/>
      <c r="I155" s="92"/>
      <c r="J155" s="92"/>
      <c r="K155" s="92"/>
      <c r="L155" s="92"/>
      <c r="M155" s="92"/>
      <c r="N155" s="92"/>
      <c r="O155" s="93"/>
      <c r="P155" s="93"/>
      <c r="Q155" s="93"/>
      <c r="R155" s="92"/>
      <c r="S155" s="92"/>
      <c r="T155" s="86"/>
      <c r="U155" s="86"/>
      <c r="V155" s="86"/>
      <c r="W155" s="86"/>
      <c r="X155" s="86"/>
      <c r="Y155" s="86"/>
      <c r="Z155" s="86"/>
      <c r="AA155" s="94"/>
    </row>
    <row r="156" spans="6:29" ht="12.75">
      <c r="F156" s="86"/>
      <c r="G156" s="86"/>
      <c r="H156" s="86"/>
      <c r="I156" s="86"/>
      <c r="J156" s="86"/>
      <c r="K156" s="86"/>
      <c r="L156" s="86"/>
      <c r="M156" s="86"/>
      <c r="N156" s="86"/>
      <c r="O156" s="86"/>
      <c r="P156" s="86"/>
      <c r="Q156" s="86"/>
      <c r="R156" s="86"/>
      <c r="S156" s="86"/>
      <c r="T156" s="86"/>
      <c r="U156" s="86"/>
      <c r="V156" s="86"/>
      <c r="W156" s="86"/>
      <c r="X156" s="86"/>
      <c r="Y156" s="86"/>
      <c r="Z156" s="86"/>
      <c r="AA156" s="86"/>
      <c r="AB156" s="92"/>
      <c r="AC156" s="92"/>
    </row>
    <row r="183" spans="2:23" ht="12.75">
      <c r="B183" s="8"/>
      <c r="F183" s="35">
        <f>SUM(C183:E183)</f>
        <v>0</v>
      </c>
      <c r="M183" s="35">
        <f>$G$3*G183+$H$3*H183+$I$3*I183+$J$3*J183+$K$3*K183+$L$3*L183</f>
        <v>0</v>
      </c>
      <c r="N183" s="35"/>
      <c r="U183" s="19">
        <f>((O183*P183)+Q183+(R183*S183)+T183)/100</f>
        <v>0</v>
      </c>
      <c r="V183" s="35">
        <f>+(F183+M183)*U183</f>
        <v>0</v>
      </c>
      <c r="W183" s="35">
        <f>+F183+M183+V183</f>
        <v>0</v>
      </c>
    </row>
    <row r="184" spans="2:23" ht="12.75">
      <c r="B184" s="8"/>
      <c r="F184" s="35">
        <f>SUM(C184:E184)</f>
        <v>0</v>
      </c>
      <c r="M184" s="35">
        <f>$G$3*G184+$H$3*H184+$I$3*I184+$J$3*J184+$K$3*K184+$L$3*L184</f>
        <v>0</v>
      </c>
      <c r="N184" s="35"/>
      <c r="U184" s="19">
        <f>((O184*P184)+Q184+(R184*S184)+T184)/100</f>
        <v>0</v>
      </c>
      <c r="V184" s="35">
        <f>+(F184+M184)*U184</f>
        <v>0</v>
      </c>
      <c r="W184" s="35">
        <f>+F184+M184+V184</f>
        <v>0</v>
      </c>
    </row>
    <row r="185" spans="2:23" ht="12.75">
      <c r="B185" s="8"/>
      <c r="F185" s="35">
        <f>SUM(C185:E185)</f>
        <v>0</v>
      </c>
      <c r="M185" s="35">
        <f>$G$3*G185+$H$3*H185+$I$3*I185+$J$3*J185+$K$3*K185+$L$3*L185</f>
        <v>0</v>
      </c>
      <c r="N185" s="35"/>
      <c r="U185" s="19">
        <f>((O185*P185)+Q185+(R185*S185)+T185)/100</f>
        <v>0</v>
      </c>
      <c r="V185" s="35">
        <f>+(F185+M185)*U185</f>
        <v>0</v>
      </c>
      <c r="W185" s="35">
        <f>+F185+M185+V185</f>
        <v>0</v>
      </c>
    </row>
    <row r="188" spans="2:23" ht="12.75">
      <c r="B188" s="8"/>
      <c r="F188" s="35">
        <f aca="true" t="shared" si="44" ref="F188:F199">SUM(C188:E188)</f>
        <v>0</v>
      </c>
      <c r="M188" s="35">
        <f aca="true" t="shared" si="45" ref="M188:M199">$G$3*G188+$H$3*H188+$I$3*I188+$J$3*J188+$K$3*K188+$L$3*L188</f>
        <v>0</v>
      </c>
      <c r="N188" s="35"/>
      <c r="U188" s="19">
        <f aca="true" t="shared" si="46" ref="U188:U200">((O188*P188)+Q188+(R188*S188)+T188)/100</f>
        <v>0</v>
      </c>
      <c r="V188" s="35">
        <f aca="true" t="shared" si="47" ref="V188:V199">+(F188+M188)*U188</f>
        <v>0</v>
      </c>
      <c r="W188" s="35">
        <f aca="true" t="shared" si="48" ref="W188:W199">+F188+M188+V188</f>
        <v>0</v>
      </c>
    </row>
    <row r="189" spans="2:23" ht="12.75">
      <c r="B189" s="8"/>
      <c r="F189" s="35">
        <f t="shared" si="44"/>
        <v>0</v>
      </c>
      <c r="M189" s="35">
        <f t="shared" si="45"/>
        <v>0</v>
      </c>
      <c r="N189" s="35"/>
      <c r="U189" s="19">
        <f t="shared" si="46"/>
        <v>0</v>
      </c>
      <c r="V189" s="35">
        <f t="shared" si="47"/>
        <v>0</v>
      </c>
      <c r="W189" s="35">
        <f t="shared" si="48"/>
        <v>0</v>
      </c>
    </row>
    <row r="190" spans="2:23" ht="12.75">
      <c r="B190" s="8"/>
      <c r="F190" s="35">
        <f t="shared" si="44"/>
        <v>0</v>
      </c>
      <c r="M190" s="35">
        <f t="shared" si="45"/>
        <v>0</v>
      </c>
      <c r="N190" s="35"/>
      <c r="U190" s="19">
        <f t="shared" si="46"/>
        <v>0</v>
      </c>
      <c r="V190" s="35">
        <f t="shared" si="47"/>
        <v>0</v>
      </c>
      <c r="W190" s="35">
        <f t="shared" si="48"/>
        <v>0</v>
      </c>
    </row>
    <row r="191" spans="2:23" ht="12.75">
      <c r="B191" s="8"/>
      <c r="F191" s="35">
        <f t="shared" si="44"/>
        <v>0</v>
      </c>
      <c r="M191" s="35">
        <f t="shared" si="45"/>
        <v>0</v>
      </c>
      <c r="N191" s="35"/>
      <c r="U191" s="19">
        <f t="shared" si="46"/>
        <v>0</v>
      </c>
      <c r="V191" s="35">
        <f t="shared" si="47"/>
        <v>0</v>
      </c>
      <c r="W191" s="35">
        <f t="shared" si="48"/>
        <v>0</v>
      </c>
    </row>
    <row r="192" spans="2:23" ht="12.75">
      <c r="B192" s="8"/>
      <c r="F192" s="35">
        <f t="shared" si="44"/>
        <v>0</v>
      </c>
      <c r="M192" s="35">
        <f t="shared" si="45"/>
        <v>0</v>
      </c>
      <c r="N192" s="35"/>
      <c r="U192" s="19">
        <f t="shared" si="46"/>
        <v>0</v>
      </c>
      <c r="V192" s="35">
        <f t="shared" si="47"/>
        <v>0</v>
      </c>
      <c r="W192" s="35">
        <f t="shared" si="48"/>
        <v>0</v>
      </c>
    </row>
    <row r="193" spans="2:23" ht="12.75">
      <c r="B193" s="8"/>
      <c r="F193" s="35">
        <f t="shared" si="44"/>
        <v>0</v>
      </c>
      <c r="M193" s="35">
        <f t="shared" si="45"/>
        <v>0</v>
      </c>
      <c r="N193" s="35"/>
      <c r="U193" s="19">
        <f t="shared" si="46"/>
        <v>0</v>
      </c>
      <c r="V193" s="35">
        <f t="shared" si="47"/>
        <v>0</v>
      </c>
      <c r="W193" s="35">
        <f t="shared" si="48"/>
        <v>0</v>
      </c>
    </row>
    <row r="194" spans="2:23" ht="12.75">
      <c r="B194" s="8"/>
      <c r="F194" s="35">
        <f t="shared" si="44"/>
        <v>0</v>
      </c>
      <c r="M194" s="35">
        <f t="shared" si="45"/>
        <v>0</v>
      </c>
      <c r="N194" s="35"/>
      <c r="U194" s="19">
        <f t="shared" si="46"/>
        <v>0</v>
      </c>
      <c r="V194" s="35">
        <f t="shared" si="47"/>
        <v>0</v>
      </c>
      <c r="W194" s="35">
        <f t="shared" si="48"/>
        <v>0</v>
      </c>
    </row>
    <row r="195" spans="2:23" ht="12.75">
      <c r="B195" s="8"/>
      <c r="F195" s="35">
        <f t="shared" si="44"/>
        <v>0</v>
      </c>
      <c r="M195" s="35">
        <f t="shared" si="45"/>
        <v>0</v>
      </c>
      <c r="N195" s="35"/>
      <c r="U195" s="19">
        <f t="shared" si="46"/>
        <v>0</v>
      </c>
      <c r="V195" s="35">
        <f t="shared" si="47"/>
        <v>0</v>
      </c>
      <c r="W195" s="35">
        <f t="shared" si="48"/>
        <v>0</v>
      </c>
    </row>
    <row r="196" spans="2:23" ht="12.75">
      <c r="B196" s="8"/>
      <c r="F196" s="35">
        <f t="shared" si="44"/>
        <v>0</v>
      </c>
      <c r="M196" s="35">
        <f t="shared" si="45"/>
        <v>0</v>
      </c>
      <c r="N196" s="35"/>
      <c r="U196" s="19">
        <f t="shared" si="46"/>
        <v>0</v>
      </c>
      <c r="V196" s="35">
        <f t="shared" si="47"/>
        <v>0</v>
      </c>
      <c r="W196" s="35">
        <f t="shared" si="48"/>
        <v>0</v>
      </c>
    </row>
    <row r="197" spans="2:23" ht="12.75">
      <c r="B197" s="8"/>
      <c r="F197" s="35">
        <f t="shared" si="44"/>
        <v>0</v>
      </c>
      <c r="M197" s="35">
        <f t="shared" si="45"/>
        <v>0</v>
      </c>
      <c r="N197" s="35"/>
      <c r="U197" s="19">
        <f t="shared" si="46"/>
        <v>0</v>
      </c>
      <c r="V197" s="35">
        <f t="shared" si="47"/>
        <v>0</v>
      </c>
      <c r="W197" s="35">
        <f t="shared" si="48"/>
        <v>0</v>
      </c>
    </row>
    <row r="198" spans="2:23" ht="12.75">
      <c r="B198" s="8"/>
      <c r="F198" s="35">
        <f t="shared" si="44"/>
        <v>0</v>
      </c>
      <c r="M198" s="35">
        <f t="shared" si="45"/>
        <v>0</v>
      </c>
      <c r="N198" s="35"/>
      <c r="U198" s="19">
        <f t="shared" si="46"/>
        <v>0</v>
      </c>
      <c r="V198" s="35">
        <f t="shared" si="47"/>
        <v>0</v>
      </c>
      <c r="W198" s="35">
        <f t="shared" si="48"/>
        <v>0</v>
      </c>
    </row>
    <row r="199" spans="2:23" ht="12.75">
      <c r="B199" s="8"/>
      <c r="F199" s="35">
        <f t="shared" si="44"/>
        <v>0</v>
      </c>
      <c r="M199" s="35">
        <f t="shared" si="45"/>
        <v>0</v>
      </c>
      <c r="N199" s="35"/>
      <c r="U199" s="19">
        <f t="shared" si="46"/>
        <v>0</v>
      </c>
      <c r="V199" s="35">
        <f t="shared" si="47"/>
        <v>0</v>
      </c>
      <c r="W199" s="35">
        <f t="shared" si="48"/>
        <v>0</v>
      </c>
    </row>
    <row r="200" spans="2:21" ht="12.75">
      <c r="B200" s="8"/>
      <c r="U200" s="19">
        <f t="shared" si="46"/>
        <v>0</v>
      </c>
    </row>
  </sheetData>
  <mergeCells count="4">
    <mergeCell ref="G5:L5"/>
    <mergeCell ref="C5:E5"/>
    <mergeCell ref="O5:T5"/>
    <mergeCell ref="G2:L2"/>
  </mergeCells>
  <conditionalFormatting sqref="AB156:AC156 U188:U200 M188:N199 V188:W199 F188:F199 M183:N185 U183:W185 M135:N137 F135:F137 F183:F185 U135:W137 F146:F150 M146:N150 U146:W150 K155 R155:S155 V26:W130 U8:W25 M8:N130 U26:U134 F8:F130 AA155">
    <cfRule type="cellIs" priority="1" dxfId="0" operator="equal" stopIfTrue="1">
      <formula>0</formula>
    </cfRule>
  </conditionalFormatting>
  <printOptions gridLines="1"/>
  <pageMargins left="0.23" right="0.19" top="0.17" bottom="0.51" header="0.36" footer="0.17"/>
  <pageSetup fitToHeight="3" fitToWidth="1" horizontalDpi="600" verticalDpi="600" orientation="landscape" paperSize="17" scale="61" r:id="rId1"/>
</worksheet>
</file>

<file path=xl/worksheets/sheet3.xml><?xml version="1.0" encoding="utf-8"?>
<worksheet xmlns="http://schemas.openxmlformats.org/spreadsheetml/2006/main" xmlns:r="http://schemas.openxmlformats.org/officeDocument/2006/relationships">
  <sheetPr>
    <pageSetUpPr fitToPage="1"/>
  </sheetPr>
  <dimension ref="A1:AA1068"/>
  <sheetViews>
    <sheetView zoomScale="75" zoomScaleNormal="75" workbookViewId="0" topLeftCell="A1">
      <pane xSplit="2" ySplit="7" topLeftCell="C23" activePane="bottomRight" state="frozen"/>
      <selection pane="topLeft" activeCell="A1" sqref="A1"/>
      <selection pane="topRight" activeCell="C1" sqref="C1"/>
      <selection pane="bottomLeft" activeCell="A8" sqref="A8"/>
      <selection pane="bottomRight" activeCell="D14" sqref="D14"/>
    </sheetView>
  </sheetViews>
  <sheetFormatPr defaultColWidth="9.140625" defaultRowHeight="12.75"/>
  <cols>
    <col min="2" max="2" width="38.8515625" style="0" customWidth="1"/>
    <col min="3" max="3" width="6.7109375" style="0" customWidth="1"/>
    <col min="4" max="4" width="117.8515625" style="0" customWidth="1"/>
    <col min="5" max="5" width="11.140625" style="0" customWidth="1"/>
    <col min="6" max="6" width="11.57421875" style="0" customWidth="1"/>
    <col min="7" max="7" width="11.140625" style="0" bestFit="1" customWidth="1"/>
    <col min="8" max="8" width="11.00390625" style="0" customWidth="1"/>
    <col min="9" max="10" width="11.28125" style="0" customWidth="1"/>
    <col min="11" max="12" width="10.00390625" style="0" customWidth="1"/>
    <col min="13" max="14" width="11.7109375" style="0" customWidth="1"/>
    <col min="15" max="15" width="5.28125" style="0" customWidth="1"/>
    <col min="16" max="16" width="4.00390625" style="0" customWidth="1"/>
    <col min="17" max="17" width="6.8515625" style="0" customWidth="1"/>
    <col min="18" max="18" width="5.140625" style="0" customWidth="1"/>
    <col min="19" max="19" width="3.8515625" style="0" customWidth="1"/>
    <col min="20" max="20" width="7.8515625" style="0" customWidth="1"/>
    <col min="21" max="21" width="10.00390625" style="0" customWidth="1"/>
    <col min="22" max="22" width="11.00390625" style="0" customWidth="1"/>
    <col min="23" max="23" width="18.28125" style="0" customWidth="1"/>
    <col min="24" max="24" width="12.8515625" style="0" customWidth="1"/>
    <col min="25" max="25" width="58.57421875" style="0" customWidth="1"/>
  </cols>
  <sheetData>
    <row r="1" ht="18">
      <c r="A1" s="36" t="s">
        <v>618</v>
      </c>
    </row>
    <row r="2" spans="2:12" ht="12.75">
      <c r="B2" t="s">
        <v>1279</v>
      </c>
      <c r="G2" s="339"/>
      <c r="H2" s="339"/>
      <c r="I2" s="339"/>
      <c r="J2" s="339"/>
      <c r="K2" s="339"/>
      <c r="L2" s="339"/>
    </row>
    <row r="3" spans="6:26" ht="12.75">
      <c r="F3" s="86"/>
      <c r="G3" s="87"/>
      <c r="H3" s="87"/>
      <c r="I3" s="87"/>
      <c r="J3" s="87"/>
      <c r="K3" s="87"/>
      <c r="L3" s="87"/>
      <c r="M3" s="86"/>
      <c r="N3" s="86"/>
      <c r="O3" s="86"/>
      <c r="P3" s="86"/>
      <c r="Q3" s="86"/>
      <c r="R3" s="86"/>
      <c r="S3" s="86"/>
      <c r="T3" s="86"/>
      <c r="U3" s="86"/>
      <c r="V3" s="86"/>
      <c r="W3" s="86"/>
      <c r="X3" s="86"/>
      <c r="Y3" s="86"/>
      <c r="Z3" s="86"/>
    </row>
    <row r="4" spans="1:26" ht="12.75">
      <c r="A4" s="42"/>
      <c r="B4" s="42"/>
      <c r="C4" s="42"/>
      <c r="D4" s="42"/>
      <c r="E4" s="42"/>
      <c r="F4" s="59"/>
      <c r="G4" s="59"/>
      <c r="H4" s="59"/>
      <c r="I4" s="88"/>
      <c r="J4" s="88"/>
      <c r="K4" s="88"/>
      <c r="L4" s="88"/>
      <c r="M4" s="89"/>
      <c r="N4" s="89"/>
      <c r="O4" s="59"/>
      <c r="P4" s="59"/>
      <c r="Q4" s="59"/>
      <c r="R4" s="59"/>
      <c r="S4" s="59"/>
      <c r="T4" s="59"/>
      <c r="U4" s="59"/>
      <c r="V4" s="59"/>
      <c r="W4" s="88"/>
      <c r="X4" s="86"/>
      <c r="Y4" s="86"/>
      <c r="Z4" s="86"/>
    </row>
    <row r="5" spans="1:26" ht="12.75">
      <c r="A5" s="44" t="s">
        <v>816</v>
      </c>
      <c r="B5" s="42" t="s">
        <v>1305</v>
      </c>
      <c r="C5" s="338"/>
      <c r="D5" s="338"/>
      <c r="E5" s="338"/>
      <c r="F5" s="89"/>
      <c r="G5" s="345"/>
      <c r="H5" s="345"/>
      <c r="I5" s="345"/>
      <c r="J5" s="345"/>
      <c r="K5" s="345"/>
      <c r="L5" s="345"/>
      <c r="M5" s="89"/>
      <c r="N5" s="89"/>
      <c r="O5" s="345"/>
      <c r="P5" s="345"/>
      <c r="Q5" s="345"/>
      <c r="R5" s="345"/>
      <c r="S5" s="345"/>
      <c r="T5" s="345"/>
      <c r="U5" s="59"/>
      <c r="V5" s="59"/>
      <c r="W5" s="89"/>
      <c r="X5" s="86"/>
      <c r="Y5" s="86"/>
      <c r="Z5" s="86"/>
    </row>
    <row r="6" spans="1:26" ht="12.75">
      <c r="A6" s="44" t="s">
        <v>818</v>
      </c>
      <c r="B6" s="42" t="s">
        <v>819</v>
      </c>
      <c r="C6" s="44"/>
      <c r="D6" s="44" t="s">
        <v>1306</v>
      </c>
      <c r="E6" s="44"/>
      <c r="F6" s="89"/>
      <c r="G6" s="59"/>
      <c r="H6" s="59"/>
      <c r="I6" s="88"/>
      <c r="J6" s="88"/>
      <c r="K6" s="88"/>
      <c r="L6" s="88"/>
      <c r="M6" s="89"/>
      <c r="N6" s="89"/>
      <c r="O6" s="59"/>
      <c r="P6" s="59"/>
      <c r="Q6" s="59"/>
      <c r="R6" s="59"/>
      <c r="S6" s="59"/>
      <c r="T6" s="59"/>
      <c r="U6" s="59"/>
      <c r="V6" s="89"/>
      <c r="W6" s="90"/>
      <c r="X6" s="86"/>
      <c r="Y6" s="89"/>
      <c r="Z6" s="86"/>
    </row>
    <row r="7" spans="1:26" ht="12.75">
      <c r="A7" s="37"/>
      <c r="B7" s="38"/>
      <c r="C7" s="39"/>
      <c r="D7" s="39"/>
      <c r="E7" s="39"/>
      <c r="F7" s="91"/>
      <c r="G7" s="91"/>
      <c r="H7" s="91"/>
      <c r="I7" s="91"/>
      <c r="J7" s="91"/>
      <c r="K7" s="91"/>
      <c r="L7" s="91"/>
      <c r="M7" s="91"/>
      <c r="N7" s="91"/>
      <c r="O7" s="91"/>
      <c r="P7" s="91"/>
      <c r="Q7" s="91"/>
      <c r="R7" s="91"/>
      <c r="S7" s="91"/>
      <c r="T7" s="91"/>
      <c r="U7" s="91"/>
      <c r="V7" s="91"/>
      <c r="W7" s="91"/>
      <c r="X7" s="86"/>
      <c r="Y7" s="86"/>
      <c r="Z7" s="86"/>
    </row>
    <row r="8" spans="1:26" ht="12.75">
      <c r="A8" s="37" t="s">
        <v>1060</v>
      </c>
      <c r="B8" s="8" t="s">
        <v>1241</v>
      </c>
      <c r="C8" s="35"/>
      <c r="D8" s="35" t="s">
        <v>1307</v>
      </c>
      <c r="E8" s="35"/>
      <c r="F8" s="92"/>
      <c r="G8" s="93"/>
      <c r="H8" s="93"/>
      <c r="I8" s="93"/>
      <c r="J8" s="93"/>
      <c r="K8" s="93"/>
      <c r="L8" s="93"/>
      <c r="M8" s="92"/>
      <c r="N8" s="92"/>
      <c r="O8" s="86"/>
      <c r="P8" s="86"/>
      <c r="Q8" s="86"/>
      <c r="R8" s="86"/>
      <c r="S8" s="86"/>
      <c r="T8" s="86"/>
      <c r="U8" s="94"/>
      <c r="V8" s="92"/>
      <c r="W8" s="92"/>
      <c r="X8" s="86"/>
      <c r="Y8" s="86"/>
      <c r="Z8" s="86"/>
    </row>
    <row r="9" spans="1:26" ht="12.75">
      <c r="A9" s="37" t="s">
        <v>1185</v>
      </c>
      <c r="B9" s="77" t="s">
        <v>888</v>
      </c>
      <c r="C9" s="35"/>
      <c r="D9" s="35"/>
      <c r="E9" s="35"/>
      <c r="F9" s="92"/>
      <c r="G9" s="93"/>
      <c r="H9" s="93"/>
      <c r="I9" s="93"/>
      <c r="J9" s="93"/>
      <c r="K9" s="93"/>
      <c r="L9" s="93"/>
      <c r="M9" s="92"/>
      <c r="N9" s="92"/>
      <c r="O9" s="86"/>
      <c r="P9" s="86"/>
      <c r="Q9" s="86"/>
      <c r="R9" s="86"/>
      <c r="S9" s="86"/>
      <c r="T9" s="86"/>
      <c r="U9" s="94"/>
      <c r="V9" s="92"/>
      <c r="W9" s="92"/>
      <c r="X9" s="86"/>
      <c r="Y9" s="86"/>
      <c r="Z9" s="86"/>
    </row>
    <row r="10" spans="1:26" ht="12.75">
      <c r="A10" s="37" t="s">
        <v>1186</v>
      </c>
      <c r="B10" s="78" t="s">
        <v>1242</v>
      </c>
      <c r="C10" s="35"/>
      <c r="D10" s="35"/>
      <c r="E10" s="35"/>
      <c r="F10" s="92"/>
      <c r="G10" s="93"/>
      <c r="H10" s="93"/>
      <c r="I10" s="93"/>
      <c r="J10" s="93"/>
      <c r="K10" s="93"/>
      <c r="L10" s="93"/>
      <c r="M10" s="92"/>
      <c r="N10" s="92"/>
      <c r="O10" s="86"/>
      <c r="P10" s="86"/>
      <c r="Q10" s="86"/>
      <c r="R10" s="86"/>
      <c r="S10" s="86"/>
      <c r="T10" s="86"/>
      <c r="U10" s="94"/>
      <c r="V10" s="92"/>
      <c r="W10" s="92"/>
      <c r="X10" s="86"/>
      <c r="Y10" s="86"/>
      <c r="Z10" s="86"/>
    </row>
    <row r="11" spans="1:26" ht="12.75">
      <c r="A11" s="37"/>
      <c r="B11" s="8"/>
      <c r="C11" s="35"/>
      <c r="D11" s="35"/>
      <c r="E11" s="35"/>
      <c r="F11" s="92"/>
      <c r="G11" s="93"/>
      <c r="H11" s="93"/>
      <c r="I11" s="93"/>
      <c r="J11" s="93"/>
      <c r="K11" s="93"/>
      <c r="L11" s="93"/>
      <c r="M11" s="92"/>
      <c r="N11" s="92"/>
      <c r="O11" s="86"/>
      <c r="P11" s="86"/>
      <c r="Q11" s="86"/>
      <c r="R11" s="86"/>
      <c r="S11" s="86"/>
      <c r="T11" s="86"/>
      <c r="U11" s="94"/>
      <c r="V11" s="92"/>
      <c r="W11" s="92"/>
      <c r="X11" s="86"/>
      <c r="Y11" s="86"/>
      <c r="Z11" s="86"/>
    </row>
    <row r="12" spans="1:26" ht="12.75">
      <c r="A12" s="37" t="s">
        <v>1188</v>
      </c>
      <c r="B12" s="79" t="s">
        <v>646</v>
      </c>
      <c r="C12" s="35"/>
      <c r="D12" s="35" t="s">
        <v>1308</v>
      </c>
      <c r="E12" s="35"/>
      <c r="F12" s="92"/>
      <c r="G12" s="93"/>
      <c r="H12" s="93"/>
      <c r="I12" s="93"/>
      <c r="J12" s="93"/>
      <c r="K12" s="93"/>
      <c r="L12" s="93"/>
      <c r="M12" s="92"/>
      <c r="N12" s="92"/>
      <c r="O12" s="86"/>
      <c r="P12" s="86"/>
      <c r="Q12" s="86"/>
      <c r="R12" s="86"/>
      <c r="S12" s="86"/>
      <c r="T12" s="86"/>
      <c r="U12" s="94"/>
      <c r="V12" s="92"/>
      <c r="W12" s="92"/>
      <c r="X12" s="86"/>
      <c r="Y12" s="86"/>
      <c r="Z12" s="86"/>
    </row>
    <row r="13" spans="1:26" ht="12.75">
      <c r="A13" s="37" t="s">
        <v>1243</v>
      </c>
      <c r="B13" s="8" t="s">
        <v>840</v>
      </c>
      <c r="C13" s="35"/>
      <c r="D13" s="35" t="s">
        <v>1497</v>
      </c>
      <c r="E13" s="35"/>
      <c r="F13" s="92"/>
      <c r="G13" s="93"/>
      <c r="H13" s="93"/>
      <c r="I13" s="93"/>
      <c r="J13" s="93"/>
      <c r="K13" s="93"/>
      <c r="L13" s="93"/>
      <c r="M13" s="92"/>
      <c r="N13" s="92"/>
      <c r="O13" s="86"/>
      <c r="P13" s="86"/>
      <c r="Q13" s="86"/>
      <c r="R13" s="86"/>
      <c r="S13" s="86"/>
      <c r="T13" s="86"/>
      <c r="U13" s="94"/>
      <c r="V13" s="92"/>
      <c r="W13" s="92"/>
      <c r="X13" s="92"/>
      <c r="Y13" s="86"/>
      <c r="Z13" s="86"/>
    </row>
    <row r="14" spans="1:26" ht="12.75">
      <c r="A14" s="37"/>
      <c r="B14" s="80" t="s">
        <v>875</v>
      </c>
      <c r="C14" s="35"/>
      <c r="D14" s="35"/>
      <c r="E14" s="35"/>
      <c r="F14" s="92"/>
      <c r="G14" s="93"/>
      <c r="H14" s="93"/>
      <c r="I14" s="93"/>
      <c r="J14" s="93"/>
      <c r="K14" s="93"/>
      <c r="L14" s="93"/>
      <c r="M14" s="92"/>
      <c r="N14" s="92"/>
      <c r="O14" s="86"/>
      <c r="P14" s="93"/>
      <c r="Q14" s="86"/>
      <c r="R14" s="93"/>
      <c r="S14" s="93"/>
      <c r="T14" s="93"/>
      <c r="U14" s="94"/>
      <c r="V14" s="92"/>
      <c r="W14" s="92"/>
      <c r="X14" s="86"/>
      <c r="Y14" s="86"/>
      <c r="Z14" s="86"/>
    </row>
    <row r="15" spans="1:26" ht="12.75">
      <c r="A15" s="37"/>
      <c r="B15" s="1" t="s">
        <v>636</v>
      </c>
      <c r="C15" s="35"/>
      <c r="D15" s="35" t="s">
        <v>1309</v>
      </c>
      <c r="E15" s="35"/>
      <c r="F15" s="92"/>
      <c r="G15" s="93"/>
      <c r="H15" s="93"/>
      <c r="I15" s="93"/>
      <c r="J15" s="93"/>
      <c r="K15" s="93"/>
      <c r="L15" s="93"/>
      <c r="M15" s="92"/>
      <c r="N15" s="92"/>
      <c r="O15" s="86"/>
      <c r="P15" s="93"/>
      <c r="Q15" s="86"/>
      <c r="R15" s="93"/>
      <c r="S15" s="93"/>
      <c r="T15" s="93"/>
      <c r="U15" s="94"/>
      <c r="V15" s="92"/>
      <c r="W15" s="92"/>
      <c r="X15" s="86"/>
      <c r="Y15" s="86"/>
      <c r="Z15" s="86"/>
    </row>
    <row r="16" spans="1:26" ht="12.75">
      <c r="A16" s="37"/>
      <c r="B16" s="8" t="s">
        <v>1244</v>
      </c>
      <c r="C16" s="35"/>
      <c r="D16" s="35" t="s">
        <v>1310</v>
      </c>
      <c r="E16" s="35"/>
      <c r="F16" s="92"/>
      <c r="G16" s="93"/>
      <c r="H16" s="93"/>
      <c r="I16" s="93"/>
      <c r="J16" s="93"/>
      <c r="K16" s="93"/>
      <c r="L16" s="93"/>
      <c r="M16" s="92"/>
      <c r="N16" s="92"/>
      <c r="O16" s="86"/>
      <c r="P16" s="93"/>
      <c r="Q16" s="86"/>
      <c r="R16" s="93"/>
      <c r="S16" s="93"/>
      <c r="T16" s="93"/>
      <c r="U16" s="94"/>
      <c r="V16" s="92"/>
      <c r="W16" s="92"/>
      <c r="X16" s="86"/>
      <c r="Y16" s="86"/>
      <c r="Z16" s="86"/>
    </row>
    <row r="17" spans="1:26" ht="12.75">
      <c r="A17" s="37"/>
      <c r="B17" s="81" t="s">
        <v>703</v>
      </c>
      <c r="C17" s="35"/>
      <c r="D17" s="35" t="s">
        <v>1311</v>
      </c>
      <c r="E17" s="35"/>
      <c r="F17" s="92"/>
      <c r="G17" s="93"/>
      <c r="H17" s="93"/>
      <c r="I17" s="93"/>
      <c r="J17" s="93"/>
      <c r="K17" s="93"/>
      <c r="L17" s="93"/>
      <c r="M17" s="92"/>
      <c r="N17" s="92"/>
      <c r="O17" s="86"/>
      <c r="P17" s="93"/>
      <c r="Q17" s="86"/>
      <c r="R17" s="93"/>
      <c r="S17" s="93"/>
      <c r="T17" s="93"/>
      <c r="U17" s="94"/>
      <c r="V17" s="92"/>
      <c r="W17" s="92"/>
      <c r="X17" s="86"/>
      <c r="Y17" s="86"/>
      <c r="Z17" s="86"/>
    </row>
    <row r="18" spans="1:26" ht="12.75">
      <c r="A18" s="37"/>
      <c r="B18" s="2" t="s">
        <v>704</v>
      </c>
      <c r="C18" s="35"/>
      <c r="D18" s="35" t="s">
        <v>1312</v>
      </c>
      <c r="E18" s="35"/>
      <c r="F18" s="92"/>
      <c r="G18" s="93"/>
      <c r="H18" s="93"/>
      <c r="I18" s="93"/>
      <c r="J18" s="93"/>
      <c r="K18" s="93"/>
      <c r="L18" s="93"/>
      <c r="M18" s="92"/>
      <c r="N18" s="92"/>
      <c r="O18" s="86"/>
      <c r="P18" s="93"/>
      <c r="Q18" s="86"/>
      <c r="R18" s="93"/>
      <c r="S18" s="93"/>
      <c r="T18" s="93"/>
      <c r="U18" s="94"/>
      <c r="V18" s="92"/>
      <c r="W18" s="92"/>
      <c r="X18" s="86"/>
      <c r="Y18" s="86"/>
      <c r="Z18" s="86"/>
    </row>
    <row r="19" spans="1:26" ht="12.75">
      <c r="A19" s="37" t="s">
        <v>1245</v>
      </c>
      <c r="B19" s="8" t="s">
        <v>848</v>
      </c>
      <c r="C19" s="35"/>
      <c r="D19" s="35" t="s">
        <v>1496</v>
      </c>
      <c r="E19" s="35"/>
      <c r="F19" s="92"/>
      <c r="G19" s="93"/>
      <c r="H19" s="93"/>
      <c r="I19" s="93"/>
      <c r="J19" s="93"/>
      <c r="K19" s="93"/>
      <c r="L19" s="93"/>
      <c r="M19" s="92"/>
      <c r="N19" s="92"/>
      <c r="O19" s="86"/>
      <c r="P19" s="86"/>
      <c r="Q19" s="86"/>
      <c r="R19" s="86"/>
      <c r="S19" s="86"/>
      <c r="T19" s="86"/>
      <c r="U19" s="94"/>
      <c r="V19" s="92"/>
      <c r="W19" s="92"/>
      <c r="X19" s="92"/>
      <c r="Y19" s="86"/>
      <c r="Z19" s="86"/>
    </row>
    <row r="20" spans="1:26" ht="12.75">
      <c r="A20" s="37"/>
      <c r="B20" s="80" t="s">
        <v>875</v>
      </c>
      <c r="C20" s="35"/>
      <c r="D20" s="35"/>
      <c r="E20" s="35"/>
      <c r="F20" s="92"/>
      <c r="G20" s="93"/>
      <c r="H20" s="93"/>
      <c r="I20" s="93"/>
      <c r="J20" s="93"/>
      <c r="K20" s="93"/>
      <c r="L20" s="93"/>
      <c r="M20" s="92"/>
      <c r="N20" s="92"/>
      <c r="O20" s="86"/>
      <c r="P20" s="86"/>
      <c r="Q20" s="86"/>
      <c r="R20" s="86"/>
      <c r="S20" s="86"/>
      <c r="T20" s="86"/>
      <c r="U20" s="94"/>
      <c r="V20" s="92"/>
      <c r="W20" s="92"/>
      <c r="X20" s="86"/>
      <c r="Y20" s="86"/>
      <c r="Z20" s="86"/>
    </row>
    <row r="21" spans="1:26" ht="12.75">
      <c r="A21" s="37"/>
      <c r="B21" s="2" t="s">
        <v>637</v>
      </c>
      <c r="C21" s="35"/>
      <c r="D21" s="35" t="s">
        <v>1313</v>
      </c>
      <c r="E21" s="35"/>
      <c r="F21" s="92"/>
      <c r="G21" s="93"/>
      <c r="H21" s="93"/>
      <c r="I21" s="93"/>
      <c r="J21" s="93"/>
      <c r="K21" s="93"/>
      <c r="L21" s="93"/>
      <c r="M21" s="92"/>
      <c r="N21" s="92"/>
      <c r="O21" s="86"/>
      <c r="P21" s="93"/>
      <c r="Q21" s="86"/>
      <c r="R21" s="93"/>
      <c r="S21" s="93"/>
      <c r="T21" s="93"/>
      <c r="U21" s="94"/>
      <c r="V21" s="92"/>
      <c r="W21" s="92"/>
      <c r="X21" s="86"/>
      <c r="Y21" s="86"/>
      <c r="Z21" s="86"/>
    </row>
    <row r="22" spans="1:26" ht="12.75">
      <c r="A22" s="37"/>
      <c r="B22" s="82" t="s">
        <v>638</v>
      </c>
      <c r="C22" s="35"/>
      <c r="D22" s="35" t="s">
        <v>1314</v>
      </c>
      <c r="E22" s="35"/>
      <c r="F22" s="92"/>
      <c r="G22" s="93"/>
      <c r="H22" s="93"/>
      <c r="I22" s="93"/>
      <c r="J22" s="93"/>
      <c r="K22" s="93"/>
      <c r="L22" s="93"/>
      <c r="M22" s="92"/>
      <c r="N22" s="92"/>
      <c r="O22" s="86"/>
      <c r="P22" s="93"/>
      <c r="Q22" s="86"/>
      <c r="R22" s="93"/>
      <c r="S22" s="93"/>
      <c r="T22" s="93"/>
      <c r="U22" s="94"/>
      <c r="V22" s="92"/>
      <c r="W22" s="92"/>
      <c r="X22" s="86"/>
      <c r="Y22" s="86"/>
      <c r="Z22" s="86"/>
    </row>
    <row r="23" spans="1:26" ht="12.75">
      <c r="A23" s="37"/>
      <c r="B23" s="80" t="s">
        <v>620</v>
      </c>
      <c r="C23" s="35"/>
      <c r="D23" s="35" t="s">
        <v>1315</v>
      </c>
      <c r="E23" s="35"/>
      <c r="F23" s="92"/>
      <c r="G23" s="93"/>
      <c r="H23" s="93"/>
      <c r="I23" s="93"/>
      <c r="J23" s="93"/>
      <c r="K23" s="93"/>
      <c r="L23" s="93"/>
      <c r="M23" s="92"/>
      <c r="N23" s="92"/>
      <c r="O23" s="86"/>
      <c r="P23" s="93"/>
      <c r="Q23" s="86"/>
      <c r="R23" s="93"/>
      <c r="S23" s="93"/>
      <c r="T23" s="93"/>
      <c r="U23" s="94"/>
      <c r="V23" s="92"/>
      <c r="W23" s="92"/>
      <c r="X23" s="86"/>
      <c r="Y23" s="86"/>
      <c r="Z23" s="86"/>
    </row>
    <row r="24" spans="1:26" ht="12.75">
      <c r="A24" s="37" t="s">
        <v>1246</v>
      </c>
      <c r="B24" s="8" t="s">
        <v>619</v>
      </c>
      <c r="C24" s="35"/>
      <c r="D24" s="35" t="s">
        <v>1491</v>
      </c>
      <c r="E24" s="35"/>
      <c r="F24" s="92"/>
      <c r="G24" s="93"/>
      <c r="H24" s="93"/>
      <c r="I24" s="93"/>
      <c r="J24" s="93"/>
      <c r="K24" s="93"/>
      <c r="L24" s="93"/>
      <c r="M24" s="92"/>
      <c r="N24" s="92"/>
      <c r="O24" s="86"/>
      <c r="P24" s="86"/>
      <c r="Q24" s="86"/>
      <c r="R24" s="86"/>
      <c r="S24" s="86"/>
      <c r="T24" s="86"/>
      <c r="U24" s="94"/>
      <c r="V24" s="92"/>
      <c r="W24" s="92"/>
      <c r="X24" s="92"/>
      <c r="Y24" s="86"/>
      <c r="Z24" s="86"/>
    </row>
    <row r="25" spans="1:26" ht="12.75">
      <c r="A25" s="37"/>
      <c r="B25" s="80" t="s">
        <v>875</v>
      </c>
      <c r="C25" s="35"/>
      <c r="D25" s="35"/>
      <c r="E25" s="35"/>
      <c r="F25" s="92"/>
      <c r="G25" s="93"/>
      <c r="H25" s="93"/>
      <c r="I25" s="93"/>
      <c r="J25" s="93"/>
      <c r="K25" s="93"/>
      <c r="L25" s="93"/>
      <c r="M25" s="92"/>
      <c r="N25" s="92"/>
      <c r="O25" s="86"/>
      <c r="P25" s="86"/>
      <c r="Q25" s="86"/>
      <c r="R25" s="86"/>
      <c r="S25" s="86"/>
      <c r="T25" s="86"/>
      <c r="U25" s="94"/>
      <c r="V25" s="92"/>
      <c r="W25" s="92"/>
      <c r="X25" s="92"/>
      <c r="Y25" s="86"/>
      <c r="Z25" s="86"/>
    </row>
    <row r="26" spans="1:26" ht="12.75">
      <c r="A26" s="37"/>
      <c r="B26" s="8" t="s">
        <v>1317</v>
      </c>
      <c r="C26" s="35"/>
      <c r="D26" s="35" t="s">
        <v>1316</v>
      </c>
      <c r="E26" s="35"/>
      <c r="F26" s="92"/>
      <c r="G26" s="93"/>
      <c r="H26" s="93"/>
      <c r="I26" s="93"/>
      <c r="J26" s="93"/>
      <c r="K26" s="93"/>
      <c r="L26" s="93"/>
      <c r="M26" s="92"/>
      <c r="N26" s="92"/>
      <c r="O26" s="86"/>
      <c r="P26" s="93"/>
      <c r="Q26" s="86"/>
      <c r="R26" s="93"/>
      <c r="S26" s="93"/>
      <c r="T26" s="93"/>
      <c r="U26" s="94"/>
      <c r="V26" s="92"/>
      <c r="W26" s="92"/>
      <c r="X26" s="86"/>
      <c r="Y26" s="86"/>
      <c r="Z26" s="86"/>
    </row>
    <row r="27" spans="1:26" ht="12.75">
      <c r="A27" s="37" t="s">
        <v>1247</v>
      </c>
      <c r="B27" s="83" t="s">
        <v>639</v>
      </c>
      <c r="C27" s="35"/>
      <c r="D27" s="35" t="s">
        <v>1485</v>
      </c>
      <c r="E27" s="35"/>
      <c r="F27" s="92"/>
      <c r="G27" s="93"/>
      <c r="H27" s="93"/>
      <c r="I27" s="93"/>
      <c r="J27" s="93"/>
      <c r="K27" s="93"/>
      <c r="L27" s="93"/>
      <c r="M27" s="92"/>
      <c r="N27" s="92"/>
      <c r="O27" s="86"/>
      <c r="P27" s="93"/>
      <c r="Q27" s="86"/>
      <c r="R27" s="93"/>
      <c r="S27" s="93"/>
      <c r="T27" s="93"/>
      <c r="U27" s="94"/>
      <c r="V27" s="92"/>
      <c r="W27" s="92"/>
      <c r="X27" s="92"/>
      <c r="Y27" s="86"/>
      <c r="Z27" s="86"/>
    </row>
    <row r="28" spans="1:26" ht="12.75">
      <c r="A28" s="37"/>
      <c r="B28" s="2" t="s">
        <v>875</v>
      </c>
      <c r="C28" s="40"/>
      <c r="D28" s="40"/>
      <c r="E28" s="40"/>
      <c r="F28" s="92"/>
      <c r="G28" s="93"/>
      <c r="H28" s="93"/>
      <c r="I28" s="93"/>
      <c r="J28" s="93"/>
      <c r="K28" s="93"/>
      <c r="L28" s="93"/>
      <c r="M28" s="92"/>
      <c r="N28" s="92"/>
      <c r="O28" s="93"/>
      <c r="P28" s="93"/>
      <c r="Q28" s="93"/>
      <c r="R28" s="93"/>
      <c r="S28" s="93"/>
      <c r="T28" s="93"/>
      <c r="U28" s="94"/>
      <c r="V28" s="92"/>
      <c r="W28" s="92"/>
      <c r="X28" s="86"/>
      <c r="Y28" s="86"/>
      <c r="Z28" s="86"/>
    </row>
    <row r="29" spans="1:26" ht="12.75">
      <c r="A29" s="37"/>
      <c r="B29" s="2" t="s">
        <v>644</v>
      </c>
      <c r="C29" s="40"/>
      <c r="D29" s="40" t="s">
        <v>1319</v>
      </c>
      <c r="E29" s="40"/>
      <c r="F29" s="92"/>
      <c r="G29" s="93"/>
      <c r="H29" s="93"/>
      <c r="I29" s="93"/>
      <c r="J29" s="93"/>
      <c r="K29" s="93"/>
      <c r="L29" s="93"/>
      <c r="M29" s="92"/>
      <c r="N29" s="92"/>
      <c r="O29" s="93"/>
      <c r="P29" s="93"/>
      <c r="Q29" s="93"/>
      <c r="R29" s="93"/>
      <c r="S29" s="93"/>
      <c r="T29" s="93"/>
      <c r="U29" s="94"/>
      <c r="V29" s="92"/>
      <c r="W29" s="92"/>
      <c r="X29" s="86"/>
      <c r="Y29" s="86"/>
      <c r="Z29" s="86"/>
    </row>
    <row r="30" spans="1:26" ht="12.75">
      <c r="A30" s="37"/>
      <c r="B30" s="64" t="s">
        <v>693</v>
      </c>
      <c r="C30" s="40"/>
      <c r="D30" s="40" t="s">
        <v>1320</v>
      </c>
      <c r="E30" s="40"/>
      <c r="F30" s="92"/>
      <c r="G30" s="93"/>
      <c r="H30" s="93"/>
      <c r="I30" s="93"/>
      <c r="J30" s="93"/>
      <c r="K30" s="93"/>
      <c r="L30" s="93"/>
      <c r="M30" s="92"/>
      <c r="N30" s="92"/>
      <c r="O30" s="93"/>
      <c r="P30" s="93"/>
      <c r="Q30" s="93"/>
      <c r="R30" s="93"/>
      <c r="S30" s="93"/>
      <c r="T30" s="93"/>
      <c r="U30" s="94"/>
      <c r="V30" s="92"/>
      <c r="W30" s="92"/>
      <c r="X30" s="86"/>
      <c r="Y30" s="86"/>
      <c r="Z30" s="86"/>
    </row>
    <row r="31" spans="1:26" ht="12.75">
      <c r="A31" s="37"/>
      <c r="B31" s="2" t="s">
        <v>694</v>
      </c>
      <c r="C31" s="40"/>
      <c r="D31" s="40" t="s">
        <v>1321</v>
      </c>
      <c r="E31" s="40"/>
      <c r="F31" s="92"/>
      <c r="G31" s="93"/>
      <c r="H31" s="93"/>
      <c r="I31" s="93"/>
      <c r="J31" s="93"/>
      <c r="K31" s="93"/>
      <c r="L31" s="93"/>
      <c r="M31" s="92"/>
      <c r="N31" s="92"/>
      <c r="O31" s="93"/>
      <c r="P31" s="93"/>
      <c r="Q31" s="93"/>
      <c r="R31" s="93"/>
      <c r="S31" s="93"/>
      <c r="T31" s="93"/>
      <c r="U31" s="94"/>
      <c r="V31" s="92"/>
      <c r="W31" s="92"/>
      <c r="X31" s="86"/>
      <c r="Y31" s="86"/>
      <c r="Z31" s="86"/>
    </row>
    <row r="32" spans="1:26" ht="12.75">
      <c r="A32" s="37"/>
      <c r="B32" s="2" t="s">
        <v>661</v>
      </c>
      <c r="C32" s="40"/>
      <c r="D32" s="35" t="s">
        <v>1309</v>
      </c>
      <c r="E32" s="40"/>
      <c r="F32" s="92"/>
      <c r="G32" s="93"/>
      <c r="H32" s="93"/>
      <c r="I32" s="93"/>
      <c r="J32" s="93"/>
      <c r="K32" s="93"/>
      <c r="L32" s="93"/>
      <c r="M32" s="92"/>
      <c r="N32" s="92"/>
      <c r="O32" s="93"/>
      <c r="P32" s="93"/>
      <c r="Q32" s="93"/>
      <c r="R32" s="93"/>
      <c r="S32" s="93"/>
      <c r="T32" s="93"/>
      <c r="U32" s="94"/>
      <c r="V32" s="92"/>
      <c r="W32" s="92"/>
      <c r="X32" s="86"/>
      <c r="Y32" s="86"/>
      <c r="Z32" s="86"/>
    </row>
    <row r="33" spans="1:26" ht="12.75">
      <c r="A33" s="37"/>
      <c r="B33" s="2" t="s">
        <v>662</v>
      </c>
      <c r="C33" s="40"/>
      <c r="D33" s="40" t="s">
        <v>1322</v>
      </c>
      <c r="E33" s="40"/>
      <c r="F33" s="92"/>
      <c r="G33" s="93"/>
      <c r="H33" s="93"/>
      <c r="I33" s="93"/>
      <c r="J33" s="93"/>
      <c r="K33" s="93"/>
      <c r="L33" s="93"/>
      <c r="M33" s="92"/>
      <c r="N33" s="92"/>
      <c r="O33" s="93"/>
      <c r="P33" s="93"/>
      <c r="Q33" s="93"/>
      <c r="R33" s="93"/>
      <c r="S33" s="93"/>
      <c r="T33" s="93"/>
      <c r="U33" s="94"/>
      <c r="V33" s="92"/>
      <c r="W33" s="92"/>
      <c r="X33" s="86"/>
      <c r="Y33" s="86"/>
      <c r="Z33" s="86"/>
    </row>
    <row r="34" spans="1:26" ht="12.75">
      <c r="A34" s="37" t="s">
        <v>1248</v>
      </c>
      <c r="B34" s="83" t="s">
        <v>641</v>
      </c>
      <c r="C34" s="35"/>
      <c r="D34" s="35" t="s">
        <v>1484</v>
      </c>
      <c r="E34" s="35"/>
      <c r="F34" s="92"/>
      <c r="G34" s="93"/>
      <c r="H34" s="93"/>
      <c r="I34" s="93"/>
      <c r="J34" s="93"/>
      <c r="K34" s="93"/>
      <c r="L34" s="93"/>
      <c r="M34" s="92"/>
      <c r="N34" s="92"/>
      <c r="O34" s="86"/>
      <c r="P34" s="86"/>
      <c r="Q34" s="86"/>
      <c r="R34" s="86"/>
      <c r="S34" s="86"/>
      <c r="T34" s="86"/>
      <c r="U34" s="94"/>
      <c r="V34" s="92"/>
      <c r="W34" s="92"/>
      <c r="X34" s="92"/>
      <c r="Y34" s="86"/>
      <c r="Z34" s="86"/>
    </row>
    <row r="35" spans="1:26" ht="12.75">
      <c r="A35" s="37"/>
      <c r="B35" s="80" t="s">
        <v>875</v>
      </c>
      <c r="C35" s="40"/>
      <c r="D35" s="40"/>
      <c r="E35" s="40"/>
      <c r="F35" s="92"/>
      <c r="G35" s="93"/>
      <c r="H35" s="93"/>
      <c r="I35" s="93"/>
      <c r="J35" s="93"/>
      <c r="K35" s="93"/>
      <c r="L35" s="93"/>
      <c r="M35" s="92"/>
      <c r="N35" s="92"/>
      <c r="O35" s="93"/>
      <c r="P35" s="93"/>
      <c r="Q35" s="93"/>
      <c r="R35" s="93"/>
      <c r="S35" s="93"/>
      <c r="T35" s="93"/>
      <c r="U35" s="94"/>
      <c r="V35" s="92"/>
      <c r="W35" s="92"/>
      <c r="X35" s="86"/>
      <c r="Y35" s="86"/>
      <c r="Z35" s="86"/>
    </row>
    <row r="36" spans="1:26" ht="12.75">
      <c r="A36" s="37"/>
      <c r="B36" s="2" t="s">
        <v>621</v>
      </c>
      <c r="C36" s="40"/>
      <c r="D36" s="40" t="s">
        <v>1324</v>
      </c>
      <c r="E36" s="40"/>
      <c r="F36" s="92"/>
      <c r="G36" s="93"/>
      <c r="H36" s="93"/>
      <c r="I36" s="93"/>
      <c r="J36" s="93"/>
      <c r="K36" s="93"/>
      <c r="L36" s="93"/>
      <c r="M36" s="92"/>
      <c r="N36" s="92"/>
      <c r="O36" s="93"/>
      <c r="P36" s="93"/>
      <c r="Q36" s="93"/>
      <c r="R36" s="93"/>
      <c r="S36" s="93"/>
      <c r="T36" s="93"/>
      <c r="U36" s="94"/>
      <c r="V36" s="92"/>
      <c r="W36" s="92"/>
      <c r="X36" s="86"/>
      <c r="Y36" s="86"/>
      <c r="Z36" s="86"/>
    </row>
    <row r="37" spans="1:26" ht="12.75">
      <c r="A37" s="37"/>
      <c r="B37" s="2" t="s">
        <v>622</v>
      </c>
      <c r="C37" s="40"/>
      <c r="D37" s="40" t="s">
        <v>1323</v>
      </c>
      <c r="E37" s="40"/>
      <c r="F37" s="92"/>
      <c r="G37" s="93"/>
      <c r="H37" s="93"/>
      <c r="I37" s="93"/>
      <c r="J37" s="93"/>
      <c r="K37" s="93"/>
      <c r="L37" s="93"/>
      <c r="M37" s="92"/>
      <c r="N37" s="92"/>
      <c r="O37" s="93"/>
      <c r="P37" s="93"/>
      <c r="Q37" s="93"/>
      <c r="R37" s="93"/>
      <c r="S37" s="93"/>
      <c r="T37" s="93"/>
      <c r="U37" s="94"/>
      <c r="V37" s="92"/>
      <c r="W37" s="92"/>
      <c r="X37" s="86"/>
      <c r="Y37" s="86"/>
      <c r="Z37" s="86"/>
    </row>
    <row r="38" spans="1:26" ht="12.75">
      <c r="A38" s="37" t="s">
        <v>1249</v>
      </c>
      <c r="B38" s="83" t="s">
        <v>623</v>
      </c>
      <c r="C38" s="35"/>
      <c r="D38" s="35" t="s">
        <v>1482</v>
      </c>
      <c r="E38" s="35"/>
      <c r="F38" s="92"/>
      <c r="G38" s="93"/>
      <c r="H38" s="93"/>
      <c r="I38" s="93"/>
      <c r="J38" s="93"/>
      <c r="K38" s="93"/>
      <c r="L38" s="93"/>
      <c r="M38" s="92"/>
      <c r="N38" s="92"/>
      <c r="O38" s="86"/>
      <c r="P38" s="86"/>
      <c r="Q38" s="86"/>
      <c r="R38" s="86"/>
      <c r="S38" s="86"/>
      <c r="T38" s="86"/>
      <c r="U38" s="94"/>
      <c r="V38" s="92"/>
      <c r="W38" s="92"/>
      <c r="X38" s="92"/>
      <c r="Y38" s="86"/>
      <c r="Z38" s="86"/>
    </row>
    <row r="39" spans="1:26" ht="12.75">
      <c r="A39" s="37"/>
      <c r="B39" s="80" t="s">
        <v>875</v>
      </c>
      <c r="C39" s="35"/>
      <c r="D39" s="35"/>
      <c r="E39" s="35"/>
      <c r="F39" s="92"/>
      <c r="G39" s="93"/>
      <c r="H39" s="93"/>
      <c r="I39" s="93"/>
      <c r="J39" s="93"/>
      <c r="K39" s="93"/>
      <c r="L39" s="93"/>
      <c r="M39" s="92"/>
      <c r="N39" s="92"/>
      <c r="O39" s="86"/>
      <c r="P39" s="86"/>
      <c r="Q39" s="86"/>
      <c r="R39" s="86"/>
      <c r="S39" s="86"/>
      <c r="T39" s="86"/>
      <c r="U39" s="94"/>
      <c r="V39" s="92"/>
      <c r="W39" s="92"/>
      <c r="X39" s="86"/>
      <c r="Y39" s="86"/>
      <c r="Z39" s="86"/>
    </row>
    <row r="40" spans="1:26" ht="12.75">
      <c r="A40" s="37"/>
      <c r="B40" s="80" t="s">
        <v>624</v>
      </c>
      <c r="C40" s="35"/>
      <c r="D40" s="35" t="s">
        <v>1325</v>
      </c>
      <c r="E40" s="35"/>
      <c r="F40" s="92"/>
      <c r="G40" s="93"/>
      <c r="H40" s="93"/>
      <c r="I40" s="93"/>
      <c r="J40" s="93"/>
      <c r="K40" s="93"/>
      <c r="L40" s="93"/>
      <c r="M40" s="92"/>
      <c r="N40" s="92"/>
      <c r="O40" s="86"/>
      <c r="P40" s="86"/>
      <c r="Q40" s="86"/>
      <c r="R40" s="86"/>
      <c r="S40" s="86"/>
      <c r="T40" s="86"/>
      <c r="U40" s="94"/>
      <c r="V40" s="92"/>
      <c r="W40" s="92"/>
      <c r="X40" s="86"/>
      <c r="Y40" s="86"/>
      <c r="Z40" s="86"/>
    </row>
    <row r="41" spans="1:26" ht="12.75">
      <c r="A41" s="37"/>
      <c r="B41" s="64"/>
      <c r="C41" s="35"/>
      <c r="D41" s="35"/>
      <c r="E41" s="35"/>
      <c r="F41" s="92"/>
      <c r="G41" s="93"/>
      <c r="H41" s="93"/>
      <c r="I41" s="93"/>
      <c r="J41" s="93"/>
      <c r="K41" s="93"/>
      <c r="L41" s="93"/>
      <c r="M41" s="92"/>
      <c r="N41" s="92"/>
      <c r="O41" s="86"/>
      <c r="P41" s="86"/>
      <c r="Q41" s="86"/>
      <c r="R41" s="86"/>
      <c r="S41" s="86"/>
      <c r="T41" s="86"/>
      <c r="U41" s="94"/>
      <c r="V41" s="92"/>
      <c r="W41" s="92"/>
      <c r="X41" s="86"/>
      <c r="Y41" s="86"/>
      <c r="Z41" s="86"/>
    </row>
    <row r="42" spans="1:26" ht="12.75">
      <c r="A42" s="37" t="s">
        <v>1189</v>
      </c>
      <c r="B42" s="79" t="s">
        <v>651</v>
      </c>
      <c r="C42" s="35"/>
      <c r="D42" s="35"/>
      <c r="E42" s="35"/>
      <c r="F42" s="92"/>
      <c r="G42" s="93"/>
      <c r="H42" s="93"/>
      <c r="I42" s="93"/>
      <c r="J42" s="93"/>
      <c r="K42" s="93"/>
      <c r="L42" s="93"/>
      <c r="M42" s="92"/>
      <c r="N42" s="92"/>
      <c r="O42" s="86"/>
      <c r="P42" s="86"/>
      <c r="Q42" s="86"/>
      <c r="R42" s="86"/>
      <c r="S42" s="86"/>
      <c r="T42" s="86"/>
      <c r="U42" s="94"/>
      <c r="V42" s="92"/>
      <c r="W42" s="92"/>
      <c r="X42" s="86"/>
      <c r="Y42" s="86"/>
      <c r="Z42" s="86"/>
    </row>
    <row r="43" spans="1:26" ht="12.75">
      <c r="A43" s="37" t="s">
        <v>1250</v>
      </c>
      <c r="B43" s="8" t="s">
        <v>840</v>
      </c>
      <c r="C43" s="35"/>
      <c r="D43" s="35" t="s">
        <v>1481</v>
      </c>
      <c r="E43" s="35"/>
      <c r="F43" s="92"/>
      <c r="G43" s="93"/>
      <c r="H43" s="93"/>
      <c r="I43" s="93"/>
      <c r="J43" s="93"/>
      <c r="K43" s="93"/>
      <c r="L43" s="93"/>
      <c r="M43" s="92"/>
      <c r="N43" s="92"/>
      <c r="O43" s="86"/>
      <c r="P43" s="86"/>
      <c r="Q43" s="86"/>
      <c r="R43" s="86"/>
      <c r="S43" s="86"/>
      <c r="T43" s="86"/>
      <c r="U43" s="94"/>
      <c r="V43" s="92"/>
      <c r="W43" s="92"/>
      <c r="X43" s="92"/>
      <c r="Y43" s="86"/>
      <c r="Z43" s="86"/>
    </row>
    <row r="44" spans="1:26" ht="12.75">
      <c r="A44" s="37"/>
      <c r="B44" s="80" t="s">
        <v>875</v>
      </c>
      <c r="C44" s="35"/>
      <c r="D44" s="35"/>
      <c r="E44" s="35"/>
      <c r="F44" s="92"/>
      <c r="G44" s="93"/>
      <c r="H44" s="93"/>
      <c r="I44" s="93"/>
      <c r="J44" s="93"/>
      <c r="K44" s="93"/>
      <c r="L44" s="93"/>
      <c r="M44" s="92"/>
      <c r="N44" s="92"/>
      <c r="O44" s="86"/>
      <c r="P44" s="86"/>
      <c r="Q44" s="86"/>
      <c r="R44" s="86"/>
      <c r="S44" s="86"/>
      <c r="T44" s="86"/>
      <c r="U44" s="94"/>
      <c r="V44" s="92"/>
      <c r="W44" s="92"/>
      <c r="X44" s="86"/>
      <c r="Y44" s="86"/>
      <c r="Z44" s="86"/>
    </row>
    <row r="45" spans="1:26" ht="12.75">
      <c r="A45" s="37"/>
      <c r="B45" s="1" t="s">
        <v>636</v>
      </c>
      <c r="C45" s="35"/>
      <c r="D45" s="35" t="s">
        <v>1309</v>
      </c>
      <c r="E45" s="35"/>
      <c r="F45" s="92"/>
      <c r="G45" s="93"/>
      <c r="H45" s="93"/>
      <c r="I45" s="93"/>
      <c r="J45" s="93"/>
      <c r="K45" s="93"/>
      <c r="L45" s="93"/>
      <c r="M45" s="92"/>
      <c r="N45" s="92"/>
      <c r="O45" s="86"/>
      <c r="P45" s="93"/>
      <c r="Q45" s="86"/>
      <c r="R45" s="93"/>
      <c r="S45" s="93"/>
      <c r="T45" s="93"/>
      <c r="U45" s="94"/>
      <c r="V45" s="92"/>
      <c r="W45" s="92"/>
      <c r="X45" s="86"/>
      <c r="Y45" s="86"/>
      <c r="Z45" s="86"/>
    </row>
    <row r="46" spans="1:26" ht="12.75">
      <c r="A46" s="37"/>
      <c r="B46" s="8" t="s">
        <v>1251</v>
      </c>
      <c r="C46" s="35"/>
      <c r="D46" s="35" t="s">
        <v>1310</v>
      </c>
      <c r="E46" s="35"/>
      <c r="F46" s="92"/>
      <c r="G46" s="93"/>
      <c r="H46" s="93"/>
      <c r="I46" s="93"/>
      <c r="J46" s="93"/>
      <c r="K46" s="93"/>
      <c r="L46" s="93"/>
      <c r="M46" s="92"/>
      <c r="N46" s="92"/>
      <c r="O46" s="86"/>
      <c r="P46" s="93"/>
      <c r="Q46" s="86"/>
      <c r="R46" s="93"/>
      <c r="S46" s="93"/>
      <c r="T46" s="93"/>
      <c r="U46" s="94"/>
      <c r="V46" s="92"/>
      <c r="W46" s="92"/>
      <c r="X46" s="86"/>
      <c r="Y46" s="86"/>
      <c r="Z46" s="86"/>
    </row>
    <row r="47" spans="1:26" ht="12.75">
      <c r="A47" s="37"/>
      <c r="B47" s="2" t="s">
        <v>705</v>
      </c>
      <c r="C47" s="35"/>
      <c r="D47" s="35" t="s">
        <v>1326</v>
      </c>
      <c r="E47" s="35"/>
      <c r="F47" s="92"/>
      <c r="G47" s="93"/>
      <c r="H47" s="93"/>
      <c r="I47" s="93"/>
      <c r="J47" s="93"/>
      <c r="K47" s="93"/>
      <c r="L47" s="93"/>
      <c r="M47" s="92"/>
      <c r="N47" s="92"/>
      <c r="O47" s="86"/>
      <c r="P47" s="93"/>
      <c r="Q47" s="86"/>
      <c r="R47" s="93"/>
      <c r="S47" s="93"/>
      <c r="T47" s="93"/>
      <c r="U47" s="94"/>
      <c r="V47" s="92"/>
      <c r="W47" s="92"/>
      <c r="X47" s="86"/>
      <c r="Y47" s="86"/>
      <c r="Z47" s="86"/>
    </row>
    <row r="48" spans="1:26" ht="12.75">
      <c r="A48" s="37"/>
      <c r="B48" s="80" t="s">
        <v>1252</v>
      </c>
      <c r="C48" s="35"/>
      <c r="D48" s="35" t="s">
        <v>1327</v>
      </c>
      <c r="E48" s="35"/>
      <c r="F48" s="92"/>
      <c r="G48" s="93"/>
      <c r="H48" s="93"/>
      <c r="I48" s="93"/>
      <c r="J48" s="93"/>
      <c r="K48" s="93"/>
      <c r="L48" s="93"/>
      <c r="M48" s="92"/>
      <c r="N48" s="92"/>
      <c r="O48" s="86"/>
      <c r="P48" s="93"/>
      <c r="Q48" s="86"/>
      <c r="R48" s="93"/>
      <c r="S48" s="93"/>
      <c r="T48" s="93"/>
      <c r="U48" s="94"/>
      <c r="V48" s="92"/>
      <c r="W48" s="92"/>
      <c r="X48" s="86"/>
      <c r="Y48" s="86"/>
      <c r="Z48" s="86"/>
    </row>
    <row r="49" spans="1:26" ht="12.75">
      <c r="A49" s="37"/>
      <c r="B49" s="80" t="s">
        <v>706</v>
      </c>
      <c r="C49" s="35"/>
      <c r="D49" s="35" t="s">
        <v>1328</v>
      </c>
      <c r="E49" s="35"/>
      <c r="F49" s="92"/>
      <c r="G49" s="93"/>
      <c r="H49" s="93"/>
      <c r="I49" s="93"/>
      <c r="J49" s="93"/>
      <c r="K49" s="93"/>
      <c r="L49" s="93"/>
      <c r="M49" s="92"/>
      <c r="N49" s="92"/>
      <c r="O49" s="86"/>
      <c r="P49" s="93"/>
      <c r="Q49" s="86"/>
      <c r="R49" s="93"/>
      <c r="S49" s="93"/>
      <c r="T49" s="93"/>
      <c r="U49" s="94"/>
      <c r="V49" s="92"/>
      <c r="W49" s="92"/>
      <c r="X49" s="86"/>
      <c r="Y49" s="86"/>
      <c r="Z49" s="86"/>
    </row>
    <row r="50" spans="1:26" ht="12.75">
      <c r="A50" s="37"/>
      <c r="B50" s="80" t="s">
        <v>1253</v>
      </c>
      <c r="C50" s="35"/>
      <c r="D50" s="35" t="s">
        <v>1329</v>
      </c>
      <c r="E50" s="35"/>
      <c r="F50" s="92"/>
      <c r="G50" s="93"/>
      <c r="H50" s="93"/>
      <c r="I50" s="93"/>
      <c r="J50" s="93"/>
      <c r="K50" s="93"/>
      <c r="L50" s="93"/>
      <c r="M50" s="92"/>
      <c r="N50" s="92"/>
      <c r="O50" s="86"/>
      <c r="P50" s="93"/>
      <c r="Q50" s="86"/>
      <c r="R50" s="93"/>
      <c r="S50" s="93"/>
      <c r="T50" s="93"/>
      <c r="U50" s="94"/>
      <c r="V50" s="92"/>
      <c r="W50" s="92"/>
      <c r="X50" s="86"/>
      <c r="Y50" s="86"/>
      <c r="Z50" s="86"/>
    </row>
    <row r="51" spans="1:26" ht="12.75">
      <c r="A51" s="37"/>
      <c r="B51" s="81" t="s">
        <v>703</v>
      </c>
      <c r="C51" s="35"/>
      <c r="D51" s="35" t="s">
        <v>1423</v>
      </c>
      <c r="E51" s="35"/>
      <c r="F51" s="92"/>
      <c r="G51" s="93"/>
      <c r="H51" s="93"/>
      <c r="I51" s="93"/>
      <c r="J51" s="93"/>
      <c r="K51" s="93"/>
      <c r="L51" s="93"/>
      <c r="M51" s="92"/>
      <c r="N51" s="92"/>
      <c r="O51" s="86"/>
      <c r="P51" s="93"/>
      <c r="Q51" s="86"/>
      <c r="R51" s="93"/>
      <c r="S51" s="93"/>
      <c r="T51" s="93"/>
      <c r="U51" s="94"/>
      <c r="V51" s="92"/>
      <c r="W51" s="92"/>
      <c r="X51" s="86"/>
      <c r="Y51" s="86"/>
      <c r="Z51" s="86"/>
    </row>
    <row r="52" spans="1:26" ht="12.75">
      <c r="A52" s="37"/>
      <c r="B52" s="2" t="s">
        <v>704</v>
      </c>
      <c r="C52" s="35"/>
      <c r="D52" s="35" t="s">
        <v>1424</v>
      </c>
      <c r="E52" s="35"/>
      <c r="F52" s="92"/>
      <c r="G52" s="93"/>
      <c r="H52" s="93"/>
      <c r="I52" s="93"/>
      <c r="J52" s="93"/>
      <c r="K52" s="93"/>
      <c r="L52" s="93"/>
      <c r="M52" s="92"/>
      <c r="N52" s="92"/>
      <c r="O52" s="86"/>
      <c r="P52" s="93"/>
      <c r="Q52" s="86"/>
      <c r="R52" s="93"/>
      <c r="S52" s="93"/>
      <c r="T52" s="93"/>
      <c r="U52" s="94"/>
      <c r="V52" s="92"/>
      <c r="W52" s="92"/>
      <c r="X52" s="86"/>
      <c r="Y52" s="86"/>
      <c r="Z52" s="86"/>
    </row>
    <row r="53" spans="1:26" ht="12.75">
      <c r="A53" s="37"/>
      <c r="B53" s="2" t="s">
        <v>645</v>
      </c>
      <c r="C53" s="35"/>
      <c r="D53" s="35" t="s">
        <v>1425</v>
      </c>
      <c r="E53" s="35"/>
      <c r="F53" s="92"/>
      <c r="G53" s="93"/>
      <c r="H53" s="93"/>
      <c r="I53" s="93"/>
      <c r="J53" s="93"/>
      <c r="K53" s="93"/>
      <c r="L53" s="93"/>
      <c r="M53" s="92"/>
      <c r="N53" s="92"/>
      <c r="O53" s="86"/>
      <c r="P53" s="93"/>
      <c r="Q53" s="86"/>
      <c r="R53" s="93"/>
      <c r="S53" s="93"/>
      <c r="T53" s="93"/>
      <c r="U53" s="94"/>
      <c r="V53" s="92"/>
      <c r="W53" s="92"/>
      <c r="X53" s="86"/>
      <c r="Y53" s="86"/>
      <c r="Z53" s="86"/>
    </row>
    <row r="54" spans="1:26" ht="12.75">
      <c r="A54" s="37" t="s">
        <v>1254</v>
      </c>
      <c r="B54" s="8" t="s">
        <v>848</v>
      </c>
      <c r="C54" s="35"/>
      <c r="D54" s="35" t="s">
        <v>1480</v>
      </c>
      <c r="E54" s="35"/>
      <c r="F54" s="92"/>
      <c r="G54" s="93"/>
      <c r="H54" s="93"/>
      <c r="I54" s="93"/>
      <c r="J54" s="93"/>
      <c r="K54" s="93"/>
      <c r="L54" s="93"/>
      <c r="M54" s="92"/>
      <c r="N54" s="92"/>
      <c r="O54" s="86"/>
      <c r="P54" s="86"/>
      <c r="Q54" s="86"/>
      <c r="R54" s="86"/>
      <c r="S54" s="86"/>
      <c r="T54" s="86"/>
      <c r="U54" s="94"/>
      <c r="V54" s="92"/>
      <c r="W54" s="92"/>
      <c r="X54" s="92"/>
      <c r="Y54" s="86"/>
      <c r="Z54" s="86"/>
    </row>
    <row r="55" spans="1:26" ht="12.75">
      <c r="A55" s="37"/>
      <c r="B55" s="80" t="s">
        <v>875</v>
      </c>
      <c r="C55" s="35"/>
      <c r="D55" s="35"/>
      <c r="E55" s="35"/>
      <c r="F55" s="92"/>
      <c r="G55" s="93"/>
      <c r="H55" s="93"/>
      <c r="I55" s="93"/>
      <c r="J55" s="93"/>
      <c r="K55" s="93"/>
      <c r="L55" s="93"/>
      <c r="M55" s="92"/>
      <c r="N55" s="92"/>
      <c r="O55" s="86"/>
      <c r="P55" s="86"/>
      <c r="Q55" s="86"/>
      <c r="R55" s="86"/>
      <c r="S55" s="86"/>
      <c r="T55" s="86"/>
      <c r="U55" s="94"/>
      <c r="V55" s="92"/>
      <c r="W55" s="92"/>
      <c r="X55" s="86"/>
      <c r="Y55" s="86"/>
      <c r="Z55" s="86"/>
    </row>
    <row r="56" spans="1:26" ht="12.75">
      <c r="A56" s="37"/>
      <c r="B56" s="1" t="s">
        <v>640</v>
      </c>
      <c r="C56" s="35"/>
      <c r="D56" s="35" t="s">
        <v>1426</v>
      </c>
      <c r="E56" s="35"/>
      <c r="F56" s="92"/>
      <c r="G56" s="93"/>
      <c r="H56" s="93"/>
      <c r="I56" s="93"/>
      <c r="J56" s="93"/>
      <c r="K56" s="93"/>
      <c r="L56" s="93"/>
      <c r="M56" s="92"/>
      <c r="N56" s="92"/>
      <c r="O56" s="86"/>
      <c r="P56" s="93"/>
      <c r="Q56" s="86"/>
      <c r="R56" s="93"/>
      <c r="S56" s="93"/>
      <c r="T56" s="93"/>
      <c r="U56" s="94"/>
      <c r="V56" s="92"/>
      <c r="W56" s="92"/>
      <c r="X56" s="86"/>
      <c r="Y56" s="86"/>
      <c r="Z56" s="86"/>
    </row>
    <row r="57" spans="1:26" ht="12.75">
      <c r="A57" s="37"/>
      <c r="B57" s="80" t="s">
        <v>625</v>
      </c>
      <c r="C57" s="35"/>
      <c r="D57" s="35" t="s">
        <v>1427</v>
      </c>
      <c r="E57" s="35"/>
      <c r="F57" s="92"/>
      <c r="G57" s="93"/>
      <c r="H57" s="93"/>
      <c r="I57" s="93"/>
      <c r="J57" s="93"/>
      <c r="K57" s="93"/>
      <c r="L57" s="93"/>
      <c r="M57" s="92"/>
      <c r="N57" s="92"/>
      <c r="O57" s="86"/>
      <c r="P57" s="93"/>
      <c r="Q57" s="86"/>
      <c r="R57" s="93"/>
      <c r="S57" s="93"/>
      <c r="T57" s="93"/>
      <c r="U57" s="94"/>
      <c r="V57" s="92"/>
      <c r="W57" s="92"/>
      <c r="X57" s="86"/>
      <c r="Y57" s="86"/>
      <c r="Z57" s="86"/>
    </row>
    <row r="58" spans="1:26" ht="12.75">
      <c r="A58" s="37"/>
      <c r="B58" s="80" t="s">
        <v>626</v>
      </c>
      <c r="C58" s="35"/>
      <c r="D58" s="35" t="s">
        <v>1428</v>
      </c>
      <c r="E58" s="35"/>
      <c r="F58" s="92"/>
      <c r="G58" s="93"/>
      <c r="H58" s="93"/>
      <c r="I58" s="93"/>
      <c r="J58" s="93"/>
      <c r="K58" s="93"/>
      <c r="L58" s="93"/>
      <c r="M58" s="92"/>
      <c r="N58" s="92"/>
      <c r="O58" s="86"/>
      <c r="P58" s="93"/>
      <c r="Q58" s="86"/>
      <c r="R58" s="93"/>
      <c r="S58" s="93"/>
      <c r="T58" s="93"/>
      <c r="U58" s="94"/>
      <c r="V58" s="92"/>
      <c r="W58" s="92"/>
      <c r="X58" s="86"/>
      <c r="Y58" s="86"/>
      <c r="Z58" s="86"/>
    </row>
    <row r="59" spans="1:26" ht="12.75">
      <c r="A59" s="37"/>
      <c r="B59" s="80" t="s">
        <v>627</v>
      </c>
      <c r="C59" s="35"/>
      <c r="D59" s="35" t="s">
        <v>1429</v>
      </c>
      <c r="E59" s="35"/>
      <c r="F59" s="92"/>
      <c r="G59" s="93"/>
      <c r="H59" s="93"/>
      <c r="I59" s="93"/>
      <c r="J59" s="93"/>
      <c r="K59" s="93"/>
      <c r="L59" s="93"/>
      <c r="M59" s="92"/>
      <c r="N59" s="92"/>
      <c r="O59" s="86"/>
      <c r="P59" s="93"/>
      <c r="Q59" s="86"/>
      <c r="R59" s="93"/>
      <c r="S59" s="93"/>
      <c r="T59" s="93"/>
      <c r="U59" s="94"/>
      <c r="V59" s="92"/>
      <c r="W59" s="92"/>
      <c r="X59" s="86"/>
      <c r="Y59" s="86"/>
      <c r="Z59" s="86"/>
    </row>
    <row r="60" spans="1:26" ht="12.75">
      <c r="A60" s="37"/>
      <c r="B60" s="80" t="s">
        <v>620</v>
      </c>
      <c r="C60" s="35"/>
      <c r="D60" s="35" t="s">
        <v>1460</v>
      </c>
      <c r="E60" s="35"/>
      <c r="F60" s="92"/>
      <c r="G60" s="93"/>
      <c r="H60" s="93"/>
      <c r="I60" s="93"/>
      <c r="J60" s="93"/>
      <c r="K60" s="93"/>
      <c r="L60" s="93"/>
      <c r="M60" s="92"/>
      <c r="N60" s="92"/>
      <c r="O60" s="86"/>
      <c r="P60" s="93"/>
      <c r="Q60" s="86"/>
      <c r="R60" s="93"/>
      <c r="S60" s="93"/>
      <c r="T60" s="93"/>
      <c r="U60" s="94"/>
      <c r="V60" s="92"/>
      <c r="W60" s="92"/>
      <c r="X60" s="86"/>
      <c r="Y60" s="86"/>
      <c r="Z60" s="86"/>
    </row>
    <row r="61" spans="1:26" ht="12.75">
      <c r="A61" s="37"/>
      <c r="B61" s="64" t="s">
        <v>628</v>
      </c>
      <c r="C61" s="35"/>
      <c r="D61" s="35" t="s">
        <v>1461</v>
      </c>
      <c r="E61" s="35"/>
      <c r="F61" s="92"/>
      <c r="G61" s="93"/>
      <c r="H61" s="93"/>
      <c r="I61" s="93"/>
      <c r="J61" s="93"/>
      <c r="K61" s="93"/>
      <c r="L61" s="93"/>
      <c r="M61" s="92"/>
      <c r="N61" s="92"/>
      <c r="O61" s="86"/>
      <c r="P61" s="93"/>
      <c r="Q61" s="86"/>
      <c r="R61" s="93"/>
      <c r="S61" s="93"/>
      <c r="T61" s="93"/>
      <c r="U61" s="94"/>
      <c r="V61" s="92"/>
      <c r="W61" s="92"/>
      <c r="X61" s="86"/>
      <c r="Y61" s="86"/>
      <c r="Z61" s="86"/>
    </row>
    <row r="62" spans="1:26" ht="12.75">
      <c r="A62" s="37" t="s">
        <v>1255</v>
      </c>
      <c r="B62" s="83" t="s">
        <v>639</v>
      </c>
      <c r="C62" s="35"/>
      <c r="D62" s="35" t="s">
        <v>1479</v>
      </c>
      <c r="E62" s="35"/>
      <c r="F62" s="92"/>
      <c r="G62" s="93"/>
      <c r="H62" s="93"/>
      <c r="I62" s="93"/>
      <c r="J62" s="93"/>
      <c r="K62" s="93"/>
      <c r="L62" s="93"/>
      <c r="M62" s="92"/>
      <c r="N62" s="92"/>
      <c r="O62" s="86"/>
      <c r="P62" s="93"/>
      <c r="Q62" s="86"/>
      <c r="R62" s="93"/>
      <c r="S62" s="93"/>
      <c r="T62" s="93"/>
      <c r="U62" s="94"/>
      <c r="V62" s="92"/>
      <c r="W62" s="92"/>
      <c r="X62" s="92"/>
      <c r="Y62" s="86"/>
      <c r="Z62" s="86"/>
    </row>
    <row r="63" spans="1:26" ht="12.75">
      <c r="A63" s="37"/>
      <c r="B63" s="64" t="s">
        <v>875</v>
      </c>
      <c r="C63" s="40"/>
      <c r="D63" s="40"/>
      <c r="E63" s="40"/>
      <c r="F63" s="92"/>
      <c r="G63" s="93"/>
      <c r="H63" s="93"/>
      <c r="I63" s="93"/>
      <c r="J63" s="93"/>
      <c r="K63" s="93"/>
      <c r="L63" s="93"/>
      <c r="M63" s="92"/>
      <c r="N63" s="92"/>
      <c r="O63" s="93"/>
      <c r="P63" s="93"/>
      <c r="Q63" s="93"/>
      <c r="R63" s="93"/>
      <c r="S63" s="93"/>
      <c r="T63" s="93"/>
      <c r="U63" s="94"/>
      <c r="V63" s="92"/>
      <c r="W63" s="92"/>
      <c r="X63" s="86"/>
      <c r="Y63" s="86"/>
      <c r="Z63" s="86"/>
    </row>
    <row r="64" spans="1:26" ht="12.75">
      <c r="A64" s="37"/>
      <c r="B64" s="2" t="s">
        <v>644</v>
      </c>
      <c r="C64" s="40"/>
      <c r="D64" s="40" t="s">
        <v>1462</v>
      </c>
      <c r="E64" s="40"/>
      <c r="F64" s="92"/>
      <c r="G64" s="93"/>
      <c r="H64" s="93"/>
      <c r="I64" s="93"/>
      <c r="J64" s="93"/>
      <c r="K64" s="93"/>
      <c r="L64" s="93"/>
      <c r="M64" s="92"/>
      <c r="N64" s="92"/>
      <c r="O64" s="93"/>
      <c r="P64" s="93"/>
      <c r="Q64" s="93"/>
      <c r="R64" s="93"/>
      <c r="S64" s="93"/>
      <c r="T64" s="93"/>
      <c r="U64" s="94"/>
      <c r="V64" s="92"/>
      <c r="W64" s="92"/>
      <c r="X64" s="86"/>
      <c r="Y64" s="86"/>
      <c r="Z64" s="86"/>
    </row>
    <row r="65" spans="1:26" ht="12.75">
      <c r="A65" s="37"/>
      <c r="B65" s="2" t="s">
        <v>663</v>
      </c>
      <c r="C65" s="40"/>
      <c r="D65" s="40" t="s">
        <v>1463</v>
      </c>
      <c r="E65" s="40"/>
      <c r="F65" s="92"/>
      <c r="G65" s="93"/>
      <c r="H65" s="93"/>
      <c r="I65" s="93"/>
      <c r="J65" s="93"/>
      <c r="K65" s="93"/>
      <c r="L65" s="93"/>
      <c r="M65" s="92"/>
      <c r="N65" s="92"/>
      <c r="O65" s="93"/>
      <c r="P65" s="93"/>
      <c r="Q65" s="93"/>
      <c r="R65" s="93"/>
      <c r="S65" s="93"/>
      <c r="T65" s="93"/>
      <c r="U65" s="94"/>
      <c r="V65" s="92"/>
      <c r="W65" s="92"/>
      <c r="X65" s="86"/>
      <c r="Y65" s="86"/>
      <c r="Z65" s="86"/>
    </row>
    <row r="66" spans="1:26" ht="12.75">
      <c r="A66" s="37"/>
      <c r="B66" s="64" t="s">
        <v>768</v>
      </c>
      <c r="C66" s="40"/>
      <c r="D66" s="40" t="s">
        <v>1464</v>
      </c>
      <c r="E66" s="40"/>
      <c r="F66" s="92"/>
      <c r="G66" s="93"/>
      <c r="H66" s="93"/>
      <c r="I66" s="93"/>
      <c r="J66" s="93"/>
      <c r="K66" s="93"/>
      <c r="L66" s="93"/>
      <c r="M66" s="92"/>
      <c r="N66" s="92"/>
      <c r="O66" s="93"/>
      <c r="P66" s="93"/>
      <c r="Q66" s="93"/>
      <c r="R66" s="93"/>
      <c r="S66" s="93"/>
      <c r="T66" s="93"/>
      <c r="U66" s="94"/>
      <c r="V66" s="92"/>
      <c r="W66" s="92"/>
      <c r="X66" s="86"/>
      <c r="Y66" s="86"/>
      <c r="Z66" s="86"/>
    </row>
    <row r="67" spans="1:26" ht="12.75">
      <c r="A67" s="37"/>
      <c r="B67" s="2" t="s">
        <v>629</v>
      </c>
      <c r="C67" s="40"/>
      <c r="D67" s="40" t="s">
        <v>1465</v>
      </c>
      <c r="E67" s="40"/>
      <c r="F67" s="92"/>
      <c r="G67" s="93"/>
      <c r="H67" s="93"/>
      <c r="I67" s="93"/>
      <c r="J67" s="93"/>
      <c r="K67" s="93"/>
      <c r="L67" s="93"/>
      <c r="M67" s="92"/>
      <c r="N67" s="92"/>
      <c r="O67" s="93"/>
      <c r="P67" s="93"/>
      <c r="Q67" s="93"/>
      <c r="R67" s="93"/>
      <c r="S67" s="93"/>
      <c r="T67" s="93"/>
      <c r="U67" s="94"/>
      <c r="V67" s="92"/>
      <c r="W67" s="92"/>
      <c r="X67" s="86"/>
      <c r="Y67" s="86"/>
      <c r="Z67" s="86"/>
    </row>
    <row r="68" spans="1:26" ht="12.75">
      <c r="A68" s="37"/>
      <c r="B68" s="2" t="s">
        <v>664</v>
      </c>
      <c r="C68" s="40"/>
      <c r="D68" s="40" t="s">
        <v>1466</v>
      </c>
      <c r="E68" s="40"/>
      <c r="F68" s="92"/>
      <c r="G68" s="93"/>
      <c r="H68" s="93"/>
      <c r="I68" s="93"/>
      <c r="J68" s="93"/>
      <c r="K68" s="93"/>
      <c r="L68" s="93"/>
      <c r="M68" s="92"/>
      <c r="N68" s="92"/>
      <c r="O68" s="93"/>
      <c r="P68" s="93"/>
      <c r="Q68" s="93"/>
      <c r="R68" s="93"/>
      <c r="S68" s="93"/>
      <c r="T68" s="93"/>
      <c r="U68" s="94"/>
      <c r="V68" s="92"/>
      <c r="W68" s="92"/>
      <c r="X68" s="86"/>
      <c r="Y68" s="86"/>
      <c r="Z68" s="86"/>
    </row>
    <row r="69" spans="1:26" ht="12.75">
      <c r="A69" s="37"/>
      <c r="B69" s="2" t="s">
        <v>665</v>
      </c>
      <c r="C69" s="40"/>
      <c r="D69" s="40" t="s">
        <v>1467</v>
      </c>
      <c r="E69" s="40"/>
      <c r="F69" s="92"/>
      <c r="G69" s="93"/>
      <c r="H69" s="93"/>
      <c r="I69" s="93"/>
      <c r="J69" s="93"/>
      <c r="K69" s="93"/>
      <c r="L69" s="93"/>
      <c r="M69" s="92"/>
      <c r="N69" s="92"/>
      <c r="O69" s="93"/>
      <c r="P69" s="93"/>
      <c r="Q69" s="93"/>
      <c r="R69" s="93"/>
      <c r="S69" s="93"/>
      <c r="T69" s="93"/>
      <c r="U69" s="94"/>
      <c r="V69" s="92"/>
      <c r="W69" s="92"/>
      <c r="X69" s="86"/>
      <c r="Y69" s="86"/>
      <c r="Z69" s="86"/>
    </row>
    <row r="70" spans="1:26" ht="12.75">
      <c r="A70" s="37"/>
      <c r="B70" s="2" t="s">
        <v>661</v>
      </c>
      <c r="C70" s="40"/>
      <c r="D70" s="35" t="s">
        <v>1309</v>
      </c>
      <c r="E70" s="40"/>
      <c r="F70" s="92"/>
      <c r="G70" s="93"/>
      <c r="H70" s="93"/>
      <c r="I70" s="93"/>
      <c r="J70" s="93"/>
      <c r="K70" s="93"/>
      <c r="L70" s="93"/>
      <c r="M70" s="92"/>
      <c r="N70" s="92"/>
      <c r="O70" s="93"/>
      <c r="P70" s="93"/>
      <c r="Q70" s="93"/>
      <c r="R70" s="93"/>
      <c r="S70" s="93"/>
      <c r="T70" s="93"/>
      <c r="U70" s="94"/>
      <c r="V70" s="92"/>
      <c r="W70" s="92"/>
      <c r="X70" s="86"/>
      <c r="Y70" s="86"/>
      <c r="Z70" s="86"/>
    </row>
    <row r="71" spans="1:26" ht="12.75">
      <c r="A71" s="37" t="s">
        <v>1256</v>
      </c>
      <c r="B71" s="83" t="s">
        <v>641</v>
      </c>
      <c r="C71" s="35"/>
      <c r="D71" s="35" t="s">
        <v>1478</v>
      </c>
      <c r="E71" s="35"/>
      <c r="F71" s="92"/>
      <c r="G71" s="93"/>
      <c r="H71" s="93"/>
      <c r="I71" s="93"/>
      <c r="J71" s="93"/>
      <c r="K71" s="93"/>
      <c r="L71" s="93"/>
      <c r="M71" s="92"/>
      <c r="N71" s="92"/>
      <c r="O71" s="86"/>
      <c r="P71" s="93"/>
      <c r="Q71" s="86"/>
      <c r="R71" s="93"/>
      <c r="S71" s="93"/>
      <c r="T71" s="93"/>
      <c r="U71" s="94"/>
      <c r="V71" s="92"/>
      <c r="W71" s="92"/>
      <c r="X71" s="92"/>
      <c r="Y71" s="86"/>
      <c r="Z71" s="86"/>
    </row>
    <row r="72" spans="1:26" ht="12.75">
      <c r="A72" s="37"/>
      <c r="B72" s="80" t="s">
        <v>875</v>
      </c>
      <c r="C72" s="40"/>
      <c r="D72" s="40"/>
      <c r="E72" s="40"/>
      <c r="F72" s="92"/>
      <c r="G72" s="93"/>
      <c r="H72" s="93"/>
      <c r="I72" s="93"/>
      <c r="J72" s="93"/>
      <c r="K72" s="93"/>
      <c r="L72" s="93"/>
      <c r="M72" s="92"/>
      <c r="N72" s="92"/>
      <c r="O72" s="93"/>
      <c r="P72" s="93"/>
      <c r="Q72" s="93"/>
      <c r="R72" s="93"/>
      <c r="S72" s="93"/>
      <c r="T72" s="93"/>
      <c r="U72" s="94"/>
      <c r="V72" s="92"/>
      <c r="W72" s="92"/>
      <c r="X72" s="86"/>
      <c r="Y72" s="86"/>
      <c r="Z72" s="86"/>
    </row>
    <row r="73" spans="1:26" ht="12.75">
      <c r="A73" s="37"/>
      <c r="B73" s="2" t="s">
        <v>621</v>
      </c>
      <c r="C73" s="40"/>
      <c r="D73" s="40" t="s">
        <v>1468</v>
      </c>
      <c r="E73" s="40"/>
      <c r="F73" s="92"/>
      <c r="G73" s="93"/>
      <c r="H73" s="93"/>
      <c r="I73" s="93"/>
      <c r="J73" s="93"/>
      <c r="K73" s="93"/>
      <c r="L73" s="93"/>
      <c r="M73" s="92"/>
      <c r="N73" s="92"/>
      <c r="O73" s="93"/>
      <c r="P73" s="93"/>
      <c r="Q73" s="93"/>
      <c r="R73" s="93"/>
      <c r="S73" s="93"/>
      <c r="T73" s="93"/>
      <c r="U73" s="94"/>
      <c r="V73" s="92"/>
      <c r="W73" s="92"/>
      <c r="X73" s="86"/>
      <c r="Y73" s="86"/>
      <c r="Z73" s="86"/>
    </row>
    <row r="74" spans="1:26" ht="12.75">
      <c r="A74" s="37"/>
      <c r="B74" s="2" t="s">
        <v>631</v>
      </c>
      <c r="C74" s="40"/>
      <c r="D74" s="40" t="s">
        <v>1469</v>
      </c>
      <c r="E74" s="40"/>
      <c r="F74" s="92"/>
      <c r="G74" s="93"/>
      <c r="H74" s="93"/>
      <c r="I74" s="93"/>
      <c r="J74" s="93"/>
      <c r="K74" s="93"/>
      <c r="L74" s="93"/>
      <c r="M74" s="92"/>
      <c r="N74" s="92"/>
      <c r="O74" s="93"/>
      <c r="P74" s="93"/>
      <c r="Q74" s="93"/>
      <c r="R74" s="93"/>
      <c r="S74" s="93"/>
      <c r="T74" s="93"/>
      <c r="U74" s="94"/>
      <c r="V74" s="92"/>
      <c r="W74" s="92"/>
      <c r="X74" s="86"/>
      <c r="Y74" s="86"/>
      <c r="Z74" s="86"/>
    </row>
    <row r="75" spans="1:26" ht="12.75">
      <c r="A75" s="37"/>
      <c r="B75" s="9" t="s">
        <v>1257</v>
      </c>
      <c r="C75" s="40"/>
      <c r="D75" s="40" t="s">
        <v>1470</v>
      </c>
      <c r="E75" s="40"/>
      <c r="F75" s="92"/>
      <c r="G75" s="93"/>
      <c r="H75" s="93"/>
      <c r="I75" s="93"/>
      <c r="J75" s="93"/>
      <c r="K75" s="93"/>
      <c r="L75" s="93"/>
      <c r="M75" s="92"/>
      <c r="N75" s="92"/>
      <c r="O75" s="93"/>
      <c r="P75" s="93"/>
      <c r="Q75" s="93"/>
      <c r="R75" s="93"/>
      <c r="S75" s="93"/>
      <c r="T75" s="93"/>
      <c r="U75" s="94"/>
      <c r="V75" s="92"/>
      <c r="W75" s="92"/>
      <c r="X75" s="86"/>
      <c r="Y75" s="86"/>
      <c r="Z75" s="86"/>
    </row>
    <row r="76" spans="1:26" ht="12.75">
      <c r="A76" s="37"/>
      <c r="B76" s="9" t="s">
        <v>1258</v>
      </c>
      <c r="C76" s="40"/>
      <c r="D76" s="40" t="s">
        <v>1471</v>
      </c>
      <c r="E76" s="40"/>
      <c r="F76" s="92"/>
      <c r="G76" s="93"/>
      <c r="H76" s="93"/>
      <c r="I76" s="93"/>
      <c r="J76" s="93"/>
      <c r="K76" s="93"/>
      <c r="L76" s="93"/>
      <c r="M76" s="92"/>
      <c r="N76" s="92"/>
      <c r="O76" s="93"/>
      <c r="P76" s="93"/>
      <c r="Q76" s="93"/>
      <c r="R76" s="93"/>
      <c r="S76" s="93"/>
      <c r="T76" s="93"/>
      <c r="U76" s="94"/>
      <c r="V76" s="92"/>
      <c r="W76" s="92"/>
      <c r="X76" s="86"/>
      <c r="Y76" s="86"/>
      <c r="Z76" s="86"/>
    </row>
    <row r="77" spans="1:26" ht="12.75">
      <c r="A77" s="37"/>
      <c r="B77" s="2" t="s">
        <v>633</v>
      </c>
      <c r="C77" s="40"/>
      <c r="D77" s="40" t="s">
        <v>1472</v>
      </c>
      <c r="E77" s="40"/>
      <c r="F77" s="92"/>
      <c r="G77" s="93"/>
      <c r="H77" s="93"/>
      <c r="I77" s="93"/>
      <c r="J77" s="93"/>
      <c r="K77" s="93"/>
      <c r="L77" s="93"/>
      <c r="M77" s="92"/>
      <c r="N77" s="92"/>
      <c r="O77" s="93"/>
      <c r="P77" s="93"/>
      <c r="Q77" s="93"/>
      <c r="R77" s="93"/>
      <c r="S77" s="93"/>
      <c r="T77" s="93"/>
      <c r="U77" s="94"/>
      <c r="V77" s="92"/>
      <c r="W77" s="92"/>
      <c r="X77" s="86"/>
      <c r="Y77" s="86"/>
      <c r="Z77" s="86"/>
    </row>
    <row r="78" spans="1:26" ht="12.75">
      <c r="A78" s="37"/>
      <c r="B78" s="2" t="s">
        <v>631</v>
      </c>
      <c r="C78" s="40"/>
      <c r="D78" s="40" t="s">
        <v>1473</v>
      </c>
      <c r="E78" s="40"/>
      <c r="F78" s="92"/>
      <c r="G78" s="93"/>
      <c r="H78" s="93"/>
      <c r="I78" s="93"/>
      <c r="J78" s="93"/>
      <c r="K78" s="93"/>
      <c r="L78" s="93"/>
      <c r="M78" s="92"/>
      <c r="N78" s="92"/>
      <c r="O78" s="93"/>
      <c r="P78" s="93"/>
      <c r="Q78" s="93"/>
      <c r="R78" s="93"/>
      <c r="S78" s="93"/>
      <c r="T78" s="93"/>
      <c r="U78" s="94"/>
      <c r="V78" s="92"/>
      <c r="W78" s="92"/>
      <c r="X78" s="86"/>
      <c r="Y78" s="86"/>
      <c r="Z78" s="86"/>
    </row>
    <row r="79" spans="1:26" ht="12.75">
      <c r="A79" s="37" t="s">
        <v>1259</v>
      </c>
      <c r="B79" s="83" t="s">
        <v>623</v>
      </c>
      <c r="C79" s="35"/>
      <c r="D79" s="35" t="s">
        <v>1483</v>
      </c>
      <c r="E79" s="35"/>
      <c r="F79" s="92"/>
      <c r="G79" s="93"/>
      <c r="H79" s="93"/>
      <c r="I79" s="93"/>
      <c r="J79" s="93"/>
      <c r="K79" s="93"/>
      <c r="L79" s="93"/>
      <c r="M79" s="92"/>
      <c r="N79" s="92"/>
      <c r="O79" s="86"/>
      <c r="P79" s="86"/>
      <c r="Q79" s="86"/>
      <c r="R79" s="86"/>
      <c r="S79" s="86"/>
      <c r="T79" s="86"/>
      <c r="U79" s="94"/>
      <c r="V79" s="92"/>
      <c r="W79" s="92"/>
      <c r="X79" s="92"/>
      <c r="Y79" s="86"/>
      <c r="Z79" s="86"/>
    </row>
    <row r="80" spans="1:26" ht="12.75">
      <c r="A80" s="37"/>
      <c r="B80" s="80" t="s">
        <v>875</v>
      </c>
      <c r="C80" s="35"/>
      <c r="D80" s="35"/>
      <c r="E80" s="35"/>
      <c r="F80" s="92"/>
      <c r="G80" s="93"/>
      <c r="H80" s="93"/>
      <c r="I80" s="93"/>
      <c r="J80" s="93"/>
      <c r="K80" s="93"/>
      <c r="L80" s="93"/>
      <c r="M80" s="92"/>
      <c r="N80" s="92"/>
      <c r="O80" s="86"/>
      <c r="P80" s="86"/>
      <c r="Q80" s="86"/>
      <c r="R80" s="86"/>
      <c r="S80" s="86"/>
      <c r="T80" s="86"/>
      <c r="U80" s="94"/>
      <c r="V80" s="92"/>
      <c r="W80" s="92"/>
      <c r="X80" s="86"/>
      <c r="Y80" s="86"/>
      <c r="Z80" s="86"/>
    </row>
    <row r="81" spans="1:26" ht="12.75">
      <c r="A81" s="37"/>
      <c r="B81" s="80" t="s">
        <v>1290</v>
      </c>
      <c r="C81" s="35"/>
      <c r="D81" s="35" t="s">
        <v>1474</v>
      </c>
      <c r="E81" s="35"/>
      <c r="F81" s="92"/>
      <c r="G81" s="93"/>
      <c r="H81" s="93"/>
      <c r="I81" s="93"/>
      <c r="J81" s="93"/>
      <c r="K81" s="93"/>
      <c r="L81" s="93"/>
      <c r="M81" s="92"/>
      <c r="N81" s="92"/>
      <c r="O81" s="93"/>
      <c r="P81" s="93"/>
      <c r="Q81" s="93"/>
      <c r="R81" s="93"/>
      <c r="S81" s="93"/>
      <c r="T81" s="93"/>
      <c r="U81" s="94"/>
      <c r="V81" s="92"/>
      <c r="W81" s="92"/>
      <c r="X81" s="86"/>
      <c r="Y81" s="86"/>
      <c r="Z81" s="86"/>
    </row>
    <row r="82" spans="1:26" ht="12.75">
      <c r="A82" s="37" t="s">
        <v>1260</v>
      </c>
      <c r="B82" s="79" t="s">
        <v>1261</v>
      </c>
      <c r="C82" s="35"/>
      <c r="D82" s="35"/>
      <c r="E82" s="35"/>
      <c r="F82" s="92"/>
      <c r="G82" s="93"/>
      <c r="H82" s="93"/>
      <c r="I82" s="93"/>
      <c r="J82" s="93"/>
      <c r="K82" s="93"/>
      <c r="L82" s="93"/>
      <c r="M82" s="92"/>
      <c r="N82" s="92"/>
      <c r="O82" s="86"/>
      <c r="P82" s="86"/>
      <c r="Q82" s="86"/>
      <c r="R82" s="86"/>
      <c r="S82" s="86"/>
      <c r="T82" s="86"/>
      <c r="U82" s="94"/>
      <c r="V82" s="92"/>
      <c r="W82" s="92"/>
      <c r="X82" s="86"/>
      <c r="Y82" s="86"/>
      <c r="Z82" s="86"/>
    </row>
    <row r="83" spans="1:26" ht="12.75">
      <c r="A83" s="37" t="s">
        <v>1262</v>
      </c>
      <c r="B83" s="8" t="s">
        <v>1263</v>
      </c>
      <c r="C83" s="35"/>
      <c r="D83" s="101" t="s">
        <v>1475</v>
      </c>
      <c r="E83" s="35"/>
      <c r="F83" s="92"/>
      <c r="G83" s="93"/>
      <c r="H83" s="93"/>
      <c r="I83" s="93"/>
      <c r="J83" s="93"/>
      <c r="K83" s="93"/>
      <c r="L83" s="93"/>
      <c r="M83" s="92"/>
      <c r="N83" s="92"/>
      <c r="O83" s="86"/>
      <c r="P83" s="86"/>
      <c r="Q83" s="86"/>
      <c r="R83" s="86"/>
      <c r="S83" s="86"/>
      <c r="T83" s="86"/>
      <c r="U83" s="94"/>
      <c r="V83" s="92"/>
      <c r="W83" s="92"/>
      <c r="X83" s="92"/>
      <c r="Y83" s="86"/>
      <c r="Z83" s="86"/>
    </row>
    <row r="84" spans="1:26" ht="12.75">
      <c r="A84" s="37"/>
      <c r="B84" s="80" t="s">
        <v>875</v>
      </c>
      <c r="C84" s="35"/>
      <c r="D84" s="35"/>
      <c r="E84" s="35"/>
      <c r="F84" s="92"/>
      <c r="G84" s="93"/>
      <c r="H84" s="93"/>
      <c r="I84" s="93"/>
      <c r="J84" s="93"/>
      <c r="K84" s="93"/>
      <c r="L84" s="93"/>
      <c r="M84" s="92"/>
      <c r="N84" s="92"/>
      <c r="O84" s="86"/>
      <c r="P84" s="86"/>
      <c r="Q84" s="86"/>
      <c r="R84" s="86"/>
      <c r="S84" s="86"/>
      <c r="T84" s="86"/>
      <c r="U84" s="94"/>
      <c r="V84" s="92"/>
      <c r="W84" s="92"/>
      <c r="X84" s="86"/>
      <c r="Y84" s="86"/>
      <c r="Z84" s="86"/>
    </row>
    <row r="85" spans="1:26" ht="12.75">
      <c r="A85" s="37"/>
      <c r="B85" s="64" t="s">
        <v>1298</v>
      </c>
      <c r="C85" s="35"/>
      <c r="D85" s="35"/>
      <c r="E85" s="35"/>
      <c r="F85" s="92"/>
      <c r="G85" s="93"/>
      <c r="H85" s="93"/>
      <c r="I85" s="93"/>
      <c r="J85" s="93"/>
      <c r="K85" s="93"/>
      <c r="L85" s="93"/>
      <c r="M85" s="92"/>
      <c r="N85" s="92"/>
      <c r="O85" s="86"/>
      <c r="P85" s="86"/>
      <c r="Q85" s="86"/>
      <c r="R85" s="86"/>
      <c r="S85" s="86"/>
      <c r="T85" s="86"/>
      <c r="U85" s="94"/>
      <c r="V85" s="92"/>
      <c r="W85" s="92"/>
      <c r="X85" s="86"/>
      <c r="Y85" s="86"/>
      <c r="Z85" s="86"/>
    </row>
    <row r="86" spans="1:26" ht="12.75">
      <c r="A86" s="37"/>
      <c r="B86" s="64" t="s">
        <v>1299</v>
      </c>
      <c r="C86" s="35"/>
      <c r="D86" s="35"/>
      <c r="E86" s="35"/>
      <c r="F86" s="92"/>
      <c r="G86" s="93"/>
      <c r="H86" s="93"/>
      <c r="I86" s="93"/>
      <c r="J86" s="93"/>
      <c r="K86" s="93"/>
      <c r="L86" s="93"/>
      <c r="M86" s="92"/>
      <c r="N86" s="92"/>
      <c r="O86" s="86"/>
      <c r="P86" s="86"/>
      <c r="Q86" s="86"/>
      <c r="R86" s="86"/>
      <c r="S86" s="86"/>
      <c r="T86" s="86"/>
      <c r="U86" s="94"/>
      <c r="V86" s="92"/>
      <c r="W86" s="92"/>
      <c r="X86" s="86"/>
      <c r="Y86" s="86"/>
      <c r="Z86" s="86"/>
    </row>
    <row r="87" spans="1:26" ht="12.75">
      <c r="A87" s="37"/>
      <c r="B87" s="64" t="s">
        <v>1300</v>
      </c>
      <c r="C87" s="35"/>
      <c r="D87" s="35"/>
      <c r="E87" s="35"/>
      <c r="F87" s="92"/>
      <c r="G87" s="93"/>
      <c r="H87" s="93"/>
      <c r="I87" s="93"/>
      <c r="J87" s="93"/>
      <c r="K87" s="93"/>
      <c r="L87" s="93"/>
      <c r="M87" s="92"/>
      <c r="N87" s="92"/>
      <c r="O87" s="86"/>
      <c r="P87" s="86"/>
      <c r="Q87" s="86"/>
      <c r="R87" s="86"/>
      <c r="S87" s="86"/>
      <c r="T87" s="86"/>
      <c r="U87" s="94"/>
      <c r="V87" s="92"/>
      <c r="W87" s="92"/>
      <c r="X87" s="86"/>
      <c r="Y87" s="86"/>
      <c r="Z87" s="86"/>
    </row>
    <row r="88" spans="1:26" ht="12.75">
      <c r="A88" s="37" t="s">
        <v>1264</v>
      </c>
      <c r="B88" s="84" t="s">
        <v>1265</v>
      </c>
      <c r="C88" s="35"/>
      <c r="D88" s="101" t="s">
        <v>1476</v>
      </c>
      <c r="E88" s="35"/>
      <c r="F88" s="92"/>
      <c r="G88" s="93"/>
      <c r="H88" s="93"/>
      <c r="I88" s="93"/>
      <c r="J88" s="93"/>
      <c r="K88" s="93"/>
      <c r="L88" s="93"/>
      <c r="M88" s="92"/>
      <c r="N88" s="92"/>
      <c r="O88" s="86"/>
      <c r="P88" s="86"/>
      <c r="Q88" s="86"/>
      <c r="R88" s="86"/>
      <c r="S88" s="86"/>
      <c r="T88" s="86"/>
      <c r="U88" s="94"/>
      <c r="V88" s="92"/>
      <c r="W88" s="92"/>
      <c r="X88" s="86"/>
      <c r="Y88" s="86"/>
      <c r="Z88" s="86"/>
    </row>
    <row r="89" spans="1:26" ht="12.75">
      <c r="A89" s="37"/>
      <c r="B89" s="80" t="s">
        <v>875</v>
      </c>
      <c r="C89" s="35"/>
      <c r="D89" s="35"/>
      <c r="E89" s="35"/>
      <c r="F89" s="92"/>
      <c r="G89" s="93"/>
      <c r="H89" s="93"/>
      <c r="I89" s="93"/>
      <c r="J89" s="93"/>
      <c r="K89" s="93"/>
      <c r="L89" s="93"/>
      <c r="M89" s="92"/>
      <c r="N89" s="92"/>
      <c r="O89" s="86"/>
      <c r="P89" s="86"/>
      <c r="Q89" s="86"/>
      <c r="R89" s="86"/>
      <c r="S89" s="86"/>
      <c r="T89" s="86"/>
      <c r="U89" s="94"/>
      <c r="V89" s="92"/>
      <c r="W89" s="92"/>
      <c r="X89" s="86"/>
      <c r="Y89" s="86"/>
      <c r="Z89" s="86"/>
    </row>
    <row r="90" spans="1:26" ht="12.75">
      <c r="A90" s="37"/>
      <c r="B90" s="64" t="s">
        <v>1301</v>
      </c>
      <c r="C90" s="35"/>
      <c r="D90" s="35"/>
      <c r="E90" s="35"/>
      <c r="F90" s="92"/>
      <c r="G90" s="93"/>
      <c r="H90" s="93"/>
      <c r="I90" s="93"/>
      <c r="J90" s="93"/>
      <c r="K90" s="93"/>
      <c r="L90" s="93"/>
      <c r="M90" s="92"/>
      <c r="N90" s="92"/>
      <c r="O90" s="86"/>
      <c r="P90" s="86"/>
      <c r="Q90" s="86"/>
      <c r="R90" s="86"/>
      <c r="S90" s="86"/>
      <c r="T90" s="86"/>
      <c r="U90" s="94"/>
      <c r="V90" s="92"/>
      <c r="W90" s="92"/>
      <c r="X90" s="86"/>
      <c r="Y90" s="86"/>
      <c r="Z90" s="86"/>
    </row>
    <row r="91" spans="1:26" ht="12.75">
      <c r="A91" s="37"/>
      <c r="B91" s="64" t="s">
        <v>1302</v>
      </c>
      <c r="C91" s="35"/>
      <c r="D91" s="35"/>
      <c r="E91" s="35"/>
      <c r="F91" s="92"/>
      <c r="G91" s="93"/>
      <c r="H91" s="93"/>
      <c r="I91" s="93"/>
      <c r="J91" s="93"/>
      <c r="K91" s="93"/>
      <c r="L91" s="93"/>
      <c r="M91" s="92"/>
      <c r="N91" s="92"/>
      <c r="O91" s="86"/>
      <c r="P91" s="86"/>
      <c r="Q91" s="86"/>
      <c r="R91" s="86"/>
      <c r="S91" s="86"/>
      <c r="T91" s="86"/>
      <c r="U91" s="94"/>
      <c r="V91" s="92"/>
      <c r="W91" s="92"/>
      <c r="X91" s="86"/>
      <c r="Y91" s="86"/>
      <c r="Z91" s="86"/>
    </row>
    <row r="92" spans="1:26" ht="12.75">
      <c r="A92" s="37"/>
      <c r="B92" s="64" t="s">
        <v>1303</v>
      </c>
      <c r="C92" s="35"/>
      <c r="D92" s="35"/>
      <c r="E92" s="35"/>
      <c r="F92" s="92"/>
      <c r="G92" s="93"/>
      <c r="H92" s="93"/>
      <c r="I92" s="93"/>
      <c r="J92" s="93"/>
      <c r="K92" s="93"/>
      <c r="L92" s="93"/>
      <c r="M92" s="92"/>
      <c r="N92" s="92"/>
      <c r="O92" s="86"/>
      <c r="P92" s="86"/>
      <c r="Q92" s="86"/>
      <c r="R92" s="86"/>
      <c r="S92" s="86"/>
      <c r="T92" s="86"/>
      <c r="U92" s="94"/>
      <c r="V92" s="92"/>
      <c r="W92" s="92"/>
      <c r="X92" s="86"/>
      <c r="Y92" s="86"/>
      <c r="Z92" s="86"/>
    </row>
    <row r="93" spans="1:26" ht="12.75">
      <c r="A93" s="37"/>
      <c r="B93" s="64" t="s">
        <v>1300</v>
      </c>
      <c r="C93" s="35"/>
      <c r="D93" s="35"/>
      <c r="E93" s="35"/>
      <c r="F93" s="92"/>
      <c r="G93" s="93"/>
      <c r="H93" s="93"/>
      <c r="I93" s="93"/>
      <c r="J93" s="93"/>
      <c r="K93" s="93"/>
      <c r="L93" s="93"/>
      <c r="M93" s="92"/>
      <c r="N93" s="92"/>
      <c r="O93" s="86"/>
      <c r="P93" s="86"/>
      <c r="Q93" s="86"/>
      <c r="R93" s="86"/>
      <c r="S93" s="86"/>
      <c r="T93" s="86"/>
      <c r="U93" s="94"/>
      <c r="V93" s="92"/>
      <c r="W93" s="92"/>
      <c r="X93" s="86"/>
      <c r="Y93" s="86"/>
      <c r="Z93" s="86"/>
    </row>
    <row r="94" spans="1:26" ht="12.75">
      <c r="A94" s="37" t="s">
        <v>1266</v>
      </c>
      <c r="B94" s="84" t="s">
        <v>1267</v>
      </c>
      <c r="C94" s="35"/>
      <c r="D94" s="35" t="s">
        <v>1486</v>
      </c>
      <c r="E94" s="35"/>
      <c r="F94" s="92"/>
      <c r="G94" s="93"/>
      <c r="H94" s="93"/>
      <c r="I94" s="93"/>
      <c r="J94" s="93"/>
      <c r="K94" s="93"/>
      <c r="L94" s="93"/>
      <c r="M94" s="92"/>
      <c r="N94" s="92"/>
      <c r="O94" s="86"/>
      <c r="P94" s="86"/>
      <c r="Q94" s="86"/>
      <c r="R94" s="86"/>
      <c r="S94" s="86"/>
      <c r="T94" s="86"/>
      <c r="U94" s="94"/>
      <c r="V94" s="92"/>
      <c r="W94" s="92"/>
      <c r="X94" s="86"/>
      <c r="Y94" s="86"/>
      <c r="Z94" s="86"/>
    </row>
    <row r="95" spans="1:26" ht="12.75">
      <c r="A95" s="37"/>
      <c r="B95" s="64" t="s">
        <v>1304</v>
      </c>
      <c r="C95" s="35"/>
      <c r="D95" s="35"/>
      <c r="E95" s="35"/>
      <c r="F95" s="92"/>
      <c r="G95" s="93"/>
      <c r="H95" s="93"/>
      <c r="I95" s="93"/>
      <c r="J95" s="93"/>
      <c r="K95" s="93"/>
      <c r="L95" s="93"/>
      <c r="M95" s="92"/>
      <c r="N95" s="92"/>
      <c r="O95" s="86"/>
      <c r="P95" s="86"/>
      <c r="Q95" s="86"/>
      <c r="R95" s="86"/>
      <c r="S95" s="86"/>
      <c r="T95" s="86"/>
      <c r="U95" s="94"/>
      <c r="V95" s="92"/>
      <c r="W95" s="92"/>
      <c r="X95" s="86"/>
      <c r="Y95" s="86"/>
      <c r="Z95" s="86"/>
    </row>
    <row r="96" spans="1:26" ht="12.75">
      <c r="A96" s="37" t="s">
        <v>1268</v>
      </c>
      <c r="B96" s="79" t="s">
        <v>1269</v>
      </c>
      <c r="C96" s="35"/>
      <c r="D96" s="35"/>
      <c r="E96" s="35"/>
      <c r="F96" s="92"/>
      <c r="G96" s="93"/>
      <c r="H96" s="93"/>
      <c r="I96" s="93"/>
      <c r="J96" s="93"/>
      <c r="K96" s="93"/>
      <c r="L96" s="93"/>
      <c r="M96" s="92"/>
      <c r="N96" s="92"/>
      <c r="O96" s="86"/>
      <c r="P96" s="86"/>
      <c r="Q96" s="86"/>
      <c r="R96" s="86"/>
      <c r="S96" s="86"/>
      <c r="T96" s="86"/>
      <c r="U96" s="94"/>
      <c r="V96" s="92"/>
      <c r="W96" s="92"/>
      <c r="X96" s="86"/>
      <c r="Y96" s="86"/>
      <c r="Z96" s="86"/>
    </row>
    <row r="97" spans="1:26" ht="12.75">
      <c r="A97" s="37" t="s">
        <v>1270</v>
      </c>
      <c r="B97" s="72" t="s">
        <v>1271</v>
      </c>
      <c r="C97" s="35"/>
      <c r="D97" s="35" t="s">
        <v>1487</v>
      </c>
      <c r="E97" s="35"/>
      <c r="F97" s="92"/>
      <c r="G97" s="93"/>
      <c r="H97" s="93"/>
      <c r="I97" s="93"/>
      <c r="J97" s="93"/>
      <c r="K97" s="93"/>
      <c r="L97" s="93"/>
      <c r="M97" s="92"/>
      <c r="N97" s="92"/>
      <c r="O97" s="86"/>
      <c r="P97" s="86"/>
      <c r="Q97" s="86"/>
      <c r="R97" s="86"/>
      <c r="S97" s="86"/>
      <c r="T97" s="86"/>
      <c r="U97" s="94"/>
      <c r="V97" s="92"/>
      <c r="W97" s="92"/>
      <c r="X97" s="86"/>
      <c r="Y97" s="86"/>
      <c r="Z97" s="86"/>
    </row>
    <row r="98" spans="1:26" ht="12.75">
      <c r="A98" s="37"/>
      <c r="B98" s="80" t="s">
        <v>875</v>
      </c>
      <c r="C98" s="35"/>
      <c r="D98" s="35"/>
      <c r="E98" s="35"/>
      <c r="F98" s="92"/>
      <c r="G98" s="93"/>
      <c r="H98" s="93"/>
      <c r="I98" s="93"/>
      <c r="J98" s="93"/>
      <c r="K98" s="93"/>
      <c r="L98" s="93"/>
      <c r="M98" s="92"/>
      <c r="N98" s="92"/>
      <c r="O98" s="86"/>
      <c r="P98" s="86"/>
      <c r="Q98" s="86"/>
      <c r="R98" s="86"/>
      <c r="S98" s="86"/>
      <c r="T98" s="86"/>
      <c r="U98" s="94"/>
      <c r="V98" s="92"/>
      <c r="W98" s="92"/>
      <c r="X98" s="86"/>
      <c r="Y98" s="86"/>
      <c r="Z98" s="86"/>
    </row>
    <row r="99" spans="1:26" ht="12.75">
      <c r="A99" s="37" t="s">
        <v>1272</v>
      </c>
      <c r="B99" s="84" t="s">
        <v>1273</v>
      </c>
      <c r="C99" s="35"/>
      <c r="D99" s="35" t="s">
        <v>1488</v>
      </c>
      <c r="E99" s="35"/>
      <c r="F99" s="92"/>
      <c r="G99" s="93"/>
      <c r="H99" s="93"/>
      <c r="I99" s="93"/>
      <c r="J99" s="93"/>
      <c r="K99" s="93"/>
      <c r="L99" s="93"/>
      <c r="M99" s="92"/>
      <c r="N99" s="92"/>
      <c r="O99" s="86"/>
      <c r="P99" s="86"/>
      <c r="Q99" s="86"/>
      <c r="R99" s="86"/>
      <c r="S99" s="86"/>
      <c r="T99" s="86"/>
      <c r="U99" s="94"/>
      <c r="V99" s="92"/>
      <c r="W99" s="92"/>
      <c r="X99" s="86"/>
      <c r="Y99" s="86"/>
      <c r="Z99" s="86"/>
    </row>
    <row r="100" spans="1:26" ht="12.75">
      <c r="A100" s="37"/>
      <c r="B100" s="80" t="s">
        <v>875</v>
      </c>
      <c r="C100" s="35"/>
      <c r="D100" s="35"/>
      <c r="E100" s="35"/>
      <c r="F100" s="92"/>
      <c r="G100" s="93"/>
      <c r="H100" s="93"/>
      <c r="I100" s="93"/>
      <c r="J100" s="93"/>
      <c r="K100" s="93"/>
      <c r="L100" s="93"/>
      <c r="M100" s="92"/>
      <c r="N100" s="92"/>
      <c r="O100" s="86"/>
      <c r="P100" s="86"/>
      <c r="Q100" s="86"/>
      <c r="R100" s="86"/>
      <c r="S100" s="86"/>
      <c r="T100" s="86"/>
      <c r="U100" s="94"/>
      <c r="V100" s="92"/>
      <c r="W100" s="92"/>
      <c r="X100" s="86"/>
      <c r="Y100" s="86"/>
      <c r="Z100" s="86"/>
    </row>
    <row r="101" spans="1:26" ht="12.75">
      <c r="A101" s="37" t="s">
        <v>1274</v>
      </c>
      <c r="B101" s="84" t="s">
        <v>1275</v>
      </c>
      <c r="C101" s="35"/>
      <c r="D101" s="35" t="s">
        <v>1489</v>
      </c>
      <c r="E101" s="35"/>
      <c r="F101" s="92"/>
      <c r="G101" s="93"/>
      <c r="H101" s="93"/>
      <c r="I101" s="93"/>
      <c r="J101" s="93"/>
      <c r="K101" s="93"/>
      <c r="L101" s="93"/>
      <c r="M101" s="92"/>
      <c r="N101" s="92"/>
      <c r="O101" s="86"/>
      <c r="P101" s="86"/>
      <c r="Q101" s="86"/>
      <c r="R101" s="86"/>
      <c r="S101" s="86"/>
      <c r="T101" s="86"/>
      <c r="U101" s="94"/>
      <c r="V101" s="92"/>
      <c r="W101" s="92"/>
      <c r="X101" s="86"/>
      <c r="Y101" s="86"/>
      <c r="Z101" s="86"/>
    </row>
    <row r="102" spans="1:26" ht="12.75">
      <c r="A102" s="37"/>
      <c r="B102" s="80" t="s">
        <v>875</v>
      </c>
      <c r="C102" s="35"/>
      <c r="D102" s="35"/>
      <c r="E102" s="35"/>
      <c r="F102" s="92"/>
      <c r="G102" s="93"/>
      <c r="H102" s="93"/>
      <c r="I102" s="93"/>
      <c r="J102" s="93"/>
      <c r="K102" s="93"/>
      <c r="L102" s="93"/>
      <c r="M102" s="92"/>
      <c r="N102" s="92"/>
      <c r="O102" s="86"/>
      <c r="P102" s="86"/>
      <c r="Q102" s="86"/>
      <c r="R102" s="86"/>
      <c r="S102" s="86"/>
      <c r="T102" s="86"/>
      <c r="U102" s="94"/>
      <c r="V102" s="92"/>
      <c r="W102" s="92"/>
      <c r="X102" s="86"/>
      <c r="Y102" s="86"/>
      <c r="Z102" s="86"/>
    </row>
    <row r="103" spans="1:26" ht="12.75">
      <c r="A103" s="37" t="s">
        <v>1276</v>
      </c>
      <c r="B103" s="84" t="s">
        <v>1267</v>
      </c>
      <c r="C103" s="35"/>
      <c r="D103" s="35" t="s">
        <v>1490</v>
      </c>
      <c r="E103" s="35"/>
      <c r="F103" s="92"/>
      <c r="G103" s="93"/>
      <c r="H103" s="93"/>
      <c r="I103" s="93"/>
      <c r="J103" s="93"/>
      <c r="K103" s="93"/>
      <c r="L103" s="93"/>
      <c r="M103" s="92"/>
      <c r="N103" s="92"/>
      <c r="O103" s="86"/>
      <c r="P103" s="86"/>
      <c r="Q103" s="86"/>
      <c r="R103" s="86"/>
      <c r="S103" s="86"/>
      <c r="T103" s="86"/>
      <c r="U103" s="94"/>
      <c r="V103" s="92"/>
      <c r="W103" s="92"/>
      <c r="X103" s="86"/>
      <c r="Y103" s="86"/>
      <c r="Z103" s="86"/>
    </row>
    <row r="104" spans="1:26" ht="12.75">
      <c r="A104" s="37"/>
      <c r="B104" s="64"/>
      <c r="C104" s="35"/>
      <c r="D104" s="35"/>
      <c r="E104" s="35"/>
      <c r="F104" s="92"/>
      <c r="G104" s="93"/>
      <c r="H104" s="93"/>
      <c r="I104" s="93"/>
      <c r="J104" s="93"/>
      <c r="K104" s="93"/>
      <c r="L104" s="93"/>
      <c r="M104" s="92"/>
      <c r="N104" s="92"/>
      <c r="O104" s="86"/>
      <c r="P104" s="86"/>
      <c r="Q104" s="86"/>
      <c r="R104" s="86"/>
      <c r="S104" s="86"/>
      <c r="T104" s="86"/>
      <c r="U104" s="94"/>
      <c r="V104" s="92"/>
      <c r="W104" s="92"/>
      <c r="X104" s="86"/>
      <c r="Y104" s="86"/>
      <c r="Z104" s="86"/>
    </row>
    <row r="105" spans="1:26" ht="12.75">
      <c r="A105" s="37" t="s">
        <v>1277</v>
      </c>
      <c r="B105" s="79" t="s">
        <v>1278</v>
      </c>
      <c r="C105" s="35"/>
      <c r="D105" s="101" t="s">
        <v>1477</v>
      </c>
      <c r="E105" s="35"/>
      <c r="F105" s="92"/>
      <c r="G105" s="93"/>
      <c r="H105" s="93"/>
      <c r="I105" s="93"/>
      <c r="J105" s="93"/>
      <c r="K105" s="93"/>
      <c r="L105" s="93"/>
      <c r="M105" s="92"/>
      <c r="N105" s="92"/>
      <c r="O105" s="86"/>
      <c r="P105" s="86"/>
      <c r="Q105" s="86"/>
      <c r="R105" s="86"/>
      <c r="S105" s="86"/>
      <c r="T105" s="86"/>
      <c r="U105" s="94"/>
      <c r="V105" s="92"/>
      <c r="W105" s="92"/>
      <c r="X105" s="86"/>
      <c r="Y105" s="86"/>
      <c r="Z105" s="86"/>
    </row>
    <row r="106" spans="1:26" ht="12.75">
      <c r="A106" s="37"/>
      <c r="B106" s="80" t="s">
        <v>875</v>
      </c>
      <c r="C106" s="35"/>
      <c r="D106" s="35"/>
      <c r="E106" s="35"/>
      <c r="F106" s="92"/>
      <c r="G106" s="93"/>
      <c r="H106" s="93"/>
      <c r="I106" s="93"/>
      <c r="J106" s="93"/>
      <c r="K106" s="93"/>
      <c r="L106" s="93"/>
      <c r="M106" s="92"/>
      <c r="N106" s="92"/>
      <c r="O106" s="86"/>
      <c r="P106" s="86"/>
      <c r="Q106" s="86"/>
      <c r="R106" s="86"/>
      <c r="S106" s="86"/>
      <c r="T106" s="86"/>
      <c r="U106" s="94"/>
      <c r="V106" s="92"/>
      <c r="W106" s="92"/>
      <c r="X106" s="86"/>
      <c r="Y106" s="86"/>
      <c r="Z106" s="86"/>
    </row>
    <row r="107" spans="1:26" ht="12.75">
      <c r="A107" s="37"/>
      <c r="B107" s="2"/>
      <c r="C107" s="35"/>
      <c r="D107" s="35"/>
      <c r="E107" s="35"/>
      <c r="F107" s="92"/>
      <c r="G107" s="93"/>
      <c r="H107" s="93"/>
      <c r="I107" s="93"/>
      <c r="J107" s="93"/>
      <c r="K107" s="93"/>
      <c r="L107" s="93"/>
      <c r="M107" s="92"/>
      <c r="N107" s="92"/>
      <c r="O107" s="86"/>
      <c r="P107" s="86"/>
      <c r="Q107" s="86"/>
      <c r="R107" s="86"/>
      <c r="S107" s="86"/>
      <c r="T107" s="86"/>
      <c r="U107" s="94"/>
      <c r="V107" s="92"/>
      <c r="W107" s="92"/>
      <c r="X107" s="86"/>
      <c r="Y107" s="86"/>
      <c r="Z107" s="86"/>
    </row>
    <row r="108" spans="2:26" ht="12.75">
      <c r="B108" s="8" t="s">
        <v>666</v>
      </c>
      <c r="F108" s="86"/>
      <c r="G108" s="93"/>
      <c r="H108" s="93"/>
      <c r="I108" s="93"/>
      <c r="J108" s="93"/>
      <c r="K108" s="93"/>
      <c r="L108" s="93"/>
      <c r="M108" s="86"/>
      <c r="N108" s="86"/>
      <c r="O108" s="86"/>
      <c r="P108" s="86"/>
      <c r="Q108" s="86"/>
      <c r="R108" s="86"/>
      <c r="S108" s="86"/>
      <c r="T108" s="86"/>
      <c r="U108" s="94"/>
      <c r="V108" s="86"/>
      <c r="W108" s="86"/>
      <c r="X108" s="86"/>
      <c r="Y108" s="86"/>
      <c r="Z108" s="86"/>
    </row>
    <row r="109" spans="2:26" ht="12.75">
      <c r="B109" s="8" t="s">
        <v>877</v>
      </c>
      <c r="F109" s="86"/>
      <c r="G109" s="95"/>
      <c r="H109" s="95"/>
      <c r="I109" s="95"/>
      <c r="J109" s="95"/>
      <c r="K109" s="95"/>
      <c r="L109" s="95"/>
      <c r="M109" s="86"/>
      <c r="N109" s="86"/>
      <c r="O109" s="86"/>
      <c r="P109" s="86"/>
      <c r="Q109" s="86"/>
      <c r="R109" s="86"/>
      <c r="S109" s="86"/>
      <c r="T109" s="86"/>
      <c r="U109" s="94"/>
      <c r="V109" s="86"/>
      <c r="W109" s="86"/>
      <c r="X109" s="86"/>
      <c r="Y109" s="86"/>
      <c r="Z109" s="86"/>
    </row>
    <row r="110" spans="2:26" ht="12.75">
      <c r="B110" s="8"/>
      <c r="F110" s="86"/>
      <c r="G110" s="93"/>
      <c r="H110" s="93"/>
      <c r="I110" s="93"/>
      <c r="J110" s="93"/>
      <c r="K110" s="93"/>
      <c r="L110" s="93"/>
      <c r="M110" s="86"/>
      <c r="N110" s="86"/>
      <c r="O110" s="86"/>
      <c r="P110" s="86"/>
      <c r="Q110" s="86"/>
      <c r="R110" s="86"/>
      <c r="S110" s="86"/>
      <c r="T110" s="86"/>
      <c r="U110" s="94"/>
      <c r="V110" s="86"/>
      <c r="W110" s="86"/>
      <c r="X110" s="86"/>
      <c r="Y110" s="86"/>
      <c r="Z110" s="86"/>
    </row>
    <row r="111" spans="2:26" ht="12.75">
      <c r="B111" s="8" t="s">
        <v>885</v>
      </c>
      <c r="C111" s="47"/>
      <c r="D111" s="47"/>
      <c r="E111" s="47"/>
      <c r="F111" s="96"/>
      <c r="G111" s="92"/>
      <c r="H111" s="92"/>
      <c r="I111" s="92"/>
      <c r="J111" s="92"/>
      <c r="K111" s="92"/>
      <c r="L111" s="92"/>
      <c r="M111" s="96"/>
      <c r="N111" s="96"/>
      <c r="O111" s="86"/>
      <c r="P111" s="86"/>
      <c r="Q111" s="86"/>
      <c r="R111" s="86"/>
      <c r="S111" s="86"/>
      <c r="T111" s="86"/>
      <c r="U111" s="97"/>
      <c r="V111" s="96"/>
      <c r="W111" s="96"/>
      <c r="X111" s="96"/>
      <c r="Y111" s="86"/>
      <c r="Z111" s="86"/>
    </row>
    <row r="112" spans="1:26" ht="12.75">
      <c r="A112" s="37"/>
      <c r="B112" s="8"/>
      <c r="C112" s="47"/>
      <c r="D112" s="47"/>
      <c r="E112" s="47"/>
      <c r="F112" s="92"/>
      <c r="G112" s="93"/>
      <c r="H112" s="93"/>
      <c r="I112" s="93"/>
      <c r="J112" s="93"/>
      <c r="K112" s="93"/>
      <c r="L112" s="93"/>
      <c r="M112" s="92"/>
      <c r="N112" s="92"/>
      <c r="O112" s="86"/>
      <c r="P112" s="86"/>
      <c r="Q112" s="86"/>
      <c r="R112" s="86"/>
      <c r="S112" s="86"/>
      <c r="T112" s="86"/>
      <c r="U112" s="94"/>
      <c r="V112" s="92"/>
      <c r="W112" s="92"/>
      <c r="X112" s="86"/>
      <c r="Y112" s="86"/>
      <c r="Z112" s="86"/>
    </row>
    <row r="113" spans="1:27" ht="12.75">
      <c r="A113" s="37"/>
      <c r="B113" s="8" t="s">
        <v>886</v>
      </c>
      <c r="C113" s="54"/>
      <c r="D113" s="54"/>
      <c r="E113" s="54"/>
      <c r="F113" s="98"/>
      <c r="G113" s="98"/>
      <c r="H113" s="98"/>
      <c r="I113" s="98"/>
      <c r="J113" s="98"/>
      <c r="K113" s="98"/>
      <c r="L113" s="98"/>
      <c r="M113" s="98"/>
      <c r="N113" s="98"/>
      <c r="O113" s="98"/>
      <c r="P113" s="98"/>
      <c r="Q113" s="98"/>
      <c r="R113" s="98"/>
      <c r="S113" s="98"/>
      <c r="T113" s="98"/>
      <c r="U113" s="98"/>
      <c r="V113" s="98"/>
      <c r="W113" s="98"/>
      <c r="X113" s="98"/>
      <c r="Y113" s="98"/>
      <c r="Z113" s="98"/>
      <c r="AA113" s="14"/>
    </row>
    <row r="114" spans="1:26" ht="12.75">
      <c r="A114" s="37"/>
      <c r="B114" s="8"/>
      <c r="C114" s="47"/>
      <c r="D114" s="47"/>
      <c r="E114" s="47"/>
      <c r="F114" s="92"/>
      <c r="G114" s="93"/>
      <c r="H114" s="93"/>
      <c r="I114" s="93"/>
      <c r="J114" s="93"/>
      <c r="K114" s="93"/>
      <c r="L114" s="93"/>
      <c r="M114" s="92"/>
      <c r="N114" s="92"/>
      <c r="O114" s="86"/>
      <c r="P114" s="86"/>
      <c r="Q114" s="86"/>
      <c r="R114" s="86"/>
      <c r="S114" s="86"/>
      <c r="T114" s="86"/>
      <c r="U114" s="94"/>
      <c r="V114" s="92"/>
      <c r="W114" s="92"/>
      <c r="X114" s="86"/>
      <c r="Y114" s="86"/>
      <c r="Z114" s="86"/>
    </row>
    <row r="115" spans="2:26" ht="12.75">
      <c r="B115" s="8" t="s">
        <v>887</v>
      </c>
      <c r="C115" s="55"/>
      <c r="D115" s="55"/>
      <c r="E115" s="49"/>
      <c r="F115" s="99"/>
      <c r="G115" s="100"/>
      <c r="H115" s="100"/>
      <c r="I115" s="100"/>
      <c r="J115" s="100"/>
      <c r="K115" s="100"/>
      <c r="L115" s="100"/>
      <c r="M115" s="99"/>
      <c r="N115" s="99"/>
      <c r="O115" s="86"/>
      <c r="P115" s="86"/>
      <c r="Q115" s="86"/>
      <c r="R115" s="86"/>
      <c r="S115" s="86"/>
      <c r="T115" s="86"/>
      <c r="U115" s="94"/>
      <c r="V115" s="99"/>
      <c r="W115" s="96"/>
      <c r="X115" s="86"/>
      <c r="Y115" s="86"/>
      <c r="Z115" s="86"/>
    </row>
    <row r="116" spans="6:26" ht="12.75">
      <c r="F116" s="86"/>
      <c r="G116" s="86"/>
      <c r="H116" s="86"/>
      <c r="I116" s="86"/>
      <c r="J116" s="86"/>
      <c r="K116" s="86"/>
      <c r="L116" s="86"/>
      <c r="M116" s="86"/>
      <c r="N116" s="86"/>
      <c r="O116" s="86"/>
      <c r="P116" s="86"/>
      <c r="Q116" s="86"/>
      <c r="R116" s="86"/>
      <c r="S116" s="86"/>
      <c r="T116" s="86"/>
      <c r="U116" s="86"/>
      <c r="V116" s="86"/>
      <c r="W116" s="86"/>
      <c r="X116" s="86"/>
      <c r="Y116" s="86"/>
      <c r="Z116" s="86"/>
    </row>
    <row r="117" spans="6:26" ht="12.75">
      <c r="F117" s="86"/>
      <c r="G117" s="86"/>
      <c r="H117" s="86"/>
      <c r="I117" s="86"/>
      <c r="J117" s="86"/>
      <c r="K117" s="86"/>
      <c r="L117" s="86"/>
      <c r="M117" s="86"/>
      <c r="N117" s="86"/>
      <c r="O117" s="86"/>
      <c r="P117" s="86"/>
      <c r="Q117" s="86"/>
      <c r="R117" s="86"/>
      <c r="S117" s="86"/>
      <c r="T117" s="86"/>
      <c r="U117" s="86"/>
      <c r="V117" s="86"/>
      <c r="W117" s="86"/>
      <c r="X117" s="86"/>
      <c r="Y117" s="86"/>
      <c r="Z117" s="86"/>
    </row>
    <row r="118" spans="6:26" ht="12.75">
      <c r="F118" s="86"/>
      <c r="G118" s="86"/>
      <c r="H118" s="86"/>
      <c r="I118" s="86"/>
      <c r="J118" s="86"/>
      <c r="K118" s="86"/>
      <c r="L118" s="86"/>
      <c r="M118" s="86"/>
      <c r="N118" s="86"/>
      <c r="O118" s="86"/>
      <c r="P118" s="86"/>
      <c r="Q118" s="86"/>
      <c r="R118" s="86"/>
      <c r="S118" s="86"/>
      <c r="T118" s="86"/>
      <c r="U118" s="86"/>
      <c r="V118" s="86"/>
      <c r="W118" s="86"/>
      <c r="X118" s="86"/>
      <c r="Y118" s="86"/>
      <c r="Z118" s="86"/>
    </row>
    <row r="119" spans="6:26" ht="12.75">
      <c r="F119" s="86"/>
      <c r="G119" s="86"/>
      <c r="H119" s="86"/>
      <c r="I119" s="86"/>
      <c r="J119" s="86"/>
      <c r="K119" s="86"/>
      <c r="L119" s="86"/>
      <c r="M119" s="86"/>
      <c r="N119" s="86"/>
      <c r="O119" s="86"/>
      <c r="P119" s="86"/>
      <c r="Q119" s="86"/>
      <c r="R119" s="86"/>
      <c r="S119" s="86"/>
      <c r="T119" s="86"/>
      <c r="U119" s="86"/>
      <c r="V119" s="86"/>
      <c r="W119" s="86"/>
      <c r="X119" s="86"/>
      <c r="Y119" s="86"/>
      <c r="Z119" s="86"/>
    </row>
    <row r="120" spans="6:26" ht="12.75">
      <c r="F120" s="86"/>
      <c r="G120" s="93"/>
      <c r="H120" s="93"/>
      <c r="I120" s="93"/>
      <c r="J120" s="93"/>
      <c r="K120" s="93"/>
      <c r="L120" s="93"/>
      <c r="M120" s="86"/>
      <c r="N120" s="86"/>
      <c r="O120" s="86"/>
      <c r="P120" s="86"/>
      <c r="Q120" s="86"/>
      <c r="R120" s="86"/>
      <c r="S120" s="86"/>
      <c r="T120" s="86"/>
      <c r="U120" s="86"/>
      <c r="V120" s="86"/>
      <c r="W120" s="86"/>
      <c r="X120" s="86"/>
      <c r="Y120" s="86"/>
      <c r="Z120" s="86"/>
    </row>
    <row r="121" spans="6:26" ht="12.75">
      <c r="F121" s="86"/>
      <c r="G121" s="86"/>
      <c r="H121" s="86"/>
      <c r="I121" s="86"/>
      <c r="J121" s="86"/>
      <c r="K121" s="86"/>
      <c r="L121" s="86"/>
      <c r="M121" s="86"/>
      <c r="N121" s="86"/>
      <c r="O121" s="86"/>
      <c r="P121" s="86"/>
      <c r="Q121" s="86"/>
      <c r="R121" s="86"/>
      <c r="S121" s="86"/>
      <c r="T121" s="86"/>
      <c r="U121" s="86"/>
      <c r="V121" s="86"/>
      <c r="W121" s="86"/>
      <c r="X121" s="86"/>
      <c r="Y121" s="86"/>
      <c r="Z121" s="86"/>
    </row>
    <row r="122" spans="6:26" ht="12.75">
      <c r="F122" s="86"/>
      <c r="G122" s="86"/>
      <c r="H122" s="86"/>
      <c r="I122" s="86"/>
      <c r="J122" s="86"/>
      <c r="K122" s="86"/>
      <c r="L122" s="86"/>
      <c r="M122" s="86"/>
      <c r="N122" s="86"/>
      <c r="O122" s="86"/>
      <c r="P122" s="86"/>
      <c r="Q122" s="86"/>
      <c r="R122" s="86"/>
      <c r="S122" s="86"/>
      <c r="T122" s="86"/>
      <c r="U122" s="86"/>
      <c r="V122" s="86"/>
      <c r="W122" s="86"/>
      <c r="X122" s="86"/>
      <c r="Y122" s="86"/>
      <c r="Z122" s="86"/>
    </row>
    <row r="123" spans="6:26" ht="12.75">
      <c r="F123" s="86"/>
      <c r="G123" s="86"/>
      <c r="H123" s="86"/>
      <c r="I123" s="86"/>
      <c r="J123" s="86"/>
      <c r="K123" s="86"/>
      <c r="L123" s="86"/>
      <c r="M123" s="86"/>
      <c r="N123" s="86"/>
      <c r="O123" s="86"/>
      <c r="P123" s="86"/>
      <c r="Q123" s="86"/>
      <c r="R123" s="86"/>
      <c r="S123" s="86"/>
      <c r="T123" s="86"/>
      <c r="U123" s="86"/>
      <c r="V123" s="86"/>
      <c r="W123" s="86"/>
      <c r="X123" s="86"/>
      <c r="Y123" s="86"/>
      <c r="Z123" s="86"/>
    </row>
    <row r="124" spans="6:26" ht="12.75">
      <c r="F124" s="86"/>
      <c r="G124" s="86"/>
      <c r="H124" s="86"/>
      <c r="I124" s="86"/>
      <c r="J124" s="86"/>
      <c r="K124" s="86"/>
      <c r="L124" s="86"/>
      <c r="M124" s="86"/>
      <c r="N124" s="86"/>
      <c r="O124" s="86"/>
      <c r="P124" s="86"/>
      <c r="Q124" s="86"/>
      <c r="R124" s="86"/>
      <c r="S124" s="86"/>
      <c r="T124" s="86"/>
      <c r="U124" s="86"/>
      <c r="V124" s="86"/>
      <c r="W124" s="86"/>
      <c r="X124" s="86"/>
      <c r="Y124" s="86"/>
      <c r="Z124" s="86"/>
    </row>
    <row r="125" spans="6:26" ht="12.75">
      <c r="F125" s="86"/>
      <c r="G125" s="86"/>
      <c r="H125" s="86"/>
      <c r="I125" s="86"/>
      <c r="J125" s="86"/>
      <c r="K125" s="86"/>
      <c r="L125" s="86"/>
      <c r="M125" s="86"/>
      <c r="N125" s="86"/>
      <c r="O125" s="86"/>
      <c r="P125" s="86"/>
      <c r="Q125" s="86"/>
      <c r="R125" s="86"/>
      <c r="S125" s="86"/>
      <c r="T125" s="86"/>
      <c r="U125" s="86"/>
      <c r="V125" s="86"/>
      <c r="W125" s="86"/>
      <c r="X125" s="86"/>
      <c r="Y125" s="86"/>
      <c r="Z125" s="86"/>
    </row>
    <row r="126" spans="6:26" ht="12.75">
      <c r="F126" s="86"/>
      <c r="G126" s="86"/>
      <c r="H126" s="86"/>
      <c r="I126" s="86"/>
      <c r="J126" s="86"/>
      <c r="K126" s="86"/>
      <c r="L126" s="86"/>
      <c r="M126" s="86"/>
      <c r="N126" s="86"/>
      <c r="O126" s="86"/>
      <c r="P126" s="86"/>
      <c r="Q126" s="86"/>
      <c r="R126" s="86"/>
      <c r="S126" s="86"/>
      <c r="T126" s="86"/>
      <c r="U126" s="86"/>
      <c r="V126" s="86"/>
      <c r="W126" s="86"/>
      <c r="X126" s="86"/>
      <c r="Y126" s="86"/>
      <c r="Z126" s="86"/>
    </row>
    <row r="127" spans="6:26" ht="12.75">
      <c r="F127" s="86"/>
      <c r="G127" s="86"/>
      <c r="H127" s="86"/>
      <c r="I127" s="86"/>
      <c r="J127" s="86"/>
      <c r="K127" s="86"/>
      <c r="L127" s="86"/>
      <c r="M127" s="86"/>
      <c r="N127" s="86"/>
      <c r="O127" s="86"/>
      <c r="P127" s="86"/>
      <c r="Q127" s="86"/>
      <c r="R127" s="86"/>
      <c r="S127" s="86"/>
      <c r="T127" s="86"/>
      <c r="U127" s="86"/>
      <c r="V127" s="86"/>
      <c r="W127" s="86"/>
      <c r="X127" s="86"/>
      <c r="Y127" s="86"/>
      <c r="Z127" s="86"/>
    </row>
    <row r="128" spans="6:26" ht="12.75">
      <c r="F128" s="86"/>
      <c r="G128" s="86"/>
      <c r="H128" s="86"/>
      <c r="I128" s="86"/>
      <c r="J128" s="86"/>
      <c r="K128" s="86"/>
      <c r="L128" s="86"/>
      <c r="M128" s="86"/>
      <c r="N128" s="86"/>
      <c r="O128" s="86"/>
      <c r="P128" s="86"/>
      <c r="Q128" s="86"/>
      <c r="R128" s="86"/>
      <c r="S128" s="86"/>
      <c r="T128" s="86"/>
      <c r="U128" s="86"/>
      <c r="V128" s="86"/>
      <c r="W128" s="86"/>
      <c r="X128" s="86"/>
      <c r="Y128" s="86"/>
      <c r="Z128" s="86"/>
    </row>
    <row r="129" spans="6:26" ht="12.75">
      <c r="F129" s="86"/>
      <c r="G129" s="86"/>
      <c r="H129" s="86"/>
      <c r="I129" s="86"/>
      <c r="J129" s="86"/>
      <c r="K129" s="86"/>
      <c r="L129" s="86"/>
      <c r="M129" s="86"/>
      <c r="N129" s="86"/>
      <c r="O129" s="86"/>
      <c r="P129" s="86"/>
      <c r="Q129" s="86"/>
      <c r="R129" s="86"/>
      <c r="S129" s="86"/>
      <c r="T129" s="86"/>
      <c r="U129" s="86"/>
      <c r="V129" s="86"/>
      <c r="W129" s="86"/>
      <c r="X129" s="86"/>
      <c r="Y129" s="86"/>
      <c r="Z129" s="86"/>
    </row>
    <row r="130" spans="6:26" ht="12.75">
      <c r="F130" s="86"/>
      <c r="G130" s="86"/>
      <c r="H130" s="86"/>
      <c r="I130" s="86"/>
      <c r="J130" s="86"/>
      <c r="K130" s="86"/>
      <c r="L130" s="86"/>
      <c r="M130" s="86"/>
      <c r="N130" s="86"/>
      <c r="O130" s="86"/>
      <c r="P130" s="86"/>
      <c r="Q130" s="86"/>
      <c r="R130" s="86"/>
      <c r="S130" s="86"/>
      <c r="T130" s="86"/>
      <c r="U130" s="86"/>
      <c r="V130" s="86"/>
      <c r="W130" s="86"/>
      <c r="X130" s="86"/>
      <c r="Y130" s="86"/>
      <c r="Z130" s="86"/>
    </row>
    <row r="131" spans="6:26" ht="12.75">
      <c r="F131" s="86"/>
      <c r="G131" s="86"/>
      <c r="H131" s="86"/>
      <c r="I131" s="86"/>
      <c r="J131" s="86"/>
      <c r="K131" s="86"/>
      <c r="L131" s="86"/>
      <c r="M131" s="86"/>
      <c r="N131" s="86"/>
      <c r="O131" s="86"/>
      <c r="P131" s="86"/>
      <c r="Q131" s="86"/>
      <c r="R131" s="86"/>
      <c r="S131" s="86"/>
      <c r="T131" s="86"/>
      <c r="U131" s="86"/>
      <c r="V131" s="86"/>
      <c r="W131" s="86"/>
      <c r="X131" s="86"/>
      <c r="Y131" s="86"/>
      <c r="Z131" s="86"/>
    </row>
    <row r="132" spans="6:26" ht="12.75">
      <c r="F132" s="86"/>
      <c r="G132" s="86"/>
      <c r="H132" s="86"/>
      <c r="I132" s="86"/>
      <c r="J132" s="86"/>
      <c r="K132" s="86"/>
      <c r="L132" s="86"/>
      <c r="M132" s="86"/>
      <c r="N132" s="86"/>
      <c r="O132" s="86"/>
      <c r="P132" s="86"/>
      <c r="Q132" s="86"/>
      <c r="R132" s="86"/>
      <c r="S132" s="86"/>
      <c r="T132" s="86"/>
      <c r="U132" s="86"/>
      <c r="V132" s="86"/>
      <c r="W132" s="86"/>
      <c r="X132" s="86"/>
      <c r="Y132" s="86"/>
      <c r="Z132" s="86"/>
    </row>
    <row r="133" spans="6:26" ht="12.75">
      <c r="F133" s="86"/>
      <c r="G133" s="86"/>
      <c r="H133" s="86"/>
      <c r="I133" s="86"/>
      <c r="J133" s="86"/>
      <c r="K133" s="86"/>
      <c r="L133" s="86"/>
      <c r="M133" s="86"/>
      <c r="N133" s="86"/>
      <c r="O133" s="86"/>
      <c r="P133" s="86"/>
      <c r="Q133" s="86"/>
      <c r="R133" s="86"/>
      <c r="S133" s="86"/>
      <c r="T133" s="86"/>
      <c r="U133" s="86"/>
      <c r="V133" s="86"/>
      <c r="W133" s="86"/>
      <c r="X133" s="86"/>
      <c r="Y133" s="86"/>
      <c r="Z133" s="86"/>
    </row>
    <row r="134" spans="6:26" ht="12.75">
      <c r="F134" s="86"/>
      <c r="G134" s="86"/>
      <c r="H134" s="86"/>
      <c r="I134" s="86"/>
      <c r="J134" s="86"/>
      <c r="K134" s="86"/>
      <c r="L134" s="86"/>
      <c r="M134" s="86"/>
      <c r="N134" s="86"/>
      <c r="O134" s="86"/>
      <c r="P134" s="86"/>
      <c r="Q134" s="86"/>
      <c r="R134" s="86"/>
      <c r="S134" s="86"/>
      <c r="T134" s="86"/>
      <c r="U134" s="86"/>
      <c r="V134" s="86"/>
      <c r="W134" s="86"/>
      <c r="X134" s="86"/>
      <c r="Y134" s="86"/>
      <c r="Z134" s="86"/>
    </row>
    <row r="135" spans="6:26" ht="12.75">
      <c r="F135" s="86"/>
      <c r="G135" s="86"/>
      <c r="H135" s="86"/>
      <c r="I135" s="86"/>
      <c r="J135" s="86"/>
      <c r="K135" s="86"/>
      <c r="L135" s="86"/>
      <c r="M135" s="86"/>
      <c r="N135" s="86"/>
      <c r="O135" s="86"/>
      <c r="P135" s="86"/>
      <c r="Q135" s="86"/>
      <c r="R135" s="86"/>
      <c r="S135" s="86"/>
      <c r="T135" s="86"/>
      <c r="U135" s="86"/>
      <c r="V135" s="86"/>
      <c r="W135" s="86"/>
      <c r="X135" s="86"/>
      <c r="Y135" s="86"/>
      <c r="Z135" s="86"/>
    </row>
    <row r="136" spans="6:26" ht="12.75">
      <c r="F136" s="86"/>
      <c r="G136" s="86"/>
      <c r="H136" s="86"/>
      <c r="I136" s="86"/>
      <c r="J136" s="86"/>
      <c r="K136" s="86"/>
      <c r="L136" s="86"/>
      <c r="M136" s="86"/>
      <c r="N136" s="86"/>
      <c r="O136" s="86"/>
      <c r="P136" s="86"/>
      <c r="Q136" s="86"/>
      <c r="R136" s="86"/>
      <c r="S136" s="86"/>
      <c r="T136" s="86"/>
      <c r="U136" s="86"/>
      <c r="V136" s="86"/>
      <c r="W136" s="86"/>
      <c r="X136" s="86"/>
      <c r="Y136" s="86"/>
      <c r="Z136" s="86"/>
    </row>
    <row r="137" spans="6:26" ht="12.75">
      <c r="F137" s="86"/>
      <c r="G137" s="86"/>
      <c r="H137" s="86"/>
      <c r="I137" s="86"/>
      <c r="J137" s="86"/>
      <c r="K137" s="86"/>
      <c r="L137" s="86"/>
      <c r="M137" s="86"/>
      <c r="N137" s="86"/>
      <c r="O137" s="86"/>
      <c r="P137" s="86"/>
      <c r="Q137" s="86"/>
      <c r="R137" s="86"/>
      <c r="S137" s="86"/>
      <c r="T137" s="86"/>
      <c r="U137" s="86"/>
      <c r="V137" s="86"/>
      <c r="W137" s="86"/>
      <c r="X137" s="86"/>
      <c r="Y137" s="86"/>
      <c r="Z137" s="86"/>
    </row>
    <row r="138" spans="6:26" ht="12.75">
      <c r="F138" s="86"/>
      <c r="G138" s="86"/>
      <c r="H138" s="86"/>
      <c r="I138" s="86"/>
      <c r="J138" s="86"/>
      <c r="K138" s="86"/>
      <c r="L138" s="86"/>
      <c r="M138" s="86"/>
      <c r="N138" s="86"/>
      <c r="O138" s="86"/>
      <c r="P138" s="86"/>
      <c r="Q138" s="86"/>
      <c r="R138" s="86"/>
      <c r="S138" s="86"/>
      <c r="T138" s="86"/>
      <c r="U138" s="86"/>
      <c r="V138" s="86"/>
      <c r="W138" s="86"/>
      <c r="X138" s="86"/>
      <c r="Y138" s="86"/>
      <c r="Z138" s="86"/>
    </row>
    <row r="139" spans="6:26" ht="12.75">
      <c r="F139" s="86"/>
      <c r="G139" s="86"/>
      <c r="H139" s="86"/>
      <c r="I139" s="86"/>
      <c r="J139" s="86"/>
      <c r="K139" s="86"/>
      <c r="L139" s="86"/>
      <c r="M139" s="86"/>
      <c r="N139" s="86"/>
      <c r="O139" s="86"/>
      <c r="P139" s="86"/>
      <c r="Q139" s="86"/>
      <c r="R139" s="86"/>
      <c r="S139" s="86"/>
      <c r="T139" s="86"/>
      <c r="U139" s="86"/>
      <c r="V139" s="86"/>
      <c r="W139" s="86"/>
      <c r="X139" s="86"/>
      <c r="Y139" s="86"/>
      <c r="Z139" s="86"/>
    </row>
    <row r="140" spans="6:26" ht="12.75">
      <c r="F140" s="86"/>
      <c r="G140" s="86"/>
      <c r="H140" s="86"/>
      <c r="I140" s="86"/>
      <c r="J140" s="86"/>
      <c r="K140" s="86"/>
      <c r="L140" s="86"/>
      <c r="M140" s="86"/>
      <c r="N140" s="86"/>
      <c r="O140" s="86"/>
      <c r="P140" s="86"/>
      <c r="Q140" s="86"/>
      <c r="R140" s="86"/>
      <c r="S140" s="86"/>
      <c r="T140" s="86"/>
      <c r="U140" s="86"/>
      <c r="V140" s="86"/>
      <c r="W140" s="86"/>
      <c r="X140" s="86"/>
      <c r="Y140" s="86"/>
      <c r="Z140" s="86"/>
    </row>
    <row r="141" spans="6:26" ht="12.75">
      <c r="F141" s="86"/>
      <c r="G141" s="86"/>
      <c r="H141" s="86"/>
      <c r="I141" s="86"/>
      <c r="J141" s="86"/>
      <c r="K141" s="86"/>
      <c r="L141" s="86"/>
      <c r="M141" s="86"/>
      <c r="N141" s="86"/>
      <c r="O141" s="86"/>
      <c r="P141" s="86"/>
      <c r="Q141" s="86"/>
      <c r="R141" s="86"/>
      <c r="S141" s="86"/>
      <c r="T141" s="86"/>
      <c r="U141" s="86"/>
      <c r="V141" s="86"/>
      <c r="W141" s="86"/>
      <c r="X141" s="86"/>
      <c r="Y141" s="86"/>
      <c r="Z141" s="86"/>
    </row>
    <row r="142" spans="6:26" ht="12.75">
      <c r="F142" s="86"/>
      <c r="G142" s="86"/>
      <c r="H142" s="86"/>
      <c r="I142" s="86"/>
      <c r="J142" s="86"/>
      <c r="K142" s="86"/>
      <c r="L142" s="86"/>
      <c r="M142" s="86"/>
      <c r="N142" s="86"/>
      <c r="O142" s="86"/>
      <c r="P142" s="86"/>
      <c r="Q142" s="86"/>
      <c r="R142" s="86"/>
      <c r="S142" s="86"/>
      <c r="T142" s="86"/>
      <c r="U142" s="86"/>
      <c r="V142" s="86"/>
      <c r="W142" s="86"/>
      <c r="X142" s="86"/>
      <c r="Y142" s="86"/>
      <c r="Z142" s="86"/>
    </row>
    <row r="143" spans="6:26" ht="12.75">
      <c r="F143" s="86"/>
      <c r="G143" s="86"/>
      <c r="H143" s="86"/>
      <c r="I143" s="86"/>
      <c r="J143" s="86"/>
      <c r="K143" s="86"/>
      <c r="L143" s="86"/>
      <c r="M143" s="86"/>
      <c r="N143" s="86"/>
      <c r="O143" s="86"/>
      <c r="P143" s="86"/>
      <c r="Q143" s="86"/>
      <c r="R143" s="86"/>
      <c r="S143" s="86"/>
      <c r="T143" s="86"/>
      <c r="U143" s="86"/>
      <c r="V143" s="86"/>
      <c r="W143" s="86"/>
      <c r="X143" s="86"/>
      <c r="Y143" s="86"/>
      <c r="Z143" s="86"/>
    </row>
    <row r="144" spans="6:26" ht="12.75">
      <c r="F144" s="86"/>
      <c r="G144" s="86"/>
      <c r="H144" s="86"/>
      <c r="I144" s="86"/>
      <c r="J144" s="86"/>
      <c r="K144" s="86"/>
      <c r="L144" s="86"/>
      <c r="M144" s="86"/>
      <c r="N144" s="86"/>
      <c r="O144" s="86"/>
      <c r="P144" s="86"/>
      <c r="Q144" s="86"/>
      <c r="R144" s="86"/>
      <c r="S144" s="86"/>
      <c r="T144" s="86"/>
      <c r="U144" s="86"/>
      <c r="V144" s="86"/>
      <c r="W144" s="86"/>
      <c r="X144" s="86"/>
      <c r="Y144" s="86"/>
      <c r="Z144" s="86"/>
    </row>
    <row r="145" spans="6:26" ht="12.75">
      <c r="F145" s="86"/>
      <c r="G145" s="86"/>
      <c r="H145" s="86"/>
      <c r="I145" s="86"/>
      <c r="J145" s="86"/>
      <c r="K145" s="86"/>
      <c r="L145" s="86"/>
      <c r="M145" s="86"/>
      <c r="N145" s="86"/>
      <c r="O145" s="86"/>
      <c r="P145" s="86"/>
      <c r="Q145" s="86"/>
      <c r="R145" s="86"/>
      <c r="S145" s="86"/>
      <c r="T145" s="86"/>
      <c r="U145" s="86"/>
      <c r="V145" s="86"/>
      <c r="W145" s="86"/>
      <c r="X145" s="86"/>
      <c r="Y145" s="86"/>
      <c r="Z145" s="86"/>
    </row>
    <row r="146" spans="6:26" ht="12.75">
      <c r="F146" s="86"/>
      <c r="G146" s="86"/>
      <c r="H146" s="86"/>
      <c r="I146" s="86"/>
      <c r="J146" s="86"/>
      <c r="K146" s="86"/>
      <c r="L146" s="86"/>
      <c r="M146" s="86"/>
      <c r="N146" s="86"/>
      <c r="O146" s="86"/>
      <c r="P146" s="86"/>
      <c r="Q146" s="86"/>
      <c r="R146" s="86"/>
      <c r="S146" s="86"/>
      <c r="T146" s="86"/>
      <c r="U146" s="86"/>
      <c r="V146" s="86"/>
      <c r="W146" s="86"/>
      <c r="X146" s="86"/>
      <c r="Y146" s="86"/>
      <c r="Z146" s="86"/>
    </row>
    <row r="147" spans="6:26" ht="12.75">
      <c r="F147" s="86"/>
      <c r="G147" s="86"/>
      <c r="H147" s="86"/>
      <c r="I147" s="86"/>
      <c r="J147" s="86"/>
      <c r="K147" s="86"/>
      <c r="L147" s="86"/>
      <c r="M147" s="86"/>
      <c r="N147" s="86"/>
      <c r="O147" s="86"/>
      <c r="P147" s="86"/>
      <c r="Q147" s="86"/>
      <c r="R147" s="86"/>
      <c r="S147" s="86"/>
      <c r="T147" s="86"/>
      <c r="U147" s="86"/>
      <c r="V147" s="86"/>
      <c r="W147" s="86"/>
      <c r="X147" s="86"/>
      <c r="Y147" s="86"/>
      <c r="Z147" s="86"/>
    </row>
    <row r="148" spans="6:26" ht="12.75">
      <c r="F148" s="86"/>
      <c r="G148" s="86"/>
      <c r="H148" s="86"/>
      <c r="I148" s="86"/>
      <c r="J148" s="86"/>
      <c r="K148" s="86"/>
      <c r="L148" s="86"/>
      <c r="M148" s="86"/>
      <c r="N148" s="86"/>
      <c r="O148" s="86"/>
      <c r="P148" s="86"/>
      <c r="Q148" s="86"/>
      <c r="R148" s="86"/>
      <c r="S148" s="86"/>
      <c r="T148" s="86"/>
      <c r="U148" s="86"/>
      <c r="V148" s="86"/>
      <c r="W148" s="86"/>
      <c r="X148" s="86"/>
      <c r="Y148" s="86"/>
      <c r="Z148" s="86"/>
    </row>
    <row r="149" spans="6:26" ht="12.75">
      <c r="F149" s="86"/>
      <c r="G149" s="86"/>
      <c r="H149" s="86"/>
      <c r="I149" s="86"/>
      <c r="J149" s="86"/>
      <c r="K149" s="86"/>
      <c r="L149" s="86"/>
      <c r="M149" s="86"/>
      <c r="N149" s="86"/>
      <c r="O149" s="86"/>
      <c r="P149" s="86"/>
      <c r="Q149" s="86"/>
      <c r="R149" s="86"/>
      <c r="S149" s="86"/>
      <c r="T149" s="86"/>
      <c r="U149" s="86"/>
      <c r="V149" s="86"/>
      <c r="W149" s="86"/>
      <c r="X149" s="86"/>
      <c r="Y149" s="86"/>
      <c r="Z149" s="86"/>
    </row>
    <row r="150" spans="6:26" ht="12.75">
      <c r="F150" s="86"/>
      <c r="G150" s="86"/>
      <c r="H150" s="86"/>
      <c r="I150" s="86"/>
      <c r="J150" s="86"/>
      <c r="K150" s="86"/>
      <c r="L150" s="86"/>
      <c r="M150" s="86"/>
      <c r="N150" s="86"/>
      <c r="O150" s="86"/>
      <c r="P150" s="86"/>
      <c r="Q150" s="86"/>
      <c r="R150" s="86"/>
      <c r="S150" s="86"/>
      <c r="T150" s="86"/>
      <c r="U150" s="86"/>
      <c r="V150" s="86"/>
      <c r="W150" s="86"/>
      <c r="X150" s="86"/>
      <c r="Y150" s="86"/>
      <c r="Z150" s="86"/>
    </row>
    <row r="151" spans="6:26" ht="12.75">
      <c r="F151" s="86"/>
      <c r="G151" s="86"/>
      <c r="H151" s="86"/>
      <c r="I151" s="86"/>
      <c r="J151" s="86"/>
      <c r="K151" s="86"/>
      <c r="L151" s="86"/>
      <c r="M151" s="86"/>
      <c r="N151" s="86"/>
      <c r="O151" s="86"/>
      <c r="P151" s="86"/>
      <c r="Q151" s="86"/>
      <c r="R151" s="86"/>
      <c r="S151" s="86"/>
      <c r="T151" s="86"/>
      <c r="U151" s="86"/>
      <c r="V151" s="86"/>
      <c r="W151" s="86"/>
      <c r="X151" s="86"/>
      <c r="Y151" s="86"/>
      <c r="Z151" s="86"/>
    </row>
    <row r="152" spans="6:26" ht="12.75">
      <c r="F152" s="86"/>
      <c r="G152" s="86"/>
      <c r="H152" s="86"/>
      <c r="I152" s="86"/>
      <c r="J152" s="86"/>
      <c r="K152" s="86"/>
      <c r="L152" s="86"/>
      <c r="M152" s="86"/>
      <c r="N152" s="86"/>
      <c r="O152" s="86"/>
      <c r="P152" s="86"/>
      <c r="Q152" s="86"/>
      <c r="R152" s="86"/>
      <c r="S152" s="86"/>
      <c r="T152" s="86"/>
      <c r="U152" s="86"/>
      <c r="V152" s="86"/>
      <c r="W152" s="86"/>
      <c r="X152" s="86"/>
      <c r="Y152" s="86"/>
      <c r="Z152" s="86"/>
    </row>
    <row r="153" spans="6:26" ht="12.75">
      <c r="F153" s="86"/>
      <c r="G153" s="86"/>
      <c r="H153" s="86"/>
      <c r="I153" s="86"/>
      <c r="J153" s="86"/>
      <c r="K153" s="86"/>
      <c r="L153" s="86"/>
      <c r="M153" s="86"/>
      <c r="N153" s="86"/>
      <c r="O153" s="86"/>
      <c r="P153" s="86"/>
      <c r="Q153" s="86"/>
      <c r="R153" s="86"/>
      <c r="S153" s="86"/>
      <c r="T153" s="86"/>
      <c r="U153" s="86"/>
      <c r="V153" s="86"/>
      <c r="W153" s="86"/>
      <c r="X153" s="86"/>
      <c r="Y153" s="86"/>
      <c r="Z153" s="86"/>
    </row>
    <row r="154" spans="6:26" ht="12.75">
      <c r="F154" s="86"/>
      <c r="G154" s="86"/>
      <c r="H154" s="86"/>
      <c r="I154" s="86"/>
      <c r="J154" s="86"/>
      <c r="K154" s="86"/>
      <c r="L154" s="86"/>
      <c r="M154" s="86"/>
      <c r="N154" s="86"/>
      <c r="O154" s="86"/>
      <c r="P154" s="86"/>
      <c r="Q154" s="86"/>
      <c r="R154" s="86"/>
      <c r="S154" s="86"/>
      <c r="T154" s="86"/>
      <c r="U154" s="86"/>
      <c r="V154" s="86"/>
      <c r="W154" s="86"/>
      <c r="X154" s="86"/>
      <c r="Y154" s="86"/>
      <c r="Z154" s="86"/>
    </row>
    <row r="155" spans="6:26" ht="12.75">
      <c r="F155" s="86"/>
      <c r="G155" s="86"/>
      <c r="H155" s="86"/>
      <c r="I155" s="86"/>
      <c r="J155" s="86"/>
      <c r="K155" s="86"/>
      <c r="L155" s="86"/>
      <c r="M155" s="86"/>
      <c r="N155" s="86"/>
      <c r="O155" s="86"/>
      <c r="P155" s="86"/>
      <c r="Q155" s="86"/>
      <c r="R155" s="86"/>
      <c r="S155" s="86"/>
      <c r="T155" s="86"/>
      <c r="U155" s="86"/>
      <c r="V155" s="86"/>
      <c r="W155" s="86"/>
      <c r="X155" s="86"/>
      <c r="Y155" s="86"/>
      <c r="Z155" s="86"/>
    </row>
    <row r="156" spans="6:26" ht="12.75">
      <c r="F156" s="86"/>
      <c r="G156" s="86"/>
      <c r="H156" s="86"/>
      <c r="I156" s="86"/>
      <c r="J156" s="86"/>
      <c r="K156" s="86"/>
      <c r="L156" s="86"/>
      <c r="M156" s="86"/>
      <c r="N156" s="86"/>
      <c r="O156" s="86"/>
      <c r="P156" s="86"/>
      <c r="Q156" s="86"/>
      <c r="R156" s="86"/>
      <c r="S156" s="86"/>
      <c r="T156" s="86"/>
      <c r="U156" s="86"/>
      <c r="V156" s="86"/>
      <c r="W156" s="86"/>
      <c r="X156" s="86"/>
      <c r="Y156" s="86"/>
      <c r="Z156" s="86"/>
    </row>
    <row r="157" spans="6:26" ht="12.75">
      <c r="F157" s="86"/>
      <c r="G157" s="86"/>
      <c r="H157" s="86"/>
      <c r="I157" s="86"/>
      <c r="J157" s="86"/>
      <c r="K157" s="86"/>
      <c r="L157" s="86"/>
      <c r="M157" s="86"/>
      <c r="N157" s="86"/>
      <c r="O157" s="86"/>
      <c r="P157" s="86"/>
      <c r="Q157" s="86"/>
      <c r="R157" s="86"/>
      <c r="S157" s="86"/>
      <c r="T157" s="86"/>
      <c r="U157" s="86"/>
      <c r="V157" s="86"/>
      <c r="W157" s="86"/>
      <c r="X157" s="86"/>
      <c r="Y157" s="86"/>
      <c r="Z157" s="86"/>
    </row>
    <row r="158" spans="6:26" ht="12.75">
      <c r="F158" s="86"/>
      <c r="G158" s="86"/>
      <c r="H158" s="86"/>
      <c r="I158" s="86"/>
      <c r="J158" s="86"/>
      <c r="K158" s="86"/>
      <c r="L158" s="86"/>
      <c r="M158" s="86"/>
      <c r="N158" s="86"/>
      <c r="O158" s="86"/>
      <c r="P158" s="86"/>
      <c r="Q158" s="86"/>
      <c r="R158" s="86"/>
      <c r="S158" s="86"/>
      <c r="T158" s="86"/>
      <c r="U158" s="86"/>
      <c r="V158" s="86"/>
      <c r="W158" s="86"/>
      <c r="X158" s="86"/>
      <c r="Y158" s="86"/>
      <c r="Z158" s="86"/>
    </row>
    <row r="159" spans="2:26" ht="12.75">
      <c r="B159" s="8"/>
      <c r="F159" s="92">
        <f>SUM(C159:E159)</f>
        <v>0</v>
      </c>
      <c r="G159" s="86"/>
      <c r="H159" s="86"/>
      <c r="I159" s="86"/>
      <c r="J159" s="86"/>
      <c r="K159" s="86"/>
      <c r="L159" s="86"/>
      <c r="M159" s="92">
        <f>$G$3*G159+$H$3*H159+$I$3*I159+$J$3*J159+$K$3*K159+$L$3*L159</f>
        <v>0</v>
      </c>
      <c r="N159" s="92"/>
      <c r="O159" s="86"/>
      <c r="P159" s="86"/>
      <c r="Q159" s="86"/>
      <c r="R159" s="86"/>
      <c r="S159" s="86"/>
      <c r="T159" s="86"/>
      <c r="U159" s="94">
        <f>((O159*P159)+Q159+(R159*S159)+T159)/100</f>
        <v>0</v>
      </c>
      <c r="V159" s="92">
        <f>+(F159+M159)*U159</f>
        <v>0</v>
      </c>
      <c r="W159" s="92">
        <f>+F159+M159+V159</f>
        <v>0</v>
      </c>
      <c r="X159" s="86"/>
      <c r="Y159" s="86"/>
      <c r="Z159" s="86"/>
    </row>
    <row r="160" spans="2:26" ht="12.75">
      <c r="B160" s="8"/>
      <c r="F160" s="92">
        <f>SUM(C160:E160)</f>
        <v>0</v>
      </c>
      <c r="G160" s="86"/>
      <c r="H160" s="86"/>
      <c r="I160" s="86"/>
      <c r="J160" s="86"/>
      <c r="K160" s="86"/>
      <c r="L160" s="86"/>
      <c r="M160" s="92">
        <f>$G$3*G160+$H$3*H160+$I$3*I160+$J$3*J160+$K$3*K160+$L$3*L160</f>
        <v>0</v>
      </c>
      <c r="N160" s="92"/>
      <c r="O160" s="86"/>
      <c r="P160" s="86"/>
      <c r="Q160" s="86"/>
      <c r="R160" s="86"/>
      <c r="S160" s="86"/>
      <c r="T160" s="86"/>
      <c r="U160" s="94">
        <f>((O160*P160)+Q160+(R160*S160)+T160)/100</f>
        <v>0</v>
      </c>
      <c r="V160" s="92">
        <f>+(F160+M160)*U160</f>
        <v>0</v>
      </c>
      <c r="W160" s="92">
        <f>+F160+M160+V160</f>
        <v>0</v>
      </c>
      <c r="X160" s="86"/>
      <c r="Y160" s="86"/>
      <c r="Z160" s="86"/>
    </row>
    <row r="161" spans="2:26" ht="12.75">
      <c r="B161" s="8"/>
      <c r="F161" s="92">
        <f>SUM(C161:E161)</f>
        <v>0</v>
      </c>
      <c r="G161" s="86"/>
      <c r="H161" s="86"/>
      <c r="I161" s="86"/>
      <c r="J161" s="86"/>
      <c r="K161" s="86"/>
      <c r="L161" s="86"/>
      <c r="M161" s="92">
        <f>$G$3*G161+$H$3*H161+$I$3*I161+$J$3*J161+$K$3*K161+$L$3*L161</f>
        <v>0</v>
      </c>
      <c r="N161" s="92"/>
      <c r="O161" s="86"/>
      <c r="P161" s="86"/>
      <c r="Q161" s="86"/>
      <c r="R161" s="86"/>
      <c r="S161" s="86"/>
      <c r="T161" s="86"/>
      <c r="U161" s="94">
        <f>((O161*P161)+Q161+(R161*S161)+T161)/100</f>
        <v>0</v>
      </c>
      <c r="V161" s="92">
        <f>+(F161+M161)*U161</f>
        <v>0</v>
      </c>
      <c r="W161" s="92">
        <f>+F161+M161+V161</f>
        <v>0</v>
      </c>
      <c r="X161" s="86"/>
      <c r="Y161" s="86"/>
      <c r="Z161" s="86"/>
    </row>
    <row r="162" spans="6:26" ht="12.75">
      <c r="F162" s="86"/>
      <c r="G162" s="86"/>
      <c r="H162" s="86"/>
      <c r="I162" s="86"/>
      <c r="J162" s="86"/>
      <c r="K162" s="86"/>
      <c r="L162" s="86"/>
      <c r="M162" s="86"/>
      <c r="N162" s="86"/>
      <c r="O162" s="86"/>
      <c r="P162" s="86"/>
      <c r="Q162" s="86"/>
      <c r="R162" s="86"/>
      <c r="S162" s="86"/>
      <c r="T162" s="86"/>
      <c r="U162" s="86"/>
      <c r="V162" s="86"/>
      <c r="W162" s="86"/>
      <c r="X162" s="86"/>
      <c r="Y162" s="86"/>
      <c r="Z162" s="86"/>
    </row>
    <row r="163" spans="6:26" ht="12.75">
      <c r="F163" s="86"/>
      <c r="G163" s="86"/>
      <c r="H163" s="86"/>
      <c r="I163" s="86"/>
      <c r="J163" s="86"/>
      <c r="K163" s="86"/>
      <c r="L163" s="86"/>
      <c r="M163" s="86"/>
      <c r="N163" s="86"/>
      <c r="O163" s="86"/>
      <c r="P163" s="86"/>
      <c r="Q163" s="86"/>
      <c r="R163" s="86"/>
      <c r="S163" s="86"/>
      <c r="T163" s="86"/>
      <c r="U163" s="86"/>
      <c r="V163" s="86"/>
      <c r="W163" s="86"/>
      <c r="X163" s="86"/>
      <c r="Y163" s="86"/>
      <c r="Z163" s="86"/>
    </row>
    <row r="164" spans="2:26" ht="12.75">
      <c r="B164" s="8"/>
      <c r="F164" s="92">
        <f aca="true" t="shared" si="0" ref="F164:F175">SUM(C164:E164)</f>
        <v>0</v>
      </c>
      <c r="G164" s="86"/>
      <c r="H164" s="86"/>
      <c r="I164" s="86"/>
      <c r="J164" s="86"/>
      <c r="K164" s="86"/>
      <c r="L164" s="86"/>
      <c r="M164" s="92">
        <f aca="true" t="shared" si="1" ref="M164:M175">$G$3*G164+$H$3*H164+$I$3*I164+$J$3*J164+$K$3*K164+$L$3*L164</f>
        <v>0</v>
      </c>
      <c r="N164" s="92"/>
      <c r="O164" s="86"/>
      <c r="P164" s="86"/>
      <c r="Q164" s="86"/>
      <c r="R164" s="86"/>
      <c r="S164" s="86"/>
      <c r="T164" s="86"/>
      <c r="U164" s="94">
        <f aca="true" t="shared" si="2" ref="U164:U176">((O164*P164)+Q164+(R164*S164)+T164)/100</f>
        <v>0</v>
      </c>
      <c r="V164" s="92">
        <f aca="true" t="shared" si="3" ref="V164:V175">+(F164+M164)*U164</f>
        <v>0</v>
      </c>
      <c r="W164" s="92">
        <f aca="true" t="shared" si="4" ref="W164:W175">+F164+M164+V164</f>
        <v>0</v>
      </c>
      <c r="X164" s="86"/>
      <c r="Y164" s="86"/>
      <c r="Z164" s="86"/>
    </row>
    <row r="165" spans="2:26" ht="12.75">
      <c r="B165" s="8"/>
      <c r="F165" s="92">
        <f t="shared" si="0"/>
        <v>0</v>
      </c>
      <c r="G165" s="86"/>
      <c r="H165" s="86"/>
      <c r="I165" s="86"/>
      <c r="J165" s="86"/>
      <c r="K165" s="86"/>
      <c r="L165" s="86"/>
      <c r="M165" s="92">
        <f t="shared" si="1"/>
        <v>0</v>
      </c>
      <c r="N165" s="92"/>
      <c r="O165" s="86"/>
      <c r="P165" s="86"/>
      <c r="Q165" s="86"/>
      <c r="R165" s="86"/>
      <c r="S165" s="86"/>
      <c r="T165" s="86"/>
      <c r="U165" s="94">
        <f t="shared" si="2"/>
        <v>0</v>
      </c>
      <c r="V165" s="92">
        <f t="shared" si="3"/>
        <v>0</v>
      </c>
      <c r="W165" s="92">
        <f t="shared" si="4"/>
        <v>0</v>
      </c>
      <c r="X165" s="86"/>
      <c r="Y165" s="86"/>
      <c r="Z165" s="86"/>
    </row>
    <row r="166" spans="2:26" ht="12.75">
      <c r="B166" s="8"/>
      <c r="F166" s="92">
        <f t="shared" si="0"/>
        <v>0</v>
      </c>
      <c r="G166" s="86"/>
      <c r="H166" s="86"/>
      <c r="I166" s="86"/>
      <c r="J166" s="86"/>
      <c r="K166" s="86"/>
      <c r="L166" s="86"/>
      <c r="M166" s="92">
        <f t="shared" si="1"/>
        <v>0</v>
      </c>
      <c r="N166" s="92"/>
      <c r="O166" s="86"/>
      <c r="P166" s="86"/>
      <c r="Q166" s="86"/>
      <c r="R166" s="86"/>
      <c r="S166" s="86"/>
      <c r="T166" s="86"/>
      <c r="U166" s="94">
        <f t="shared" si="2"/>
        <v>0</v>
      </c>
      <c r="V166" s="92">
        <f t="shared" si="3"/>
        <v>0</v>
      </c>
      <c r="W166" s="92">
        <f t="shared" si="4"/>
        <v>0</v>
      </c>
      <c r="X166" s="86"/>
      <c r="Y166" s="86"/>
      <c r="Z166" s="86"/>
    </row>
    <row r="167" spans="2:26" ht="12.75">
      <c r="B167" s="8"/>
      <c r="F167" s="92">
        <f t="shared" si="0"/>
        <v>0</v>
      </c>
      <c r="G167" s="86"/>
      <c r="H167" s="86"/>
      <c r="I167" s="86"/>
      <c r="J167" s="86"/>
      <c r="K167" s="86"/>
      <c r="L167" s="86"/>
      <c r="M167" s="92">
        <f t="shared" si="1"/>
        <v>0</v>
      </c>
      <c r="N167" s="92"/>
      <c r="O167" s="86"/>
      <c r="P167" s="86"/>
      <c r="Q167" s="86"/>
      <c r="R167" s="86"/>
      <c r="S167" s="86"/>
      <c r="T167" s="86"/>
      <c r="U167" s="94">
        <f t="shared" si="2"/>
        <v>0</v>
      </c>
      <c r="V167" s="92">
        <f t="shared" si="3"/>
        <v>0</v>
      </c>
      <c r="W167" s="92">
        <f t="shared" si="4"/>
        <v>0</v>
      </c>
      <c r="X167" s="86"/>
      <c r="Y167" s="86"/>
      <c r="Z167" s="86"/>
    </row>
    <row r="168" spans="2:26" ht="12.75">
      <c r="B168" s="8"/>
      <c r="F168" s="92">
        <f t="shared" si="0"/>
        <v>0</v>
      </c>
      <c r="G168" s="86"/>
      <c r="H168" s="86"/>
      <c r="I168" s="86"/>
      <c r="J168" s="86"/>
      <c r="K168" s="86"/>
      <c r="L168" s="86"/>
      <c r="M168" s="92">
        <f t="shared" si="1"/>
        <v>0</v>
      </c>
      <c r="N168" s="92"/>
      <c r="O168" s="86"/>
      <c r="P168" s="86"/>
      <c r="Q168" s="86"/>
      <c r="R168" s="86"/>
      <c r="S168" s="86"/>
      <c r="T168" s="86"/>
      <c r="U168" s="94">
        <f t="shared" si="2"/>
        <v>0</v>
      </c>
      <c r="V168" s="92">
        <f t="shared" si="3"/>
        <v>0</v>
      </c>
      <c r="W168" s="92">
        <f t="shared" si="4"/>
        <v>0</v>
      </c>
      <c r="X168" s="86"/>
      <c r="Y168" s="86"/>
      <c r="Z168" s="86"/>
    </row>
    <row r="169" spans="2:26" ht="12.75">
      <c r="B169" s="8"/>
      <c r="F169" s="92">
        <f t="shared" si="0"/>
        <v>0</v>
      </c>
      <c r="G169" s="86"/>
      <c r="H169" s="86"/>
      <c r="I169" s="86"/>
      <c r="J169" s="86"/>
      <c r="K169" s="86"/>
      <c r="L169" s="86"/>
      <c r="M169" s="92">
        <f t="shared" si="1"/>
        <v>0</v>
      </c>
      <c r="N169" s="92"/>
      <c r="O169" s="86"/>
      <c r="P169" s="86"/>
      <c r="Q169" s="86"/>
      <c r="R169" s="86"/>
      <c r="S169" s="86"/>
      <c r="T169" s="86"/>
      <c r="U169" s="94">
        <f t="shared" si="2"/>
        <v>0</v>
      </c>
      <c r="V169" s="92">
        <f t="shared" si="3"/>
        <v>0</v>
      </c>
      <c r="W169" s="92">
        <f t="shared" si="4"/>
        <v>0</v>
      </c>
      <c r="X169" s="86"/>
      <c r="Y169" s="86"/>
      <c r="Z169" s="86"/>
    </row>
    <row r="170" spans="2:26" ht="12.75">
      <c r="B170" s="8"/>
      <c r="F170" s="92">
        <f t="shared" si="0"/>
        <v>0</v>
      </c>
      <c r="G170" s="86"/>
      <c r="H170" s="86"/>
      <c r="I170" s="86"/>
      <c r="J170" s="86"/>
      <c r="K170" s="86"/>
      <c r="L170" s="86"/>
      <c r="M170" s="92">
        <f t="shared" si="1"/>
        <v>0</v>
      </c>
      <c r="N170" s="92"/>
      <c r="O170" s="86"/>
      <c r="P170" s="86"/>
      <c r="Q170" s="86"/>
      <c r="R170" s="86"/>
      <c r="S170" s="86"/>
      <c r="T170" s="86"/>
      <c r="U170" s="94">
        <f t="shared" si="2"/>
        <v>0</v>
      </c>
      <c r="V170" s="92">
        <f t="shared" si="3"/>
        <v>0</v>
      </c>
      <c r="W170" s="92">
        <f t="shared" si="4"/>
        <v>0</v>
      </c>
      <c r="X170" s="86"/>
      <c r="Y170" s="86"/>
      <c r="Z170" s="86"/>
    </row>
    <row r="171" spans="2:26" ht="12.75">
      <c r="B171" s="8"/>
      <c r="F171" s="92">
        <f t="shared" si="0"/>
        <v>0</v>
      </c>
      <c r="G171" s="86"/>
      <c r="H171" s="86"/>
      <c r="I171" s="86"/>
      <c r="J171" s="86"/>
      <c r="K171" s="86"/>
      <c r="L171" s="86"/>
      <c r="M171" s="92">
        <f t="shared" si="1"/>
        <v>0</v>
      </c>
      <c r="N171" s="92"/>
      <c r="O171" s="86"/>
      <c r="P171" s="86"/>
      <c r="Q171" s="86"/>
      <c r="R171" s="86"/>
      <c r="S171" s="86"/>
      <c r="T171" s="86"/>
      <c r="U171" s="94">
        <f t="shared" si="2"/>
        <v>0</v>
      </c>
      <c r="V171" s="92">
        <f t="shared" si="3"/>
        <v>0</v>
      </c>
      <c r="W171" s="92">
        <f t="shared" si="4"/>
        <v>0</v>
      </c>
      <c r="X171" s="86"/>
      <c r="Y171" s="86"/>
      <c r="Z171" s="86"/>
    </row>
    <row r="172" spans="2:26" ht="12.75">
      <c r="B172" s="8"/>
      <c r="F172" s="92">
        <f t="shared" si="0"/>
        <v>0</v>
      </c>
      <c r="G172" s="86"/>
      <c r="H172" s="86"/>
      <c r="I172" s="86"/>
      <c r="J172" s="86"/>
      <c r="K172" s="86"/>
      <c r="L172" s="86"/>
      <c r="M172" s="92">
        <f t="shared" si="1"/>
        <v>0</v>
      </c>
      <c r="N172" s="92"/>
      <c r="O172" s="86"/>
      <c r="P172" s="86"/>
      <c r="Q172" s="86"/>
      <c r="R172" s="86"/>
      <c r="S172" s="86"/>
      <c r="T172" s="86"/>
      <c r="U172" s="94">
        <f t="shared" si="2"/>
        <v>0</v>
      </c>
      <c r="V172" s="92">
        <f t="shared" si="3"/>
        <v>0</v>
      </c>
      <c r="W172" s="92">
        <f t="shared" si="4"/>
        <v>0</v>
      </c>
      <c r="X172" s="86"/>
      <c r="Y172" s="86"/>
      <c r="Z172" s="86"/>
    </row>
    <row r="173" spans="2:26" ht="12.75">
      <c r="B173" s="8"/>
      <c r="F173" s="92">
        <f t="shared" si="0"/>
        <v>0</v>
      </c>
      <c r="G173" s="86"/>
      <c r="H173" s="86"/>
      <c r="I173" s="86"/>
      <c r="J173" s="86"/>
      <c r="K173" s="86"/>
      <c r="L173" s="86"/>
      <c r="M173" s="92">
        <f t="shared" si="1"/>
        <v>0</v>
      </c>
      <c r="N173" s="92"/>
      <c r="O173" s="86"/>
      <c r="P173" s="86"/>
      <c r="Q173" s="86"/>
      <c r="R173" s="86"/>
      <c r="S173" s="86"/>
      <c r="T173" s="86"/>
      <c r="U173" s="94">
        <f t="shared" si="2"/>
        <v>0</v>
      </c>
      <c r="V173" s="92">
        <f t="shared" si="3"/>
        <v>0</v>
      </c>
      <c r="W173" s="92">
        <f t="shared" si="4"/>
        <v>0</v>
      </c>
      <c r="X173" s="86"/>
      <c r="Y173" s="86"/>
      <c r="Z173" s="86"/>
    </row>
    <row r="174" spans="2:26" ht="12.75">
      <c r="B174" s="8"/>
      <c r="F174" s="92">
        <f t="shared" si="0"/>
        <v>0</v>
      </c>
      <c r="G174" s="86"/>
      <c r="H174" s="86"/>
      <c r="I174" s="86"/>
      <c r="J174" s="86"/>
      <c r="K174" s="86"/>
      <c r="L174" s="86"/>
      <c r="M174" s="92">
        <f t="shared" si="1"/>
        <v>0</v>
      </c>
      <c r="N174" s="92"/>
      <c r="O174" s="86"/>
      <c r="P174" s="86"/>
      <c r="Q174" s="86"/>
      <c r="R174" s="86"/>
      <c r="S174" s="86"/>
      <c r="T174" s="86"/>
      <c r="U174" s="94">
        <f t="shared" si="2"/>
        <v>0</v>
      </c>
      <c r="V174" s="92">
        <f t="shared" si="3"/>
        <v>0</v>
      </c>
      <c r="W174" s="92">
        <f t="shared" si="4"/>
        <v>0</v>
      </c>
      <c r="X174" s="86"/>
      <c r="Y174" s="86"/>
      <c r="Z174" s="86"/>
    </row>
    <row r="175" spans="2:26" ht="12.75">
      <c r="B175" s="8"/>
      <c r="F175" s="92">
        <f t="shared" si="0"/>
        <v>0</v>
      </c>
      <c r="G175" s="86"/>
      <c r="H175" s="86"/>
      <c r="I175" s="86"/>
      <c r="J175" s="86"/>
      <c r="K175" s="86"/>
      <c r="L175" s="86"/>
      <c r="M175" s="92">
        <f t="shared" si="1"/>
        <v>0</v>
      </c>
      <c r="N175" s="92"/>
      <c r="O175" s="86"/>
      <c r="P175" s="86"/>
      <c r="Q175" s="86"/>
      <c r="R175" s="86"/>
      <c r="S175" s="86"/>
      <c r="T175" s="86"/>
      <c r="U175" s="94">
        <f t="shared" si="2"/>
        <v>0</v>
      </c>
      <c r="V175" s="92">
        <f t="shared" si="3"/>
        <v>0</v>
      </c>
      <c r="W175" s="92">
        <f t="shared" si="4"/>
        <v>0</v>
      </c>
      <c r="X175" s="86"/>
      <c r="Y175" s="86"/>
      <c r="Z175" s="86"/>
    </row>
    <row r="176" spans="2:26" ht="12.75">
      <c r="B176" s="8"/>
      <c r="F176" s="86"/>
      <c r="G176" s="86"/>
      <c r="H176" s="86"/>
      <c r="I176" s="86"/>
      <c r="J176" s="86"/>
      <c r="K176" s="86"/>
      <c r="L176" s="86"/>
      <c r="M176" s="86"/>
      <c r="N176" s="86"/>
      <c r="O176" s="86"/>
      <c r="P176" s="86"/>
      <c r="Q176" s="86"/>
      <c r="R176" s="86"/>
      <c r="S176" s="86"/>
      <c r="T176" s="86"/>
      <c r="U176" s="94">
        <f t="shared" si="2"/>
        <v>0</v>
      </c>
      <c r="V176" s="86"/>
      <c r="W176" s="86"/>
      <c r="X176" s="86"/>
      <c r="Y176" s="86"/>
      <c r="Z176" s="86"/>
    </row>
    <row r="177" spans="6:26" ht="12.75">
      <c r="F177" s="86"/>
      <c r="G177" s="86"/>
      <c r="H177" s="86"/>
      <c r="I177" s="86"/>
      <c r="J177" s="86"/>
      <c r="K177" s="86"/>
      <c r="L177" s="86"/>
      <c r="M177" s="86"/>
      <c r="N177" s="86"/>
      <c r="O177" s="86"/>
      <c r="P177" s="86"/>
      <c r="Q177" s="86"/>
      <c r="R177" s="86"/>
      <c r="S177" s="86"/>
      <c r="T177" s="86"/>
      <c r="U177" s="86"/>
      <c r="V177" s="86"/>
      <c r="W177" s="86"/>
      <c r="X177" s="86"/>
      <c r="Y177" s="86"/>
      <c r="Z177" s="86"/>
    </row>
    <row r="178" spans="6:26" ht="12.75">
      <c r="F178" s="86"/>
      <c r="G178" s="86"/>
      <c r="H178" s="86"/>
      <c r="I178" s="86"/>
      <c r="J178" s="86"/>
      <c r="K178" s="86"/>
      <c r="L178" s="86"/>
      <c r="M178" s="86"/>
      <c r="N178" s="86"/>
      <c r="O178" s="86"/>
      <c r="P178" s="86"/>
      <c r="Q178" s="86"/>
      <c r="R178" s="86"/>
      <c r="S178" s="86"/>
      <c r="T178" s="86"/>
      <c r="U178" s="86"/>
      <c r="V178" s="86"/>
      <c r="W178" s="86"/>
      <c r="X178" s="86"/>
      <c r="Y178" s="86"/>
      <c r="Z178" s="86"/>
    </row>
    <row r="179" spans="6:26" ht="12.75">
      <c r="F179" s="86"/>
      <c r="G179" s="86"/>
      <c r="H179" s="86"/>
      <c r="I179" s="86"/>
      <c r="J179" s="86"/>
      <c r="K179" s="86"/>
      <c r="L179" s="86"/>
      <c r="M179" s="86"/>
      <c r="N179" s="86"/>
      <c r="O179" s="86"/>
      <c r="P179" s="86"/>
      <c r="Q179" s="86"/>
      <c r="R179" s="86"/>
      <c r="S179" s="86"/>
      <c r="T179" s="86"/>
      <c r="U179" s="86"/>
      <c r="V179" s="86"/>
      <c r="W179" s="86"/>
      <c r="X179" s="86"/>
      <c r="Y179" s="86"/>
      <c r="Z179" s="86"/>
    </row>
    <row r="180" spans="6:26" ht="12.75">
      <c r="F180" s="86"/>
      <c r="G180" s="86"/>
      <c r="H180" s="86"/>
      <c r="I180" s="86"/>
      <c r="J180" s="86"/>
      <c r="K180" s="86"/>
      <c r="L180" s="86"/>
      <c r="M180" s="86"/>
      <c r="N180" s="86"/>
      <c r="O180" s="86"/>
      <c r="P180" s="86"/>
      <c r="Q180" s="86"/>
      <c r="R180" s="86"/>
      <c r="S180" s="86"/>
      <c r="T180" s="86"/>
      <c r="U180" s="86"/>
      <c r="V180" s="86"/>
      <c r="W180" s="86"/>
      <c r="X180" s="86"/>
      <c r="Y180" s="86"/>
      <c r="Z180" s="86"/>
    </row>
    <row r="181" spans="6:26" ht="12.75">
      <c r="F181" s="86"/>
      <c r="G181" s="86"/>
      <c r="H181" s="86"/>
      <c r="I181" s="86"/>
      <c r="J181" s="86"/>
      <c r="K181" s="86"/>
      <c r="L181" s="86"/>
      <c r="M181" s="86"/>
      <c r="N181" s="86"/>
      <c r="O181" s="86"/>
      <c r="P181" s="86"/>
      <c r="Q181" s="86"/>
      <c r="R181" s="86"/>
      <c r="S181" s="86"/>
      <c r="T181" s="86"/>
      <c r="U181" s="86"/>
      <c r="V181" s="86"/>
      <c r="W181" s="86"/>
      <c r="X181" s="86"/>
      <c r="Y181" s="86"/>
      <c r="Z181" s="86"/>
    </row>
    <row r="182" spans="6:26" ht="12.75">
      <c r="F182" s="86"/>
      <c r="G182" s="86"/>
      <c r="H182" s="86"/>
      <c r="I182" s="86"/>
      <c r="J182" s="86"/>
      <c r="K182" s="86"/>
      <c r="L182" s="86"/>
      <c r="M182" s="86"/>
      <c r="N182" s="86"/>
      <c r="O182" s="86"/>
      <c r="P182" s="86"/>
      <c r="Q182" s="86"/>
      <c r="R182" s="86"/>
      <c r="S182" s="86"/>
      <c r="T182" s="86"/>
      <c r="U182" s="86"/>
      <c r="V182" s="86"/>
      <c r="W182" s="86"/>
      <c r="X182" s="86"/>
      <c r="Y182" s="86"/>
      <c r="Z182" s="86"/>
    </row>
    <row r="183" spans="6:26" ht="12.75">
      <c r="F183" s="86"/>
      <c r="G183" s="86"/>
      <c r="H183" s="86"/>
      <c r="I183" s="86"/>
      <c r="J183" s="86"/>
      <c r="K183" s="86"/>
      <c r="L183" s="86"/>
      <c r="M183" s="86"/>
      <c r="N183" s="86"/>
      <c r="O183" s="86"/>
      <c r="P183" s="86"/>
      <c r="Q183" s="86"/>
      <c r="R183" s="86"/>
      <c r="S183" s="86"/>
      <c r="T183" s="86"/>
      <c r="U183" s="86"/>
      <c r="V183" s="86"/>
      <c r="W183" s="86"/>
      <c r="X183" s="86"/>
      <c r="Y183" s="86"/>
      <c r="Z183" s="86"/>
    </row>
    <row r="184" spans="6:26" ht="12.75">
      <c r="F184" s="86"/>
      <c r="G184" s="86"/>
      <c r="H184" s="86"/>
      <c r="I184" s="86"/>
      <c r="J184" s="86"/>
      <c r="K184" s="86"/>
      <c r="L184" s="86"/>
      <c r="M184" s="86"/>
      <c r="N184" s="86"/>
      <c r="O184" s="86"/>
      <c r="P184" s="86"/>
      <c r="Q184" s="86"/>
      <c r="R184" s="86"/>
      <c r="S184" s="86"/>
      <c r="T184" s="86"/>
      <c r="U184" s="86"/>
      <c r="V184" s="86"/>
      <c r="W184" s="86"/>
      <c r="X184" s="86"/>
      <c r="Y184" s="86"/>
      <c r="Z184" s="86"/>
    </row>
    <row r="185" spans="6:26" ht="12.75">
      <c r="F185" s="86"/>
      <c r="G185" s="86"/>
      <c r="H185" s="86"/>
      <c r="I185" s="86"/>
      <c r="J185" s="86"/>
      <c r="K185" s="86"/>
      <c r="L185" s="86"/>
      <c r="M185" s="86"/>
      <c r="N185" s="86"/>
      <c r="O185" s="86"/>
      <c r="P185" s="86"/>
      <c r="Q185" s="86"/>
      <c r="R185" s="86"/>
      <c r="S185" s="86"/>
      <c r="T185" s="86"/>
      <c r="U185" s="86"/>
      <c r="V185" s="86"/>
      <c r="W185" s="86"/>
      <c r="X185" s="86"/>
      <c r="Y185" s="86"/>
      <c r="Z185" s="86"/>
    </row>
    <row r="186" spans="6:26" ht="12.75">
      <c r="F186" s="86"/>
      <c r="G186" s="86"/>
      <c r="H186" s="86"/>
      <c r="I186" s="86"/>
      <c r="J186" s="86"/>
      <c r="K186" s="86"/>
      <c r="L186" s="86"/>
      <c r="M186" s="86"/>
      <c r="N186" s="86"/>
      <c r="O186" s="86"/>
      <c r="P186" s="86"/>
      <c r="Q186" s="86"/>
      <c r="R186" s="86"/>
      <c r="S186" s="86"/>
      <c r="T186" s="86"/>
      <c r="U186" s="86"/>
      <c r="V186" s="86"/>
      <c r="W186" s="86"/>
      <c r="X186" s="86"/>
      <c r="Y186" s="86"/>
      <c r="Z186" s="86"/>
    </row>
    <row r="187" spans="6:26" ht="12.75">
      <c r="F187" s="86"/>
      <c r="G187" s="86"/>
      <c r="H187" s="86"/>
      <c r="I187" s="86"/>
      <c r="J187" s="86"/>
      <c r="K187" s="86"/>
      <c r="L187" s="86"/>
      <c r="M187" s="86"/>
      <c r="N187" s="86"/>
      <c r="O187" s="86"/>
      <c r="P187" s="86"/>
      <c r="Q187" s="86"/>
      <c r="R187" s="86"/>
      <c r="S187" s="86"/>
      <c r="T187" s="86"/>
      <c r="U187" s="86"/>
      <c r="V187" s="86"/>
      <c r="W187" s="86"/>
      <c r="X187" s="86"/>
      <c r="Y187" s="86"/>
      <c r="Z187" s="86"/>
    </row>
    <row r="188" spans="6:26" ht="12.75">
      <c r="F188" s="86"/>
      <c r="G188" s="86"/>
      <c r="H188" s="86"/>
      <c r="I188" s="86"/>
      <c r="J188" s="86"/>
      <c r="K188" s="86"/>
      <c r="L188" s="86"/>
      <c r="M188" s="86"/>
      <c r="N188" s="86"/>
      <c r="O188" s="86"/>
      <c r="P188" s="86"/>
      <c r="Q188" s="86"/>
      <c r="R188" s="86"/>
      <c r="S188" s="86"/>
      <c r="T188" s="86"/>
      <c r="U188" s="86"/>
      <c r="V188" s="86"/>
      <c r="W188" s="86"/>
      <c r="X188" s="86"/>
      <c r="Y188" s="86"/>
      <c r="Z188" s="86"/>
    </row>
    <row r="189" spans="6:26" ht="12.75">
      <c r="F189" s="86"/>
      <c r="G189" s="86"/>
      <c r="H189" s="86"/>
      <c r="I189" s="86"/>
      <c r="J189" s="86"/>
      <c r="K189" s="86"/>
      <c r="L189" s="86"/>
      <c r="M189" s="86"/>
      <c r="N189" s="86"/>
      <c r="O189" s="86"/>
      <c r="P189" s="86"/>
      <c r="Q189" s="86"/>
      <c r="R189" s="86"/>
      <c r="S189" s="86"/>
      <c r="T189" s="86"/>
      <c r="U189" s="86"/>
      <c r="V189" s="86"/>
      <c r="W189" s="86"/>
      <c r="X189" s="86"/>
      <c r="Y189" s="86"/>
      <c r="Z189" s="86"/>
    </row>
    <row r="190" spans="6:26" ht="12.75">
      <c r="F190" s="86"/>
      <c r="G190" s="86"/>
      <c r="H190" s="86"/>
      <c r="I190" s="86"/>
      <c r="J190" s="86"/>
      <c r="K190" s="86"/>
      <c r="L190" s="86"/>
      <c r="M190" s="86"/>
      <c r="N190" s="86"/>
      <c r="O190" s="86"/>
      <c r="P190" s="86"/>
      <c r="Q190" s="86"/>
      <c r="R190" s="86"/>
      <c r="S190" s="86"/>
      <c r="T190" s="86"/>
      <c r="U190" s="86"/>
      <c r="V190" s="86"/>
      <c r="W190" s="86"/>
      <c r="X190" s="86"/>
      <c r="Y190" s="86"/>
      <c r="Z190" s="86"/>
    </row>
    <row r="191" spans="6:26" ht="12.75">
      <c r="F191" s="86"/>
      <c r="G191" s="86"/>
      <c r="H191" s="86"/>
      <c r="I191" s="86"/>
      <c r="J191" s="86"/>
      <c r="K191" s="86"/>
      <c r="L191" s="86"/>
      <c r="M191" s="86"/>
      <c r="N191" s="86"/>
      <c r="O191" s="86"/>
      <c r="P191" s="86"/>
      <c r="Q191" s="86"/>
      <c r="R191" s="86"/>
      <c r="S191" s="86"/>
      <c r="T191" s="86"/>
      <c r="U191" s="86"/>
      <c r="V191" s="86"/>
      <c r="W191" s="86"/>
      <c r="X191" s="86"/>
      <c r="Y191" s="86"/>
      <c r="Z191" s="86"/>
    </row>
    <row r="192" spans="6:26" ht="12.75">
      <c r="F192" s="86"/>
      <c r="G192" s="86"/>
      <c r="H192" s="86"/>
      <c r="I192" s="86"/>
      <c r="J192" s="86"/>
      <c r="K192" s="86"/>
      <c r="L192" s="86"/>
      <c r="M192" s="86"/>
      <c r="N192" s="86"/>
      <c r="O192" s="86"/>
      <c r="P192" s="86"/>
      <c r="Q192" s="86"/>
      <c r="R192" s="86"/>
      <c r="S192" s="86"/>
      <c r="T192" s="86"/>
      <c r="U192" s="86"/>
      <c r="V192" s="86"/>
      <c r="W192" s="86"/>
      <c r="X192" s="86"/>
      <c r="Y192" s="86"/>
      <c r="Z192" s="86"/>
    </row>
    <row r="193" spans="6:26" ht="12.75">
      <c r="F193" s="86"/>
      <c r="G193" s="86"/>
      <c r="H193" s="86"/>
      <c r="I193" s="86"/>
      <c r="J193" s="86"/>
      <c r="K193" s="86"/>
      <c r="L193" s="86"/>
      <c r="M193" s="86"/>
      <c r="N193" s="86"/>
      <c r="O193" s="86"/>
      <c r="P193" s="86"/>
      <c r="Q193" s="86"/>
      <c r="R193" s="86"/>
      <c r="S193" s="86"/>
      <c r="T193" s="86"/>
      <c r="U193" s="86"/>
      <c r="V193" s="86"/>
      <c r="W193" s="86"/>
      <c r="X193" s="86"/>
      <c r="Y193" s="86"/>
      <c r="Z193" s="86"/>
    </row>
    <row r="194" spans="6:26" ht="12.75">
      <c r="F194" s="86"/>
      <c r="G194" s="86"/>
      <c r="H194" s="86"/>
      <c r="I194" s="86"/>
      <c r="J194" s="86"/>
      <c r="K194" s="86"/>
      <c r="L194" s="86"/>
      <c r="M194" s="86"/>
      <c r="N194" s="86"/>
      <c r="O194" s="86"/>
      <c r="P194" s="86"/>
      <c r="Q194" s="86"/>
      <c r="R194" s="86"/>
      <c r="S194" s="86"/>
      <c r="T194" s="86"/>
      <c r="U194" s="86"/>
      <c r="V194" s="86"/>
      <c r="W194" s="86"/>
      <c r="X194" s="86"/>
      <c r="Y194" s="86"/>
      <c r="Z194" s="86"/>
    </row>
    <row r="195" spans="6:26" ht="12.75">
      <c r="F195" s="86"/>
      <c r="G195" s="86"/>
      <c r="H195" s="86"/>
      <c r="I195" s="86"/>
      <c r="J195" s="86"/>
      <c r="K195" s="86"/>
      <c r="L195" s="86"/>
      <c r="M195" s="86"/>
      <c r="N195" s="86"/>
      <c r="O195" s="86"/>
      <c r="P195" s="86"/>
      <c r="Q195" s="86"/>
      <c r="R195" s="86"/>
      <c r="S195" s="86"/>
      <c r="T195" s="86"/>
      <c r="U195" s="86"/>
      <c r="V195" s="86"/>
      <c r="W195" s="86"/>
      <c r="X195" s="86"/>
      <c r="Y195" s="86"/>
      <c r="Z195" s="86"/>
    </row>
    <row r="196" spans="6:26" ht="12.75">
      <c r="F196" s="86"/>
      <c r="G196" s="86"/>
      <c r="H196" s="86"/>
      <c r="I196" s="86"/>
      <c r="J196" s="86"/>
      <c r="K196" s="86"/>
      <c r="L196" s="86"/>
      <c r="M196" s="86"/>
      <c r="N196" s="86"/>
      <c r="O196" s="86"/>
      <c r="P196" s="86"/>
      <c r="Q196" s="86"/>
      <c r="R196" s="86"/>
      <c r="S196" s="86"/>
      <c r="T196" s="86"/>
      <c r="U196" s="86"/>
      <c r="V196" s="86"/>
      <c r="W196" s="86"/>
      <c r="X196" s="86"/>
      <c r="Y196" s="86"/>
      <c r="Z196" s="86"/>
    </row>
    <row r="197" spans="6:26" ht="12.75">
      <c r="F197" s="86"/>
      <c r="G197" s="86"/>
      <c r="H197" s="86"/>
      <c r="I197" s="86"/>
      <c r="J197" s="86"/>
      <c r="K197" s="86"/>
      <c r="L197" s="86"/>
      <c r="M197" s="86"/>
      <c r="N197" s="86"/>
      <c r="O197" s="86"/>
      <c r="P197" s="86"/>
      <c r="Q197" s="86"/>
      <c r="R197" s="86"/>
      <c r="S197" s="86"/>
      <c r="T197" s="86"/>
      <c r="U197" s="86"/>
      <c r="V197" s="86"/>
      <c r="W197" s="86"/>
      <c r="X197" s="86"/>
      <c r="Y197" s="86"/>
      <c r="Z197" s="86"/>
    </row>
    <row r="198" spans="6:26" ht="12.75">
      <c r="F198" s="86"/>
      <c r="G198" s="86"/>
      <c r="H198" s="86"/>
      <c r="I198" s="86"/>
      <c r="J198" s="86"/>
      <c r="K198" s="86"/>
      <c r="L198" s="86"/>
      <c r="M198" s="86"/>
      <c r="N198" s="86"/>
      <c r="O198" s="86"/>
      <c r="P198" s="86"/>
      <c r="Q198" s="86"/>
      <c r="R198" s="86"/>
      <c r="S198" s="86"/>
      <c r="T198" s="86"/>
      <c r="U198" s="86"/>
      <c r="V198" s="86"/>
      <c r="W198" s="86"/>
      <c r="X198" s="86"/>
      <c r="Y198" s="86"/>
      <c r="Z198" s="86"/>
    </row>
    <row r="199" spans="6:26" ht="12.75">
      <c r="F199" s="86"/>
      <c r="G199" s="86"/>
      <c r="H199" s="86"/>
      <c r="I199" s="86"/>
      <c r="J199" s="86"/>
      <c r="K199" s="86"/>
      <c r="L199" s="86"/>
      <c r="M199" s="86"/>
      <c r="N199" s="86"/>
      <c r="O199" s="86"/>
      <c r="P199" s="86"/>
      <c r="Q199" s="86"/>
      <c r="R199" s="86"/>
      <c r="S199" s="86"/>
      <c r="T199" s="86"/>
      <c r="U199" s="86"/>
      <c r="V199" s="86"/>
      <c r="W199" s="86"/>
      <c r="X199" s="86"/>
      <c r="Y199" s="86"/>
      <c r="Z199" s="86"/>
    </row>
    <row r="200" spans="6:26" ht="12.75">
      <c r="F200" s="86"/>
      <c r="G200" s="86"/>
      <c r="H200" s="86"/>
      <c r="I200" s="86"/>
      <c r="J200" s="86"/>
      <c r="K200" s="86"/>
      <c r="L200" s="86"/>
      <c r="M200" s="86"/>
      <c r="N200" s="86"/>
      <c r="O200" s="86"/>
      <c r="P200" s="86"/>
      <c r="Q200" s="86"/>
      <c r="R200" s="86"/>
      <c r="S200" s="86"/>
      <c r="T200" s="86"/>
      <c r="U200" s="86"/>
      <c r="V200" s="86"/>
      <c r="W200" s="86"/>
      <c r="X200" s="86"/>
      <c r="Y200" s="86"/>
      <c r="Z200" s="86"/>
    </row>
    <row r="201" spans="6:26" ht="12.75">
      <c r="F201" s="86"/>
      <c r="G201" s="86"/>
      <c r="H201" s="86"/>
      <c r="I201" s="86"/>
      <c r="J201" s="86"/>
      <c r="K201" s="86"/>
      <c r="L201" s="86"/>
      <c r="M201" s="86"/>
      <c r="N201" s="86"/>
      <c r="O201" s="86"/>
      <c r="P201" s="86"/>
      <c r="Q201" s="86"/>
      <c r="R201" s="86"/>
      <c r="S201" s="86"/>
      <c r="T201" s="86"/>
      <c r="U201" s="86"/>
      <c r="V201" s="86"/>
      <c r="W201" s="86"/>
      <c r="X201" s="86"/>
      <c r="Y201" s="86"/>
      <c r="Z201" s="86"/>
    </row>
    <row r="202" spans="6:26" ht="12.75">
      <c r="F202" s="86"/>
      <c r="G202" s="86"/>
      <c r="H202" s="86"/>
      <c r="I202" s="86"/>
      <c r="J202" s="86"/>
      <c r="K202" s="86"/>
      <c r="L202" s="86"/>
      <c r="M202" s="86"/>
      <c r="N202" s="86"/>
      <c r="O202" s="86"/>
      <c r="P202" s="86"/>
      <c r="Q202" s="86"/>
      <c r="R202" s="86"/>
      <c r="S202" s="86"/>
      <c r="T202" s="86"/>
      <c r="U202" s="86"/>
      <c r="V202" s="86"/>
      <c r="W202" s="86"/>
      <c r="X202" s="86"/>
      <c r="Y202" s="86"/>
      <c r="Z202" s="86"/>
    </row>
    <row r="203" spans="6:26" ht="12.75">
      <c r="F203" s="86"/>
      <c r="G203" s="86"/>
      <c r="H203" s="86"/>
      <c r="I203" s="86"/>
      <c r="J203" s="86"/>
      <c r="K203" s="86"/>
      <c r="L203" s="86"/>
      <c r="M203" s="86"/>
      <c r="N203" s="86"/>
      <c r="O203" s="86"/>
      <c r="P203" s="86"/>
      <c r="Q203" s="86"/>
      <c r="R203" s="86"/>
      <c r="S203" s="86"/>
      <c r="T203" s="86"/>
      <c r="U203" s="86"/>
      <c r="V203" s="86"/>
      <c r="W203" s="86"/>
      <c r="X203" s="86"/>
      <c r="Y203" s="86"/>
      <c r="Z203" s="86"/>
    </row>
    <row r="204" spans="6:26" ht="12.75">
      <c r="F204" s="86"/>
      <c r="G204" s="86"/>
      <c r="H204" s="86"/>
      <c r="I204" s="86"/>
      <c r="J204" s="86"/>
      <c r="K204" s="86"/>
      <c r="L204" s="86"/>
      <c r="M204" s="86"/>
      <c r="N204" s="86"/>
      <c r="O204" s="86"/>
      <c r="P204" s="86"/>
      <c r="Q204" s="86"/>
      <c r="R204" s="86"/>
      <c r="S204" s="86"/>
      <c r="T204" s="86"/>
      <c r="U204" s="86"/>
      <c r="V204" s="86"/>
      <c r="W204" s="86"/>
      <c r="X204" s="86"/>
      <c r="Y204" s="86"/>
      <c r="Z204" s="86"/>
    </row>
    <row r="205" spans="6:26" ht="12.75">
      <c r="F205" s="86"/>
      <c r="G205" s="86"/>
      <c r="H205" s="86"/>
      <c r="I205" s="86"/>
      <c r="J205" s="86"/>
      <c r="K205" s="86"/>
      <c r="L205" s="86"/>
      <c r="M205" s="86"/>
      <c r="N205" s="86"/>
      <c r="O205" s="86"/>
      <c r="P205" s="86"/>
      <c r="Q205" s="86"/>
      <c r="R205" s="86"/>
      <c r="S205" s="86"/>
      <c r="T205" s="86"/>
      <c r="U205" s="86"/>
      <c r="V205" s="86"/>
      <c r="W205" s="86"/>
      <c r="X205" s="86"/>
      <c r="Y205" s="86"/>
      <c r="Z205" s="86"/>
    </row>
    <row r="206" spans="6:26" ht="12.75">
      <c r="F206" s="86"/>
      <c r="G206" s="86"/>
      <c r="H206" s="86"/>
      <c r="I206" s="86"/>
      <c r="J206" s="86"/>
      <c r="K206" s="86"/>
      <c r="L206" s="86"/>
      <c r="M206" s="86"/>
      <c r="N206" s="86"/>
      <c r="O206" s="86"/>
      <c r="P206" s="86"/>
      <c r="Q206" s="86"/>
      <c r="R206" s="86"/>
      <c r="S206" s="86"/>
      <c r="T206" s="86"/>
      <c r="U206" s="86"/>
      <c r="V206" s="86"/>
      <c r="W206" s="86"/>
      <c r="X206" s="86"/>
      <c r="Y206" s="86"/>
      <c r="Z206" s="86"/>
    </row>
    <row r="207" spans="6:26" ht="12.75">
      <c r="F207" s="86"/>
      <c r="G207" s="86"/>
      <c r="H207" s="86"/>
      <c r="I207" s="86"/>
      <c r="J207" s="86"/>
      <c r="K207" s="86"/>
      <c r="L207" s="86"/>
      <c r="M207" s="86"/>
      <c r="N207" s="86"/>
      <c r="O207" s="86"/>
      <c r="P207" s="86"/>
      <c r="Q207" s="86"/>
      <c r="R207" s="86"/>
      <c r="S207" s="86"/>
      <c r="T207" s="86"/>
      <c r="U207" s="86"/>
      <c r="V207" s="86"/>
      <c r="W207" s="86"/>
      <c r="X207" s="86"/>
      <c r="Y207" s="86"/>
      <c r="Z207" s="86"/>
    </row>
    <row r="208" spans="6:26" ht="12.75">
      <c r="F208" s="86"/>
      <c r="G208" s="86"/>
      <c r="H208" s="86"/>
      <c r="I208" s="86"/>
      <c r="J208" s="86"/>
      <c r="K208" s="86"/>
      <c r="L208" s="86"/>
      <c r="M208" s="86"/>
      <c r="N208" s="86"/>
      <c r="O208" s="86"/>
      <c r="P208" s="86"/>
      <c r="Q208" s="86"/>
      <c r="R208" s="86"/>
      <c r="S208" s="86"/>
      <c r="T208" s="86"/>
      <c r="U208" s="86"/>
      <c r="V208" s="86"/>
      <c r="W208" s="86"/>
      <c r="X208" s="86"/>
      <c r="Y208" s="86"/>
      <c r="Z208" s="86"/>
    </row>
    <row r="209" spans="6:26" ht="12.75">
      <c r="F209" s="86"/>
      <c r="G209" s="86"/>
      <c r="H209" s="86"/>
      <c r="I209" s="86"/>
      <c r="J209" s="86"/>
      <c r="K209" s="86"/>
      <c r="L209" s="86"/>
      <c r="M209" s="86"/>
      <c r="N209" s="86"/>
      <c r="O209" s="86"/>
      <c r="P209" s="86"/>
      <c r="Q209" s="86"/>
      <c r="R209" s="86"/>
      <c r="S209" s="86"/>
      <c r="T209" s="86"/>
      <c r="U209" s="86"/>
      <c r="V209" s="86"/>
      <c r="W209" s="86"/>
      <c r="X209" s="86"/>
      <c r="Y209" s="86"/>
      <c r="Z209" s="86"/>
    </row>
    <row r="210" spans="6:26" ht="12.75">
      <c r="F210" s="86"/>
      <c r="G210" s="86"/>
      <c r="H210" s="86"/>
      <c r="I210" s="86"/>
      <c r="J210" s="86"/>
      <c r="K210" s="86"/>
      <c r="L210" s="86"/>
      <c r="M210" s="86"/>
      <c r="N210" s="86"/>
      <c r="O210" s="86"/>
      <c r="P210" s="86"/>
      <c r="Q210" s="86"/>
      <c r="R210" s="86"/>
      <c r="S210" s="86"/>
      <c r="T210" s="86"/>
      <c r="U210" s="86"/>
      <c r="V210" s="86"/>
      <c r="W210" s="86"/>
      <c r="X210" s="86"/>
      <c r="Y210" s="86"/>
      <c r="Z210" s="86"/>
    </row>
    <row r="211" spans="6:26" ht="12.75">
      <c r="F211" s="86"/>
      <c r="G211" s="86"/>
      <c r="H211" s="86"/>
      <c r="I211" s="86"/>
      <c r="J211" s="86"/>
      <c r="K211" s="86"/>
      <c r="L211" s="86"/>
      <c r="M211" s="86"/>
      <c r="N211" s="86"/>
      <c r="O211" s="86"/>
      <c r="P211" s="86"/>
      <c r="Q211" s="86"/>
      <c r="R211" s="86"/>
      <c r="S211" s="86"/>
      <c r="T211" s="86"/>
      <c r="U211" s="86"/>
      <c r="V211" s="86"/>
      <c r="W211" s="86"/>
      <c r="X211" s="86"/>
      <c r="Y211" s="86"/>
      <c r="Z211" s="86"/>
    </row>
    <row r="212" spans="6:26" ht="12.75">
      <c r="F212" s="86"/>
      <c r="G212" s="86"/>
      <c r="H212" s="86"/>
      <c r="I212" s="86"/>
      <c r="J212" s="86"/>
      <c r="K212" s="86"/>
      <c r="L212" s="86"/>
      <c r="M212" s="86"/>
      <c r="N212" s="86"/>
      <c r="O212" s="86"/>
      <c r="P212" s="86"/>
      <c r="Q212" s="86"/>
      <c r="R212" s="86"/>
      <c r="S212" s="86"/>
      <c r="T212" s="86"/>
      <c r="U212" s="86"/>
      <c r="V212" s="86"/>
      <c r="W212" s="86"/>
      <c r="X212" s="86"/>
      <c r="Y212" s="86"/>
      <c r="Z212" s="86"/>
    </row>
    <row r="213" spans="6:26" ht="12.75">
      <c r="F213" s="86"/>
      <c r="G213" s="86"/>
      <c r="H213" s="86"/>
      <c r="I213" s="86"/>
      <c r="J213" s="86"/>
      <c r="K213" s="86"/>
      <c r="L213" s="86"/>
      <c r="M213" s="86"/>
      <c r="N213" s="86"/>
      <c r="O213" s="86"/>
      <c r="P213" s="86"/>
      <c r="Q213" s="86"/>
      <c r="R213" s="86"/>
      <c r="S213" s="86"/>
      <c r="T213" s="86"/>
      <c r="U213" s="86"/>
      <c r="V213" s="86"/>
      <c r="W213" s="86"/>
      <c r="X213" s="86"/>
      <c r="Y213" s="86"/>
      <c r="Z213" s="86"/>
    </row>
    <row r="214" spans="6:26" ht="12.75">
      <c r="F214" s="86"/>
      <c r="G214" s="86"/>
      <c r="H214" s="86"/>
      <c r="I214" s="86"/>
      <c r="J214" s="86"/>
      <c r="K214" s="86"/>
      <c r="L214" s="86"/>
      <c r="M214" s="86"/>
      <c r="N214" s="86"/>
      <c r="O214" s="86"/>
      <c r="P214" s="86"/>
      <c r="Q214" s="86"/>
      <c r="R214" s="86"/>
      <c r="S214" s="86"/>
      <c r="T214" s="86"/>
      <c r="U214" s="86"/>
      <c r="V214" s="86"/>
      <c r="W214" s="86"/>
      <c r="X214" s="86"/>
      <c r="Y214" s="86"/>
      <c r="Z214" s="86"/>
    </row>
    <row r="215" spans="6:26" ht="12.75">
      <c r="F215" s="86"/>
      <c r="G215" s="86"/>
      <c r="H215" s="86"/>
      <c r="I215" s="86"/>
      <c r="J215" s="86"/>
      <c r="K215" s="86"/>
      <c r="L215" s="86"/>
      <c r="M215" s="86"/>
      <c r="N215" s="86"/>
      <c r="O215" s="86"/>
      <c r="P215" s="86"/>
      <c r="Q215" s="86"/>
      <c r="R215" s="86"/>
      <c r="S215" s="86"/>
      <c r="T215" s="86"/>
      <c r="U215" s="86"/>
      <c r="V215" s="86"/>
      <c r="W215" s="86"/>
      <c r="X215" s="86"/>
      <c r="Y215" s="86"/>
      <c r="Z215" s="86"/>
    </row>
    <row r="216" spans="6:26" ht="12.75">
      <c r="F216" s="86"/>
      <c r="G216" s="86"/>
      <c r="H216" s="86"/>
      <c r="I216" s="86"/>
      <c r="J216" s="86"/>
      <c r="K216" s="86"/>
      <c r="L216" s="86"/>
      <c r="M216" s="86"/>
      <c r="N216" s="86"/>
      <c r="O216" s="86"/>
      <c r="P216" s="86"/>
      <c r="Q216" s="86"/>
      <c r="R216" s="86"/>
      <c r="S216" s="86"/>
      <c r="T216" s="86"/>
      <c r="U216" s="86"/>
      <c r="V216" s="86"/>
      <c r="W216" s="86"/>
      <c r="X216" s="86"/>
      <c r="Y216" s="86"/>
      <c r="Z216" s="86"/>
    </row>
    <row r="217" spans="6:26" ht="12.75">
      <c r="F217" s="86"/>
      <c r="G217" s="86"/>
      <c r="H217" s="86"/>
      <c r="I217" s="86"/>
      <c r="J217" s="86"/>
      <c r="K217" s="86"/>
      <c r="L217" s="86"/>
      <c r="M217" s="86"/>
      <c r="N217" s="86"/>
      <c r="O217" s="86"/>
      <c r="P217" s="86"/>
      <c r="Q217" s="86"/>
      <c r="R217" s="86"/>
      <c r="S217" s="86"/>
      <c r="T217" s="86"/>
      <c r="U217" s="86"/>
      <c r="V217" s="86"/>
      <c r="W217" s="86"/>
      <c r="X217" s="86"/>
      <c r="Y217" s="86"/>
      <c r="Z217" s="86"/>
    </row>
    <row r="218" spans="6:26" ht="12.75">
      <c r="F218" s="86"/>
      <c r="G218" s="86"/>
      <c r="H218" s="86"/>
      <c r="I218" s="86"/>
      <c r="J218" s="86"/>
      <c r="K218" s="86"/>
      <c r="L218" s="86"/>
      <c r="M218" s="86"/>
      <c r="N218" s="86"/>
      <c r="O218" s="86"/>
      <c r="P218" s="86"/>
      <c r="Q218" s="86"/>
      <c r="R218" s="86"/>
      <c r="S218" s="86"/>
      <c r="T218" s="86"/>
      <c r="U218" s="86"/>
      <c r="V218" s="86"/>
      <c r="W218" s="86"/>
      <c r="X218" s="86"/>
      <c r="Y218" s="86"/>
      <c r="Z218" s="86"/>
    </row>
    <row r="219" spans="6:26" ht="12.75">
      <c r="F219" s="86"/>
      <c r="G219" s="86"/>
      <c r="H219" s="86"/>
      <c r="I219" s="86"/>
      <c r="J219" s="86"/>
      <c r="K219" s="86"/>
      <c r="L219" s="86"/>
      <c r="M219" s="86"/>
      <c r="N219" s="86"/>
      <c r="O219" s="86"/>
      <c r="P219" s="86"/>
      <c r="Q219" s="86"/>
      <c r="R219" s="86"/>
      <c r="S219" s="86"/>
      <c r="T219" s="86"/>
      <c r="U219" s="86"/>
      <c r="V219" s="86"/>
      <c r="W219" s="86"/>
      <c r="X219" s="86"/>
      <c r="Y219" s="86"/>
      <c r="Z219" s="86"/>
    </row>
    <row r="220" spans="6:26" ht="12.75">
      <c r="F220" s="86"/>
      <c r="G220" s="86"/>
      <c r="H220" s="86"/>
      <c r="I220" s="86"/>
      <c r="J220" s="86"/>
      <c r="K220" s="86"/>
      <c r="L220" s="86"/>
      <c r="M220" s="86"/>
      <c r="N220" s="86"/>
      <c r="O220" s="86"/>
      <c r="P220" s="86"/>
      <c r="Q220" s="86"/>
      <c r="R220" s="86"/>
      <c r="S220" s="86"/>
      <c r="T220" s="86"/>
      <c r="U220" s="86"/>
      <c r="V220" s="86"/>
      <c r="W220" s="86"/>
      <c r="X220" s="86"/>
      <c r="Y220" s="86"/>
      <c r="Z220" s="86"/>
    </row>
    <row r="221" spans="6:26" ht="12.75">
      <c r="F221" s="86"/>
      <c r="G221" s="86"/>
      <c r="H221" s="86"/>
      <c r="I221" s="86"/>
      <c r="J221" s="86"/>
      <c r="K221" s="86"/>
      <c r="L221" s="86"/>
      <c r="M221" s="86"/>
      <c r="N221" s="86"/>
      <c r="O221" s="86"/>
      <c r="P221" s="86"/>
      <c r="Q221" s="86"/>
      <c r="R221" s="86"/>
      <c r="S221" s="86"/>
      <c r="T221" s="86"/>
      <c r="U221" s="86"/>
      <c r="V221" s="86"/>
      <c r="W221" s="86"/>
      <c r="X221" s="86"/>
      <c r="Y221" s="86"/>
      <c r="Z221" s="86"/>
    </row>
    <row r="222" spans="6:26" ht="12.75">
      <c r="F222" s="86"/>
      <c r="G222" s="86"/>
      <c r="H222" s="86"/>
      <c r="I222" s="86"/>
      <c r="J222" s="86"/>
      <c r="K222" s="86"/>
      <c r="L222" s="86"/>
      <c r="M222" s="86"/>
      <c r="N222" s="86"/>
      <c r="O222" s="86"/>
      <c r="P222" s="86"/>
      <c r="Q222" s="86"/>
      <c r="R222" s="86"/>
      <c r="S222" s="86"/>
      <c r="T222" s="86"/>
      <c r="U222" s="86"/>
      <c r="V222" s="86"/>
      <c r="W222" s="86"/>
      <c r="X222" s="86"/>
      <c r="Y222" s="86"/>
      <c r="Z222" s="86"/>
    </row>
    <row r="223" spans="6:26" ht="12.75">
      <c r="F223" s="86"/>
      <c r="G223" s="86"/>
      <c r="H223" s="86"/>
      <c r="I223" s="86"/>
      <c r="J223" s="86"/>
      <c r="K223" s="86"/>
      <c r="L223" s="86"/>
      <c r="M223" s="86"/>
      <c r="N223" s="86"/>
      <c r="O223" s="86"/>
      <c r="P223" s="86"/>
      <c r="Q223" s="86"/>
      <c r="R223" s="86"/>
      <c r="S223" s="86"/>
      <c r="T223" s="86"/>
      <c r="U223" s="86"/>
      <c r="V223" s="86"/>
      <c r="W223" s="86"/>
      <c r="X223" s="86"/>
      <c r="Y223" s="86"/>
      <c r="Z223" s="86"/>
    </row>
    <row r="224" spans="6:26" ht="12.75">
      <c r="F224" s="86"/>
      <c r="G224" s="86"/>
      <c r="H224" s="86"/>
      <c r="I224" s="86"/>
      <c r="J224" s="86"/>
      <c r="K224" s="86"/>
      <c r="L224" s="86"/>
      <c r="M224" s="86"/>
      <c r="N224" s="86"/>
      <c r="O224" s="86"/>
      <c r="P224" s="86"/>
      <c r="Q224" s="86"/>
      <c r="R224" s="86"/>
      <c r="S224" s="86"/>
      <c r="T224" s="86"/>
      <c r="U224" s="86"/>
      <c r="V224" s="86"/>
      <c r="W224" s="86"/>
      <c r="X224" s="86"/>
      <c r="Y224" s="86"/>
      <c r="Z224" s="86"/>
    </row>
    <row r="225" spans="6:26" ht="12.75">
      <c r="F225" s="86"/>
      <c r="G225" s="86"/>
      <c r="H225" s="86"/>
      <c r="I225" s="86"/>
      <c r="J225" s="86"/>
      <c r="K225" s="86"/>
      <c r="L225" s="86"/>
      <c r="M225" s="86"/>
      <c r="N225" s="86"/>
      <c r="O225" s="86"/>
      <c r="P225" s="86"/>
      <c r="Q225" s="86"/>
      <c r="R225" s="86"/>
      <c r="S225" s="86"/>
      <c r="T225" s="86"/>
      <c r="U225" s="86"/>
      <c r="V225" s="86"/>
      <c r="W225" s="86"/>
      <c r="X225" s="86"/>
      <c r="Y225" s="86"/>
      <c r="Z225" s="86"/>
    </row>
    <row r="226" spans="6:26" ht="12.75">
      <c r="F226" s="86"/>
      <c r="G226" s="86"/>
      <c r="H226" s="86"/>
      <c r="I226" s="86"/>
      <c r="J226" s="86"/>
      <c r="K226" s="86"/>
      <c r="L226" s="86"/>
      <c r="M226" s="86"/>
      <c r="N226" s="86"/>
      <c r="O226" s="86"/>
      <c r="P226" s="86"/>
      <c r="Q226" s="86"/>
      <c r="R226" s="86"/>
      <c r="S226" s="86"/>
      <c r="T226" s="86"/>
      <c r="U226" s="86"/>
      <c r="V226" s="86"/>
      <c r="W226" s="86"/>
      <c r="X226" s="86"/>
      <c r="Y226" s="86"/>
      <c r="Z226" s="86"/>
    </row>
    <row r="227" spans="6:26" ht="12.75">
      <c r="F227" s="86"/>
      <c r="G227" s="86"/>
      <c r="H227" s="86"/>
      <c r="I227" s="86"/>
      <c r="J227" s="86"/>
      <c r="K227" s="86"/>
      <c r="L227" s="86"/>
      <c r="M227" s="86"/>
      <c r="N227" s="86"/>
      <c r="O227" s="86"/>
      <c r="P227" s="86"/>
      <c r="Q227" s="86"/>
      <c r="R227" s="86"/>
      <c r="S227" s="86"/>
      <c r="T227" s="86"/>
      <c r="U227" s="86"/>
      <c r="V227" s="86"/>
      <c r="W227" s="86"/>
      <c r="X227" s="86"/>
      <c r="Y227" s="86"/>
      <c r="Z227" s="86"/>
    </row>
    <row r="228" spans="6:26" ht="12.75">
      <c r="F228" s="86"/>
      <c r="G228" s="86"/>
      <c r="H228" s="86"/>
      <c r="I228" s="86"/>
      <c r="J228" s="86"/>
      <c r="K228" s="86"/>
      <c r="L228" s="86"/>
      <c r="M228" s="86"/>
      <c r="N228" s="86"/>
      <c r="O228" s="86"/>
      <c r="P228" s="86"/>
      <c r="Q228" s="86"/>
      <c r="R228" s="86"/>
      <c r="S228" s="86"/>
      <c r="T228" s="86"/>
      <c r="U228" s="86"/>
      <c r="V228" s="86"/>
      <c r="W228" s="86"/>
      <c r="X228" s="86"/>
      <c r="Y228" s="86"/>
      <c r="Z228" s="86"/>
    </row>
    <row r="229" spans="6:26" ht="12.75">
      <c r="F229" s="86"/>
      <c r="G229" s="86"/>
      <c r="H229" s="86"/>
      <c r="I229" s="86"/>
      <c r="J229" s="86"/>
      <c r="K229" s="86"/>
      <c r="L229" s="86"/>
      <c r="M229" s="86"/>
      <c r="N229" s="86"/>
      <c r="O229" s="86"/>
      <c r="P229" s="86"/>
      <c r="Q229" s="86"/>
      <c r="R229" s="86"/>
      <c r="S229" s="86"/>
      <c r="T229" s="86"/>
      <c r="U229" s="86"/>
      <c r="V229" s="86"/>
      <c r="W229" s="86"/>
      <c r="X229" s="86"/>
      <c r="Y229" s="86"/>
      <c r="Z229" s="86"/>
    </row>
    <row r="230" spans="6:26" ht="12.75">
      <c r="F230" s="86"/>
      <c r="G230" s="86"/>
      <c r="H230" s="86"/>
      <c r="I230" s="86"/>
      <c r="J230" s="86"/>
      <c r="K230" s="86"/>
      <c r="L230" s="86"/>
      <c r="M230" s="86"/>
      <c r="N230" s="86"/>
      <c r="O230" s="86"/>
      <c r="P230" s="86"/>
      <c r="Q230" s="86"/>
      <c r="R230" s="86"/>
      <c r="S230" s="86"/>
      <c r="T230" s="86"/>
      <c r="U230" s="86"/>
      <c r="V230" s="86"/>
      <c r="W230" s="86"/>
      <c r="X230" s="86"/>
      <c r="Y230" s="86"/>
      <c r="Z230" s="86"/>
    </row>
    <row r="231" spans="6:26" ht="12.75">
      <c r="F231" s="86"/>
      <c r="G231" s="86"/>
      <c r="H231" s="86"/>
      <c r="I231" s="86"/>
      <c r="J231" s="86"/>
      <c r="K231" s="86"/>
      <c r="L231" s="86"/>
      <c r="M231" s="86"/>
      <c r="N231" s="86"/>
      <c r="O231" s="86"/>
      <c r="P231" s="86"/>
      <c r="Q231" s="86"/>
      <c r="R231" s="86"/>
      <c r="S231" s="86"/>
      <c r="T231" s="86"/>
      <c r="U231" s="86"/>
      <c r="V231" s="86"/>
      <c r="W231" s="86"/>
      <c r="X231" s="86"/>
      <c r="Y231" s="86"/>
      <c r="Z231" s="86"/>
    </row>
    <row r="232" spans="6:26" ht="12.75">
      <c r="F232" s="86"/>
      <c r="G232" s="86"/>
      <c r="H232" s="86"/>
      <c r="I232" s="86"/>
      <c r="J232" s="86"/>
      <c r="K232" s="86"/>
      <c r="L232" s="86"/>
      <c r="M232" s="86"/>
      <c r="N232" s="86"/>
      <c r="O232" s="86"/>
      <c r="P232" s="86"/>
      <c r="Q232" s="86"/>
      <c r="R232" s="86"/>
      <c r="S232" s="86"/>
      <c r="T232" s="86"/>
      <c r="U232" s="86"/>
      <c r="V232" s="86"/>
      <c r="W232" s="86"/>
      <c r="X232" s="86"/>
      <c r="Y232" s="86"/>
      <c r="Z232" s="86"/>
    </row>
    <row r="233" spans="6:26" ht="12.75">
      <c r="F233" s="86"/>
      <c r="G233" s="86"/>
      <c r="H233" s="86"/>
      <c r="I233" s="86"/>
      <c r="J233" s="86"/>
      <c r="K233" s="86"/>
      <c r="L233" s="86"/>
      <c r="M233" s="86"/>
      <c r="N233" s="86"/>
      <c r="O233" s="86"/>
      <c r="P233" s="86"/>
      <c r="Q233" s="86"/>
      <c r="R233" s="86"/>
      <c r="S233" s="86"/>
      <c r="T233" s="86"/>
      <c r="U233" s="86"/>
      <c r="V233" s="86"/>
      <c r="W233" s="86"/>
      <c r="X233" s="86"/>
      <c r="Y233" s="86"/>
      <c r="Z233" s="86"/>
    </row>
    <row r="234" spans="6:26" ht="12.75">
      <c r="F234" s="86"/>
      <c r="G234" s="86"/>
      <c r="H234" s="86"/>
      <c r="I234" s="86"/>
      <c r="J234" s="86"/>
      <c r="K234" s="86"/>
      <c r="L234" s="86"/>
      <c r="M234" s="86"/>
      <c r="N234" s="86"/>
      <c r="O234" s="86"/>
      <c r="P234" s="86"/>
      <c r="Q234" s="86"/>
      <c r="R234" s="86"/>
      <c r="S234" s="86"/>
      <c r="T234" s="86"/>
      <c r="U234" s="86"/>
      <c r="V234" s="86"/>
      <c r="W234" s="86"/>
      <c r="X234" s="86"/>
      <c r="Y234" s="86"/>
      <c r="Z234" s="86"/>
    </row>
    <row r="235" spans="6:26" ht="12.75">
      <c r="F235" s="86"/>
      <c r="G235" s="86"/>
      <c r="H235" s="86"/>
      <c r="I235" s="86"/>
      <c r="J235" s="86"/>
      <c r="K235" s="86"/>
      <c r="L235" s="86"/>
      <c r="M235" s="86"/>
      <c r="N235" s="86"/>
      <c r="O235" s="86"/>
      <c r="P235" s="86"/>
      <c r="Q235" s="86"/>
      <c r="R235" s="86"/>
      <c r="S235" s="86"/>
      <c r="T235" s="86"/>
      <c r="U235" s="86"/>
      <c r="V235" s="86"/>
      <c r="W235" s="86"/>
      <c r="X235" s="86"/>
      <c r="Y235" s="86"/>
      <c r="Z235" s="86"/>
    </row>
    <row r="236" spans="6:26" ht="12.75">
      <c r="F236" s="86"/>
      <c r="G236" s="86"/>
      <c r="H236" s="86"/>
      <c r="I236" s="86"/>
      <c r="J236" s="86"/>
      <c r="K236" s="86"/>
      <c r="L236" s="86"/>
      <c r="M236" s="86"/>
      <c r="N236" s="86"/>
      <c r="O236" s="86"/>
      <c r="P236" s="86"/>
      <c r="Q236" s="86"/>
      <c r="R236" s="86"/>
      <c r="S236" s="86"/>
      <c r="T236" s="86"/>
      <c r="U236" s="86"/>
      <c r="V236" s="86"/>
      <c r="W236" s="86"/>
      <c r="X236" s="86"/>
      <c r="Y236" s="86"/>
      <c r="Z236" s="86"/>
    </row>
    <row r="237" spans="6:26" ht="12.75">
      <c r="F237" s="86"/>
      <c r="G237" s="86"/>
      <c r="H237" s="86"/>
      <c r="I237" s="86"/>
      <c r="J237" s="86"/>
      <c r="K237" s="86"/>
      <c r="L237" s="86"/>
      <c r="M237" s="86"/>
      <c r="N237" s="86"/>
      <c r="O237" s="86"/>
      <c r="P237" s="86"/>
      <c r="Q237" s="86"/>
      <c r="R237" s="86"/>
      <c r="S237" s="86"/>
      <c r="T237" s="86"/>
      <c r="U237" s="86"/>
      <c r="V237" s="86"/>
      <c r="W237" s="86"/>
      <c r="X237" s="86"/>
      <c r="Y237" s="86"/>
      <c r="Z237" s="86"/>
    </row>
    <row r="238" spans="6:26" ht="12.75">
      <c r="F238" s="86"/>
      <c r="G238" s="86"/>
      <c r="H238" s="86"/>
      <c r="I238" s="86"/>
      <c r="J238" s="86"/>
      <c r="K238" s="86"/>
      <c r="L238" s="86"/>
      <c r="M238" s="86"/>
      <c r="N238" s="86"/>
      <c r="O238" s="86"/>
      <c r="P238" s="86"/>
      <c r="Q238" s="86"/>
      <c r="R238" s="86"/>
      <c r="S238" s="86"/>
      <c r="T238" s="86"/>
      <c r="U238" s="86"/>
      <c r="V238" s="86"/>
      <c r="W238" s="86"/>
      <c r="X238" s="86"/>
      <c r="Y238" s="86"/>
      <c r="Z238" s="86"/>
    </row>
    <row r="239" spans="6:26" ht="12.75">
      <c r="F239" s="86"/>
      <c r="G239" s="86"/>
      <c r="H239" s="86"/>
      <c r="I239" s="86"/>
      <c r="J239" s="86"/>
      <c r="K239" s="86"/>
      <c r="L239" s="86"/>
      <c r="M239" s="86"/>
      <c r="N239" s="86"/>
      <c r="O239" s="86"/>
      <c r="P239" s="86"/>
      <c r="Q239" s="86"/>
      <c r="R239" s="86"/>
      <c r="S239" s="86"/>
      <c r="T239" s="86"/>
      <c r="U239" s="86"/>
      <c r="V239" s="86"/>
      <c r="W239" s="86"/>
      <c r="X239" s="86"/>
      <c r="Y239" s="86"/>
      <c r="Z239" s="86"/>
    </row>
    <row r="240" spans="6:26" ht="12.75">
      <c r="F240" s="86"/>
      <c r="G240" s="86"/>
      <c r="H240" s="86"/>
      <c r="I240" s="86"/>
      <c r="J240" s="86"/>
      <c r="K240" s="86"/>
      <c r="L240" s="86"/>
      <c r="M240" s="86"/>
      <c r="N240" s="86"/>
      <c r="O240" s="86"/>
      <c r="P240" s="86"/>
      <c r="Q240" s="86"/>
      <c r="R240" s="86"/>
      <c r="S240" s="86"/>
      <c r="T240" s="86"/>
      <c r="U240" s="86"/>
      <c r="V240" s="86"/>
      <c r="W240" s="86"/>
      <c r="X240" s="86"/>
      <c r="Y240" s="86"/>
      <c r="Z240" s="86"/>
    </row>
    <row r="241" spans="6:26" ht="12.75">
      <c r="F241" s="86"/>
      <c r="G241" s="86"/>
      <c r="H241" s="86"/>
      <c r="I241" s="86"/>
      <c r="J241" s="86"/>
      <c r="K241" s="86"/>
      <c r="L241" s="86"/>
      <c r="M241" s="86"/>
      <c r="N241" s="86"/>
      <c r="O241" s="86"/>
      <c r="P241" s="86"/>
      <c r="Q241" s="86"/>
      <c r="R241" s="86"/>
      <c r="S241" s="86"/>
      <c r="T241" s="86"/>
      <c r="U241" s="86"/>
      <c r="V241" s="86"/>
      <c r="W241" s="86"/>
      <c r="X241" s="86"/>
      <c r="Y241" s="86"/>
      <c r="Z241" s="86"/>
    </row>
    <row r="242" spans="6:26" ht="12.75">
      <c r="F242" s="86"/>
      <c r="G242" s="86"/>
      <c r="H242" s="86"/>
      <c r="I242" s="86"/>
      <c r="J242" s="86"/>
      <c r="K242" s="86"/>
      <c r="L242" s="86"/>
      <c r="M242" s="86"/>
      <c r="N242" s="86"/>
      <c r="O242" s="86"/>
      <c r="P242" s="86"/>
      <c r="Q242" s="86"/>
      <c r="R242" s="86"/>
      <c r="S242" s="86"/>
      <c r="T242" s="86"/>
      <c r="U242" s="86"/>
      <c r="V242" s="86"/>
      <c r="W242" s="86"/>
      <c r="X242" s="86"/>
      <c r="Y242" s="86"/>
      <c r="Z242" s="86"/>
    </row>
    <row r="243" spans="6:26" ht="12.75">
      <c r="F243" s="86"/>
      <c r="G243" s="86"/>
      <c r="H243" s="86"/>
      <c r="I243" s="86"/>
      <c r="J243" s="86"/>
      <c r="K243" s="86"/>
      <c r="L243" s="86"/>
      <c r="M243" s="86"/>
      <c r="N243" s="86"/>
      <c r="O243" s="86"/>
      <c r="P243" s="86"/>
      <c r="Q243" s="86"/>
      <c r="R243" s="86"/>
      <c r="S243" s="86"/>
      <c r="T243" s="86"/>
      <c r="U243" s="86"/>
      <c r="V243" s="86"/>
      <c r="W243" s="86"/>
      <c r="X243" s="86"/>
      <c r="Y243" s="86"/>
      <c r="Z243" s="86"/>
    </row>
    <row r="244" spans="6:26" ht="12.75">
      <c r="F244" s="86"/>
      <c r="G244" s="86"/>
      <c r="H244" s="86"/>
      <c r="I244" s="86"/>
      <c r="J244" s="86"/>
      <c r="K244" s="86"/>
      <c r="L244" s="86"/>
      <c r="M244" s="86"/>
      <c r="N244" s="86"/>
      <c r="O244" s="86"/>
      <c r="P244" s="86"/>
      <c r="Q244" s="86"/>
      <c r="R244" s="86"/>
      <c r="S244" s="86"/>
      <c r="T244" s="86"/>
      <c r="U244" s="86"/>
      <c r="V244" s="86"/>
      <c r="W244" s="86"/>
      <c r="X244" s="86"/>
      <c r="Y244" s="86"/>
      <c r="Z244" s="86"/>
    </row>
    <row r="245" spans="6:26" ht="12.75">
      <c r="F245" s="86"/>
      <c r="G245" s="86"/>
      <c r="H245" s="86"/>
      <c r="I245" s="86"/>
      <c r="J245" s="86"/>
      <c r="K245" s="86"/>
      <c r="L245" s="86"/>
      <c r="M245" s="86"/>
      <c r="N245" s="86"/>
      <c r="O245" s="86"/>
      <c r="P245" s="86"/>
      <c r="Q245" s="86"/>
      <c r="R245" s="86"/>
      <c r="S245" s="86"/>
      <c r="T245" s="86"/>
      <c r="U245" s="86"/>
      <c r="V245" s="86"/>
      <c r="W245" s="86"/>
      <c r="X245" s="86"/>
      <c r="Y245" s="86"/>
      <c r="Z245" s="86"/>
    </row>
    <row r="246" spans="6:26" ht="12.75">
      <c r="F246" s="86"/>
      <c r="G246" s="86"/>
      <c r="H246" s="86"/>
      <c r="I246" s="86"/>
      <c r="J246" s="86"/>
      <c r="K246" s="86"/>
      <c r="L246" s="86"/>
      <c r="M246" s="86"/>
      <c r="N246" s="86"/>
      <c r="O246" s="86"/>
      <c r="P246" s="86"/>
      <c r="Q246" s="86"/>
      <c r="R246" s="86"/>
      <c r="S246" s="86"/>
      <c r="T246" s="86"/>
      <c r="U246" s="86"/>
      <c r="V246" s="86"/>
      <c r="W246" s="86"/>
      <c r="X246" s="86"/>
      <c r="Y246" s="86"/>
      <c r="Z246" s="86"/>
    </row>
    <row r="247" spans="6:26" ht="12.75">
      <c r="F247" s="86"/>
      <c r="G247" s="86"/>
      <c r="H247" s="86"/>
      <c r="I247" s="86"/>
      <c r="J247" s="86"/>
      <c r="K247" s="86"/>
      <c r="L247" s="86"/>
      <c r="M247" s="86"/>
      <c r="N247" s="86"/>
      <c r="O247" s="86"/>
      <c r="P247" s="86"/>
      <c r="Q247" s="86"/>
      <c r="R247" s="86"/>
      <c r="S247" s="86"/>
      <c r="T247" s="86"/>
      <c r="U247" s="86"/>
      <c r="V247" s="86"/>
      <c r="W247" s="86"/>
      <c r="X247" s="86"/>
      <c r="Y247" s="86"/>
      <c r="Z247" s="86"/>
    </row>
    <row r="248" spans="6:26" ht="12.75">
      <c r="F248" s="86"/>
      <c r="G248" s="86"/>
      <c r="H248" s="86"/>
      <c r="I248" s="86"/>
      <c r="J248" s="86"/>
      <c r="K248" s="86"/>
      <c r="L248" s="86"/>
      <c r="M248" s="86"/>
      <c r="N248" s="86"/>
      <c r="O248" s="86"/>
      <c r="P248" s="86"/>
      <c r="Q248" s="86"/>
      <c r="R248" s="86"/>
      <c r="S248" s="86"/>
      <c r="T248" s="86"/>
      <c r="U248" s="86"/>
      <c r="V248" s="86"/>
      <c r="W248" s="86"/>
      <c r="X248" s="86"/>
      <c r="Y248" s="86"/>
      <c r="Z248" s="86"/>
    </row>
    <row r="249" spans="6:26" ht="12.75">
      <c r="F249" s="86"/>
      <c r="G249" s="86"/>
      <c r="H249" s="86"/>
      <c r="I249" s="86"/>
      <c r="J249" s="86"/>
      <c r="K249" s="86"/>
      <c r="L249" s="86"/>
      <c r="M249" s="86"/>
      <c r="N249" s="86"/>
      <c r="O249" s="86"/>
      <c r="P249" s="86"/>
      <c r="Q249" s="86"/>
      <c r="R249" s="86"/>
      <c r="S249" s="86"/>
      <c r="T249" s="86"/>
      <c r="U249" s="86"/>
      <c r="V249" s="86"/>
      <c r="W249" s="86"/>
      <c r="X249" s="86"/>
      <c r="Y249" s="86"/>
      <c r="Z249" s="86"/>
    </row>
    <row r="250" spans="6:26" ht="12.75">
      <c r="F250" s="86"/>
      <c r="G250" s="86"/>
      <c r="H250" s="86"/>
      <c r="I250" s="86"/>
      <c r="J250" s="86"/>
      <c r="K250" s="86"/>
      <c r="L250" s="86"/>
      <c r="M250" s="86"/>
      <c r="N250" s="86"/>
      <c r="O250" s="86"/>
      <c r="P250" s="86"/>
      <c r="Q250" s="86"/>
      <c r="R250" s="86"/>
      <c r="S250" s="86"/>
      <c r="T250" s="86"/>
      <c r="U250" s="86"/>
      <c r="V250" s="86"/>
      <c r="W250" s="86"/>
      <c r="X250" s="86"/>
      <c r="Y250" s="86"/>
      <c r="Z250" s="86"/>
    </row>
    <row r="251" spans="6:26" ht="12.75">
      <c r="F251" s="86"/>
      <c r="G251" s="86"/>
      <c r="H251" s="86"/>
      <c r="I251" s="86"/>
      <c r="J251" s="86"/>
      <c r="K251" s="86"/>
      <c r="L251" s="86"/>
      <c r="M251" s="86"/>
      <c r="N251" s="86"/>
      <c r="O251" s="86"/>
      <c r="P251" s="86"/>
      <c r="Q251" s="86"/>
      <c r="R251" s="86"/>
      <c r="S251" s="86"/>
      <c r="T251" s="86"/>
      <c r="U251" s="86"/>
      <c r="V251" s="86"/>
      <c r="W251" s="86"/>
      <c r="X251" s="86"/>
      <c r="Y251" s="86"/>
      <c r="Z251" s="86"/>
    </row>
    <row r="252" spans="6:26" ht="12.75">
      <c r="F252" s="86"/>
      <c r="G252" s="86"/>
      <c r="H252" s="86"/>
      <c r="I252" s="86"/>
      <c r="J252" s="86"/>
      <c r="K252" s="86"/>
      <c r="L252" s="86"/>
      <c r="M252" s="86"/>
      <c r="N252" s="86"/>
      <c r="O252" s="86"/>
      <c r="P252" s="86"/>
      <c r="Q252" s="86"/>
      <c r="R252" s="86"/>
      <c r="S252" s="86"/>
      <c r="T252" s="86"/>
      <c r="U252" s="86"/>
      <c r="V252" s="86"/>
      <c r="W252" s="86"/>
      <c r="X252" s="86"/>
      <c r="Y252" s="86"/>
      <c r="Z252" s="86"/>
    </row>
    <row r="253" spans="6:26" ht="12.75">
      <c r="F253" s="86"/>
      <c r="G253" s="86"/>
      <c r="H253" s="86"/>
      <c r="I253" s="86"/>
      <c r="J253" s="86"/>
      <c r="K253" s="86"/>
      <c r="L253" s="86"/>
      <c r="M253" s="86"/>
      <c r="N253" s="86"/>
      <c r="O253" s="86"/>
      <c r="P253" s="86"/>
      <c r="Q253" s="86"/>
      <c r="R253" s="86"/>
      <c r="S253" s="86"/>
      <c r="T253" s="86"/>
      <c r="U253" s="86"/>
      <c r="V253" s="86"/>
      <c r="W253" s="86"/>
      <c r="X253" s="86"/>
      <c r="Y253" s="86"/>
      <c r="Z253" s="86"/>
    </row>
    <row r="254" spans="6:26" ht="12.75">
      <c r="F254" s="86"/>
      <c r="G254" s="86"/>
      <c r="H254" s="86"/>
      <c r="I254" s="86"/>
      <c r="J254" s="86"/>
      <c r="K254" s="86"/>
      <c r="L254" s="86"/>
      <c r="M254" s="86"/>
      <c r="N254" s="86"/>
      <c r="O254" s="86"/>
      <c r="P254" s="86"/>
      <c r="Q254" s="86"/>
      <c r="R254" s="86"/>
      <c r="S254" s="86"/>
      <c r="T254" s="86"/>
      <c r="U254" s="86"/>
      <c r="V254" s="86"/>
      <c r="W254" s="86"/>
      <c r="X254" s="86"/>
      <c r="Y254" s="86"/>
      <c r="Z254" s="86"/>
    </row>
    <row r="255" spans="6:26" ht="12.75">
      <c r="F255" s="86"/>
      <c r="G255" s="86"/>
      <c r="H255" s="86"/>
      <c r="I255" s="86"/>
      <c r="J255" s="86"/>
      <c r="K255" s="86"/>
      <c r="L255" s="86"/>
      <c r="M255" s="86"/>
      <c r="N255" s="86"/>
      <c r="O255" s="86"/>
      <c r="P255" s="86"/>
      <c r="Q255" s="86"/>
      <c r="R255" s="86"/>
      <c r="S255" s="86"/>
      <c r="T255" s="86"/>
      <c r="U255" s="86"/>
      <c r="V255" s="86"/>
      <c r="W255" s="86"/>
      <c r="X255" s="86"/>
      <c r="Y255" s="86"/>
      <c r="Z255" s="86"/>
    </row>
    <row r="256" spans="6:26" ht="12.75">
      <c r="F256" s="86"/>
      <c r="G256" s="86"/>
      <c r="H256" s="86"/>
      <c r="I256" s="86"/>
      <c r="J256" s="86"/>
      <c r="K256" s="86"/>
      <c r="L256" s="86"/>
      <c r="M256" s="86"/>
      <c r="N256" s="86"/>
      <c r="O256" s="86"/>
      <c r="P256" s="86"/>
      <c r="Q256" s="86"/>
      <c r="R256" s="86"/>
      <c r="S256" s="86"/>
      <c r="T256" s="86"/>
      <c r="U256" s="86"/>
      <c r="V256" s="86"/>
      <c r="W256" s="86"/>
      <c r="X256" s="86"/>
      <c r="Y256" s="86"/>
      <c r="Z256" s="86"/>
    </row>
    <row r="257" spans="6:26" ht="12.75">
      <c r="F257" s="86"/>
      <c r="G257" s="86"/>
      <c r="H257" s="86"/>
      <c r="I257" s="86"/>
      <c r="J257" s="86"/>
      <c r="K257" s="86"/>
      <c r="L257" s="86"/>
      <c r="M257" s="86"/>
      <c r="N257" s="86"/>
      <c r="O257" s="86"/>
      <c r="P257" s="86"/>
      <c r="Q257" s="86"/>
      <c r="R257" s="86"/>
      <c r="S257" s="86"/>
      <c r="T257" s="86"/>
      <c r="U257" s="86"/>
      <c r="V257" s="86"/>
      <c r="W257" s="86"/>
      <c r="X257" s="86"/>
      <c r="Y257" s="86"/>
      <c r="Z257" s="86"/>
    </row>
    <row r="258" spans="6:26" ht="12.75">
      <c r="F258" s="86"/>
      <c r="G258" s="86"/>
      <c r="H258" s="86"/>
      <c r="I258" s="86"/>
      <c r="J258" s="86"/>
      <c r="K258" s="86"/>
      <c r="L258" s="86"/>
      <c r="M258" s="86"/>
      <c r="N258" s="86"/>
      <c r="O258" s="86"/>
      <c r="P258" s="86"/>
      <c r="Q258" s="86"/>
      <c r="R258" s="86"/>
      <c r="S258" s="86"/>
      <c r="T258" s="86"/>
      <c r="U258" s="86"/>
      <c r="V258" s="86"/>
      <c r="W258" s="86"/>
      <c r="X258" s="86"/>
      <c r="Y258" s="86"/>
      <c r="Z258" s="86"/>
    </row>
    <row r="259" spans="6:26" ht="12.75">
      <c r="F259" s="86"/>
      <c r="G259" s="86"/>
      <c r="H259" s="86"/>
      <c r="I259" s="86"/>
      <c r="J259" s="86"/>
      <c r="K259" s="86"/>
      <c r="L259" s="86"/>
      <c r="M259" s="86"/>
      <c r="N259" s="86"/>
      <c r="O259" s="86"/>
      <c r="P259" s="86"/>
      <c r="Q259" s="86"/>
      <c r="R259" s="86"/>
      <c r="S259" s="86"/>
      <c r="T259" s="86"/>
      <c r="U259" s="86"/>
      <c r="V259" s="86"/>
      <c r="W259" s="86"/>
      <c r="X259" s="86"/>
      <c r="Y259" s="86"/>
      <c r="Z259" s="86"/>
    </row>
    <row r="260" spans="6:26" ht="12.75">
      <c r="F260" s="86"/>
      <c r="G260" s="86"/>
      <c r="H260" s="86"/>
      <c r="I260" s="86"/>
      <c r="J260" s="86"/>
      <c r="K260" s="86"/>
      <c r="L260" s="86"/>
      <c r="M260" s="86"/>
      <c r="N260" s="86"/>
      <c r="O260" s="86"/>
      <c r="P260" s="86"/>
      <c r="Q260" s="86"/>
      <c r="R260" s="86"/>
      <c r="S260" s="86"/>
      <c r="T260" s="86"/>
      <c r="U260" s="86"/>
      <c r="V260" s="86"/>
      <c r="W260" s="86"/>
      <c r="X260" s="86"/>
      <c r="Y260" s="86"/>
      <c r="Z260" s="86"/>
    </row>
    <row r="261" spans="6:26" ht="12.75">
      <c r="F261" s="86"/>
      <c r="G261" s="86"/>
      <c r="H261" s="86"/>
      <c r="I261" s="86"/>
      <c r="J261" s="86"/>
      <c r="K261" s="86"/>
      <c r="L261" s="86"/>
      <c r="M261" s="86"/>
      <c r="N261" s="86"/>
      <c r="O261" s="86"/>
      <c r="P261" s="86"/>
      <c r="Q261" s="86"/>
      <c r="R261" s="86"/>
      <c r="S261" s="86"/>
      <c r="T261" s="86"/>
      <c r="U261" s="86"/>
      <c r="V261" s="86"/>
      <c r="W261" s="86"/>
      <c r="X261" s="86"/>
      <c r="Y261" s="86"/>
      <c r="Z261" s="86"/>
    </row>
    <row r="262" spans="6:26" ht="12.75">
      <c r="F262" s="86"/>
      <c r="G262" s="86"/>
      <c r="H262" s="86"/>
      <c r="I262" s="86"/>
      <c r="J262" s="86"/>
      <c r="K262" s="86"/>
      <c r="L262" s="86"/>
      <c r="M262" s="86"/>
      <c r="N262" s="86"/>
      <c r="O262" s="86"/>
      <c r="P262" s="86"/>
      <c r="Q262" s="86"/>
      <c r="R262" s="86"/>
      <c r="S262" s="86"/>
      <c r="T262" s="86"/>
      <c r="U262" s="86"/>
      <c r="V262" s="86"/>
      <c r="W262" s="86"/>
      <c r="X262" s="86"/>
      <c r="Y262" s="86"/>
      <c r="Z262" s="86"/>
    </row>
    <row r="263" spans="6:26" ht="12.75">
      <c r="F263" s="86"/>
      <c r="G263" s="86"/>
      <c r="H263" s="86"/>
      <c r="I263" s="86"/>
      <c r="J263" s="86"/>
      <c r="K263" s="86"/>
      <c r="L263" s="86"/>
      <c r="M263" s="86"/>
      <c r="N263" s="86"/>
      <c r="O263" s="86"/>
      <c r="P263" s="86"/>
      <c r="Q263" s="86"/>
      <c r="R263" s="86"/>
      <c r="S263" s="86"/>
      <c r="T263" s="86"/>
      <c r="U263" s="86"/>
      <c r="V263" s="86"/>
      <c r="W263" s="86"/>
      <c r="X263" s="86"/>
      <c r="Y263" s="86"/>
      <c r="Z263" s="86"/>
    </row>
    <row r="264" spans="6:26" ht="12.75">
      <c r="F264" s="86"/>
      <c r="G264" s="86"/>
      <c r="H264" s="86"/>
      <c r="I264" s="86"/>
      <c r="J264" s="86"/>
      <c r="K264" s="86"/>
      <c r="L264" s="86"/>
      <c r="M264" s="86"/>
      <c r="N264" s="86"/>
      <c r="O264" s="86"/>
      <c r="P264" s="86"/>
      <c r="Q264" s="86"/>
      <c r="R264" s="86"/>
      <c r="S264" s="86"/>
      <c r="T264" s="86"/>
      <c r="U264" s="86"/>
      <c r="V264" s="86"/>
      <c r="W264" s="86"/>
      <c r="X264" s="86"/>
      <c r="Y264" s="86"/>
      <c r="Z264" s="86"/>
    </row>
    <row r="265" spans="6:26" ht="12.75">
      <c r="F265" s="86"/>
      <c r="G265" s="86"/>
      <c r="H265" s="86"/>
      <c r="I265" s="86"/>
      <c r="J265" s="86"/>
      <c r="K265" s="86"/>
      <c r="L265" s="86"/>
      <c r="M265" s="86"/>
      <c r="N265" s="86"/>
      <c r="O265" s="86"/>
      <c r="P265" s="86"/>
      <c r="Q265" s="86"/>
      <c r="R265" s="86"/>
      <c r="S265" s="86"/>
      <c r="T265" s="86"/>
      <c r="U265" s="86"/>
      <c r="V265" s="86"/>
      <c r="W265" s="86"/>
      <c r="X265" s="86"/>
      <c r="Y265" s="86"/>
      <c r="Z265" s="86"/>
    </row>
    <row r="266" spans="6:26" ht="12.75">
      <c r="F266" s="86"/>
      <c r="G266" s="86"/>
      <c r="H266" s="86"/>
      <c r="I266" s="86"/>
      <c r="J266" s="86"/>
      <c r="K266" s="86"/>
      <c r="L266" s="86"/>
      <c r="M266" s="86"/>
      <c r="N266" s="86"/>
      <c r="O266" s="86"/>
      <c r="P266" s="86"/>
      <c r="Q266" s="86"/>
      <c r="R266" s="86"/>
      <c r="S266" s="86"/>
      <c r="T266" s="86"/>
      <c r="U266" s="86"/>
      <c r="V266" s="86"/>
      <c r="W266" s="86"/>
      <c r="X266" s="86"/>
      <c r="Y266" s="86"/>
      <c r="Z266" s="86"/>
    </row>
    <row r="267" spans="6:26" ht="12.75">
      <c r="F267" s="86"/>
      <c r="G267" s="86"/>
      <c r="H267" s="86"/>
      <c r="I267" s="86"/>
      <c r="J267" s="86"/>
      <c r="K267" s="86"/>
      <c r="L267" s="86"/>
      <c r="M267" s="86"/>
      <c r="N267" s="86"/>
      <c r="O267" s="86"/>
      <c r="P267" s="86"/>
      <c r="Q267" s="86"/>
      <c r="R267" s="86"/>
      <c r="S267" s="86"/>
      <c r="T267" s="86"/>
      <c r="U267" s="86"/>
      <c r="V267" s="86"/>
      <c r="W267" s="86"/>
      <c r="X267" s="86"/>
      <c r="Y267" s="86"/>
      <c r="Z267" s="86"/>
    </row>
    <row r="268" spans="6:26" ht="12.75">
      <c r="F268" s="86"/>
      <c r="G268" s="86"/>
      <c r="H268" s="86"/>
      <c r="I268" s="86"/>
      <c r="J268" s="86"/>
      <c r="K268" s="86"/>
      <c r="L268" s="86"/>
      <c r="M268" s="86"/>
      <c r="N268" s="86"/>
      <c r="O268" s="86"/>
      <c r="P268" s="86"/>
      <c r="Q268" s="86"/>
      <c r="R268" s="86"/>
      <c r="S268" s="86"/>
      <c r="T268" s="86"/>
      <c r="U268" s="86"/>
      <c r="V268" s="86"/>
      <c r="W268" s="86"/>
      <c r="X268" s="86"/>
      <c r="Y268" s="86"/>
      <c r="Z268" s="86"/>
    </row>
    <row r="269" spans="6:26" ht="12.75">
      <c r="F269" s="86"/>
      <c r="G269" s="86"/>
      <c r="H269" s="86"/>
      <c r="I269" s="86"/>
      <c r="J269" s="86"/>
      <c r="K269" s="86"/>
      <c r="L269" s="86"/>
      <c r="M269" s="86"/>
      <c r="N269" s="86"/>
      <c r="O269" s="86"/>
      <c r="P269" s="86"/>
      <c r="Q269" s="86"/>
      <c r="R269" s="86"/>
      <c r="S269" s="86"/>
      <c r="T269" s="86"/>
      <c r="U269" s="86"/>
      <c r="V269" s="86"/>
      <c r="W269" s="86"/>
      <c r="X269" s="86"/>
      <c r="Y269" s="86"/>
      <c r="Z269" s="86"/>
    </row>
    <row r="270" spans="6:26" ht="12.75">
      <c r="F270" s="86"/>
      <c r="G270" s="86"/>
      <c r="H270" s="86"/>
      <c r="I270" s="86"/>
      <c r="J270" s="86"/>
      <c r="K270" s="86"/>
      <c r="L270" s="86"/>
      <c r="M270" s="86"/>
      <c r="N270" s="86"/>
      <c r="O270" s="86"/>
      <c r="P270" s="86"/>
      <c r="Q270" s="86"/>
      <c r="R270" s="86"/>
      <c r="S270" s="86"/>
      <c r="T270" s="86"/>
      <c r="U270" s="86"/>
      <c r="V270" s="86"/>
      <c r="W270" s="86"/>
      <c r="X270" s="86"/>
      <c r="Y270" s="86"/>
      <c r="Z270" s="86"/>
    </row>
    <row r="271" spans="6:26" ht="12.75">
      <c r="F271" s="86"/>
      <c r="G271" s="86"/>
      <c r="H271" s="86"/>
      <c r="I271" s="86"/>
      <c r="J271" s="86"/>
      <c r="K271" s="86"/>
      <c r="L271" s="86"/>
      <c r="M271" s="86"/>
      <c r="N271" s="86"/>
      <c r="O271" s="86"/>
      <c r="P271" s="86"/>
      <c r="Q271" s="86"/>
      <c r="R271" s="86"/>
      <c r="S271" s="86"/>
      <c r="T271" s="86"/>
      <c r="U271" s="86"/>
      <c r="V271" s="86"/>
      <c r="W271" s="86"/>
      <c r="X271" s="86"/>
      <c r="Y271" s="86"/>
      <c r="Z271" s="86"/>
    </row>
    <row r="272" spans="6:26" ht="12.75">
      <c r="F272" s="86"/>
      <c r="G272" s="86"/>
      <c r="H272" s="86"/>
      <c r="I272" s="86"/>
      <c r="J272" s="86"/>
      <c r="K272" s="86"/>
      <c r="L272" s="86"/>
      <c r="M272" s="86"/>
      <c r="N272" s="86"/>
      <c r="O272" s="86"/>
      <c r="P272" s="86"/>
      <c r="Q272" s="86"/>
      <c r="R272" s="86"/>
      <c r="S272" s="86"/>
      <c r="T272" s="86"/>
      <c r="U272" s="86"/>
      <c r="V272" s="86"/>
      <c r="W272" s="86"/>
      <c r="X272" s="86"/>
      <c r="Y272" s="86"/>
      <c r="Z272" s="86"/>
    </row>
    <row r="273" spans="6:26" ht="12.75">
      <c r="F273" s="86"/>
      <c r="G273" s="86"/>
      <c r="H273" s="86"/>
      <c r="I273" s="86"/>
      <c r="J273" s="86"/>
      <c r="K273" s="86"/>
      <c r="L273" s="86"/>
      <c r="M273" s="86"/>
      <c r="N273" s="86"/>
      <c r="O273" s="86"/>
      <c r="P273" s="86"/>
      <c r="Q273" s="86"/>
      <c r="R273" s="86"/>
      <c r="S273" s="86"/>
      <c r="T273" s="86"/>
      <c r="U273" s="86"/>
      <c r="V273" s="86"/>
      <c r="W273" s="86"/>
      <c r="X273" s="86"/>
      <c r="Y273" s="86"/>
      <c r="Z273" s="86"/>
    </row>
    <row r="274" spans="6:26" ht="12.75">
      <c r="F274" s="86"/>
      <c r="G274" s="86"/>
      <c r="H274" s="86"/>
      <c r="I274" s="86"/>
      <c r="J274" s="86"/>
      <c r="K274" s="86"/>
      <c r="L274" s="86"/>
      <c r="M274" s="86"/>
      <c r="N274" s="86"/>
      <c r="O274" s="86"/>
      <c r="P274" s="86"/>
      <c r="Q274" s="86"/>
      <c r="R274" s="86"/>
      <c r="S274" s="86"/>
      <c r="T274" s="86"/>
      <c r="U274" s="86"/>
      <c r="V274" s="86"/>
      <c r="W274" s="86"/>
      <c r="X274" s="86"/>
      <c r="Y274" s="86"/>
      <c r="Z274" s="86"/>
    </row>
    <row r="275" spans="6:26" ht="12.75">
      <c r="F275" s="86"/>
      <c r="G275" s="86"/>
      <c r="H275" s="86"/>
      <c r="I275" s="86"/>
      <c r="J275" s="86"/>
      <c r="K275" s="86"/>
      <c r="L275" s="86"/>
      <c r="M275" s="86"/>
      <c r="N275" s="86"/>
      <c r="O275" s="86"/>
      <c r="P275" s="86"/>
      <c r="Q275" s="86"/>
      <c r="R275" s="86"/>
      <c r="S275" s="86"/>
      <c r="T275" s="86"/>
      <c r="U275" s="86"/>
      <c r="V275" s="86"/>
      <c r="W275" s="86"/>
      <c r="X275" s="86"/>
      <c r="Y275" s="86"/>
      <c r="Z275" s="86"/>
    </row>
    <row r="276" spans="6:26" ht="12.75">
      <c r="F276" s="86"/>
      <c r="G276" s="86"/>
      <c r="H276" s="86"/>
      <c r="I276" s="86"/>
      <c r="J276" s="86"/>
      <c r="K276" s="86"/>
      <c r="L276" s="86"/>
      <c r="M276" s="86"/>
      <c r="N276" s="86"/>
      <c r="O276" s="86"/>
      <c r="P276" s="86"/>
      <c r="Q276" s="86"/>
      <c r="R276" s="86"/>
      <c r="S276" s="86"/>
      <c r="T276" s="86"/>
      <c r="U276" s="86"/>
      <c r="V276" s="86"/>
      <c r="W276" s="86"/>
      <c r="X276" s="86"/>
      <c r="Y276" s="86"/>
      <c r="Z276" s="86"/>
    </row>
    <row r="277" spans="6:26" ht="12.75">
      <c r="F277" s="86"/>
      <c r="G277" s="86"/>
      <c r="H277" s="86"/>
      <c r="I277" s="86"/>
      <c r="J277" s="86"/>
      <c r="K277" s="86"/>
      <c r="L277" s="86"/>
      <c r="M277" s="86"/>
      <c r="N277" s="86"/>
      <c r="O277" s="86"/>
      <c r="P277" s="86"/>
      <c r="Q277" s="86"/>
      <c r="R277" s="86"/>
      <c r="S277" s="86"/>
      <c r="T277" s="86"/>
      <c r="U277" s="86"/>
      <c r="V277" s="86"/>
      <c r="W277" s="86"/>
      <c r="X277" s="86"/>
      <c r="Y277" s="86"/>
      <c r="Z277" s="86"/>
    </row>
    <row r="278" spans="6:26" ht="12.75">
      <c r="F278" s="86"/>
      <c r="G278" s="86"/>
      <c r="H278" s="86"/>
      <c r="I278" s="86"/>
      <c r="J278" s="86"/>
      <c r="K278" s="86"/>
      <c r="L278" s="86"/>
      <c r="M278" s="86"/>
      <c r="N278" s="86"/>
      <c r="O278" s="86"/>
      <c r="P278" s="86"/>
      <c r="Q278" s="86"/>
      <c r="R278" s="86"/>
      <c r="S278" s="86"/>
      <c r="T278" s="86"/>
      <c r="U278" s="86"/>
      <c r="V278" s="86"/>
      <c r="W278" s="86"/>
      <c r="X278" s="86"/>
      <c r="Y278" s="86"/>
      <c r="Z278" s="86"/>
    </row>
    <row r="279" spans="6:26" ht="12.75">
      <c r="F279" s="86"/>
      <c r="G279" s="86"/>
      <c r="H279" s="86"/>
      <c r="I279" s="86"/>
      <c r="J279" s="86"/>
      <c r="K279" s="86"/>
      <c r="L279" s="86"/>
      <c r="M279" s="86"/>
      <c r="N279" s="86"/>
      <c r="O279" s="86"/>
      <c r="P279" s="86"/>
      <c r="Q279" s="86"/>
      <c r="R279" s="86"/>
      <c r="S279" s="86"/>
      <c r="T279" s="86"/>
      <c r="U279" s="86"/>
      <c r="V279" s="86"/>
      <c r="W279" s="86"/>
      <c r="X279" s="86"/>
      <c r="Y279" s="86"/>
      <c r="Z279" s="86"/>
    </row>
    <row r="280" spans="6:26" ht="12.75">
      <c r="F280" s="86"/>
      <c r="G280" s="86"/>
      <c r="H280" s="86"/>
      <c r="I280" s="86"/>
      <c r="J280" s="86"/>
      <c r="K280" s="86"/>
      <c r="L280" s="86"/>
      <c r="M280" s="86"/>
      <c r="N280" s="86"/>
      <c r="O280" s="86"/>
      <c r="P280" s="86"/>
      <c r="Q280" s="86"/>
      <c r="R280" s="86"/>
      <c r="S280" s="86"/>
      <c r="T280" s="86"/>
      <c r="U280" s="86"/>
      <c r="V280" s="86"/>
      <c r="W280" s="86"/>
      <c r="X280" s="86"/>
      <c r="Y280" s="86"/>
      <c r="Z280" s="86"/>
    </row>
    <row r="281" spans="6:26" ht="12.75">
      <c r="F281" s="86"/>
      <c r="G281" s="86"/>
      <c r="H281" s="86"/>
      <c r="I281" s="86"/>
      <c r="J281" s="86"/>
      <c r="K281" s="86"/>
      <c r="L281" s="86"/>
      <c r="M281" s="86"/>
      <c r="N281" s="86"/>
      <c r="O281" s="86"/>
      <c r="P281" s="86"/>
      <c r="Q281" s="86"/>
      <c r="R281" s="86"/>
      <c r="S281" s="86"/>
      <c r="T281" s="86"/>
      <c r="U281" s="86"/>
      <c r="V281" s="86"/>
      <c r="W281" s="86"/>
      <c r="X281" s="86"/>
      <c r="Y281" s="86"/>
      <c r="Z281" s="86"/>
    </row>
    <row r="282" spans="6:26" ht="12.75">
      <c r="F282" s="86"/>
      <c r="G282" s="86"/>
      <c r="H282" s="86"/>
      <c r="I282" s="86"/>
      <c r="J282" s="86"/>
      <c r="K282" s="86"/>
      <c r="L282" s="86"/>
      <c r="M282" s="86"/>
      <c r="N282" s="86"/>
      <c r="O282" s="86"/>
      <c r="P282" s="86"/>
      <c r="Q282" s="86"/>
      <c r="R282" s="86"/>
      <c r="S282" s="86"/>
      <c r="T282" s="86"/>
      <c r="U282" s="86"/>
      <c r="V282" s="86"/>
      <c r="W282" s="86"/>
      <c r="X282" s="86"/>
      <c r="Y282" s="86"/>
      <c r="Z282" s="86"/>
    </row>
    <row r="283" spans="6:26" ht="12.75">
      <c r="F283" s="86"/>
      <c r="G283" s="86"/>
      <c r="H283" s="86"/>
      <c r="I283" s="86"/>
      <c r="J283" s="86"/>
      <c r="K283" s="86"/>
      <c r="L283" s="86"/>
      <c r="M283" s="86"/>
      <c r="N283" s="86"/>
      <c r="O283" s="86"/>
      <c r="P283" s="86"/>
      <c r="Q283" s="86"/>
      <c r="R283" s="86"/>
      <c r="S283" s="86"/>
      <c r="T283" s="86"/>
      <c r="U283" s="86"/>
      <c r="V283" s="86"/>
      <c r="W283" s="86"/>
      <c r="X283" s="86"/>
      <c r="Y283" s="86"/>
      <c r="Z283" s="86"/>
    </row>
    <row r="284" spans="6:26" ht="12.75">
      <c r="F284" s="86"/>
      <c r="G284" s="86"/>
      <c r="H284" s="86"/>
      <c r="I284" s="86"/>
      <c r="J284" s="86"/>
      <c r="K284" s="86"/>
      <c r="L284" s="86"/>
      <c r="M284" s="86"/>
      <c r="N284" s="86"/>
      <c r="O284" s="86"/>
      <c r="P284" s="86"/>
      <c r="Q284" s="86"/>
      <c r="R284" s="86"/>
      <c r="S284" s="86"/>
      <c r="T284" s="86"/>
      <c r="U284" s="86"/>
      <c r="V284" s="86"/>
      <c r="W284" s="86"/>
      <c r="X284" s="86"/>
      <c r="Y284" s="86"/>
      <c r="Z284" s="86"/>
    </row>
    <row r="285" spans="6:26" ht="12.75">
      <c r="F285" s="86"/>
      <c r="G285" s="86"/>
      <c r="H285" s="86"/>
      <c r="I285" s="86"/>
      <c r="J285" s="86"/>
      <c r="K285" s="86"/>
      <c r="L285" s="86"/>
      <c r="M285" s="86"/>
      <c r="N285" s="86"/>
      <c r="O285" s="86"/>
      <c r="P285" s="86"/>
      <c r="Q285" s="86"/>
      <c r="R285" s="86"/>
      <c r="S285" s="86"/>
      <c r="T285" s="86"/>
      <c r="U285" s="86"/>
      <c r="V285" s="86"/>
      <c r="W285" s="86"/>
      <c r="X285" s="86"/>
      <c r="Y285" s="86"/>
      <c r="Z285" s="86"/>
    </row>
    <row r="286" spans="6:26" ht="12.75">
      <c r="F286" s="86"/>
      <c r="G286" s="86"/>
      <c r="H286" s="86"/>
      <c r="I286" s="86"/>
      <c r="J286" s="86"/>
      <c r="K286" s="86"/>
      <c r="L286" s="86"/>
      <c r="M286" s="86"/>
      <c r="N286" s="86"/>
      <c r="O286" s="86"/>
      <c r="P286" s="86"/>
      <c r="Q286" s="86"/>
      <c r="R286" s="86"/>
      <c r="S286" s="86"/>
      <c r="T286" s="86"/>
      <c r="U286" s="86"/>
      <c r="V286" s="86"/>
      <c r="W286" s="86"/>
      <c r="X286" s="86"/>
      <c r="Y286" s="86"/>
      <c r="Z286" s="86"/>
    </row>
    <row r="287" spans="6:26" ht="12.75">
      <c r="F287" s="86"/>
      <c r="G287" s="86"/>
      <c r="H287" s="86"/>
      <c r="I287" s="86"/>
      <c r="J287" s="86"/>
      <c r="K287" s="86"/>
      <c r="L287" s="86"/>
      <c r="M287" s="86"/>
      <c r="N287" s="86"/>
      <c r="O287" s="86"/>
      <c r="P287" s="86"/>
      <c r="Q287" s="86"/>
      <c r="R287" s="86"/>
      <c r="S287" s="86"/>
      <c r="T287" s="86"/>
      <c r="U287" s="86"/>
      <c r="V287" s="86"/>
      <c r="W287" s="86"/>
      <c r="X287" s="86"/>
      <c r="Y287" s="86"/>
      <c r="Z287" s="86"/>
    </row>
    <row r="288" spans="6:26" ht="12.75">
      <c r="F288" s="86"/>
      <c r="G288" s="86"/>
      <c r="H288" s="86"/>
      <c r="I288" s="86"/>
      <c r="J288" s="86"/>
      <c r="K288" s="86"/>
      <c r="L288" s="86"/>
      <c r="M288" s="86"/>
      <c r="N288" s="86"/>
      <c r="O288" s="86"/>
      <c r="P288" s="86"/>
      <c r="Q288" s="86"/>
      <c r="R288" s="86"/>
      <c r="S288" s="86"/>
      <c r="T288" s="86"/>
      <c r="U288" s="86"/>
      <c r="V288" s="86"/>
      <c r="W288" s="86"/>
      <c r="X288" s="86"/>
      <c r="Y288" s="86"/>
      <c r="Z288" s="86"/>
    </row>
    <row r="289" spans="6:26" ht="12.75">
      <c r="F289" s="86"/>
      <c r="G289" s="86"/>
      <c r="H289" s="86"/>
      <c r="I289" s="86"/>
      <c r="J289" s="86"/>
      <c r="K289" s="86"/>
      <c r="L289" s="86"/>
      <c r="M289" s="86"/>
      <c r="N289" s="86"/>
      <c r="O289" s="86"/>
      <c r="P289" s="86"/>
      <c r="Q289" s="86"/>
      <c r="R289" s="86"/>
      <c r="S289" s="86"/>
      <c r="T289" s="86"/>
      <c r="U289" s="86"/>
      <c r="V289" s="86"/>
      <c r="W289" s="86"/>
      <c r="X289" s="86"/>
      <c r="Y289" s="86"/>
      <c r="Z289" s="86"/>
    </row>
    <row r="290" spans="6:26" ht="12.75">
      <c r="F290" s="86"/>
      <c r="G290" s="86"/>
      <c r="H290" s="86"/>
      <c r="I290" s="86"/>
      <c r="J290" s="86"/>
      <c r="K290" s="86"/>
      <c r="L290" s="86"/>
      <c r="M290" s="86"/>
      <c r="N290" s="86"/>
      <c r="O290" s="86"/>
      <c r="P290" s="86"/>
      <c r="Q290" s="86"/>
      <c r="R290" s="86"/>
      <c r="S290" s="86"/>
      <c r="T290" s="86"/>
      <c r="U290" s="86"/>
      <c r="V290" s="86"/>
      <c r="W290" s="86"/>
      <c r="X290" s="86"/>
      <c r="Y290" s="86"/>
      <c r="Z290" s="86"/>
    </row>
    <row r="291" spans="6:26" ht="12.75">
      <c r="F291" s="86"/>
      <c r="G291" s="86"/>
      <c r="H291" s="86"/>
      <c r="I291" s="86"/>
      <c r="J291" s="86"/>
      <c r="K291" s="86"/>
      <c r="L291" s="86"/>
      <c r="M291" s="86"/>
      <c r="N291" s="86"/>
      <c r="O291" s="86"/>
      <c r="P291" s="86"/>
      <c r="Q291" s="86"/>
      <c r="R291" s="86"/>
      <c r="S291" s="86"/>
      <c r="T291" s="86"/>
      <c r="U291" s="86"/>
      <c r="V291" s="86"/>
      <c r="W291" s="86"/>
      <c r="X291" s="86"/>
      <c r="Y291" s="86"/>
      <c r="Z291" s="86"/>
    </row>
    <row r="292" spans="6:26" ht="12.75">
      <c r="F292" s="86"/>
      <c r="G292" s="86"/>
      <c r="H292" s="86"/>
      <c r="I292" s="86"/>
      <c r="J292" s="86"/>
      <c r="K292" s="86"/>
      <c r="L292" s="86"/>
      <c r="M292" s="86"/>
      <c r="N292" s="86"/>
      <c r="O292" s="86"/>
      <c r="P292" s="86"/>
      <c r="Q292" s="86"/>
      <c r="R292" s="86"/>
      <c r="S292" s="86"/>
      <c r="T292" s="86"/>
      <c r="U292" s="86"/>
      <c r="V292" s="86"/>
      <c r="W292" s="86"/>
      <c r="X292" s="86"/>
      <c r="Y292" s="86"/>
      <c r="Z292" s="86"/>
    </row>
    <row r="293" spans="6:26" ht="12.75">
      <c r="F293" s="86"/>
      <c r="G293" s="86"/>
      <c r="H293" s="86"/>
      <c r="I293" s="86"/>
      <c r="J293" s="86"/>
      <c r="K293" s="86"/>
      <c r="L293" s="86"/>
      <c r="M293" s="86"/>
      <c r="N293" s="86"/>
      <c r="O293" s="86"/>
      <c r="P293" s="86"/>
      <c r="Q293" s="86"/>
      <c r="R293" s="86"/>
      <c r="S293" s="86"/>
      <c r="T293" s="86"/>
      <c r="U293" s="86"/>
      <c r="V293" s="86"/>
      <c r="W293" s="86"/>
      <c r="X293" s="86"/>
      <c r="Y293" s="86"/>
      <c r="Z293" s="86"/>
    </row>
    <row r="294" spans="6:26" ht="12.75">
      <c r="F294" s="86"/>
      <c r="G294" s="86"/>
      <c r="H294" s="86"/>
      <c r="I294" s="86"/>
      <c r="J294" s="86"/>
      <c r="K294" s="86"/>
      <c r="L294" s="86"/>
      <c r="M294" s="86"/>
      <c r="N294" s="86"/>
      <c r="O294" s="86"/>
      <c r="P294" s="86"/>
      <c r="Q294" s="86"/>
      <c r="R294" s="86"/>
      <c r="S294" s="86"/>
      <c r="T294" s="86"/>
      <c r="U294" s="86"/>
      <c r="V294" s="86"/>
      <c r="W294" s="86"/>
      <c r="X294" s="86"/>
      <c r="Y294" s="86"/>
      <c r="Z294" s="86"/>
    </row>
    <row r="295" spans="6:26" ht="12.75">
      <c r="F295" s="86"/>
      <c r="G295" s="86"/>
      <c r="H295" s="86"/>
      <c r="I295" s="86"/>
      <c r="J295" s="86"/>
      <c r="K295" s="86"/>
      <c r="L295" s="86"/>
      <c r="M295" s="86"/>
      <c r="N295" s="86"/>
      <c r="O295" s="86"/>
      <c r="P295" s="86"/>
      <c r="Q295" s="86"/>
      <c r="R295" s="86"/>
      <c r="S295" s="86"/>
      <c r="T295" s="86"/>
      <c r="U295" s="86"/>
      <c r="V295" s="86"/>
      <c r="W295" s="86"/>
      <c r="X295" s="86"/>
      <c r="Y295" s="86"/>
      <c r="Z295" s="86"/>
    </row>
    <row r="296" spans="6:26" ht="12.75">
      <c r="F296" s="86"/>
      <c r="G296" s="86"/>
      <c r="H296" s="86"/>
      <c r="I296" s="86"/>
      <c r="J296" s="86"/>
      <c r="K296" s="86"/>
      <c r="L296" s="86"/>
      <c r="M296" s="86"/>
      <c r="N296" s="86"/>
      <c r="O296" s="86"/>
      <c r="P296" s="86"/>
      <c r="Q296" s="86"/>
      <c r="R296" s="86"/>
      <c r="S296" s="86"/>
      <c r="T296" s="86"/>
      <c r="U296" s="86"/>
      <c r="V296" s="86"/>
      <c r="W296" s="86"/>
      <c r="X296" s="86"/>
      <c r="Y296" s="86"/>
      <c r="Z296" s="86"/>
    </row>
    <row r="297" spans="6:26" ht="12.75">
      <c r="F297" s="86"/>
      <c r="G297" s="86"/>
      <c r="H297" s="86"/>
      <c r="I297" s="86"/>
      <c r="J297" s="86"/>
      <c r="K297" s="86"/>
      <c r="L297" s="86"/>
      <c r="M297" s="86"/>
      <c r="N297" s="86"/>
      <c r="O297" s="86"/>
      <c r="P297" s="86"/>
      <c r="Q297" s="86"/>
      <c r="R297" s="86"/>
      <c r="S297" s="86"/>
      <c r="T297" s="86"/>
      <c r="U297" s="86"/>
      <c r="V297" s="86"/>
      <c r="W297" s="86"/>
      <c r="X297" s="86"/>
      <c r="Y297" s="86"/>
      <c r="Z297" s="86"/>
    </row>
    <row r="298" spans="6:26" ht="12.75">
      <c r="F298" s="86"/>
      <c r="G298" s="86"/>
      <c r="H298" s="86"/>
      <c r="I298" s="86"/>
      <c r="J298" s="86"/>
      <c r="K298" s="86"/>
      <c r="L298" s="86"/>
      <c r="M298" s="86"/>
      <c r="N298" s="86"/>
      <c r="O298" s="86"/>
      <c r="P298" s="86"/>
      <c r="Q298" s="86"/>
      <c r="R298" s="86"/>
      <c r="S298" s="86"/>
      <c r="T298" s="86"/>
      <c r="U298" s="86"/>
      <c r="V298" s="86"/>
      <c r="W298" s="86"/>
      <c r="X298" s="86"/>
      <c r="Y298" s="86"/>
      <c r="Z298" s="86"/>
    </row>
    <row r="299" spans="6:26" ht="12.75">
      <c r="F299" s="86"/>
      <c r="G299" s="86"/>
      <c r="H299" s="86"/>
      <c r="I299" s="86"/>
      <c r="J299" s="86"/>
      <c r="K299" s="86"/>
      <c r="L299" s="86"/>
      <c r="M299" s="86"/>
      <c r="N299" s="86"/>
      <c r="O299" s="86"/>
      <c r="P299" s="86"/>
      <c r="Q299" s="86"/>
      <c r="R299" s="86"/>
      <c r="S299" s="86"/>
      <c r="T299" s="86"/>
      <c r="U299" s="86"/>
      <c r="V299" s="86"/>
      <c r="W299" s="86"/>
      <c r="X299" s="86"/>
      <c r="Y299" s="86"/>
      <c r="Z299" s="86"/>
    </row>
    <row r="300" spans="6:26" ht="12.75">
      <c r="F300" s="86"/>
      <c r="G300" s="86"/>
      <c r="H300" s="86"/>
      <c r="I300" s="86"/>
      <c r="J300" s="86"/>
      <c r="K300" s="86"/>
      <c r="L300" s="86"/>
      <c r="M300" s="86"/>
      <c r="N300" s="86"/>
      <c r="O300" s="86"/>
      <c r="P300" s="86"/>
      <c r="Q300" s="86"/>
      <c r="R300" s="86"/>
      <c r="S300" s="86"/>
      <c r="T300" s="86"/>
      <c r="U300" s="86"/>
      <c r="V300" s="86"/>
      <c r="W300" s="86"/>
      <c r="X300" s="86"/>
      <c r="Y300" s="86"/>
      <c r="Z300" s="86"/>
    </row>
    <row r="301" spans="6:26" ht="12.75">
      <c r="F301" s="86"/>
      <c r="G301" s="86"/>
      <c r="H301" s="86"/>
      <c r="I301" s="86"/>
      <c r="J301" s="86"/>
      <c r="K301" s="86"/>
      <c r="L301" s="86"/>
      <c r="M301" s="86"/>
      <c r="N301" s="86"/>
      <c r="O301" s="86"/>
      <c r="P301" s="86"/>
      <c r="Q301" s="86"/>
      <c r="R301" s="86"/>
      <c r="S301" s="86"/>
      <c r="T301" s="86"/>
      <c r="U301" s="86"/>
      <c r="V301" s="86"/>
      <c r="W301" s="86"/>
      <c r="X301" s="86"/>
      <c r="Y301" s="86"/>
      <c r="Z301" s="86"/>
    </row>
    <row r="302" spans="6:26" ht="12.75">
      <c r="F302" s="86"/>
      <c r="G302" s="86"/>
      <c r="H302" s="86"/>
      <c r="I302" s="86"/>
      <c r="J302" s="86"/>
      <c r="K302" s="86"/>
      <c r="L302" s="86"/>
      <c r="M302" s="86"/>
      <c r="N302" s="86"/>
      <c r="O302" s="86"/>
      <c r="P302" s="86"/>
      <c r="Q302" s="86"/>
      <c r="R302" s="86"/>
      <c r="S302" s="86"/>
      <c r="T302" s="86"/>
      <c r="U302" s="86"/>
      <c r="V302" s="86"/>
      <c r="W302" s="86"/>
      <c r="X302" s="86"/>
      <c r="Y302" s="86"/>
      <c r="Z302" s="86"/>
    </row>
    <row r="303" spans="6:26" ht="12.75">
      <c r="F303" s="86"/>
      <c r="G303" s="86"/>
      <c r="H303" s="86"/>
      <c r="I303" s="86"/>
      <c r="J303" s="86"/>
      <c r="K303" s="86"/>
      <c r="L303" s="86"/>
      <c r="M303" s="86"/>
      <c r="N303" s="86"/>
      <c r="O303" s="86"/>
      <c r="P303" s="86"/>
      <c r="Q303" s="86"/>
      <c r="R303" s="86"/>
      <c r="S303" s="86"/>
      <c r="T303" s="86"/>
      <c r="U303" s="86"/>
      <c r="V303" s="86"/>
      <c r="W303" s="86"/>
      <c r="X303" s="86"/>
      <c r="Y303" s="86"/>
      <c r="Z303" s="86"/>
    </row>
    <row r="304" spans="6:26" ht="12.75">
      <c r="F304" s="86"/>
      <c r="G304" s="86"/>
      <c r="H304" s="86"/>
      <c r="I304" s="86"/>
      <c r="J304" s="86"/>
      <c r="K304" s="86"/>
      <c r="L304" s="86"/>
      <c r="M304" s="86"/>
      <c r="N304" s="86"/>
      <c r="O304" s="86"/>
      <c r="P304" s="86"/>
      <c r="Q304" s="86"/>
      <c r="R304" s="86"/>
      <c r="S304" s="86"/>
      <c r="T304" s="86"/>
      <c r="U304" s="86"/>
      <c r="V304" s="86"/>
      <c r="W304" s="86"/>
      <c r="X304" s="86"/>
      <c r="Y304" s="86"/>
      <c r="Z304" s="86"/>
    </row>
    <row r="305" spans="6:26" ht="12.75">
      <c r="F305" s="86"/>
      <c r="G305" s="86"/>
      <c r="H305" s="86"/>
      <c r="I305" s="86"/>
      <c r="J305" s="86"/>
      <c r="K305" s="86"/>
      <c r="L305" s="86"/>
      <c r="M305" s="86"/>
      <c r="N305" s="86"/>
      <c r="O305" s="86"/>
      <c r="P305" s="86"/>
      <c r="Q305" s="86"/>
      <c r="R305" s="86"/>
      <c r="S305" s="86"/>
      <c r="T305" s="86"/>
      <c r="U305" s="86"/>
      <c r="V305" s="86"/>
      <c r="W305" s="86"/>
      <c r="X305" s="86"/>
      <c r="Y305" s="86"/>
      <c r="Z305" s="86"/>
    </row>
    <row r="306" spans="6:26" ht="12.75">
      <c r="F306" s="86"/>
      <c r="G306" s="86"/>
      <c r="H306" s="86"/>
      <c r="I306" s="86"/>
      <c r="J306" s="86"/>
      <c r="K306" s="86"/>
      <c r="L306" s="86"/>
      <c r="M306" s="86"/>
      <c r="N306" s="86"/>
      <c r="O306" s="86"/>
      <c r="P306" s="86"/>
      <c r="Q306" s="86"/>
      <c r="R306" s="86"/>
      <c r="S306" s="86"/>
      <c r="T306" s="86"/>
      <c r="U306" s="86"/>
      <c r="V306" s="86"/>
      <c r="W306" s="86"/>
      <c r="X306" s="86"/>
      <c r="Y306" s="86"/>
      <c r="Z306" s="86"/>
    </row>
    <row r="307" spans="6:26" ht="12.75">
      <c r="F307" s="86"/>
      <c r="G307" s="86"/>
      <c r="H307" s="86"/>
      <c r="I307" s="86"/>
      <c r="J307" s="86"/>
      <c r="K307" s="86"/>
      <c r="L307" s="86"/>
      <c r="M307" s="86"/>
      <c r="N307" s="86"/>
      <c r="O307" s="86"/>
      <c r="P307" s="86"/>
      <c r="Q307" s="86"/>
      <c r="R307" s="86"/>
      <c r="S307" s="86"/>
      <c r="T307" s="86"/>
      <c r="U307" s="86"/>
      <c r="V307" s="86"/>
      <c r="W307" s="86"/>
      <c r="X307" s="86"/>
      <c r="Y307" s="86"/>
      <c r="Z307" s="86"/>
    </row>
    <row r="308" spans="6:26" ht="12.75">
      <c r="F308" s="86"/>
      <c r="G308" s="86"/>
      <c r="H308" s="86"/>
      <c r="I308" s="86"/>
      <c r="J308" s="86"/>
      <c r="K308" s="86"/>
      <c r="L308" s="86"/>
      <c r="M308" s="86"/>
      <c r="N308" s="86"/>
      <c r="O308" s="86"/>
      <c r="P308" s="86"/>
      <c r="Q308" s="86"/>
      <c r="R308" s="86"/>
      <c r="S308" s="86"/>
      <c r="T308" s="86"/>
      <c r="U308" s="86"/>
      <c r="V308" s="86"/>
      <c r="W308" s="86"/>
      <c r="X308" s="86"/>
      <c r="Y308" s="86"/>
      <c r="Z308" s="86"/>
    </row>
    <row r="309" spans="6:26" ht="12.75">
      <c r="F309" s="86"/>
      <c r="G309" s="86"/>
      <c r="H309" s="86"/>
      <c r="I309" s="86"/>
      <c r="J309" s="86"/>
      <c r="K309" s="86"/>
      <c r="L309" s="86"/>
      <c r="M309" s="86"/>
      <c r="N309" s="86"/>
      <c r="O309" s="86"/>
      <c r="P309" s="86"/>
      <c r="Q309" s="86"/>
      <c r="R309" s="86"/>
      <c r="S309" s="86"/>
      <c r="T309" s="86"/>
      <c r="U309" s="86"/>
      <c r="V309" s="86"/>
      <c r="W309" s="86"/>
      <c r="X309" s="86"/>
      <c r="Y309" s="86"/>
      <c r="Z309" s="86"/>
    </row>
    <row r="310" spans="6:26" ht="12.75">
      <c r="F310" s="86"/>
      <c r="G310" s="86"/>
      <c r="H310" s="86"/>
      <c r="I310" s="86"/>
      <c r="J310" s="86"/>
      <c r="K310" s="86"/>
      <c r="L310" s="86"/>
      <c r="M310" s="86"/>
      <c r="N310" s="86"/>
      <c r="O310" s="86"/>
      <c r="P310" s="86"/>
      <c r="Q310" s="86"/>
      <c r="R310" s="86"/>
      <c r="S310" s="86"/>
      <c r="T310" s="86"/>
      <c r="U310" s="86"/>
      <c r="V310" s="86"/>
      <c r="W310" s="86"/>
      <c r="X310" s="86"/>
      <c r="Y310" s="86"/>
      <c r="Z310" s="86"/>
    </row>
    <row r="311" spans="6:26" ht="12.75">
      <c r="F311" s="86"/>
      <c r="G311" s="86"/>
      <c r="H311" s="86"/>
      <c r="I311" s="86"/>
      <c r="J311" s="86"/>
      <c r="K311" s="86"/>
      <c r="L311" s="86"/>
      <c r="M311" s="86"/>
      <c r="N311" s="86"/>
      <c r="O311" s="86"/>
      <c r="P311" s="86"/>
      <c r="Q311" s="86"/>
      <c r="R311" s="86"/>
      <c r="S311" s="86"/>
      <c r="T311" s="86"/>
      <c r="U311" s="86"/>
      <c r="V311" s="86"/>
      <c r="W311" s="86"/>
      <c r="X311" s="86"/>
      <c r="Y311" s="86"/>
      <c r="Z311" s="86"/>
    </row>
    <row r="312" spans="6:26" ht="12.75">
      <c r="F312" s="86"/>
      <c r="G312" s="86"/>
      <c r="H312" s="86"/>
      <c r="I312" s="86"/>
      <c r="J312" s="86"/>
      <c r="K312" s="86"/>
      <c r="L312" s="86"/>
      <c r="M312" s="86"/>
      <c r="N312" s="86"/>
      <c r="O312" s="86"/>
      <c r="P312" s="86"/>
      <c r="Q312" s="86"/>
      <c r="R312" s="86"/>
      <c r="S312" s="86"/>
      <c r="T312" s="86"/>
      <c r="U312" s="86"/>
      <c r="V312" s="86"/>
      <c r="W312" s="86"/>
      <c r="X312" s="86"/>
      <c r="Y312" s="86"/>
      <c r="Z312" s="86"/>
    </row>
    <row r="313" spans="6:26" ht="12.75">
      <c r="F313" s="86"/>
      <c r="G313" s="86"/>
      <c r="H313" s="86"/>
      <c r="I313" s="86"/>
      <c r="J313" s="86"/>
      <c r="K313" s="86"/>
      <c r="L313" s="86"/>
      <c r="M313" s="86"/>
      <c r="N313" s="86"/>
      <c r="O313" s="86"/>
      <c r="P313" s="86"/>
      <c r="Q313" s="86"/>
      <c r="R313" s="86"/>
      <c r="S313" s="86"/>
      <c r="T313" s="86"/>
      <c r="U313" s="86"/>
      <c r="V313" s="86"/>
      <c r="W313" s="86"/>
      <c r="X313" s="86"/>
      <c r="Y313" s="86"/>
      <c r="Z313" s="86"/>
    </row>
    <row r="314" spans="6:26" ht="12.75">
      <c r="F314" s="86"/>
      <c r="G314" s="86"/>
      <c r="H314" s="86"/>
      <c r="I314" s="86"/>
      <c r="J314" s="86"/>
      <c r="K314" s="86"/>
      <c r="L314" s="86"/>
      <c r="M314" s="86"/>
      <c r="N314" s="86"/>
      <c r="O314" s="86"/>
      <c r="P314" s="86"/>
      <c r="Q314" s="86"/>
      <c r="R314" s="86"/>
      <c r="S314" s="86"/>
      <c r="T314" s="86"/>
      <c r="U314" s="86"/>
      <c r="V314" s="86"/>
      <c r="W314" s="86"/>
      <c r="X314" s="86"/>
      <c r="Y314" s="86"/>
      <c r="Z314" s="86"/>
    </row>
    <row r="315" spans="6:26" ht="12.75">
      <c r="F315" s="86"/>
      <c r="G315" s="86"/>
      <c r="H315" s="86"/>
      <c r="I315" s="86"/>
      <c r="J315" s="86"/>
      <c r="K315" s="86"/>
      <c r="L315" s="86"/>
      <c r="M315" s="86"/>
      <c r="N315" s="86"/>
      <c r="O315" s="86"/>
      <c r="P315" s="86"/>
      <c r="Q315" s="86"/>
      <c r="R315" s="86"/>
      <c r="S315" s="86"/>
      <c r="T315" s="86"/>
      <c r="U315" s="86"/>
      <c r="V315" s="86"/>
      <c r="W315" s="86"/>
      <c r="X315" s="86"/>
      <c r="Y315" s="86"/>
      <c r="Z315" s="86"/>
    </row>
    <row r="316" spans="6:26" ht="12.75">
      <c r="F316" s="86"/>
      <c r="G316" s="86"/>
      <c r="H316" s="86"/>
      <c r="I316" s="86"/>
      <c r="J316" s="86"/>
      <c r="K316" s="86"/>
      <c r="L316" s="86"/>
      <c r="M316" s="86"/>
      <c r="N316" s="86"/>
      <c r="O316" s="86"/>
      <c r="P316" s="86"/>
      <c r="Q316" s="86"/>
      <c r="R316" s="86"/>
      <c r="S316" s="86"/>
      <c r="T316" s="86"/>
      <c r="U316" s="86"/>
      <c r="V316" s="86"/>
      <c r="W316" s="86"/>
      <c r="X316" s="86"/>
      <c r="Y316" s="86"/>
      <c r="Z316" s="86"/>
    </row>
    <row r="317" spans="6:26" ht="12.75">
      <c r="F317" s="86"/>
      <c r="G317" s="86"/>
      <c r="H317" s="86"/>
      <c r="I317" s="86"/>
      <c r="J317" s="86"/>
      <c r="K317" s="86"/>
      <c r="L317" s="86"/>
      <c r="M317" s="86"/>
      <c r="N317" s="86"/>
      <c r="O317" s="86"/>
      <c r="P317" s="86"/>
      <c r="Q317" s="86"/>
      <c r="R317" s="86"/>
      <c r="S317" s="86"/>
      <c r="T317" s="86"/>
      <c r="U317" s="86"/>
      <c r="V317" s="86"/>
      <c r="W317" s="86"/>
      <c r="X317" s="86"/>
      <c r="Y317" s="86"/>
      <c r="Z317" s="86"/>
    </row>
    <row r="318" spans="6:26" ht="12.75">
      <c r="F318" s="86"/>
      <c r="G318" s="86"/>
      <c r="H318" s="86"/>
      <c r="I318" s="86"/>
      <c r="J318" s="86"/>
      <c r="K318" s="86"/>
      <c r="L318" s="86"/>
      <c r="M318" s="86"/>
      <c r="N318" s="86"/>
      <c r="O318" s="86"/>
      <c r="P318" s="86"/>
      <c r="Q318" s="86"/>
      <c r="R318" s="86"/>
      <c r="S318" s="86"/>
      <c r="T318" s="86"/>
      <c r="U318" s="86"/>
      <c r="V318" s="86"/>
      <c r="W318" s="86"/>
      <c r="X318" s="86"/>
      <c r="Y318" s="86"/>
      <c r="Z318" s="86"/>
    </row>
    <row r="319" spans="6:26" ht="12.75">
      <c r="F319" s="86"/>
      <c r="G319" s="86"/>
      <c r="H319" s="86"/>
      <c r="I319" s="86"/>
      <c r="J319" s="86"/>
      <c r="K319" s="86"/>
      <c r="L319" s="86"/>
      <c r="M319" s="86"/>
      <c r="N319" s="86"/>
      <c r="O319" s="86"/>
      <c r="P319" s="86"/>
      <c r="Q319" s="86"/>
      <c r="R319" s="86"/>
      <c r="S319" s="86"/>
      <c r="T319" s="86"/>
      <c r="U319" s="86"/>
      <c r="V319" s="86"/>
      <c r="W319" s="86"/>
      <c r="X319" s="86"/>
      <c r="Y319" s="86"/>
      <c r="Z319" s="86"/>
    </row>
    <row r="320" spans="6:26" ht="12.75">
      <c r="F320" s="86"/>
      <c r="G320" s="86"/>
      <c r="H320" s="86"/>
      <c r="I320" s="86"/>
      <c r="J320" s="86"/>
      <c r="K320" s="86"/>
      <c r="L320" s="86"/>
      <c r="M320" s="86"/>
      <c r="N320" s="86"/>
      <c r="O320" s="86"/>
      <c r="P320" s="86"/>
      <c r="Q320" s="86"/>
      <c r="R320" s="86"/>
      <c r="S320" s="86"/>
      <c r="T320" s="86"/>
      <c r="U320" s="86"/>
      <c r="V320" s="86"/>
      <c r="W320" s="86"/>
      <c r="X320" s="86"/>
      <c r="Y320" s="86"/>
      <c r="Z320" s="86"/>
    </row>
    <row r="321" spans="6:26" ht="12.75">
      <c r="F321" s="86"/>
      <c r="G321" s="86"/>
      <c r="H321" s="86"/>
      <c r="I321" s="86"/>
      <c r="J321" s="86"/>
      <c r="K321" s="86"/>
      <c r="L321" s="86"/>
      <c r="M321" s="86"/>
      <c r="N321" s="86"/>
      <c r="O321" s="86"/>
      <c r="P321" s="86"/>
      <c r="Q321" s="86"/>
      <c r="R321" s="86"/>
      <c r="S321" s="86"/>
      <c r="T321" s="86"/>
      <c r="U321" s="86"/>
      <c r="V321" s="86"/>
      <c r="W321" s="86"/>
      <c r="X321" s="86"/>
      <c r="Y321" s="86"/>
      <c r="Z321" s="86"/>
    </row>
    <row r="322" spans="6:26" ht="12.75">
      <c r="F322" s="86"/>
      <c r="G322" s="86"/>
      <c r="H322" s="86"/>
      <c r="I322" s="86"/>
      <c r="J322" s="86"/>
      <c r="K322" s="86"/>
      <c r="L322" s="86"/>
      <c r="M322" s="86"/>
      <c r="N322" s="86"/>
      <c r="O322" s="86"/>
      <c r="P322" s="86"/>
      <c r="Q322" s="86"/>
      <c r="R322" s="86"/>
      <c r="S322" s="86"/>
      <c r="T322" s="86"/>
      <c r="U322" s="86"/>
      <c r="V322" s="86"/>
      <c r="W322" s="86"/>
      <c r="X322" s="86"/>
      <c r="Y322" s="86"/>
      <c r="Z322" s="86"/>
    </row>
    <row r="323" spans="6:26" ht="12.75">
      <c r="F323" s="86"/>
      <c r="G323" s="86"/>
      <c r="H323" s="86"/>
      <c r="I323" s="86"/>
      <c r="J323" s="86"/>
      <c r="K323" s="86"/>
      <c r="L323" s="86"/>
      <c r="M323" s="86"/>
      <c r="N323" s="86"/>
      <c r="O323" s="86"/>
      <c r="P323" s="86"/>
      <c r="Q323" s="86"/>
      <c r="R323" s="86"/>
      <c r="S323" s="86"/>
      <c r="T323" s="86"/>
      <c r="U323" s="86"/>
      <c r="V323" s="86"/>
      <c r="W323" s="86"/>
      <c r="X323" s="86"/>
      <c r="Y323" s="86"/>
      <c r="Z323" s="86"/>
    </row>
    <row r="324" spans="6:26" ht="12.75">
      <c r="F324" s="86"/>
      <c r="G324" s="86"/>
      <c r="H324" s="86"/>
      <c r="I324" s="86"/>
      <c r="J324" s="86"/>
      <c r="K324" s="86"/>
      <c r="L324" s="86"/>
      <c r="M324" s="86"/>
      <c r="N324" s="86"/>
      <c r="O324" s="86"/>
      <c r="P324" s="86"/>
      <c r="Q324" s="86"/>
      <c r="R324" s="86"/>
      <c r="S324" s="86"/>
      <c r="T324" s="86"/>
      <c r="U324" s="86"/>
      <c r="V324" s="86"/>
      <c r="W324" s="86"/>
      <c r="X324" s="86"/>
      <c r="Y324" s="86"/>
      <c r="Z324" s="86"/>
    </row>
    <row r="325" spans="6:26" ht="12.75">
      <c r="F325" s="86"/>
      <c r="G325" s="86"/>
      <c r="H325" s="86"/>
      <c r="I325" s="86"/>
      <c r="J325" s="86"/>
      <c r="K325" s="86"/>
      <c r="L325" s="86"/>
      <c r="M325" s="86"/>
      <c r="N325" s="86"/>
      <c r="O325" s="86"/>
      <c r="P325" s="86"/>
      <c r="Q325" s="86"/>
      <c r="R325" s="86"/>
      <c r="S325" s="86"/>
      <c r="T325" s="86"/>
      <c r="U325" s="86"/>
      <c r="V325" s="86"/>
      <c r="W325" s="86"/>
      <c r="X325" s="86"/>
      <c r="Y325" s="86"/>
      <c r="Z325" s="86"/>
    </row>
    <row r="326" spans="6:26" ht="12.75">
      <c r="F326" s="86"/>
      <c r="G326" s="86"/>
      <c r="H326" s="86"/>
      <c r="I326" s="86"/>
      <c r="J326" s="86"/>
      <c r="K326" s="86"/>
      <c r="L326" s="86"/>
      <c r="M326" s="86"/>
      <c r="N326" s="86"/>
      <c r="O326" s="86"/>
      <c r="P326" s="86"/>
      <c r="Q326" s="86"/>
      <c r="R326" s="86"/>
      <c r="S326" s="86"/>
      <c r="T326" s="86"/>
      <c r="U326" s="86"/>
      <c r="V326" s="86"/>
      <c r="W326" s="86"/>
      <c r="X326" s="86"/>
      <c r="Y326" s="86"/>
      <c r="Z326" s="86"/>
    </row>
    <row r="327" spans="6:26" ht="12.75">
      <c r="F327" s="86"/>
      <c r="G327" s="86"/>
      <c r="H327" s="86"/>
      <c r="I327" s="86"/>
      <c r="J327" s="86"/>
      <c r="K327" s="86"/>
      <c r="L327" s="86"/>
      <c r="M327" s="86"/>
      <c r="N327" s="86"/>
      <c r="O327" s="86"/>
      <c r="P327" s="86"/>
      <c r="Q327" s="86"/>
      <c r="R327" s="86"/>
      <c r="S327" s="86"/>
      <c r="T327" s="86"/>
      <c r="U327" s="86"/>
      <c r="V327" s="86"/>
      <c r="W327" s="86"/>
      <c r="X327" s="86"/>
      <c r="Y327" s="86"/>
      <c r="Z327" s="86"/>
    </row>
    <row r="328" spans="6:26" ht="12.75">
      <c r="F328" s="86"/>
      <c r="G328" s="86"/>
      <c r="H328" s="86"/>
      <c r="I328" s="86"/>
      <c r="J328" s="86"/>
      <c r="K328" s="86"/>
      <c r="L328" s="86"/>
      <c r="M328" s="86"/>
      <c r="N328" s="86"/>
      <c r="O328" s="86"/>
      <c r="P328" s="86"/>
      <c r="Q328" s="86"/>
      <c r="R328" s="86"/>
      <c r="S328" s="86"/>
      <c r="T328" s="86"/>
      <c r="U328" s="86"/>
      <c r="V328" s="86"/>
      <c r="W328" s="86"/>
      <c r="X328" s="86"/>
      <c r="Y328" s="86"/>
      <c r="Z328" s="86"/>
    </row>
    <row r="329" spans="6:26" ht="12.75">
      <c r="F329" s="86"/>
      <c r="G329" s="86"/>
      <c r="H329" s="86"/>
      <c r="I329" s="86"/>
      <c r="J329" s="86"/>
      <c r="K329" s="86"/>
      <c r="L329" s="86"/>
      <c r="M329" s="86"/>
      <c r="N329" s="86"/>
      <c r="O329" s="86"/>
      <c r="P329" s="86"/>
      <c r="Q329" s="86"/>
      <c r="R329" s="86"/>
      <c r="S329" s="86"/>
      <c r="T329" s="86"/>
      <c r="U329" s="86"/>
      <c r="V329" s="86"/>
      <c r="W329" s="86"/>
      <c r="X329" s="86"/>
      <c r="Y329" s="86"/>
      <c r="Z329" s="86"/>
    </row>
    <row r="330" spans="6:26" ht="12.75">
      <c r="F330" s="86"/>
      <c r="G330" s="86"/>
      <c r="H330" s="86"/>
      <c r="I330" s="86"/>
      <c r="J330" s="86"/>
      <c r="K330" s="86"/>
      <c r="L330" s="86"/>
      <c r="M330" s="86"/>
      <c r="N330" s="86"/>
      <c r="O330" s="86"/>
      <c r="P330" s="86"/>
      <c r="Q330" s="86"/>
      <c r="R330" s="86"/>
      <c r="S330" s="86"/>
      <c r="T330" s="86"/>
      <c r="U330" s="86"/>
      <c r="V330" s="86"/>
      <c r="W330" s="86"/>
      <c r="X330" s="86"/>
      <c r="Y330" s="86"/>
      <c r="Z330" s="86"/>
    </row>
    <row r="331" spans="6:26" ht="12.75">
      <c r="F331" s="86"/>
      <c r="G331" s="86"/>
      <c r="H331" s="86"/>
      <c r="I331" s="86"/>
      <c r="J331" s="86"/>
      <c r="K331" s="86"/>
      <c r="L331" s="86"/>
      <c r="M331" s="86"/>
      <c r="N331" s="86"/>
      <c r="O331" s="86"/>
      <c r="P331" s="86"/>
      <c r="Q331" s="86"/>
      <c r="R331" s="86"/>
      <c r="S331" s="86"/>
      <c r="T331" s="86"/>
      <c r="U331" s="86"/>
      <c r="V331" s="86"/>
      <c r="W331" s="86"/>
      <c r="X331" s="86"/>
      <c r="Y331" s="86"/>
      <c r="Z331" s="86"/>
    </row>
    <row r="332" spans="6:26" ht="12.75">
      <c r="F332" s="86"/>
      <c r="G332" s="86"/>
      <c r="H332" s="86"/>
      <c r="I332" s="86"/>
      <c r="J332" s="86"/>
      <c r="K332" s="86"/>
      <c r="L332" s="86"/>
      <c r="M332" s="86"/>
      <c r="N332" s="86"/>
      <c r="O332" s="86"/>
      <c r="P332" s="86"/>
      <c r="Q332" s="86"/>
      <c r="R332" s="86"/>
      <c r="S332" s="86"/>
      <c r="T332" s="86"/>
      <c r="U332" s="86"/>
      <c r="V332" s="86"/>
      <c r="W332" s="86"/>
      <c r="X332" s="86"/>
      <c r="Y332" s="86"/>
      <c r="Z332" s="86"/>
    </row>
    <row r="333" spans="6:26" ht="12.75">
      <c r="F333" s="86"/>
      <c r="G333" s="86"/>
      <c r="H333" s="86"/>
      <c r="I333" s="86"/>
      <c r="J333" s="86"/>
      <c r="K333" s="86"/>
      <c r="L333" s="86"/>
      <c r="M333" s="86"/>
      <c r="N333" s="86"/>
      <c r="O333" s="86"/>
      <c r="P333" s="86"/>
      <c r="Q333" s="86"/>
      <c r="R333" s="86"/>
      <c r="S333" s="86"/>
      <c r="T333" s="86"/>
      <c r="U333" s="86"/>
      <c r="V333" s="86"/>
      <c r="W333" s="86"/>
      <c r="X333" s="86"/>
      <c r="Y333" s="86"/>
      <c r="Z333" s="86"/>
    </row>
    <row r="334" spans="6:26" ht="12.75">
      <c r="F334" s="86"/>
      <c r="G334" s="86"/>
      <c r="H334" s="86"/>
      <c r="I334" s="86"/>
      <c r="J334" s="86"/>
      <c r="K334" s="86"/>
      <c r="L334" s="86"/>
      <c r="M334" s="86"/>
      <c r="N334" s="86"/>
      <c r="O334" s="86"/>
      <c r="P334" s="86"/>
      <c r="Q334" s="86"/>
      <c r="R334" s="86"/>
      <c r="S334" s="86"/>
      <c r="T334" s="86"/>
      <c r="U334" s="86"/>
      <c r="V334" s="86"/>
      <c r="W334" s="86"/>
      <c r="X334" s="86"/>
      <c r="Y334" s="86"/>
      <c r="Z334" s="86"/>
    </row>
    <row r="335" spans="6:26" ht="12.75">
      <c r="F335" s="86"/>
      <c r="G335" s="86"/>
      <c r="H335" s="86"/>
      <c r="I335" s="86"/>
      <c r="J335" s="86"/>
      <c r="K335" s="86"/>
      <c r="L335" s="86"/>
      <c r="M335" s="86"/>
      <c r="N335" s="86"/>
      <c r="O335" s="86"/>
      <c r="P335" s="86"/>
      <c r="Q335" s="86"/>
      <c r="R335" s="86"/>
      <c r="S335" s="86"/>
      <c r="T335" s="86"/>
      <c r="U335" s="86"/>
      <c r="V335" s="86"/>
      <c r="W335" s="86"/>
      <c r="X335" s="86"/>
      <c r="Y335" s="86"/>
      <c r="Z335" s="86"/>
    </row>
    <row r="336" spans="6:26" ht="12.75">
      <c r="F336" s="86"/>
      <c r="G336" s="86"/>
      <c r="H336" s="86"/>
      <c r="I336" s="86"/>
      <c r="J336" s="86"/>
      <c r="K336" s="86"/>
      <c r="L336" s="86"/>
      <c r="M336" s="86"/>
      <c r="N336" s="86"/>
      <c r="O336" s="86"/>
      <c r="P336" s="86"/>
      <c r="Q336" s="86"/>
      <c r="R336" s="86"/>
      <c r="S336" s="86"/>
      <c r="T336" s="86"/>
      <c r="U336" s="86"/>
      <c r="V336" s="86"/>
      <c r="W336" s="86"/>
      <c r="X336" s="86"/>
      <c r="Y336" s="86"/>
      <c r="Z336" s="86"/>
    </row>
    <row r="337" spans="6:26" ht="12.75">
      <c r="F337" s="86"/>
      <c r="G337" s="86"/>
      <c r="H337" s="86"/>
      <c r="I337" s="86"/>
      <c r="J337" s="86"/>
      <c r="K337" s="86"/>
      <c r="L337" s="86"/>
      <c r="M337" s="86"/>
      <c r="N337" s="86"/>
      <c r="O337" s="86"/>
      <c r="P337" s="86"/>
      <c r="Q337" s="86"/>
      <c r="R337" s="86"/>
      <c r="S337" s="86"/>
      <c r="T337" s="86"/>
      <c r="U337" s="86"/>
      <c r="V337" s="86"/>
      <c r="W337" s="86"/>
      <c r="X337" s="86"/>
      <c r="Y337" s="86"/>
      <c r="Z337" s="86"/>
    </row>
    <row r="338" spans="6:26" ht="12.75">
      <c r="F338" s="86"/>
      <c r="G338" s="86"/>
      <c r="H338" s="86"/>
      <c r="I338" s="86"/>
      <c r="J338" s="86"/>
      <c r="K338" s="86"/>
      <c r="L338" s="86"/>
      <c r="M338" s="86"/>
      <c r="N338" s="86"/>
      <c r="O338" s="86"/>
      <c r="P338" s="86"/>
      <c r="Q338" s="86"/>
      <c r="R338" s="86"/>
      <c r="S338" s="86"/>
      <c r="T338" s="86"/>
      <c r="U338" s="86"/>
      <c r="V338" s="86"/>
      <c r="W338" s="86"/>
      <c r="X338" s="86"/>
      <c r="Y338" s="86"/>
      <c r="Z338" s="86"/>
    </row>
    <row r="339" spans="6:26" ht="12.75">
      <c r="F339" s="86"/>
      <c r="G339" s="86"/>
      <c r="H339" s="86"/>
      <c r="I339" s="86"/>
      <c r="J339" s="86"/>
      <c r="K339" s="86"/>
      <c r="L339" s="86"/>
      <c r="M339" s="86"/>
      <c r="N339" s="86"/>
      <c r="O339" s="86"/>
      <c r="P339" s="86"/>
      <c r="Q339" s="86"/>
      <c r="R339" s="86"/>
      <c r="S339" s="86"/>
      <c r="T339" s="86"/>
      <c r="U339" s="86"/>
      <c r="V339" s="86"/>
      <c r="W339" s="86"/>
      <c r="X339" s="86"/>
      <c r="Y339" s="86"/>
      <c r="Z339" s="86"/>
    </row>
    <row r="340" spans="6:26" ht="12.75">
      <c r="F340" s="86"/>
      <c r="G340" s="86"/>
      <c r="H340" s="86"/>
      <c r="I340" s="86"/>
      <c r="J340" s="86"/>
      <c r="K340" s="86"/>
      <c r="L340" s="86"/>
      <c r="M340" s="86"/>
      <c r="N340" s="86"/>
      <c r="O340" s="86"/>
      <c r="P340" s="86"/>
      <c r="Q340" s="86"/>
      <c r="R340" s="86"/>
      <c r="S340" s="86"/>
      <c r="T340" s="86"/>
      <c r="U340" s="86"/>
      <c r="V340" s="86"/>
      <c r="W340" s="86"/>
      <c r="X340" s="86"/>
      <c r="Y340" s="86"/>
      <c r="Z340" s="86"/>
    </row>
    <row r="341" spans="6:26" ht="12.75">
      <c r="F341" s="86"/>
      <c r="G341" s="86"/>
      <c r="H341" s="86"/>
      <c r="I341" s="86"/>
      <c r="J341" s="86"/>
      <c r="K341" s="86"/>
      <c r="L341" s="86"/>
      <c r="M341" s="86"/>
      <c r="N341" s="86"/>
      <c r="O341" s="86"/>
      <c r="P341" s="86"/>
      <c r="Q341" s="86"/>
      <c r="R341" s="86"/>
      <c r="S341" s="86"/>
      <c r="T341" s="86"/>
      <c r="U341" s="86"/>
      <c r="V341" s="86"/>
      <c r="W341" s="86"/>
      <c r="X341" s="86"/>
      <c r="Y341" s="86"/>
      <c r="Z341" s="86"/>
    </row>
    <row r="342" spans="6:26" ht="12.75">
      <c r="F342" s="86"/>
      <c r="G342" s="86"/>
      <c r="H342" s="86"/>
      <c r="I342" s="86"/>
      <c r="J342" s="86"/>
      <c r="K342" s="86"/>
      <c r="L342" s="86"/>
      <c r="M342" s="86"/>
      <c r="N342" s="86"/>
      <c r="O342" s="86"/>
      <c r="P342" s="86"/>
      <c r="Q342" s="86"/>
      <c r="R342" s="86"/>
      <c r="S342" s="86"/>
      <c r="T342" s="86"/>
      <c r="U342" s="86"/>
      <c r="V342" s="86"/>
      <c r="W342" s="86"/>
      <c r="X342" s="86"/>
      <c r="Y342" s="86"/>
      <c r="Z342" s="86"/>
    </row>
    <row r="343" spans="6:26" ht="12.75">
      <c r="F343" s="86"/>
      <c r="G343" s="86"/>
      <c r="H343" s="86"/>
      <c r="I343" s="86"/>
      <c r="J343" s="86"/>
      <c r="K343" s="86"/>
      <c r="L343" s="86"/>
      <c r="M343" s="86"/>
      <c r="N343" s="86"/>
      <c r="O343" s="86"/>
      <c r="P343" s="86"/>
      <c r="Q343" s="86"/>
      <c r="R343" s="86"/>
      <c r="S343" s="86"/>
      <c r="T343" s="86"/>
      <c r="U343" s="86"/>
      <c r="V343" s="86"/>
      <c r="W343" s="86"/>
      <c r="X343" s="86"/>
      <c r="Y343" s="86"/>
      <c r="Z343" s="86"/>
    </row>
    <row r="344" spans="6:26" ht="12.75">
      <c r="F344" s="86"/>
      <c r="G344" s="86"/>
      <c r="H344" s="86"/>
      <c r="I344" s="86"/>
      <c r="J344" s="86"/>
      <c r="K344" s="86"/>
      <c r="L344" s="86"/>
      <c r="M344" s="86"/>
      <c r="N344" s="86"/>
      <c r="O344" s="86"/>
      <c r="P344" s="86"/>
      <c r="Q344" s="86"/>
      <c r="R344" s="86"/>
      <c r="S344" s="86"/>
      <c r="T344" s="86"/>
      <c r="U344" s="86"/>
      <c r="V344" s="86"/>
      <c r="W344" s="86"/>
      <c r="X344" s="86"/>
      <c r="Y344" s="86"/>
      <c r="Z344" s="86"/>
    </row>
    <row r="345" spans="6:26" ht="12.75">
      <c r="F345" s="86"/>
      <c r="G345" s="86"/>
      <c r="H345" s="86"/>
      <c r="I345" s="86"/>
      <c r="J345" s="86"/>
      <c r="K345" s="86"/>
      <c r="L345" s="86"/>
      <c r="M345" s="86"/>
      <c r="N345" s="86"/>
      <c r="O345" s="86"/>
      <c r="P345" s="86"/>
      <c r="Q345" s="86"/>
      <c r="R345" s="86"/>
      <c r="S345" s="86"/>
      <c r="T345" s="86"/>
      <c r="U345" s="86"/>
      <c r="V345" s="86"/>
      <c r="W345" s="86"/>
      <c r="X345" s="86"/>
      <c r="Y345" s="86"/>
      <c r="Z345" s="86"/>
    </row>
    <row r="346" spans="6:26" ht="12.75">
      <c r="F346" s="86"/>
      <c r="G346" s="86"/>
      <c r="H346" s="86"/>
      <c r="I346" s="86"/>
      <c r="J346" s="86"/>
      <c r="K346" s="86"/>
      <c r="L346" s="86"/>
      <c r="M346" s="86"/>
      <c r="N346" s="86"/>
      <c r="O346" s="86"/>
      <c r="P346" s="86"/>
      <c r="Q346" s="86"/>
      <c r="R346" s="86"/>
      <c r="S346" s="86"/>
      <c r="T346" s="86"/>
      <c r="U346" s="86"/>
      <c r="V346" s="86"/>
      <c r="W346" s="86"/>
      <c r="X346" s="86"/>
      <c r="Y346" s="86"/>
      <c r="Z346" s="86"/>
    </row>
    <row r="347" spans="6:26" ht="12.75">
      <c r="F347" s="86"/>
      <c r="G347" s="86"/>
      <c r="H347" s="86"/>
      <c r="I347" s="86"/>
      <c r="J347" s="86"/>
      <c r="K347" s="86"/>
      <c r="L347" s="86"/>
      <c r="M347" s="86"/>
      <c r="N347" s="86"/>
      <c r="O347" s="86"/>
      <c r="P347" s="86"/>
      <c r="Q347" s="86"/>
      <c r="R347" s="86"/>
      <c r="S347" s="86"/>
      <c r="T347" s="86"/>
      <c r="U347" s="86"/>
      <c r="V347" s="86"/>
      <c r="W347" s="86"/>
      <c r="X347" s="86"/>
      <c r="Y347" s="86"/>
      <c r="Z347" s="86"/>
    </row>
    <row r="348" spans="6:26" ht="12.75">
      <c r="F348" s="86"/>
      <c r="G348" s="86"/>
      <c r="H348" s="86"/>
      <c r="I348" s="86"/>
      <c r="J348" s="86"/>
      <c r="K348" s="86"/>
      <c r="L348" s="86"/>
      <c r="M348" s="86"/>
      <c r="N348" s="86"/>
      <c r="O348" s="86"/>
      <c r="P348" s="86"/>
      <c r="Q348" s="86"/>
      <c r="R348" s="86"/>
      <c r="S348" s="86"/>
      <c r="T348" s="86"/>
      <c r="U348" s="86"/>
      <c r="V348" s="86"/>
      <c r="W348" s="86"/>
      <c r="X348" s="86"/>
      <c r="Y348" s="86"/>
      <c r="Z348" s="86"/>
    </row>
    <row r="349" spans="6:26" ht="12.75">
      <c r="F349" s="86"/>
      <c r="G349" s="86"/>
      <c r="H349" s="86"/>
      <c r="I349" s="86"/>
      <c r="J349" s="86"/>
      <c r="K349" s="86"/>
      <c r="L349" s="86"/>
      <c r="M349" s="86"/>
      <c r="N349" s="86"/>
      <c r="O349" s="86"/>
      <c r="P349" s="86"/>
      <c r="Q349" s="86"/>
      <c r="R349" s="86"/>
      <c r="S349" s="86"/>
      <c r="T349" s="86"/>
      <c r="U349" s="86"/>
      <c r="V349" s="86"/>
      <c r="W349" s="86"/>
      <c r="X349" s="86"/>
      <c r="Y349" s="86"/>
      <c r="Z349" s="86"/>
    </row>
    <row r="350" spans="6:26" ht="12.75">
      <c r="F350" s="86"/>
      <c r="G350" s="86"/>
      <c r="H350" s="86"/>
      <c r="I350" s="86"/>
      <c r="J350" s="86"/>
      <c r="K350" s="86"/>
      <c r="L350" s="86"/>
      <c r="M350" s="86"/>
      <c r="N350" s="86"/>
      <c r="O350" s="86"/>
      <c r="P350" s="86"/>
      <c r="Q350" s="86"/>
      <c r="R350" s="86"/>
      <c r="S350" s="86"/>
      <c r="T350" s="86"/>
      <c r="U350" s="86"/>
      <c r="V350" s="86"/>
      <c r="W350" s="86"/>
      <c r="X350" s="86"/>
      <c r="Y350" s="86"/>
      <c r="Z350" s="86"/>
    </row>
    <row r="351" spans="6:26" ht="12.75">
      <c r="F351" s="86"/>
      <c r="G351" s="86"/>
      <c r="H351" s="86"/>
      <c r="I351" s="86"/>
      <c r="J351" s="86"/>
      <c r="K351" s="86"/>
      <c r="L351" s="86"/>
      <c r="M351" s="86"/>
      <c r="N351" s="86"/>
      <c r="O351" s="86"/>
      <c r="P351" s="86"/>
      <c r="Q351" s="86"/>
      <c r="R351" s="86"/>
      <c r="S351" s="86"/>
      <c r="T351" s="86"/>
      <c r="U351" s="86"/>
      <c r="V351" s="86"/>
      <c r="W351" s="86"/>
      <c r="X351" s="86"/>
      <c r="Y351" s="86"/>
      <c r="Z351" s="86"/>
    </row>
    <row r="352" spans="6:26" ht="12.75">
      <c r="F352" s="86"/>
      <c r="G352" s="86"/>
      <c r="H352" s="86"/>
      <c r="I352" s="86"/>
      <c r="J352" s="86"/>
      <c r="K352" s="86"/>
      <c r="L352" s="86"/>
      <c r="M352" s="86"/>
      <c r="N352" s="86"/>
      <c r="O352" s="86"/>
      <c r="P352" s="86"/>
      <c r="Q352" s="86"/>
      <c r="R352" s="86"/>
      <c r="S352" s="86"/>
      <c r="T352" s="86"/>
      <c r="U352" s="86"/>
      <c r="V352" s="86"/>
      <c r="W352" s="86"/>
      <c r="X352" s="86"/>
      <c r="Y352" s="86"/>
      <c r="Z352" s="86"/>
    </row>
    <row r="353" spans="6:26" ht="12.75">
      <c r="F353" s="86"/>
      <c r="G353" s="86"/>
      <c r="H353" s="86"/>
      <c r="I353" s="86"/>
      <c r="J353" s="86"/>
      <c r="K353" s="86"/>
      <c r="L353" s="86"/>
      <c r="M353" s="86"/>
      <c r="N353" s="86"/>
      <c r="O353" s="86"/>
      <c r="P353" s="86"/>
      <c r="Q353" s="86"/>
      <c r="R353" s="86"/>
      <c r="S353" s="86"/>
      <c r="T353" s="86"/>
      <c r="U353" s="86"/>
      <c r="V353" s="86"/>
      <c r="W353" s="86"/>
      <c r="X353" s="86"/>
      <c r="Y353" s="86"/>
      <c r="Z353" s="86"/>
    </row>
    <row r="354" spans="6:26" ht="12.75">
      <c r="F354" s="86"/>
      <c r="G354" s="86"/>
      <c r="H354" s="86"/>
      <c r="I354" s="86"/>
      <c r="J354" s="86"/>
      <c r="K354" s="86"/>
      <c r="L354" s="86"/>
      <c r="M354" s="86"/>
      <c r="N354" s="86"/>
      <c r="O354" s="86"/>
      <c r="P354" s="86"/>
      <c r="Q354" s="86"/>
      <c r="R354" s="86"/>
      <c r="S354" s="86"/>
      <c r="T354" s="86"/>
      <c r="U354" s="86"/>
      <c r="V354" s="86"/>
      <c r="W354" s="86"/>
      <c r="X354" s="86"/>
      <c r="Y354" s="86"/>
      <c r="Z354" s="86"/>
    </row>
    <row r="355" spans="6:26" ht="12.75">
      <c r="F355" s="86"/>
      <c r="G355" s="86"/>
      <c r="H355" s="86"/>
      <c r="I355" s="86"/>
      <c r="J355" s="86"/>
      <c r="K355" s="86"/>
      <c r="L355" s="86"/>
      <c r="M355" s="86"/>
      <c r="N355" s="86"/>
      <c r="O355" s="86"/>
      <c r="P355" s="86"/>
      <c r="Q355" s="86"/>
      <c r="R355" s="86"/>
      <c r="S355" s="86"/>
      <c r="T355" s="86"/>
      <c r="U355" s="86"/>
      <c r="V355" s="86"/>
      <c r="W355" s="86"/>
      <c r="X355" s="86"/>
      <c r="Y355" s="86"/>
      <c r="Z355" s="86"/>
    </row>
    <row r="356" spans="6:26" ht="12.75">
      <c r="F356" s="86"/>
      <c r="G356" s="86"/>
      <c r="H356" s="86"/>
      <c r="I356" s="86"/>
      <c r="J356" s="86"/>
      <c r="K356" s="86"/>
      <c r="L356" s="86"/>
      <c r="M356" s="86"/>
      <c r="N356" s="86"/>
      <c r="O356" s="86"/>
      <c r="P356" s="86"/>
      <c r="Q356" s="86"/>
      <c r="R356" s="86"/>
      <c r="S356" s="86"/>
      <c r="T356" s="86"/>
      <c r="U356" s="86"/>
      <c r="V356" s="86"/>
      <c r="W356" s="86"/>
      <c r="X356" s="86"/>
      <c r="Y356" s="86"/>
      <c r="Z356" s="86"/>
    </row>
    <row r="357" spans="6:26" ht="12.75">
      <c r="F357" s="86"/>
      <c r="G357" s="86"/>
      <c r="H357" s="86"/>
      <c r="I357" s="86"/>
      <c r="J357" s="86"/>
      <c r="K357" s="86"/>
      <c r="L357" s="86"/>
      <c r="M357" s="86"/>
      <c r="N357" s="86"/>
      <c r="O357" s="86"/>
      <c r="P357" s="86"/>
      <c r="Q357" s="86"/>
      <c r="R357" s="86"/>
      <c r="S357" s="86"/>
      <c r="T357" s="86"/>
      <c r="U357" s="86"/>
      <c r="V357" s="86"/>
      <c r="W357" s="86"/>
      <c r="X357" s="86"/>
      <c r="Y357" s="86"/>
      <c r="Z357" s="86"/>
    </row>
    <row r="358" spans="6:26" ht="12.75">
      <c r="F358" s="86"/>
      <c r="G358" s="86"/>
      <c r="H358" s="86"/>
      <c r="I358" s="86"/>
      <c r="J358" s="86"/>
      <c r="K358" s="86"/>
      <c r="L358" s="86"/>
      <c r="M358" s="86"/>
      <c r="N358" s="86"/>
      <c r="O358" s="86"/>
      <c r="P358" s="86"/>
      <c r="Q358" s="86"/>
      <c r="R358" s="86"/>
      <c r="S358" s="86"/>
      <c r="T358" s="86"/>
      <c r="U358" s="86"/>
      <c r="V358" s="86"/>
      <c r="W358" s="86"/>
      <c r="X358" s="86"/>
      <c r="Y358" s="86"/>
      <c r="Z358" s="86"/>
    </row>
    <row r="359" spans="6:26" ht="12.75">
      <c r="F359" s="86"/>
      <c r="G359" s="86"/>
      <c r="H359" s="86"/>
      <c r="I359" s="86"/>
      <c r="J359" s="86"/>
      <c r="K359" s="86"/>
      <c r="L359" s="86"/>
      <c r="M359" s="86"/>
      <c r="N359" s="86"/>
      <c r="O359" s="86"/>
      <c r="P359" s="86"/>
      <c r="Q359" s="86"/>
      <c r="R359" s="86"/>
      <c r="S359" s="86"/>
      <c r="T359" s="86"/>
      <c r="U359" s="86"/>
      <c r="V359" s="86"/>
      <c r="W359" s="86"/>
      <c r="X359" s="86"/>
      <c r="Y359" s="86"/>
      <c r="Z359" s="86"/>
    </row>
    <row r="360" spans="6:26" ht="12.75">
      <c r="F360" s="86"/>
      <c r="G360" s="86"/>
      <c r="H360" s="86"/>
      <c r="I360" s="86"/>
      <c r="J360" s="86"/>
      <c r="K360" s="86"/>
      <c r="L360" s="86"/>
      <c r="M360" s="86"/>
      <c r="N360" s="86"/>
      <c r="O360" s="86"/>
      <c r="P360" s="86"/>
      <c r="Q360" s="86"/>
      <c r="R360" s="86"/>
      <c r="S360" s="86"/>
      <c r="T360" s="86"/>
      <c r="U360" s="86"/>
      <c r="V360" s="86"/>
      <c r="W360" s="86"/>
      <c r="X360" s="86"/>
      <c r="Y360" s="86"/>
      <c r="Z360" s="86"/>
    </row>
    <row r="361" spans="6:26" ht="12.75">
      <c r="F361" s="86"/>
      <c r="G361" s="86"/>
      <c r="H361" s="86"/>
      <c r="I361" s="86"/>
      <c r="J361" s="86"/>
      <c r="K361" s="86"/>
      <c r="L361" s="86"/>
      <c r="M361" s="86"/>
      <c r="N361" s="86"/>
      <c r="O361" s="86"/>
      <c r="P361" s="86"/>
      <c r="Q361" s="86"/>
      <c r="R361" s="86"/>
      <c r="S361" s="86"/>
      <c r="T361" s="86"/>
      <c r="U361" s="86"/>
      <c r="V361" s="86"/>
      <c r="W361" s="86"/>
      <c r="X361" s="86"/>
      <c r="Y361" s="86"/>
      <c r="Z361" s="86"/>
    </row>
    <row r="362" spans="6:26" ht="12.75">
      <c r="F362" s="86"/>
      <c r="G362" s="86"/>
      <c r="H362" s="86"/>
      <c r="I362" s="86"/>
      <c r="J362" s="86"/>
      <c r="K362" s="86"/>
      <c r="L362" s="86"/>
      <c r="M362" s="86"/>
      <c r="N362" s="86"/>
      <c r="O362" s="86"/>
      <c r="P362" s="86"/>
      <c r="Q362" s="86"/>
      <c r="R362" s="86"/>
      <c r="S362" s="86"/>
      <c r="T362" s="86"/>
      <c r="U362" s="86"/>
      <c r="V362" s="86"/>
      <c r="W362" s="86"/>
      <c r="X362" s="86"/>
      <c r="Y362" s="86"/>
      <c r="Z362" s="86"/>
    </row>
    <row r="363" spans="6:26" ht="12.75">
      <c r="F363" s="86"/>
      <c r="G363" s="86"/>
      <c r="H363" s="86"/>
      <c r="I363" s="86"/>
      <c r="J363" s="86"/>
      <c r="K363" s="86"/>
      <c r="L363" s="86"/>
      <c r="M363" s="86"/>
      <c r="N363" s="86"/>
      <c r="O363" s="86"/>
      <c r="P363" s="86"/>
      <c r="Q363" s="86"/>
      <c r="R363" s="86"/>
      <c r="S363" s="86"/>
      <c r="T363" s="86"/>
      <c r="U363" s="86"/>
      <c r="V363" s="86"/>
      <c r="W363" s="86"/>
      <c r="X363" s="86"/>
      <c r="Y363" s="86"/>
      <c r="Z363" s="86"/>
    </row>
    <row r="364" spans="6:26" ht="12.75">
      <c r="F364" s="86"/>
      <c r="G364" s="86"/>
      <c r="H364" s="86"/>
      <c r="I364" s="86"/>
      <c r="J364" s="86"/>
      <c r="K364" s="86"/>
      <c r="L364" s="86"/>
      <c r="M364" s="86"/>
      <c r="N364" s="86"/>
      <c r="O364" s="86"/>
      <c r="P364" s="86"/>
      <c r="Q364" s="86"/>
      <c r="R364" s="86"/>
      <c r="S364" s="86"/>
      <c r="T364" s="86"/>
      <c r="U364" s="86"/>
      <c r="V364" s="86"/>
      <c r="W364" s="86"/>
      <c r="X364" s="86"/>
      <c r="Y364" s="86"/>
      <c r="Z364" s="86"/>
    </row>
    <row r="365" spans="6:26" ht="12.75">
      <c r="F365" s="86"/>
      <c r="G365" s="86"/>
      <c r="H365" s="86"/>
      <c r="I365" s="86"/>
      <c r="J365" s="86"/>
      <c r="K365" s="86"/>
      <c r="L365" s="86"/>
      <c r="M365" s="86"/>
      <c r="N365" s="86"/>
      <c r="O365" s="86"/>
      <c r="P365" s="86"/>
      <c r="Q365" s="86"/>
      <c r="R365" s="86"/>
      <c r="S365" s="86"/>
      <c r="T365" s="86"/>
      <c r="U365" s="86"/>
      <c r="V365" s="86"/>
      <c r="W365" s="86"/>
      <c r="X365" s="86"/>
      <c r="Y365" s="86"/>
      <c r="Z365" s="86"/>
    </row>
    <row r="366" spans="6:26" ht="12.75">
      <c r="F366" s="86"/>
      <c r="G366" s="86"/>
      <c r="H366" s="86"/>
      <c r="I366" s="86"/>
      <c r="J366" s="86"/>
      <c r="K366" s="86"/>
      <c r="L366" s="86"/>
      <c r="M366" s="86"/>
      <c r="N366" s="86"/>
      <c r="O366" s="86"/>
      <c r="P366" s="86"/>
      <c r="Q366" s="86"/>
      <c r="R366" s="86"/>
      <c r="S366" s="86"/>
      <c r="T366" s="86"/>
      <c r="U366" s="86"/>
      <c r="V366" s="86"/>
      <c r="W366" s="86"/>
      <c r="X366" s="86"/>
      <c r="Y366" s="86"/>
      <c r="Z366" s="86"/>
    </row>
    <row r="367" spans="6:26" ht="12.75">
      <c r="F367" s="86"/>
      <c r="G367" s="86"/>
      <c r="H367" s="86"/>
      <c r="I367" s="86"/>
      <c r="J367" s="86"/>
      <c r="K367" s="86"/>
      <c r="L367" s="86"/>
      <c r="M367" s="86"/>
      <c r="N367" s="86"/>
      <c r="O367" s="86"/>
      <c r="P367" s="86"/>
      <c r="Q367" s="86"/>
      <c r="R367" s="86"/>
      <c r="S367" s="86"/>
      <c r="T367" s="86"/>
      <c r="U367" s="86"/>
      <c r="V367" s="86"/>
      <c r="W367" s="86"/>
      <c r="X367" s="86"/>
      <c r="Y367" s="86"/>
      <c r="Z367" s="86"/>
    </row>
    <row r="368" spans="6:26" ht="12.75">
      <c r="F368" s="86"/>
      <c r="G368" s="86"/>
      <c r="H368" s="86"/>
      <c r="I368" s="86"/>
      <c r="J368" s="86"/>
      <c r="K368" s="86"/>
      <c r="L368" s="86"/>
      <c r="M368" s="86"/>
      <c r="N368" s="86"/>
      <c r="O368" s="86"/>
      <c r="P368" s="86"/>
      <c r="Q368" s="86"/>
      <c r="R368" s="86"/>
      <c r="S368" s="86"/>
      <c r="T368" s="86"/>
      <c r="U368" s="86"/>
      <c r="V368" s="86"/>
      <c r="W368" s="86"/>
      <c r="X368" s="86"/>
      <c r="Y368" s="86"/>
      <c r="Z368" s="86"/>
    </row>
    <row r="369" spans="6:26" ht="12.75">
      <c r="F369" s="86"/>
      <c r="G369" s="86"/>
      <c r="H369" s="86"/>
      <c r="I369" s="86"/>
      <c r="J369" s="86"/>
      <c r="K369" s="86"/>
      <c r="L369" s="86"/>
      <c r="M369" s="86"/>
      <c r="N369" s="86"/>
      <c r="O369" s="86"/>
      <c r="P369" s="86"/>
      <c r="Q369" s="86"/>
      <c r="R369" s="86"/>
      <c r="S369" s="86"/>
      <c r="T369" s="86"/>
      <c r="U369" s="86"/>
      <c r="V369" s="86"/>
      <c r="W369" s="86"/>
      <c r="X369" s="86"/>
      <c r="Y369" s="86"/>
      <c r="Z369" s="86"/>
    </row>
    <row r="370" spans="6:26" ht="12.75">
      <c r="F370" s="86"/>
      <c r="G370" s="86"/>
      <c r="H370" s="86"/>
      <c r="I370" s="86"/>
      <c r="J370" s="86"/>
      <c r="K370" s="86"/>
      <c r="L370" s="86"/>
      <c r="M370" s="86"/>
      <c r="N370" s="86"/>
      <c r="O370" s="86"/>
      <c r="P370" s="86"/>
      <c r="Q370" s="86"/>
      <c r="R370" s="86"/>
      <c r="S370" s="86"/>
      <c r="T370" s="86"/>
      <c r="U370" s="86"/>
      <c r="V370" s="86"/>
      <c r="W370" s="86"/>
      <c r="X370" s="86"/>
      <c r="Y370" s="86"/>
      <c r="Z370" s="86"/>
    </row>
    <row r="371" spans="6:26" ht="12.75">
      <c r="F371" s="86"/>
      <c r="G371" s="86"/>
      <c r="H371" s="86"/>
      <c r="I371" s="86"/>
      <c r="J371" s="86"/>
      <c r="K371" s="86"/>
      <c r="L371" s="86"/>
      <c r="M371" s="86"/>
      <c r="N371" s="86"/>
      <c r="O371" s="86"/>
      <c r="P371" s="86"/>
      <c r="Q371" s="86"/>
      <c r="R371" s="86"/>
      <c r="S371" s="86"/>
      <c r="T371" s="86"/>
      <c r="U371" s="86"/>
      <c r="V371" s="86"/>
      <c r="W371" s="86"/>
      <c r="X371" s="86"/>
      <c r="Y371" s="86"/>
      <c r="Z371" s="86"/>
    </row>
    <row r="372" spans="6:26" ht="12.75">
      <c r="F372" s="86"/>
      <c r="G372" s="86"/>
      <c r="H372" s="86"/>
      <c r="I372" s="86"/>
      <c r="J372" s="86"/>
      <c r="K372" s="86"/>
      <c r="L372" s="86"/>
      <c r="M372" s="86"/>
      <c r="N372" s="86"/>
      <c r="O372" s="86"/>
      <c r="P372" s="86"/>
      <c r="Q372" s="86"/>
      <c r="R372" s="86"/>
      <c r="S372" s="86"/>
      <c r="T372" s="86"/>
      <c r="U372" s="86"/>
      <c r="V372" s="86"/>
      <c r="W372" s="86"/>
      <c r="X372" s="86"/>
      <c r="Y372" s="86"/>
      <c r="Z372" s="86"/>
    </row>
    <row r="373" spans="6:26" ht="12.75">
      <c r="F373" s="86"/>
      <c r="G373" s="86"/>
      <c r="H373" s="86"/>
      <c r="I373" s="86"/>
      <c r="J373" s="86"/>
      <c r="K373" s="86"/>
      <c r="L373" s="86"/>
      <c r="M373" s="86"/>
      <c r="N373" s="86"/>
      <c r="O373" s="86"/>
      <c r="P373" s="86"/>
      <c r="Q373" s="86"/>
      <c r="R373" s="86"/>
      <c r="S373" s="86"/>
      <c r="T373" s="86"/>
      <c r="U373" s="86"/>
      <c r="V373" s="86"/>
      <c r="W373" s="86"/>
      <c r="X373" s="86"/>
      <c r="Y373" s="86"/>
      <c r="Z373" s="86"/>
    </row>
    <row r="374" spans="6:26" ht="12.75">
      <c r="F374" s="86"/>
      <c r="G374" s="86"/>
      <c r="H374" s="86"/>
      <c r="I374" s="86"/>
      <c r="J374" s="86"/>
      <c r="K374" s="86"/>
      <c r="L374" s="86"/>
      <c r="M374" s="86"/>
      <c r="N374" s="86"/>
      <c r="O374" s="86"/>
      <c r="P374" s="86"/>
      <c r="Q374" s="86"/>
      <c r="R374" s="86"/>
      <c r="S374" s="86"/>
      <c r="T374" s="86"/>
      <c r="U374" s="86"/>
      <c r="V374" s="86"/>
      <c r="W374" s="86"/>
      <c r="X374" s="86"/>
      <c r="Y374" s="86"/>
      <c r="Z374" s="86"/>
    </row>
    <row r="375" spans="6:26" ht="12.75">
      <c r="F375" s="86"/>
      <c r="G375" s="86"/>
      <c r="H375" s="86"/>
      <c r="I375" s="86"/>
      <c r="J375" s="86"/>
      <c r="K375" s="86"/>
      <c r="L375" s="86"/>
      <c r="M375" s="86"/>
      <c r="N375" s="86"/>
      <c r="O375" s="86"/>
      <c r="P375" s="86"/>
      <c r="Q375" s="86"/>
      <c r="R375" s="86"/>
      <c r="S375" s="86"/>
      <c r="T375" s="86"/>
      <c r="U375" s="86"/>
      <c r="V375" s="86"/>
      <c r="W375" s="86"/>
      <c r="X375" s="86"/>
      <c r="Y375" s="86"/>
      <c r="Z375" s="86"/>
    </row>
    <row r="376" spans="6:26" ht="12.75">
      <c r="F376" s="86"/>
      <c r="G376" s="86"/>
      <c r="H376" s="86"/>
      <c r="I376" s="86"/>
      <c r="J376" s="86"/>
      <c r="K376" s="86"/>
      <c r="L376" s="86"/>
      <c r="M376" s="86"/>
      <c r="N376" s="86"/>
      <c r="O376" s="86"/>
      <c r="P376" s="86"/>
      <c r="Q376" s="86"/>
      <c r="R376" s="86"/>
      <c r="S376" s="86"/>
      <c r="T376" s="86"/>
      <c r="U376" s="86"/>
      <c r="V376" s="86"/>
      <c r="W376" s="86"/>
      <c r="X376" s="86"/>
      <c r="Y376" s="86"/>
      <c r="Z376" s="86"/>
    </row>
    <row r="377" spans="6:26" ht="12.75">
      <c r="F377" s="86"/>
      <c r="G377" s="86"/>
      <c r="H377" s="86"/>
      <c r="I377" s="86"/>
      <c r="J377" s="86"/>
      <c r="K377" s="86"/>
      <c r="L377" s="86"/>
      <c r="M377" s="86"/>
      <c r="N377" s="86"/>
      <c r="O377" s="86"/>
      <c r="P377" s="86"/>
      <c r="Q377" s="86"/>
      <c r="R377" s="86"/>
      <c r="S377" s="86"/>
      <c r="T377" s="86"/>
      <c r="U377" s="86"/>
      <c r="V377" s="86"/>
      <c r="W377" s="86"/>
      <c r="X377" s="86"/>
      <c r="Y377" s="86"/>
      <c r="Z377" s="86"/>
    </row>
    <row r="378" spans="6:26" ht="12.75">
      <c r="F378" s="86"/>
      <c r="G378" s="86"/>
      <c r="H378" s="86"/>
      <c r="I378" s="86"/>
      <c r="J378" s="86"/>
      <c r="K378" s="86"/>
      <c r="L378" s="86"/>
      <c r="M378" s="86"/>
      <c r="N378" s="86"/>
      <c r="O378" s="86"/>
      <c r="P378" s="86"/>
      <c r="Q378" s="86"/>
      <c r="R378" s="86"/>
      <c r="S378" s="86"/>
      <c r="T378" s="86"/>
      <c r="U378" s="86"/>
      <c r="V378" s="86"/>
      <c r="W378" s="86"/>
      <c r="X378" s="86"/>
      <c r="Y378" s="86"/>
      <c r="Z378" s="86"/>
    </row>
    <row r="379" spans="6:26" ht="12.75">
      <c r="F379" s="86"/>
      <c r="G379" s="86"/>
      <c r="H379" s="86"/>
      <c r="I379" s="86"/>
      <c r="J379" s="86"/>
      <c r="K379" s="86"/>
      <c r="L379" s="86"/>
      <c r="M379" s="86"/>
      <c r="N379" s="86"/>
      <c r="O379" s="86"/>
      <c r="P379" s="86"/>
      <c r="Q379" s="86"/>
      <c r="R379" s="86"/>
      <c r="S379" s="86"/>
      <c r="T379" s="86"/>
      <c r="U379" s="86"/>
      <c r="V379" s="86"/>
      <c r="W379" s="86"/>
      <c r="X379" s="86"/>
      <c r="Y379" s="86"/>
      <c r="Z379" s="86"/>
    </row>
    <row r="380" spans="6:26" ht="12.75">
      <c r="F380" s="86"/>
      <c r="G380" s="86"/>
      <c r="H380" s="86"/>
      <c r="I380" s="86"/>
      <c r="J380" s="86"/>
      <c r="K380" s="86"/>
      <c r="L380" s="86"/>
      <c r="M380" s="86"/>
      <c r="N380" s="86"/>
      <c r="O380" s="86"/>
      <c r="P380" s="86"/>
      <c r="Q380" s="86"/>
      <c r="R380" s="86"/>
      <c r="S380" s="86"/>
      <c r="T380" s="86"/>
      <c r="U380" s="86"/>
      <c r="V380" s="86"/>
      <c r="W380" s="86"/>
      <c r="X380" s="86"/>
      <c r="Y380" s="86"/>
      <c r="Z380" s="86"/>
    </row>
    <row r="381" spans="6:26" ht="12.75">
      <c r="F381" s="86"/>
      <c r="G381" s="86"/>
      <c r="H381" s="86"/>
      <c r="I381" s="86"/>
      <c r="J381" s="86"/>
      <c r="K381" s="86"/>
      <c r="L381" s="86"/>
      <c r="M381" s="86"/>
      <c r="N381" s="86"/>
      <c r="O381" s="86"/>
      <c r="P381" s="86"/>
      <c r="Q381" s="86"/>
      <c r="R381" s="86"/>
      <c r="S381" s="86"/>
      <c r="T381" s="86"/>
      <c r="U381" s="86"/>
      <c r="V381" s="86"/>
      <c r="W381" s="86"/>
      <c r="X381" s="86"/>
      <c r="Y381" s="86"/>
      <c r="Z381" s="86"/>
    </row>
    <row r="382" spans="6:26" ht="12.75">
      <c r="F382" s="86"/>
      <c r="G382" s="86"/>
      <c r="H382" s="86"/>
      <c r="I382" s="86"/>
      <c r="J382" s="86"/>
      <c r="K382" s="86"/>
      <c r="L382" s="86"/>
      <c r="M382" s="86"/>
      <c r="N382" s="86"/>
      <c r="O382" s="86"/>
      <c r="P382" s="86"/>
      <c r="Q382" s="86"/>
      <c r="R382" s="86"/>
      <c r="S382" s="86"/>
      <c r="T382" s="86"/>
      <c r="U382" s="86"/>
      <c r="V382" s="86"/>
      <c r="W382" s="86"/>
      <c r="X382" s="86"/>
      <c r="Y382" s="86"/>
      <c r="Z382" s="86"/>
    </row>
    <row r="383" spans="6:26" ht="12.75">
      <c r="F383" s="86"/>
      <c r="G383" s="86"/>
      <c r="H383" s="86"/>
      <c r="I383" s="86"/>
      <c r="J383" s="86"/>
      <c r="K383" s="86"/>
      <c r="L383" s="86"/>
      <c r="M383" s="86"/>
      <c r="N383" s="86"/>
      <c r="O383" s="86"/>
      <c r="P383" s="86"/>
      <c r="Q383" s="86"/>
      <c r="R383" s="86"/>
      <c r="S383" s="86"/>
      <c r="T383" s="86"/>
      <c r="U383" s="86"/>
      <c r="V383" s="86"/>
      <c r="W383" s="86"/>
      <c r="X383" s="86"/>
      <c r="Y383" s="86"/>
      <c r="Z383" s="86"/>
    </row>
    <row r="384" spans="6:26" ht="12.75">
      <c r="F384" s="86"/>
      <c r="G384" s="86"/>
      <c r="H384" s="86"/>
      <c r="I384" s="86"/>
      <c r="J384" s="86"/>
      <c r="K384" s="86"/>
      <c r="L384" s="86"/>
      <c r="M384" s="86"/>
      <c r="N384" s="86"/>
      <c r="O384" s="86"/>
      <c r="P384" s="86"/>
      <c r="Q384" s="86"/>
      <c r="R384" s="86"/>
      <c r="S384" s="86"/>
      <c r="T384" s="86"/>
      <c r="U384" s="86"/>
      <c r="V384" s="86"/>
      <c r="W384" s="86"/>
      <c r="X384" s="86"/>
      <c r="Y384" s="86"/>
      <c r="Z384" s="86"/>
    </row>
    <row r="385" spans="6:26" ht="12.75">
      <c r="F385" s="86"/>
      <c r="G385" s="86"/>
      <c r="H385" s="86"/>
      <c r="I385" s="86"/>
      <c r="J385" s="86"/>
      <c r="K385" s="86"/>
      <c r="L385" s="86"/>
      <c r="M385" s="86"/>
      <c r="N385" s="86"/>
      <c r="O385" s="86"/>
      <c r="P385" s="86"/>
      <c r="Q385" s="86"/>
      <c r="R385" s="86"/>
      <c r="S385" s="86"/>
      <c r="T385" s="86"/>
      <c r="U385" s="86"/>
      <c r="V385" s="86"/>
      <c r="W385" s="86"/>
      <c r="X385" s="86"/>
      <c r="Y385" s="86"/>
      <c r="Z385" s="86"/>
    </row>
    <row r="386" spans="6:26" ht="12.75">
      <c r="F386" s="86"/>
      <c r="G386" s="86"/>
      <c r="H386" s="86"/>
      <c r="I386" s="86"/>
      <c r="J386" s="86"/>
      <c r="K386" s="86"/>
      <c r="L386" s="86"/>
      <c r="M386" s="86"/>
      <c r="N386" s="86"/>
      <c r="O386" s="86"/>
      <c r="P386" s="86"/>
      <c r="Q386" s="86"/>
      <c r="R386" s="86"/>
      <c r="S386" s="86"/>
      <c r="T386" s="86"/>
      <c r="U386" s="86"/>
      <c r="V386" s="86"/>
      <c r="W386" s="86"/>
      <c r="X386" s="86"/>
      <c r="Y386" s="86"/>
      <c r="Z386" s="86"/>
    </row>
    <row r="387" spans="6:26" ht="12.75">
      <c r="F387" s="86"/>
      <c r="G387" s="86"/>
      <c r="H387" s="86"/>
      <c r="I387" s="86"/>
      <c r="J387" s="86"/>
      <c r="K387" s="86"/>
      <c r="L387" s="86"/>
      <c r="M387" s="86"/>
      <c r="N387" s="86"/>
      <c r="O387" s="86"/>
      <c r="P387" s="86"/>
      <c r="Q387" s="86"/>
      <c r="R387" s="86"/>
      <c r="S387" s="86"/>
      <c r="T387" s="86"/>
      <c r="U387" s="86"/>
      <c r="V387" s="86"/>
      <c r="W387" s="86"/>
      <c r="X387" s="86"/>
      <c r="Y387" s="86"/>
      <c r="Z387" s="86"/>
    </row>
    <row r="388" spans="6:26" ht="12.75">
      <c r="F388" s="86"/>
      <c r="G388" s="86"/>
      <c r="H388" s="86"/>
      <c r="I388" s="86"/>
      <c r="J388" s="86"/>
      <c r="K388" s="86"/>
      <c r="L388" s="86"/>
      <c r="M388" s="86"/>
      <c r="N388" s="86"/>
      <c r="O388" s="86"/>
      <c r="P388" s="86"/>
      <c r="Q388" s="86"/>
      <c r="R388" s="86"/>
      <c r="S388" s="86"/>
      <c r="T388" s="86"/>
      <c r="U388" s="86"/>
      <c r="V388" s="86"/>
      <c r="W388" s="86"/>
      <c r="X388" s="86"/>
      <c r="Y388" s="86"/>
      <c r="Z388" s="86"/>
    </row>
    <row r="389" spans="6:26" ht="12.75">
      <c r="F389" s="86"/>
      <c r="G389" s="86"/>
      <c r="H389" s="86"/>
      <c r="I389" s="86"/>
      <c r="J389" s="86"/>
      <c r="K389" s="86"/>
      <c r="L389" s="86"/>
      <c r="M389" s="86"/>
      <c r="N389" s="86"/>
      <c r="O389" s="86"/>
      <c r="P389" s="86"/>
      <c r="Q389" s="86"/>
      <c r="R389" s="86"/>
      <c r="S389" s="86"/>
      <c r="T389" s="86"/>
      <c r="U389" s="86"/>
      <c r="V389" s="86"/>
      <c r="W389" s="86"/>
      <c r="X389" s="86"/>
      <c r="Y389" s="86"/>
      <c r="Z389" s="86"/>
    </row>
    <row r="390" spans="6:26" ht="12.75">
      <c r="F390" s="86"/>
      <c r="G390" s="86"/>
      <c r="H390" s="86"/>
      <c r="I390" s="86"/>
      <c r="J390" s="86"/>
      <c r="K390" s="86"/>
      <c r="L390" s="86"/>
      <c r="M390" s="86"/>
      <c r="N390" s="86"/>
      <c r="O390" s="86"/>
      <c r="P390" s="86"/>
      <c r="Q390" s="86"/>
      <c r="R390" s="86"/>
      <c r="S390" s="86"/>
      <c r="T390" s="86"/>
      <c r="U390" s="86"/>
      <c r="V390" s="86"/>
      <c r="W390" s="86"/>
      <c r="X390" s="86"/>
      <c r="Y390" s="86"/>
      <c r="Z390" s="86"/>
    </row>
    <row r="391" spans="6:26" ht="12.75">
      <c r="F391" s="86"/>
      <c r="G391" s="86"/>
      <c r="H391" s="86"/>
      <c r="I391" s="86"/>
      <c r="J391" s="86"/>
      <c r="K391" s="86"/>
      <c r="L391" s="86"/>
      <c r="M391" s="86"/>
      <c r="N391" s="86"/>
      <c r="O391" s="86"/>
      <c r="P391" s="86"/>
      <c r="Q391" s="86"/>
      <c r="R391" s="86"/>
      <c r="S391" s="86"/>
      <c r="T391" s="86"/>
      <c r="U391" s="86"/>
      <c r="V391" s="86"/>
      <c r="W391" s="86"/>
      <c r="X391" s="86"/>
      <c r="Y391" s="86"/>
      <c r="Z391" s="86"/>
    </row>
    <row r="392" spans="6:26" ht="12.75">
      <c r="F392" s="86"/>
      <c r="G392" s="86"/>
      <c r="H392" s="86"/>
      <c r="I392" s="86"/>
      <c r="J392" s="86"/>
      <c r="K392" s="86"/>
      <c r="L392" s="86"/>
      <c r="M392" s="86"/>
      <c r="N392" s="86"/>
      <c r="O392" s="86"/>
      <c r="P392" s="86"/>
      <c r="Q392" s="86"/>
      <c r="R392" s="86"/>
      <c r="S392" s="86"/>
      <c r="T392" s="86"/>
      <c r="U392" s="86"/>
      <c r="V392" s="86"/>
      <c r="W392" s="86"/>
      <c r="X392" s="86"/>
      <c r="Y392" s="86"/>
      <c r="Z392" s="86"/>
    </row>
    <row r="393" spans="6:26" ht="12.75">
      <c r="F393" s="86"/>
      <c r="G393" s="86"/>
      <c r="H393" s="86"/>
      <c r="I393" s="86"/>
      <c r="J393" s="86"/>
      <c r="K393" s="86"/>
      <c r="L393" s="86"/>
      <c r="M393" s="86"/>
      <c r="N393" s="86"/>
      <c r="O393" s="86"/>
      <c r="P393" s="86"/>
      <c r="Q393" s="86"/>
      <c r="R393" s="86"/>
      <c r="S393" s="86"/>
      <c r="T393" s="86"/>
      <c r="U393" s="86"/>
      <c r="V393" s="86"/>
      <c r="W393" s="86"/>
      <c r="X393" s="86"/>
      <c r="Y393" s="86"/>
      <c r="Z393" s="86"/>
    </row>
    <row r="394" spans="6:26" ht="12.75">
      <c r="F394" s="86"/>
      <c r="G394" s="86"/>
      <c r="H394" s="86"/>
      <c r="I394" s="86"/>
      <c r="J394" s="86"/>
      <c r="K394" s="86"/>
      <c r="L394" s="86"/>
      <c r="M394" s="86"/>
      <c r="N394" s="86"/>
      <c r="O394" s="86"/>
      <c r="P394" s="86"/>
      <c r="Q394" s="86"/>
      <c r="R394" s="86"/>
      <c r="S394" s="86"/>
      <c r="T394" s="86"/>
      <c r="U394" s="86"/>
      <c r="V394" s="86"/>
      <c r="W394" s="86"/>
      <c r="X394" s="86"/>
      <c r="Y394" s="86"/>
      <c r="Z394" s="86"/>
    </row>
    <row r="395" spans="6:26" ht="12.75">
      <c r="F395" s="86"/>
      <c r="G395" s="86"/>
      <c r="H395" s="86"/>
      <c r="I395" s="86"/>
      <c r="J395" s="86"/>
      <c r="K395" s="86"/>
      <c r="L395" s="86"/>
      <c r="M395" s="86"/>
      <c r="N395" s="86"/>
      <c r="O395" s="86"/>
      <c r="P395" s="86"/>
      <c r="Q395" s="86"/>
      <c r="R395" s="86"/>
      <c r="S395" s="86"/>
      <c r="T395" s="86"/>
      <c r="U395" s="86"/>
      <c r="V395" s="86"/>
      <c r="W395" s="86"/>
      <c r="X395" s="86"/>
      <c r="Y395" s="86"/>
      <c r="Z395" s="86"/>
    </row>
    <row r="396" spans="6:26" ht="12.75">
      <c r="F396" s="86"/>
      <c r="G396" s="86"/>
      <c r="H396" s="86"/>
      <c r="I396" s="86"/>
      <c r="J396" s="86"/>
      <c r="K396" s="86"/>
      <c r="L396" s="86"/>
      <c r="M396" s="86"/>
      <c r="N396" s="86"/>
      <c r="O396" s="86"/>
      <c r="P396" s="86"/>
      <c r="Q396" s="86"/>
      <c r="R396" s="86"/>
      <c r="S396" s="86"/>
      <c r="T396" s="86"/>
      <c r="U396" s="86"/>
      <c r="V396" s="86"/>
      <c r="W396" s="86"/>
      <c r="X396" s="86"/>
      <c r="Y396" s="86"/>
      <c r="Z396" s="86"/>
    </row>
    <row r="397" spans="6:26" ht="12.75">
      <c r="F397" s="86"/>
      <c r="G397" s="86"/>
      <c r="H397" s="86"/>
      <c r="I397" s="86"/>
      <c r="J397" s="86"/>
      <c r="K397" s="86"/>
      <c r="L397" s="86"/>
      <c r="M397" s="86"/>
      <c r="N397" s="86"/>
      <c r="O397" s="86"/>
      <c r="P397" s="86"/>
      <c r="Q397" s="86"/>
      <c r="R397" s="86"/>
      <c r="S397" s="86"/>
      <c r="T397" s="86"/>
      <c r="U397" s="86"/>
      <c r="V397" s="86"/>
      <c r="W397" s="86"/>
      <c r="X397" s="86"/>
      <c r="Y397" s="86"/>
      <c r="Z397" s="86"/>
    </row>
    <row r="398" spans="6:26" ht="12.75">
      <c r="F398" s="86"/>
      <c r="G398" s="86"/>
      <c r="H398" s="86"/>
      <c r="I398" s="86"/>
      <c r="J398" s="86"/>
      <c r="K398" s="86"/>
      <c r="L398" s="86"/>
      <c r="M398" s="86"/>
      <c r="N398" s="86"/>
      <c r="O398" s="86"/>
      <c r="P398" s="86"/>
      <c r="Q398" s="86"/>
      <c r="R398" s="86"/>
      <c r="S398" s="86"/>
      <c r="T398" s="86"/>
      <c r="U398" s="86"/>
      <c r="V398" s="86"/>
      <c r="W398" s="86"/>
      <c r="X398" s="86"/>
      <c r="Y398" s="86"/>
      <c r="Z398" s="86"/>
    </row>
    <row r="399" spans="6:26" ht="12.75">
      <c r="F399" s="86"/>
      <c r="G399" s="86"/>
      <c r="H399" s="86"/>
      <c r="I399" s="86"/>
      <c r="J399" s="86"/>
      <c r="K399" s="86"/>
      <c r="L399" s="86"/>
      <c r="M399" s="86"/>
      <c r="N399" s="86"/>
      <c r="O399" s="86"/>
      <c r="P399" s="86"/>
      <c r="Q399" s="86"/>
      <c r="R399" s="86"/>
      <c r="S399" s="86"/>
      <c r="T399" s="86"/>
      <c r="U399" s="86"/>
      <c r="V399" s="86"/>
      <c r="W399" s="86"/>
      <c r="X399" s="86"/>
      <c r="Y399" s="86"/>
      <c r="Z399" s="86"/>
    </row>
    <row r="400" spans="6:26" ht="12.75">
      <c r="F400" s="86"/>
      <c r="G400" s="86"/>
      <c r="H400" s="86"/>
      <c r="I400" s="86"/>
      <c r="J400" s="86"/>
      <c r="K400" s="86"/>
      <c r="L400" s="86"/>
      <c r="M400" s="86"/>
      <c r="N400" s="86"/>
      <c r="O400" s="86"/>
      <c r="P400" s="86"/>
      <c r="Q400" s="86"/>
      <c r="R400" s="86"/>
      <c r="S400" s="86"/>
      <c r="T400" s="86"/>
      <c r="U400" s="86"/>
      <c r="V400" s="86"/>
      <c r="W400" s="86"/>
      <c r="X400" s="86"/>
      <c r="Y400" s="86"/>
      <c r="Z400" s="86"/>
    </row>
    <row r="401" spans="6:26" ht="12.75">
      <c r="F401" s="86"/>
      <c r="G401" s="86"/>
      <c r="H401" s="86"/>
      <c r="I401" s="86"/>
      <c r="J401" s="86"/>
      <c r="K401" s="86"/>
      <c r="L401" s="86"/>
      <c r="M401" s="86"/>
      <c r="N401" s="86"/>
      <c r="O401" s="86"/>
      <c r="P401" s="86"/>
      <c r="Q401" s="86"/>
      <c r="R401" s="86"/>
      <c r="S401" s="86"/>
      <c r="T401" s="86"/>
      <c r="U401" s="86"/>
      <c r="V401" s="86"/>
      <c r="W401" s="86"/>
      <c r="X401" s="86"/>
      <c r="Y401" s="86"/>
      <c r="Z401" s="86"/>
    </row>
    <row r="402" spans="6:26" ht="12.75">
      <c r="F402" s="86"/>
      <c r="G402" s="86"/>
      <c r="H402" s="86"/>
      <c r="I402" s="86"/>
      <c r="J402" s="86"/>
      <c r="K402" s="86"/>
      <c r="L402" s="86"/>
      <c r="M402" s="86"/>
      <c r="N402" s="86"/>
      <c r="O402" s="86"/>
      <c r="P402" s="86"/>
      <c r="Q402" s="86"/>
      <c r="R402" s="86"/>
      <c r="S402" s="86"/>
      <c r="T402" s="86"/>
      <c r="U402" s="86"/>
      <c r="V402" s="86"/>
      <c r="W402" s="86"/>
      <c r="X402" s="86"/>
      <c r="Y402" s="86"/>
      <c r="Z402" s="86"/>
    </row>
    <row r="403" spans="6:26" ht="12.75">
      <c r="F403" s="86"/>
      <c r="G403" s="86"/>
      <c r="H403" s="86"/>
      <c r="I403" s="86"/>
      <c r="J403" s="86"/>
      <c r="K403" s="86"/>
      <c r="L403" s="86"/>
      <c r="M403" s="86"/>
      <c r="N403" s="86"/>
      <c r="O403" s="86"/>
      <c r="P403" s="86"/>
      <c r="Q403" s="86"/>
      <c r="R403" s="86"/>
      <c r="S403" s="86"/>
      <c r="T403" s="86"/>
      <c r="U403" s="86"/>
      <c r="V403" s="86"/>
      <c r="W403" s="86"/>
      <c r="X403" s="86"/>
      <c r="Y403" s="86"/>
      <c r="Z403" s="86"/>
    </row>
    <row r="404" spans="6:26" ht="12.75">
      <c r="F404" s="86"/>
      <c r="G404" s="86"/>
      <c r="H404" s="86"/>
      <c r="I404" s="86"/>
      <c r="J404" s="86"/>
      <c r="K404" s="86"/>
      <c r="L404" s="86"/>
      <c r="M404" s="86"/>
      <c r="N404" s="86"/>
      <c r="O404" s="86"/>
      <c r="P404" s="86"/>
      <c r="Q404" s="86"/>
      <c r="R404" s="86"/>
      <c r="S404" s="86"/>
      <c r="T404" s="86"/>
      <c r="U404" s="86"/>
      <c r="V404" s="86"/>
      <c r="W404" s="86"/>
      <c r="X404" s="86"/>
      <c r="Y404" s="86"/>
      <c r="Z404" s="86"/>
    </row>
    <row r="405" spans="6:26" ht="12.75">
      <c r="F405" s="86"/>
      <c r="G405" s="86"/>
      <c r="H405" s="86"/>
      <c r="I405" s="86"/>
      <c r="J405" s="86"/>
      <c r="K405" s="86"/>
      <c r="L405" s="86"/>
      <c r="M405" s="86"/>
      <c r="N405" s="86"/>
      <c r="O405" s="86"/>
      <c r="P405" s="86"/>
      <c r="Q405" s="86"/>
      <c r="R405" s="86"/>
      <c r="S405" s="86"/>
      <c r="T405" s="86"/>
      <c r="U405" s="86"/>
      <c r="V405" s="86"/>
      <c r="W405" s="86"/>
      <c r="X405" s="86"/>
      <c r="Y405" s="86"/>
      <c r="Z405" s="86"/>
    </row>
    <row r="406" spans="6:26" ht="12.75">
      <c r="F406" s="86"/>
      <c r="G406" s="86"/>
      <c r="H406" s="86"/>
      <c r="I406" s="86"/>
      <c r="J406" s="86"/>
      <c r="K406" s="86"/>
      <c r="L406" s="86"/>
      <c r="M406" s="86"/>
      <c r="N406" s="86"/>
      <c r="O406" s="86"/>
      <c r="P406" s="86"/>
      <c r="Q406" s="86"/>
      <c r="R406" s="86"/>
      <c r="S406" s="86"/>
      <c r="T406" s="86"/>
      <c r="U406" s="86"/>
      <c r="V406" s="86"/>
      <c r="W406" s="86"/>
      <c r="X406" s="86"/>
      <c r="Y406" s="86"/>
      <c r="Z406" s="86"/>
    </row>
    <row r="407" spans="6:26" ht="12.75">
      <c r="F407" s="86"/>
      <c r="G407" s="86"/>
      <c r="H407" s="86"/>
      <c r="I407" s="86"/>
      <c r="J407" s="86"/>
      <c r="K407" s="86"/>
      <c r="L407" s="86"/>
      <c r="M407" s="86"/>
      <c r="N407" s="86"/>
      <c r="O407" s="86"/>
      <c r="P407" s="86"/>
      <c r="Q407" s="86"/>
      <c r="R407" s="86"/>
      <c r="S407" s="86"/>
      <c r="T407" s="86"/>
      <c r="U407" s="86"/>
      <c r="V407" s="86"/>
      <c r="W407" s="86"/>
      <c r="X407" s="86"/>
      <c r="Y407" s="86"/>
      <c r="Z407" s="86"/>
    </row>
    <row r="408" spans="6:26" ht="12.75">
      <c r="F408" s="86"/>
      <c r="G408" s="86"/>
      <c r="H408" s="86"/>
      <c r="I408" s="86"/>
      <c r="J408" s="86"/>
      <c r="K408" s="86"/>
      <c r="L408" s="86"/>
      <c r="M408" s="86"/>
      <c r="N408" s="86"/>
      <c r="O408" s="86"/>
      <c r="P408" s="86"/>
      <c r="Q408" s="86"/>
      <c r="R408" s="86"/>
      <c r="S408" s="86"/>
      <c r="T408" s="86"/>
      <c r="U408" s="86"/>
      <c r="V408" s="86"/>
      <c r="W408" s="86"/>
      <c r="X408" s="86"/>
      <c r="Y408" s="86"/>
      <c r="Z408" s="86"/>
    </row>
    <row r="409" spans="6:26" ht="12.75">
      <c r="F409" s="86"/>
      <c r="G409" s="86"/>
      <c r="H409" s="86"/>
      <c r="I409" s="86"/>
      <c r="J409" s="86"/>
      <c r="K409" s="86"/>
      <c r="L409" s="86"/>
      <c r="M409" s="86"/>
      <c r="N409" s="86"/>
      <c r="O409" s="86"/>
      <c r="P409" s="86"/>
      <c r="Q409" s="86"/>
      <c r="R409" s="86"/>
      <c r="S409" s="86"/>
      <c r="T409" s="86"/>
      <c r="U409" s="86"/>
      <c r="V409" s="86"/>
      <c r="W409" s="86"/>
      <c r="X409" s="86"/>
      <c r="Y409" s="86"/>
      <c r="Z409" s="86"/>
    </row>
    <row r="410" spans="6:26" ht="12.75">
      <c r="F410" s="86"/>
      <c r="G410" s="86"/>
      <c r="H410" s="86"/>
      <c r="I410" s="86"/>
      <c r="J410" s="86"/>
      <c r="K410" s="86"/>
      <c r="L410" s="86"/>
      <c r="M410" s="86"/>
      <c r="N410" s="86"/>
      <c r="O410" s="86"/>
      <c r="P410" s="86"/>
      <c r="Q410" s="86"/>
      <c r="R410" s="86"/>
      <c r="S410" s="86"/>
      <c r="T410" s="86"/>
      <c r="U410" s="86"/>
      <c r="V410" s="86"/>
      <c r="W410" s="86"/>
      <c r="X410" s="86"/>
      <c r="Y410" s="86"/>
      <c r="Z410" s="86"/>
    </row>
    <row r="411" spans="6:26" ht="12.75">
      <c r="F411" s="86"/>
      <c r="G411" s="86"/>
      <c r="H411" s="86"/>
      <c r="I411" s="86"/>
      <c r="J411" s="86"/>
      <c r="K411" s="86"/>
      <c r="L411" s="86"/>
      <c r="M411" s="86"/>
      <c r="N411" s="86"/>
      <c r="O411" s="86"/>
      <c r="P411" s="86"/>
      <c r="Q411" s="86"/>
      <c r="R411" s="86"/>
      <c r="S411" s="86"/>
      <c r="T411" s="86"/>
      <c r="U411" s="86"/>
      <c r="V411" s="86"/>
      <c r="W411" s="86"/>
      <c r="X411" s="86"/>
      <c r="Y411" s="86"/>
      <c r="Z411" s="86"/>
    </row>
    <row r="412" spans="6:26" ht="12.75">
      <c r="F412" s="86"/>
      <c r="G412" s="86"/>
      <c r="H412" s="86"/>
      <c r="I412" s="86"/>
      <c r="J412" s="86"/>
      <c r="K412" s="86"/>
      <c r="L412" s="86"/>
      <c r="M412" s="86"/>
      <c r="N412" s="86"/>
      <c r="O412" s="86"/>
      <c r="P412" s="86"/>
      <c r="Q412" s="86"/>
      <c r="R412" s="86"/>
      <c r="S412" s="86"/>
      <c r="T412" s="86"/>
      <c r="U412" s="86"/>
      <c r="V412" s="86"/>
      <c r="W412" s="86"/>
      <c r="X412" s="86"/>
      <c r="Y412" s="86"/>
      <c r="Z412" s="86"/>
    </row>
    <row r="413" spans="6:26" ht="12.75">
      <c r="F413" s="86"/>
      <c r="G413" s="86"/>
      <c r="H413" s="86"/>
      <c r="I413" s="86"/>
      <c r="J413" s="86"/>
      <c r="K413" s="86"/>
      <c r="L413" s="86"/>
      <c r="M413" s="86"/>
      <c r="N413" s="86"/>
      <c r="O413" s="86"/>
      <c r="P413" s="86"/>
      <c r="Q413" s="86"/>
      <c r="R413" s="86"/>
      <c r="S413" s="86"/>
      <c r="T413" s="86"/>
      <c r="U413" s="86"/>
      <c r="V413" s="86"/>
      <c r="W413" s="86"/>
      <c r="X413" s="86"/>
      <c r="Y413" s="86"/>
      <c r="Z413" s="86"/>
    </row>
    <row r="414" spans="6:26" ht="12.75">
      <c r="F414" s="86"/>
      <c r="G414" s="86"/>
      <c r="H414" s="86"/>
      <c r="I414" s="86"/>
      <c r="J414" s="86"/>
      <c r="K414" s="86"/>
      <c r="L414" s="86"/>
      <c r="M414" s="86"/>
      <c r="N414" s="86"/>
      <c r="O414" s="86"/>
      <c r="P414" s="86"/>
      <c r="Q414" s="86"/>
      <c r="R414" s="86"/>
      <c r="S414" s="86"/>
      <c r="T414" s="86"/>
      <c r="U414" s="86"/>
      <c r="V414" s="86"/>
      <c r="W414" s="86"/>
      <c r="X414" s="86"/>
      <c r="Y414" s="86"/>
      <c r="Z414" s="86"/>
    </row>
    <row r="415" spans="6:26" ht="12.75">
      <c r="F415" s="86"/>
      <c r="G415" s="86"/>
      <c r="H415" s="86"/>
      <c r="I415" s="86"/>
      <c r="J415" s="86"/>
      <c r="K415" s="86"/>
      <c r="L415" s="86"/>
      <c r="M415" s="86"/>
      <c r="N415" s="86"/>
      <c r="O415" s="86"/>
      <c r="P415" s="86"/>
      <c r="Q415" s="86"/>
      <c r="R415" s="86"/>
      <c r="S415" s="86"/>
      <c r="T415" s="86"/>
      <c r="U415" s="86"/>
      <c r="V415" s="86"/>
      <c r="W415" s="86"/>
      <c r="X415" s="86"/>
      <c r="Y415" s="86"/>
      <c r="Z415" s="86"/>
    </row>
    <row r="416" spans="6:26" ht="12.75">
      <c r="F416" s="86"/>
      <c r="G416" s="86"/>
      <c r="H416" s="86"/>
      <c r="I416" s="86"/>
      <c r="J416" s="86"/>
      <c r="K416" s="86"/>
      <c r="L416" s="86"/>
      <c r="M416" s="86"/>
      <c r="N416" s="86"/>
      <c r="O416" s="86"/>
      <c r="P416" s="86"/>
      <c r="Q416" s="86"/>
      <c r="R416" s="86"/>
      <c r="S416" s="86"/>
      <c r="T416" s="86"/>
      <c r="U416" s="86"/>
      <c r="V416" s="86"/>
      <c r="W416" s="86"/>
      <c r="X416" s="86"/>
      <c r="Y416" s="86"/>
      <c r="Z416" s="86"/>
    </row>
    <row r="417" spans="6:26" ht="12.75">
      <c r="F417" s="86"/>
      <c r="G417" s="86"/>
      <c r="H417" s="86"/>
      <c r="I417" s="86"/>
      <c r="J417" s="86"/>
      <c r="K417" s="86"/>
      <c r="L417" s="86"/>
      <c r="M417" s="86"/>
      <c r="N417" s="86"/>
      <c r="O417" s="86"/>
      <c r="P417" s="86"/>
      <c r="Q417" s="86"/>
      <c r="R417" s="86"/>
      <c r="S417" s="86"/>
      <c r="T417" s="86"/>
      <c r="U417" s="86"/>
      <c r="V417" s="86"/>
      <c r="W417" s="86"/>
      <c r="X417" s="86"/>
      <c r="Y417" s="86"/>
      <c r="Z417" s="86"/>
    </row>
    <row r="418" spans="6:26" ht="12.75">
      <c r="F418" s="86"/>
      <c r="G418" s="86"/>
      <c r="H418" s="86"/>
      <c r="I418" s="86"/>
      <c r="J418" s="86"/>
      <c r="K418" s="86"/>
      <c r="L418" s="86"/>
      <c r="M418" s="86"/>
      <c r="N418" s="86"/>
      <c r="O418" s="86"/>
      <c r="P418" s="86"/>
      <c r="Q418" s="86"/>
      <c r="R418" s="86"/>
      <c r="S418" s="86"/>
      <c r="T418" s="86"/>
      <c r="U418" s="86"/>
      <c r="V418" s="86"/>
      <c r="W418" s="86"/>
      <c r="X418" s="86"/>
      <c r="Y418" s="86"/>
      <c r="Z418" s="86"/>
    </row>
    <row r="419" spans="6:26" ht="12.75">
      <c r="F419" s="86"/>
      <c r="G419" s="86"/>
      <c r="H419" s="86"/>
      <c r="I419" s="86"/>
      <c r="J419" s="86"/>
      <c r="K419" s="86"/>
      <c r="L419" s="86"/>
      <c r="M419" s="86"/>
      <c r="N419" s="86"/>
      <c r="O419" s="86"/>
      <c r="P419" s="86"/>
      <c r="Q419" s="86"/>
      <c r="R419" s="86"/>
      <c r="S419" s="86"/>
      <c r="T419" s="86"/>
      <c r="U419" s="86"/>
      <c r="V419" s="86"/>
      <c r="W419" s="86"/>
      <c r="X419" s="86"/>
      <c r="Y419" s="86"/>
      <c r="Z419" s="86"/>
    </row>
    <row r="420" spans="6:26" ht="12.75">
      <c r="F420" s="86"/>
      <c r="G420" s="86"/>
      <c r="H420" s="86"/>
      <c r="I420" s="86"/>
      <c r="J420" s="86"/>
      <c r="K420" s="86"/>
      <c r="L420" s="86"/>
      <c r="M420" s="86"/>
      <c r="N420" s="86"/>
      <c r="O420" s="86"/>
      <c r="P420" s="86"/>
      <c r="Q420" s="86"/>
      <c r="R420" s="86"/>
      <c r="S420" s="86"/>
      <c r="T420" s="86"/>
      <c r="U420" s="86"/>
      <c r="V420" s="86"/>
      <c r="W420" s="86"/>
      <c r="X420" s="86"/>
      <c r="Y420" s="86"/>
      <c r="Z420" s="86"/>
    </row>
    <row r="421" spans="6:26" ht="12.75">
      <c r="F421" s="86"/>
      <c r="G421" s="86"/>
      <c r="H421" s="86"/>
      <c r="I421" s="86"/>
      <c r="J421" s="86"/>
      <c r="K421" s="86"/>
      <c r="L421" s="86"/>
      <c r="M421" s="86"/>
      <c r="N421" s="86"/>
      <c r="O421" s="86"/>
      <c r="P421" s="86"/>
      <c r="Q421" s="86"/>
      <c r="R421" s="86"/>
      <c r="S421" s="86"/>
      <c r="T421" s="86"/>
      <c r="U421" s="86"/>
      <c r="V421" s="86"/>
      <c r="W421" s="86"/>
      <c r="X421" s="86"/>
      <c r="Y421" s="86"/>
      <c r="Z421" s="86"/>
    </row>
    <row r="422" spans="6:26" ht="12.75">
      <c r="F422" s="86"/>
      <c r="G422" s="86"/>
      <c r="H422" s="86"/>
      <c r="I422" s="86"/>
      <c r="J422" s="86"/>
      <c r="K422" s="86"/>
      <c r="L422" s="86"/>
      <c r="M422" s="86"/>
      <c r="N422" s="86"/>
      <c r="O422" s="86"/>
      <c r="P422" s="86"/>
      <c r="Q422" s="86"/>
      <c r="R422" s="86"/>
      <c r="S422" s="86"/>
      <c r="T422" s="86"/>
      <c r="U422" s="86"/>
      <c r="V422" s="86"/>
      <c r="W422" s="86"/>
      <c r="X422" s="86"/>
      <c r="Y422" s="86"/>
      <c r="Z422" s="86"/>
    </row>
    <row r="423" spans="6:26" ht="12.75">
      <c r="F423" s="86"/>
      <c r="G423" s="86"/>
      <c r="H423" s="86"/>
      <c r="I423" s="86"/>
      <c r="J423" s="86"/>
      <c r="K423" s="86"/>
      <c r="L423" s="86"/>
      <c r="M423" s="86"/>
      <c r="N423" s="86"/>
      <c r="O423" s="86"/>
      <c r="P423" s="86"/>
      <c r="Q423" s="86"/>
      <c r="R423" s="86"/>
      <c r="S423" s="86"/>
      <c r="T423" s="86"/>
      <c r="U423" s="86"/>
      <c r="V423" s="86"/>
      <c r="W423" s="86"/>
      <c r="X423" s="86"/>
      <c r="Y423" s="86"/>
      <c r="Z423" s="86"/>
    </row>
    <row r="424" spans="6:26" ht="12.75">
      <c r="F424" s="86"/>
      <c r="G424" s="86"/>
      <c r="H424" s="86"/>
      <c r="I424" s="86"/>
      <c r="J424" s="86"/>
      <c r="K424" s="86"/>
      <c r="L424" s="86"/>
      <c r="M424" s="86"/>
      <c r="N424" s="86"/>
      <c r="O424" s="86"/>
      <c r="P424" s="86"/>
      <c r="Q424" s="86"/>
      <c r="R424" s="86"/>
      <c r="S424" s="86"/>
      <c r="T424" s="86"/>
      <c r="U424" s="86"/>
      <c r="V424" s="86"/>
      <c r="W424" s="86"/>
      <c r="X424" s="86"/>
      <c r="Y424" s="86"/>
      <c r="Z424" s="86"/>
    </row>
    <row r="425" spans="6:26" ht="12.75">
      <c r="F425" s="86"/>
      <c r="G425" s="86"/>
      <c r="H425" s="86"/>
      <c r="I425" s="86"/>
      <c r="J425" s="86"/>
      <c r="K425" s="86"/>
      <c r="L425" s="86"/>
      <c r="M425" s="86"/>
      <c r="N425" s="86"/>
      <c r="O425" s="86"/>
      <c r="P425" s="86"/>
      <c r="Q425" s="86"/>
      <c r="R425" s="86"/>
      <c r="S425" s="86"/>
      <c r="T425" s="86"/>
      <c r="U425" s="86"/>
      <c r="V425" s="86"/>
      <c r="W425" s="86"/>
      <c r="X425" s="86"/>
      <c r="Y425" s="86"/>
      <c r="Z425" s="86"/>
    </row>
    <row r="426" spans="6:26" ht="12.75">
      <c r="F426" s="86"/>
      <c r="G426" s="86"/>
      <c r="H426" s="86"/>
      <c r="I426" s="86"/>
      <c r="J426" s="86"/>
      <c r="K426" s="86"/>
      <c r="L426" s="86"/>
      <c r="M426" s="86"/>
      <c r="N426" s="86"/>
      <c r="O426" s="86"/>
      <c r="P426" s="86"/>
      <c r="Q426" s="86"/>
      <c r="R426" s="86"/>
      <c r="S426" s="86"/>
      <c r="T426" s="86"/>
      <c r="U426" s="86"/>
      <c r="V426" s="86"/>
      <c r="W426" s="86"/>
      <c r="X426" s="86"/>
      <c r="Y426" s="86"/>
      <c r="Z426" s="86"/>
    </row>
    <row r="427" spans="6:26" ht="12.75">
      <c r="F427" s="86"/>
      <c r="G427" s="86"/>
      <c r="H427" s="86"/>
      <c r="I427" s="86"/>
      <c r="J427" s="86"/>
      <c r="K427" s="86"/>
      <c r="L427" s="86"/>
      <c r="M427" s="86"/>
      <c r="N427" s="86"/>
      <c r="O427" s="86"/>
      <c r="P427" s="86"/>
      <c r="Q427" s="86"/>
      <c r="R427" s="86"/>
      <c r="S427" s="86"/>
      <c r="T427" s="86"/>
      <c r="U427" s="86"/>
      <c r="V427" s="86"/>
      <c r="W427" s="86"/>
      <c r="X427" s="86"/>
      <c r="Y427" s="86"/>
      <c r="Z427" s="86"/>
    </row>
    <row r="428" spans="6:26" ht="12.75">
      <c r="F428" s="86"/>
      <c r="G428" s="86"/>
      <c r="H428" s="86"/>
      <c r="I428" s="86"/>
      <c r="J428" s="86"/>
      <c r="K428" s="86"/>
      <c r="L428" s="86"/>
      <c r="M428" s="86"/>
      <c r="N428" s="86"/>
      <c r="O428" s="86"/>
      <c r="P428" s="86"/>
      <c r="Q428" s="86"/>
      <c r="R428" s="86"/>
      <c r="S428" s="86"/>
      <c r="T428" s="86"/>
      <c r="U428" s="86"/>
      <c r="V428" s="86"/>
      <c r="W428" s="86"/>
      <c r="X428" s="86"/>
      <c r="Y428" s="86"/>
      <c r="Z428" s="86"/>
    </row>
    <row r="429" spans="6:26" ht="12.75">
      <c r="F429" s="86"/>
      <c r="G429" s="86"/>
      <c r="H429" s="86"/>
      <c r="I429" s="86"/>
      <c r="J429" s="86"/>
      <c r="K429" s="86"/>
      <c r="L429" s="86"/>
      <c r="M429" s="86"/>
      <c r="N429" s="86"/>
      <c r="O429" s="86"/>
      <c r="P429" s="86"/>
      <c r="Q429" s="86"/>
      <c r="R429" s="86"/>
      <c r="S429" s="86"/>
      <c r="T429" s="86"/>
      <c r="U429" s="86"/>
      <c r="V429" s="86"/>
      <c r="W429" s="86"/>
      <c r="X429" s="86"/>
      <c r="Y429" s="86"/>
      <c r="Z429" s="86"/>
    </row>
    <row r="430" spans="6:26" ht="12.75">
      <c r="F430" s="86"/>
      <c r="G430" s="86"/>
      <c r="H430" s="86"/>
      <c r="I430" s="86"/>
      <c r="J430" s="86"/>
      <c r="K430" s="86"/>
      <c r="L430" s="86"/>
      <c r="M430" s="86"/>
      <c r="N430" s="86"/>
      <c r="O430" s="86"/>
      <c r="P430" s="86"/>
      <c r="Q430" s="86"/>
      <c r="R430" s="86"/>
      <c r="S430" s="86"/>
      <c r="T430" s="86"/>
      <c r="U430" s="86"/>
      <c r="V430" s="86"/>
      <c r="W430" s="86"/>
      <c r="X430" s="86"/>
      <c r="Y430" s="86"/>
      <c r="Z430" s="86"/>
    </row>
    <row r="431" spans="6:26" ht="12.75">
      <c r="F431" s="86"/>
      <c r="G431" s="86"/>
      <c r="H431" s="86"/>
      <c r="I431" s="86"/>
      <c r="J431" s="86"/>
      <c r="K431" s="86"/>
      <c r="L431" s="86"/>
      <c r="M431" s="86"/>
      <c r="N431" s="86"/>
      <c r="O431" s="86"/>
      <c r="P431" s="86"/>
      <c r="Q431" s="86"/>
      <c r="R431" s="86"/>
      <c r="S431" s="86"/>
      <c r="T431" s="86"/>
      <c r="U431" s="86"/>
      <c r="V431" s="86"/>
      <c r="W431" s="86"/>
      <c r="X431" s="86"/>
      <c r="Y431" s="86"/>
      <c r="Z431" s="86"/>
    </row>
    <row r="432" spans="6:26" ht="12.75">
      <c r="F432" s="86"/>
      <c r="G432" s="86"/>
      <c r="H432" s="86"/>
      <c r="I432" s="86"/>
      <c r="J432" s="86"/>
      <c r="K432" s="86"/>
      <c r="L432" s="86"/>
      <c r="M432" s="86"/>
      <c r="N432" s="86"/>
      <c r="O432" s="86"/>
      <c r="P432" s="86"/>
      <c r="Q432" s="86"/>
      <c r="R432" s="86"/>
      <c r="S432" s="86"/>
      <c r="T432" s="86"/>
      <c r="U432" s="86"/>
      <c r="V432" s="86"/>
      <c r="W432" s="86"/>
      <c r="X432" s="86"/>
      <c r="Y432" s="86"/>
      <c r="Z432" s="86"/>
    </row>
    <row r="433" spans="6:26" ht="12.75">
      <c r="F433" s="86"/>
      <c r="G433" s="86"/>
      <c r="H433" s="86"/>
      <c r="I433" s="86"/>
      <c r="J433" s="86"/>
      <c r="K433" s="86"/>
      <c r="L433" s="86"/>
      <c r="M433" s="86"/>
      <c r="N433" s="86"/>
      <c r="O433" s="86"/>
      <c r="P433" s="86"/>
      <c r="Q433" s="86"/>
      <c r="R433" s="86"/>
      <c r="S433" s="86"/>
      <c r="T433" s="86"/>
      <c r="U433" s="86"/>
      <c r="V433" s="86"/>
      <c r="W433" s="86"/>
      <c r="X433" s="86"/>
      <c r="Y433" s="86"/>
      <c r="Z433" s="86"/>
    </row>
    <row r="434" spans="6:26" ht="12.75">
      <c r="F434" s="86"/>
      <c r="G434" s="86"/>
      <c r="H434" s="86"/>
      <c r="I434" s="86"/>
      <c r="J434" s="86"/>
      <c r="K434" s="86"/>
      <c r="L434" s="86"/>
      <c r="M434" s="86"/>
      <c r="N434" s="86"/>
      <c r="O434" s="86"/>
      <c r="P434" s="86"/>
      <c r="Q434" s="86"/>
      <c r="R434" s="86"/>
      <c r="S434" s="86"/>
      <c r="T434" s="86"/>
      <c r="U434" s="86"/>
      <c r="V434" s="86"/>
      <c r="W434" s="86"/>
      <c r="X434" s="86"/>
      <c r="Y434" s="86"/>
      <c r="Z434" s="86"/>
    </row>
    <row r="435" spans="6:26" ht="12.75">
      <c r="F435" s="86"/>
      <c r="G435" s="86"/>
      <c r="H435" s="86"/>
      <c r="I435" s="86"/>
      <c r="J435" s="86"/>
      <c r="K435" s="86"/>
      <c r="L435" s="86"/>
      <c r="M435" s="86"/>
      <c r="N435" s="86"/>
      <c r="O435" s="86"/>
      <c r="P435" s="86"/>
      <c r="Q435" s="86"/>
      <c r="R435" s="86"/>
      <c r="S435" s="86"/>
      <c r="T435" s="86"/>
      <c r="U435" s="86"/>
      <c r="V435" s="86"/>
      <c r="W435" s="86"/>
      <c r="X435" s="86"/>
      <c r="Y435" s="86"/>
      <c r="Z435" s="86"/>
    </row>
    <row r="436" spans="6:26" ht="12.75">
      <c r="F436" s="86"/>
      <c r="G436" s="86"/>
      <c r="H436" s="86"/>
      <c r="I436" s="86"/>
      <c r="J436" s="86"/>
      <c r="K436" s="86"/>
      <c r="L436" s="86"/>
      <c r="M436" s="86"/>
      <c r="N436" s="86"/>
      <c r="O436" s="86"/>
      <c r="P436" s="86"/>
      <c r="Q436" s="86"/>
      <c r="R436" s="86"/>
      <c r="S436" s="86"/>
      <c r="T436" s="86"/>
      <c r="U436" s="86"/>
      <c r="V436" s="86"/>
      <c r="W436" s="86"/>
      <c r="X436" s="86"/>
      <c r="Y436" s="86"/>
      <c r="Z436" s="86"/>
    </row>
    <row r="437" spans="6:26" ht="12.75">
      <c r="F437" s="86"/>
      <c r="G437" s="86"/>
      <c r="H437" s="86"/>
      <c r="I437" s="86"/>
      <c r="J437" s="86"/>
      <c r="K437" s="86"/>
      <c r="L437" s="86"/>
      <c r="M437" s="86"/>
      <c r="N437" s="86"/>
      <c r="O437" s="86"/>
      <c r="P437" s="86"/>
      <c r="Q437" s="86"/>
      <c r="R437" s="86"/>
      <c r="S437" s="86"/>
      <c r="T437" s="86"/>
      <c r="U437" s="86"/>
      <c r="V437" s="86"/>
      <c r="W437" s="86"/>
      <c r="X437" s="86"/>
      <c r="Y437" s="86"/>
      <c r="Z437" s="86"/>
    </row>
    <row r="438" spans="6:26" ht="12.75">
      <c r="F438" s="86"/>
      <c r="G438" s="86"/>
      <c r="H438" s="86"/>
      <c r="I438" s="86"/>
      <c r="J438" s="86"/>
      <c r="K438" s="86"/>
      <c r="L438" s="86"/>
      <c r="M438" s="86"/>
      <c r="N438" s="86"/>
      <c r="O438" s="86"/>
      <c r="P438" s="86"/>
      <c r="Q438" s="86"/>
      <c r="R438" s="86"/>
      <c r="S438" s="86"/>
      <c r="T438" s="86"/>
      <c r="U438" s="86"/>
      <c r="V438" s="86"/>
      <c r="W438" s="86"/>
      <c r="X438" s="86"/>
      <c r="Y438" s="86"/>
      <c r="Z438" s="86"/>
    </row>
    <row r="439" spans="6:26" ht="12.75">
      <c r="F439" s="86"/>
      <c r="G439" s="86"/>
      <c r="H439" s="86"/>
      <c r="I439" s="86"/>
      <c r="J439" s="86"/>
      <c r="K439" s="86"/>
      <c r="L439" s="86"/>
      <c r="M439" s="86"/>
      <c r="N439" s="86"/>
      <c r="O439" s="86"/>
      <c r="P439" s="86"/>
      <c r="Q439" s="86"/>
      <c r="R439" s="86"/>
      <c r="S439" s="86"/>
      <c r="T439" s="86"/>
      <c r="U439" s="86"/>
      <c r="V439" s="86"/>
      <c r="W439" s="86"/>
      <c r="X439" s="86"/>
      <c r="Y439" s="86"/>
      <c r="Z439" s="86"/>
    </row>
    <row r="440" spans="6:26" ht="12.75">
      <c r="F440" s="86"/>
      <c r="G440" s="86"/>
      <c r="H440" s="86"/>
      <c r="I440" s="86"/>
      <c r="J440" s="86"/>
      <c r="K440" s="86"/>
      <c r="L440" s="86"/>
      <c r="M440" s="86"/>
      <c r="N440" s="86"/>
      <c r="O440" s="86"/>
      <c r="P440" s="86"/>
      <c r="Q440" s="86"/>
      <c r="R440" s="86"/>
      <c r="S440" s="86"/>
      <c r="T440" s="86"/>
      <c r="U440" s="86"/>
      <c r="V440" s="86"/>
      <c r="W440" s="86"/>
      <c r="X440" s="86"/>
      <c r="Y440" s="86"/>
      <c r="Z440" s="86"/>
    </row>
    <row r="441" spans="6:26" ht="12.75">
      <c r="F441" s="86"/>
      <c r="G441" s="86"/>
      <c r="H441" s="86"/>
      <c r="I441" s="86"/>
      <c r="J441" s="86"/>
      <c r="K441" s="86"/>
      <c r="L441" s="86"/>
      <c r="M441" s="86"/>
      <c r="N441" s="86"/>
      <c r="O441" s="86"/>
      <c r="P441" s="86"/>
      <c r="Q441" s="86"/>
      <c r="R441" s="86"/>
      <c r="S441" s="86"/>
      <c r="T441" s="86"/>
      <c r="U441" s="86"/>
      <c r="V441" s="86"/>
      <c r="W441" s="86"/>
      <c r="X441" s="86"/>
      <c r="Y441" s="86"/>
      <c r="Z441" s="86"/>
    </row>
    <row r="442" spans="6:26" ht="12.75">
      <c r="F442" s="86"/>
      <c r="G442" s="86"/>
      <c r="H442" s="86"/>
      <c r="I442" s="86"/>
      <c r="J442" s="86"/>
      <c r="K442" s="86"/>
      <c r="L442" s="86"/>
      <c r="M442" s="86"/>
      <c r="N442" s="86"/>
      <c r="O442" s="86"/>
      <c r="P442" s="86"/>
      <c r="Q442" s="86"/>
      <c r="R442" s="86"/>
      <c r="S442" s="86"/>
      <c r="T442" s="86"/>
      <c r="U442" s="86"/>
      <c r="V442" s="86"/>
      <c r="W442" s="86"/>
      <c r="X442" s="86"/>
      <c r="Y442" s="86"/>
      <c r="Z442" s="86"/>
    </row>
    <row r="443" spans="6:26" ht="12.75">
      <c r="F443" s="86"/>
      <c r="G443" s="86"/>
      <c r="H443" s="86"/>
      <c r="I443" s="86"/>
      <c r="J443" s="86"/>
      <c r="K443" s="86"/>
      <c r="L443" s="86"/>
      <c r="M443" s="86"/>
      <c r="N443" s="86"/>
      <c r="O443" s="86"/>
      <c r="P443" s="86"/>
      <c r="Q443" s="86"/>
      <c r="R443" s="86"/>
      <c r="S443" s="86"/>
      <c r="T443" s="86"/>
      <c r="U443" s="86"/>
      <c r="V443" s="86"/>
      <c r="W443" s="86"/>
      <c r="X443" s="86"/>
      <c r="Y443" s="86"/>
      <c r="Z443" s="86"/>
    </row>
    <row r="444" spans="6:26" ht="12.75">
      <c r="F444" s="86"/>
      <c r="G444" s="86"/>
      <c r="H444" s="86"/>
      <c r="I444" s="86"/>
      <c r="J444" s="86"/>
      <c r="K444" s="86"/>
      <c r="L444" s="86"/>
      <c r="M444" s="86"/>
      <c r="N444" s="86"/>
      <c r="O444" s="86"/>
      <c r="P444" s="86"/>
      <c r="Q444" s="86"/>
      <c r="R444" s="86"/>
      <c r="S444" s="86"/>
      <c r="T444" s="86"/>
      <c r="U444" s="86"/>
      <c r="V444" s="86"/>
      <c r="W444" s="86"/>
      <c r="X444" s="86"/>
      <c r="Y444" s="86"/>
      <c r="Z444" s="86"/>
    </row>
    <row r="445" spans="6:26" ht="12.75">
      <c r="F445" s="86"/>
      <c r="G445" s="86"/>
      <c r="H445" s="86"/>
      <c r="I445" s="86"/>
      <c r="J445" s="86"/>
      <c r="K445" s="86"/>
      <c r="L445" s="86"/>
      <c r="M445" s="86"/>
      <c r="N445" s="86"/>
      <c r="O445" s="86"/>
      <c r="P445" s="86"/>
      <c r="Q445" s="86"/>
      <c r="R445" s="86"/>
      <c r="S445" s="86"/>
      <c r="T445" s="86"/>
      <c r="U445" s="86"/>
      <c r="V445" s="86"/>
      <c r="W445" s="86"/>
      <c r="X445" s="86"/>
      <c r="Y445" s="86"/>
      <c r="Z445" s="86"/>
    </row>
    <row r="446" spans="6:26" ht="12.75">
      <c r="F446" s="86"/>
      <c r="G446" s="86"/>
      <c r="H446" s="86"/>
      <c r="I446" s="86"/>
      <c r="J446" s="86"/>
      <c r="K446" s="86"/>
      <c r="L446" s="86"/>
      <c r="M446" s="86"/>
      <c r="N446" s="86"/>
      <c r="O446" s="86"/>
      <c r="P446" s="86"/>
      <c r="Q446" s="86"/>
      <c r="R446" s="86"/>
      <c r="S446" s="86"/>
      <c r="T446" s="86"/>
      <c r="U446" s="86"/>
      <c r="V446" s="86"/>
      <c r="W446" s="86"/>
      <c r="X446" s="86"/>
      <c r="Y446" s="86"/>
      <c r="Z446" s="86"/>
    </row>
    <row r="447" spans="6:26" ht="12.75">
      <c r="F447" s="86"/>
      <c r="G447" s="86"/>
      <c r="H447" s="86"/>
      <c r="I447" s="86"/>
      <c r="J447" s="86"/>
      <c r="K447" s="86"/>
      <c r="L447" s="86"/>
      <c r="M447" s="86"/>
      <c r="N447" s="86"/>
      <c r="O447" s="86"/>
      <c r="P447" s="86"/>
      <c r="Q447" s="86"/>
      <c r="R447" s="86"/>
      <c r="S447" s="86"/>
      <c r="T447" s="86"/>
      <c r="U447" s="86"/>
      <c r="V447" s="86"/>
      <c r="W447" s="86"/>
      <c r="X447" s="86"/>
      <c r="Y447" s="86"/>
      <c r="Z447" s="86"/>
    </row>
    <row r="448" spans="6:26" ht="12.75">
      <c r="F448" s="86"/>
      <c r="G448" s="86"/>
      <c r="H448" s="86"/>
      <c r="I448" s="86"/>
      <c r="J448" s="86"/>
      <c r="K448" s="86"/>
      <c r="L448" s="86"/>
      <c r="M448" s="86"/>
      <c r="N448" s="86"/>
      <c r="O448" s="86"/>
      <c r="P448" s="86"/>
      <c r="Q448" s="86"/>
      <c r="R448" s="86"/>
      <c r="S448" s="86"/>
      <c r="T448" s="86"/>
      <c r="U448" s="86"/>
      <c r="V448" s="86"/>
      <c r="W448" s="86"/>
      <c r="X448" s="86"/>
      <c r="Y448" s="86"/>
      <c r="Z448" s="86"/>
    </row>
    <row r="449" spans="6:26" ht="12.75">
      <c r="F449" s="86"/>
      <c r="G449" s="86"/>
      <c r="H449" s="86"/>
      <c r="I449" s="86"/>
      <c r="J449" s="86"/>
      <c r="K449" s="86"/>
      <c r="L449" s="86"/>
      <c r="M449" s="86"/>
      <c r="N449" s="86"/>
      <c r="O449" s="86"/>
      <c r="P449" s="86"/>
      <c r="Q449" s="86"/>
      <c r="R449" s="86"/>
      <c r="S449" s="86"/>
      <c r="T449" s="86"/>
      <c r="U449" s="86"/>
      <c r="V449" s="86"/>
      <c r="W449" s="86"/>
      <c r="X449" s="86"/>
      <c r="Y449" s="86"/>
      <c r="Z449" s="86"/>
    </row>
    <row r="450" spans="6:26" ht="12.75">
      <c r="F450" s="86"/>
      <c r="G450" s="86"/>
      <c r="H450" s="86"/>
      <c r="I450" s="86"/>
      <c r="J450" s="86"/>
      <c r="K450" s="86"/>
      <c r="L450" s="86"/>
      <c r="M450" s="86"/>
      <c r="N450" s="86"/>
      <c r="O450" s="86"/>
      <c r="P450" s="86"/>
      <c r="Q450" s="86"/>
      <c r="R450" s="86"/>
      <c r="S450" s="86"/>
      <c r="T450" s="86"/>
      <c r="U450" s="86"/>
      <c r="V450" s="86"/>
      <c r="W450" s="86"/>
      <c r="X450" s="86"/>
      <c r="Y450" s="86"/>
      <c r="Z450" s="86"/>
    </row>
    <row r="451" spans="6:26" ht="12.75">
      <c r="F451" s="86"/>
      <c r="G451" s="86"/>
      <c r="H451" s="86"/>
      <c r="I451" s="86"/>
      <c r="J451" s="86"/>
      <c r="K451" s="86"/>
      <c r="L451" s="86"/>
      <c r="M451" s="86"/>
      <c r="N451" s="86"/>
      <c r="O451" s="86"/>
      <c r="P451" s="86"/>
      <c r="Q451" s="86"/>
      <c r="R451" s="86"/>
      <c r="S451" s="86"/>
      <c r="T451" s="86"/>
      <c r="U451" s="86"/>
      <c r="V451" s="86"/>
      <c r="W451" s="86"/>
      <c r="X451" s="86"/>
      <c r="Y451" s="86"/>
      <c r="Z451" s="86"/>
    </row>
    <row r="452" spans="6:26" ht="12.75">
      <c r="F452" s="86"/>
      <c r="G452" s="86"/>
      <c r="H452" s="86"/>
      <c r="I452" s="86"/>
      <c r="J452" s="86"/>
      <c r="K452" s="86"/>
      <c r="L452" s="86"/>
      <c r="M452" s="86"/>
      <c r="N452" s="86"/>
      <c r="O452" s="86"/>
      <c r="P452" s="86"/>
      <c r="Q452" s="86"/>
      <c r="R452" s="86"/>
      <c r="S452" s="86"/>
      <c r="T452" s="86"/>
      <c r="U452" s="86"/>
      <c r="V452" s="86"/>
      <c r="W452" s="86"/>
      <c r="X452" s="86"/>
      <c r="Y452" s="86"/>
      <c r="Z452" s="86"/>
    </row>
    <row r="453" spans="6:26" ht="12.75">
      <c r="F453" s="86"/>
      <c r="G453" s="86"/>
      <c r="H453" s="86"/>
      <c r="I453" s="86"/>
      <c r="J453" s="86"/>
      <c r="K453" s="86"/>
      <c r="L453" s="86"/>
      <c r="M453" s="86"/>
      <c r="N453" s="86"/>
      <c r="O453" s="86"/>
      <c r="P453" s="86"/>
      <c r="Q453" s="86"/>
      <c r="R453" s="86"/>
      <c r="S453" s="86"/>
      <c r="T453" s="86"/>
      <c r="U453" s="86"/>
      <c r="V453" s="86"/>
      <c r="W453" s="86"/>
      <c r="X453" s="86"/>
      <c r="Y453" s="86"/>
      <c r="Z453" s="86"/>
    </row>
    <row r="454" spans="6:26" ht="12.75">
      <c r="F454" s="86"/>
      <c r="G454" s="86"/>
      <c r="H454" s="86"/>
      <c r="I454" s="86"/>
      <c r="J454" s="86"/>
      <c r="K454" s="86"/>
      <c r="L454" s="86"/>
      <c r="M454" s="86"/>
      <c r="N454" s="86"/>
      <c r="O454" s="86"/>
      <c r="P454" s="86"/>
      <c r="Q454" s="86"/>
      <c r="R454" s="86"/>
      <c r="S454" s="86"/>
      <c r="T454" s="86"/>
      <c r="U454" s="86"/>
      <c r="V454" s="86"/>
      <c r="W454" s="86"/>
      <c r="X454" s="86"/>
      <c r="Y454" s="86"/>
      <c r="Z454" s="86"/>
    </row>
    <row r="455" spans="6:26" ht="12.75">
      <c r="F455" s="86"/>
      <c r="G455" s="86"/>
      <c r="H455" s="86"/>
      <c r="I455" s="86"/>
      <c r="J455" s="86"/>
      <c r="K455" s="86"/>
      <c r="L455" s="86"/>
      <c r="M455" s="86"/>
      <c r="N455" s="86"/>
      <c r="O455" s="86"/>
      <c r="P455" s="86"/>
      <c r="Q455" s="86"/>
      <c r="R455" s="86"/>
      <c r="S455" s="86"/>
      <c r="T455" s="86"/>
      <c r="U455" s="86"/>
      <c r="V455" s="86"/>
      <c r="W455" s="86"/>
      <c r="X455" s="86"/>
      <c r="Y455" s="86"/>
      <c r="Z455" s="86"/>
    </row>
    <row r="456" spans="6:26" ht="12.75">
      <c r="F456" s="86"/>
      <c r="G456" s="86"/>
      <c r="H456" s="86"/>
      <c r="I456" s="86"/>
      <c r="J456" s="86"/>
      <c r="K456" s="86"/>
      <c r="L456" s="86"/>
      <c r="M456" s="86"/>
      <c r="N456" s="86"/>
      <c r="O456" s="86"/>
      <c r="P456" s="86"/>
      <c r="Q456" s="86"/>
      <c r="R456" s="86"/>
      <c r="S456" s="86"/>
      <c r="T456" s="86"/>
      <c r="U456" s="86"/>
      <c r="V456" s="86"/>
      <c r="W456" s="86"/>
      <c r="X456" s="86"/>
      <c r="Y456" s="86"/>
      <c r="Z456" s="86"/>
    </row>
    <row r="457" spans="6:26" ht="12.75">
      <c r="F457" s="86"/>
      <c r="G457" s="86"/>
      <c r="H457" s="86"/>
      <c r="I457" s="86"/>
      <c r="J457" s="86"/>
      <c r="K457" s="86"/>
      <c r="L457" s="86"/>
      <c r="M457" s="86"/>
      <c r="N457" s="86"/>
      <c r="O457" s="86"/>
      <c r="P457" s="86"/>
      <c r="Q457" s="86"/>
      <c r="R457" s="86"/>
      <c r="S457" s="86"/>
      <c r="T457" s="86"/>
      <c r="U457" s="86"/>
      <c r="V457" s="86"/>
      <c r="W457" s="86"/>
      <c r="X457" s="86"/>
      <c r="Y457" s="86"/>
      <c r="Z457" s="86"/>
    </row>
    <row r="458" spans="6:26" ht="12.75">
      <c r="F458" s="86"/>
      <c r="G458" s="86"/>
      <c r="H458" s="86"/>
      <c r="I458" s="86"/>
      <c r="J458" s="86"/>
      <c r="K458" s="86"/>
      <c r="L458" s="86"/>
      <c r="M458" s="86"/>
      <c r="N458" s="86"/>
      <c r="O458" s="86"/>
      <c r="P458" s="86"/>
      <c r="Q458" s="86"/>
      <c r="R458" s="86"/>
      <c r="S458" s="86"/>
      <c r="T458" s="86"/>
      <c r="U458" s="86"/>
      <c r="V458" s="86"/>
      <c r="W458" s="86"/>
      <c r="X458" s="86"/>
      <c r="Y458" s="86"/>
      <c r="Z458" s="86"/>
    </row>
    <row r="459" spans="6:26" ht="12.75">
      <c r="F459" s="86"/>
      <c r="G459" s="86"/>
      <c r="H459" s="86"/>
      <c r="I459" s="86"/>
      <c r="J459" s="86"/>
      <c r="K459" s="86"/>
      <c r="L459" s="86"/>
      <c r="M459" s="86"/>
      <c r="N459" s="86"/>
      <c r="O459" s="86"/>
      <c r="P459" s="86"/>
      <c r="Q459" s="86"/>
      <c r="R459" s="86"/>
      <c r="S459" s="86"/>
      <c r="T459" s="86"/>
      <c r="U459" s="86"/>
      <c r="V459" s="86"/>
      <c r="W459" s="86"/>
      <c r="X459" s="86"/>
      <c r="Y459" s="86"/>
      <c r="Z459" s="86"/>
    </row>
    <row r="460" spans="6:26" ht="12.75">
      <c r="F460" s="86"/>
      <c r="G460" s="86"/>
      <c r="H460" s="86"/>
      <c r="I460" s="86"/>
      <c r="J460" s="86"/>
      <c r="K460" s="86"/>
      <c r="L460" s="86"/>
      <c r="M460" s="86"/>
      <c r="N460" s="86"/>
      <c r="O460" s="86"/>
      <c r="P460" s="86"/>
      <c r="Q460" s="86"/>
      <c r="R460" s="86"/>
      <c r="S460" s="86"/>
      <c r="T460" s="86"/>
      <c r="U460" s="86"/>
      <c r="V460" s="86"/>
      <c r="W460" s="86"/>
      <c r="X460" s="86"/>
      <c r="Y460" s="86"/>
      <c r="Z460" s="86"/>
    </row>
    <row r="461" spans="6:26" ht="12.75">
      <c r="F461" s="86"/>
      <c r="G461" s="86"/>
      <c r="H461" s="86"/>
      <c r="I461" s="86"/>
      <c r="J461" s="86"/>
      <c r="K461" s="86"/>
      <c r="L461" s="86"/>
      <c r="M461" s="86"/>
      <c r="N461" s="86"/>
      <c r="O461" s="86"/>
      <c r="P461" s="86"/>
      <c r="Q461" s="86"/>
      <c r="R461" s="86"/>
      <c r="S461" s="86"/>
      <c r="T461" s="86"/>
      <c r="U461" s="86"/>
      <c r="V461" s="86"/>
      <c r="W461" s="86"/>
      <c r="X461" s="86"/>
      <c r="Y461" s="86"/>
      <c r="Z461" s="86"/>
    </row>
    <row r="462" spans="6:26" ht="12.75">
      <c r="F462" s="86"/>
      <c r="G462" s="86"/>
      <c r="H462" s="86"/>
      <c r="I462" s="86"/>
      <c r="J462" s="86"/>
      <c r="K462" s="86"/>
      <c r="L462" s="86"/>
      <c r="M462" s="86"/>
      <c r="N462" s="86"/>
      <c r="O462" s="86"/>
      <c r="P462" s="86"/>
      <c r="Q462" s="86"/>
      <c r="R462" s="86"/>
      <c r="S462" s="86"/>
      <c r="T462" s="86"/>
      <c r="U462" s="86"/>
      <c r="V462" s="86"/>
      <c r="W462" s="86"/>
      <c r="X462" s="86"/>
      <c r="Y462" s="86"/>
      <c r="Z462" s="86"/>
    </row>
    <row r="463" spans="6:26" ht="12.75">
      <c r="F463" s="86"/>
      <c r="G463" s="86"/>
      <c r="H463" s="86"/>
      <c r="I463" s="86"/>
      <c r="J463" s="86"/>
      <c r="K463" s="86"/>
      <c r="L463" s="86"/>
      <c r="M463" s="86"/>
      <c r="N463" s="86"/>
      <c r="O463" s="86"/>
      <c r="P463" s="86"/>
      <c r="Q463" s="86"/>
      <c r="R463" s="86"/>
      <c r="S463" s="86"/>
      <c r="T463" s="86"/>
      <c r="U463" s="86"/>
      <c r="V463" s="86"/>
      <c r="W463" s="86"/>
      <c r="X463" s="86"/>
      <c r="Y463" s="86"/>
      <c r="Z463" s="86"/>
    </row>
    <row r="464" spans="6:26" ht="12.75">
      <c r="F464" s="86"/>
      <c r="G464" s="86"/>
      <c r="H464" s="86"/>
      <c r="I464" s="86"/>
      <c r="J464" s="86"/>
      <c r="K464" s="86"/>
      <c r="L464" s="86"/>
      <c r="M464" s="86"/>
      <c r="N464" s="86"/>
      <c r="O464" s="86"/>
      <c r="P464" s="86"/>
      <c r="Q464" s="86"/>
      <c r="R464" s="86"/>
      <c r="S464" s="86"/>
      <c r="T464" s="86"/>
      <c r="U464" s="86"/>
      <c r="V464" s="86"/>
      <c r="W464" s="86"/>
      <c r="X464" s="86"/>
      <c r="Y464" s="86"/>
      <c r="Z464" s="86"/>
    </row>
    <row r="465" spans="6:26" ht="12.75">
      <c r="F465" s="86"/>
      <c r="G465" s="86"/>
      <c r="H465" s="86"/>
      <c r="I465" s="86"/>
      <c r="J465" s="86"/>
      <c r="K465" s="86"/>
      <c r="L465" s="86"/>
      <c r="M465" s="86"/>
      <c r="N465" s="86"/>
      <c r="O465" s="86"/>
      <c r="P465" s="86"/>
      <c r="Q465" s="86"/>
      <c r="R465" s="86"/>
      <c r="S465" s="86"/>
      <c r="T465" s="86"/>
      <c r="U465" s="86"/>
      <c r="V465" s="86"/>
      <c r="W465" s="86"/>
      <c r="X465" s="86"/>
      <c r="Y465" s="86"/>
      <c r="Z465" s="86"/>
    </row>
    <row r="466" spans="6:26" ht="12.75">
      <c r="F466" s="86"/>
      <c r="G466" s="86"/>
      <c r="H466" s="86"/>
      <c r="I466" s="86"/>
      <c r="J466" s="86"/>
      <c r="K466" s="86"/>
      <c r="L466" s="86"/>
      <c r="M466" s="86"/>
      <c r="N466" s="86"/>
      <c r="O466" s="86"/>
      <c r="P466" s="86"/>
      <c r="Q466" s="86"/>
      <c r="R466" s="86"/>
      <c r="S466" s="86"/>
      <c r="T466" s="86"/>
      <c r="U466" s="86"/>
      <c r="V466" s="86"/>
      <c r="W466" s="86"/>
      <c r="X466" s="86"/>
      <c r="Y466" s="86"/>
      <c r="Z466" s="86"/>
    </row>
    <row r="467" spans="6:26" ht="12.75">
      <c r="F467" s="86"/>
      <c r="G467" s="86"/>
      <c r="H467" s="86"/>
      <c r="I467" s="86"/>
      <c r="J467" s="86"/>
      <c r="K467" s="86"/>
      <c r="L467" s="86"/>
      <c r="M467" s="86"/>
      <c r="N467" s="86"/>
      <c r="O467" s="86"/>
      <c r="P467" s="86"/>
      <c r="Q467" s="86"/>
      <c r="R467" s="86"/>
      <c r="S467" s="86"/>
      <c r="T467" s="86"/>
      <c r="U467" s="86"/>
      <c r="V467" s="86"/>
      <c r="W467" s="86"/>
      <c r="X467" s="86"/>
      <c r="Y467" s="86"/>
      <c r="Z467" s="86"/>
    </row>
    <row r="468" spans="6:26" ht="12.75">
      <c r="F468" s="86"/>
      <c r="G468" s="86"/>
      <c r="H468" s="86"/>
      <c r="I468" s="86"/>
      <c r="J468" s="86"/>
      <c r="K468" s="86"/>
      <c r="L468" s="86"/>
      <c r="M468" s="86"/>
      <c r="N468" s="86"/>
      <c r="O468" s="86"/>
      <c r="P468" s="86"/>
      <c r="Q468" s="86"/>
      <c r="R468" s="86"/>
      <c r="S468" s="86"/>
      <c r="T468" s="86"/>
      <c r="U468" s="86"/>
      <c r="V468" s="86"/>
      <c r="W468" s="86"/>
      <c r="X468" s="86"/>
      <c r="Y468" s="86"/>
      <c r="Z468" s="86"/>
    </row>
    <row r="469" spans="6:26" ht="12.75">
      <c r="F469" s="86"/>
      <c r="G469" s="86"/>
      <c r="H469" s="86"/>
      <c r="I469" s="86"/>
      <c r="J469" s="86"/>
      <c r="K469" s="86"/>
      <c r="L469" s="86"/>
      <c r="M469" s="86"/>
      <c r="N469" s="86"/>
      <c r="O469" s="86"/>
      <c r="P469" s="86"/>
      <c r="Q469" s="86"/>
      <c r="R469" s="86"/>
      <c r="S469" s="86"/>
      <c r="T469" s="86"/>
      <c r="U469" s="86"/>
      <c r="V469" s="86"/>
      <c r="W469" s="86"/>
      <c r="X469" s="86"/>
      <c r="Y469" s="86"/>
      <c r="Z469" s="86"/>
    </row>
    <row r="470" spans="6:26" ht="12.75">
      <c r="F470" s="86"/>
      <c r="G470" s="86"/>
      <c r="H470" s="86"/>
      <c r="I470" s="86"/>
      <c r="J470" s="86"/>
      <c r="K470" s="86"/>
      <c r="L470" s="86"/>
      <c r="M470" s="86"/>
      <c r="N470" s="86"/>
      <c r="O470" s="86"/>
      <c r="P470" s="86"/>
      <c r="Q470" s="86"/>
      <c r="R470" s="86"/>
      <c r="S470" s="86"/>
      <c r="T470" s="86"/>
      <c r="U470" s="86"/>
      <c r="V470" s="86"/>
      <c r="W470" s="86"/>
      <c r="X470" s="86"/>
      <c r="Y470" s="86"/>
      <c r="Z470" s="86"/>
    </row>
    <row r="471" spans="6:26" ht="12.75">
      <c r="F471" s="86"/>
      <c r="G471" s="86"/>
      <c r="H471" s="86"/>
      <c r="I471" s="86"/>
      <c r="J471" s="86"/>
      <c r="K471" s="86"/>
      <c r="L471" s="86"/>
      <c r="M471" s="86"/>
      <c r="N471" s="86"/>
      <c r="O471" s="86"/>
      <c r="P471" s="86"/>
      <c r="Q471" s="86"/>
      <c r="R471" s="86"/>
      <c r="S471" s="86"/>
      <c r="T471" s="86"/>
      <c r="U471" s="86"/>
      <c r="V471" s="86"/>
      <c r="W471" s="86"/>
      <c r="X471" s="86"/>
      <c r="Y471" s="86"/>
      <c r="Z471" s="86"/>
    </row>
    <row r="472" spans="6:26" ht="12.75">
      <c r="F472" s="86"/>
      <c r="G472" s="86"/>
      <c r="H472" s="86"/>
      <c r="I472" s="86"/>
      <c r="J472" s="86"/>
      <c r="K472" s="86"/>
      <c r="L472" s="86"/>
      <c r="M472" s="86"/>
      <c r="N472" s="86"/>
      <c r="O472" s="86"/>
      <c r="P472" s="86"/>
      <c r="Q472" s="86"/>
      <c r="R472" s="86"/>
      <c r="S472" s="86"/>
      <c r="T472" s="86"/>
      <c r="U472" s="86"/>
      <c r="V472" s="86"/>
      <c r="W472" s="86"/>
      <c r="X472" s="86"/>
      <c r="Y472" s="86"/>
      <c r="Z472" s="86"/>
    </row>
    <row r="473" spans="6:26" ht="12.75">
      <c r="F473" s="86"/>
      <c r="G473" s="86"/>
      <c r="H473" s="86"/>
      <c r="I473" s="86"/>
      <c r="J473" s="86"/>
      <c r="K473" s="86"/>
      <c r="L473" s="86"/>
      <c r="M473" s="86"/>
      <c r="N473" s="86"/>
      <c r="O473" s="86"/>
      <c r="P473" s="86"/>
      <c r="Q473" s="86"/>
      <c r="R473" s="86"/>
      <c r="S473" s="86"/>
      <c r="T473" s="86"/>
      <c r="U473" s="86"/>
      <c r="V473" s="86"/>
      <c r="W473" s="86"/>
      <c r="X473" s="86"/>
      <c r="Y473" s="86"/>
      <c r="Z473" s="86"/>
    </row>
    <row r="474" spans="6:26" ht="12.75">
      <c r="F474" s="86"/>
      <c r="G474" s="86"/>
      <c r="H474" s="86"/>
      <c r="I474" s="86"/>
      <c r="J474" s="86"/>
      <c r="K474" s="86"/>
      <c r="L474" s="86"/>
      <c r="M474" s="86"/>
      <c r="N474" s="86"/>
      <c r="O474" s="86"/>
      <c r="P474" s="86"/>
      <c r="Q474" s="86"/>
      <c r="R474" s="86"/>
      <c r="S474" s="86"/>
      <c r="T474" s="86"/>
      <c r="U474" s="86"/>
      <c r="V474" s="86"/>
      <c r="W474" s="86"/>
      <c r="X474" s="86"/>
      <c r="Y474" s="86"/>
      <c r="Z474" s="86"/>
    </row>
    <row r="475" spans="6:26" ht="12.75">
      <c r="F475" s="86"/>
      <c r="G475" s="86"/>
      <c r="H475" s="86"/>
      <c r="I475" s="86"/>
      <c r="J475" s="86"/>
      <c r="K475" s="86"/>
      <c r="L475" s="86"/>
      <c r="M475" s="86"/>
      <c r="N475" s="86"/>
      <c r="O475" s="86"/>
      <c r="P475" s="86"/>
      <c r="Q475" s="86"/>
      <c r="R475" s="86"/>
      <c r="S475" s="86"/>
      <c r="T475" s="86"/>
      <c r="U475" s="86"/>
      <c r="V475" s="86"/>
      <c r="W475" s="86"/>
      <c r="X475" s="86"/>
      <c r="Y475" s="86"/>
      <c r="Z475" s="86"/>
    </row>
    <row r="476" spans="6:26" ht="12.75">
      <c r="F476" s="86"/>
      <c r="G476" s="86"/>
      <c r="H476" s="86"/>
      <c r="I476" s="86"/>
      <c r="J476" s="86"/>
      <c r="K476" s="86"/>
      <c r="L476" s="86"/>
      <c r="M476" s="86"/>
      <c r="N476" s="86"/>
      <c r="O476" s="86"/>
      <c r="P476" s="86"/>
      <c r="Q476" s="86"/>
      <c r="R476" s="86"/>
      <c r="S476" s="86"/>
      <c r="T476" s="86"/>
      <c r="U476" s="86"/>
      <c r="V476" s="86"/>
      <c r="W476" s="86"/>
      <c r="X476" s="86"/>
      <c r="Y476" s="86"/>
      <c r="Z476" s="86"/>
    </row>
    <row r="477" spans="6:26" ht="12.75">
      <c r="F477" s="86"/>
      <c r="G477" s="86"/>
      <c r="H477" s="86"/>
      <c r="I477" s="86"/>
      <c r="J477" s="86"/>
      <c r="K477" s="86"/>
      <c r="L477" s="86"/>
      <c r="M477" s="86"/>
      <c r="N477" s="86"/>
      <c r="O477" s="86"/>
      <c r="P477" s="86"/>
      <c r="Q477" s="86"/>
      <c r="R477" s="86"/>
      <c r="S477" s="86"/>
      <c r="T477" s="86"/>
      <c r="U477" s="86"/>
      <c r="V477" s="86"/>
      <c r="W477" s="86"/>
      <c r="X477" s="86"/>
      <c r="Y477" s="86"/>
      <c r="Z477" s="86"/>
    </row>
    <row r="478" spans="6:26" ht="12.75">
      <c r="F478" s="86"/>
      <c r="G478" s="86"/>
      <c r="H478" s="86"/>
      <c r="I478" s="86"/>
      <c r="J478" s="86"/>
      <c r="K478" s="86"/>
      <c r="L478" s="86"/>
      <c r="M478" s="86"/>
      <c r="N478" s="86"/>
      <c r="O478" s="86"/>
      <c r="P478" s="86"/>
      <c r="Q478" s="86"/>
      <c r="R478" s="86"/>
      <c r="S478" s="86"/>
      <c r="T478" s="86"/>
      <c r="U478" s="86"/>
      <c r="V478" s="86"/>
      <c r="W478" s="86"/>
      <c r="X478" s="86"/>
      <c r="Y478" s="86"/>
      <c r="Z478" s="86"/>
    </row>
    <row r="479" spans="6:26" ht="12.75">
      <c r="F479" s="86"/>
      <c r="G479" s="86"/>
      <c r="H479" s="86"/>
      <c r="I479" s="86"/>
      <c r="J479" s="86"/>
      <c r="K479" s="86"/>
      <c r="L479" s="86"/>
      <c r="M479" s="86"/>
      <c r="N479" s="86"/>
      <c r="O479" s="86"/>
      <c r="P479" s="86"/>
      <c r="Q479" s="86"/>
      <c r="R479" s="86"/>
      <c r="S479" s="86"/>
      <c r="T479" s="86"/>
      <c r="U479" s="86"/>
      <c r="V479" s="86"/>
      <c r="W479" s="86"/>
      <c r="X479" s="86"/>
      <c r="Y479" s="86"/>
      <c r="Z479" s="86"/>
    </row>
    <row r="480" spans="6:26" ht="12.75">
      <c r="F480" s="86"/>
      <c r="G480" s="86"/>
      <c r="H480" s="86"/>
      <c r="I480" s="86"/>
      <c r="J480" s="86"/>
      <c r="K480" s="86"/>
      <c r="L480" s="86"/>
      <c r="M480" s="86"/>
      <c r="N480" s="86"/>
      <c r="O480" s="86"/>
      <c r="P480" s="86"/>
      <c r="Q480" s="86"/>
      <c r="R480" s="86"/>
      <c r="S480" s="86"/>
      <c r="T480" s="86"/>
      <c r="U480" s="86"/>
      <c r="V480" s="86"/>
      <c r="W480" s="86"/>
      <c r="X480" s="86"/>
      <c r="Y480" s="86"/>
      <c r="Z480" s="86"/>
    </row>
    <row r="481" spans="6:26" ht="12.75">
      <c r="F481" s="86"/>
      <c r="G481" s="86"/>
      <c r="H481" s="86"/>
      <c r="I481" s="86"/>
      <c r="J481" s="86"/>
      <c r="K481" s="86"/>
      <c r="L481" s="86"/>
      <c r="M481" s="86"/>
      <c r="N481" s="86"/>
      <c r="O481" s="86"/>
      <c r="P481" s="86"/>
      <c r="Q481" s="86"/>
      <c r="R481" s="86"/>
      <c r="S481" s="86"/>
      <c r="T481" s="86"/>
      <c r="U481" s="86"/>
      <c r="V481" s="86"/>
      <c r="W481" s="86"/>
      <c r="X481" s="86"/>
      <c r="Y481" s="86"/>
      <c r="Z481" s="86"/>
    </row>
    <row r="482" spans="6:26" ht="12.75">
      <c r="F482" s="86"/>
      <c r="G482" s="86"/>
      <c r="H482" s="86"/>
      <c r="I482" s="86"/>
      <c r="J482" s="86"/>
      <c r="K482" s="86"/>
      <c r="L482" s="86"/>
      <c r="M482" s="86"/>
      <c r="N482" s="86"/>
      <c r="O482" s="86"/>
      <c r="P482" s="86"/>
      <c r="Q482" s="86"/>
      <c r="R482" s="86"/>
      <c r="S482" s="86"/>
      <c r="T482" s="86"/>
      <c r="U482" s="86"/>
      <c r="V482" s="86"/>
      <c r="W482" s="86"/>
      <c r="X482" s="86"/>
      <c r="Y482" s="86"/>
      <c r="Z482" s="86"/>
    </row>
    <row r="483" spans="6:26" ht="12.75">
      <c r="F483" s="86"/>
      <c r="G483" s="86"/>
      <c r="H483" s="86"/>
      <c r="I483" s="86"/>
      <c r="J483" s="86"/>
      <c r="K483" s="86"/>
      <c r="L483" s="86"/>
      <c r="M483" s="86"/>
      <c r="N483" s="86"/>
      <c r="O483" s="86"/>
      <c r="P483" s="86"/>
      <c r="Q483" s="86"/>
      <c r="R483" s="86"/>
      <c r="S483" s="86"/>
      <c r="T483" s="86"/>
      <c r="U483" s="86"/>
      <c r="V483" s="86"/>
      <c r="W483" s="86"/>
      <c r="X483" s="86"/>
      <c r="Y483" s="86"/>
      <c r="Z483" s="86"/>
    </row>
    <row r="484" spans="6:26" ht="12.75">
      <c r="F484" s="86"/>
      <c r="G484" s="86"/>
      <c r="H484" s="86"/>
      <c r="I484" s="86"/>
      <c r="J484" s="86"/>
      <c r="K484" s="86"/>
      <c r="L484" s="86"/>
      <c r="M484" s="86"/>
      <c r="N484" s="86"/>
      <c r="O484" s="86"/>
      <c r="P484" s="86"/>
      <c r="Q484" s="86"/>
      <c r="R484" s="86"/>
      <c r="S484" s="86"/>
      <c r="T484" s="86"/>
      <c r="U484" s="86"/>
      <c r="V484" s="86"/>
      <c r="W484" s="86"/>
      <c r="X484" s="86"/>
      <c r="Y484" s="86"/>
      <c r="Z484" s="86"/>
    </row>
    <row r="485" spans="6:26" ht="12.75">
      <c r="F485" s="86"/>
      <c r="G485" s="86"/>
      <c r="H485" s="86"/>
      <c r="I485" s="86"/>
      <c r="J485" s="86"/>
      <c r="K485" s="86"/>
      <c r="L485" s="86"/>
      <c r="M485" s="86"/>
      <c r="N485" s="86"/>
      <c r="O485" s="86"/>
      <c r="P485" s="86"/>
      <c r="Q485" s="86"/>
      <c r="R485" s="86"/>
      <c r="S485" s="86"/>
      <c r="T485" s="86"/>
      <c r="U485" s="86"/>
      <c r="V485" s="86"/>
      <c r="W485" s="86"/>
      <c r="X485" s="86"/>
      <c r="Y485" s="86"/>
      <c r="Z485" s="86"/>
    </row>
    <row r="486" spans="6:26" ht="12.75">
      <c r="F486" s="86"/>
      <c r="G486" s="86"/>
      <c r="H486" s="86"/>
      <c r="I486" s="86"/>
      <c r="J486" s="86"/>
      <c r="K486" s="86"/>
      <c r="L486" s="86"/>
      <c r="M486" s="86"/>
      <c r="N486" s="86"/>
      <c r="O486" s="86"/>
      <c r="P486" s="86"/>
      <c r="Q486" s="86"/>
      <c r="R486" s="86"/>
      <c r="S486" s="86"/>
      <c r="T486" s="86"/>
      <c r="U486" s="86"/>
      <c r="V486" s="86"/>
      <c r="W486" s="86"/>
      <c r="X486" s="86"/>
      <c r="Y486" s="86"/>
      <c r="Z486" s="86"/>
    </row>
    <row r="487" spans="6:26" ht="12.75">
      <c r="F487" s="86"/>
      <c r="G487" s="86"/>
      <c r="H487" s="86"/>
      <c r="I487" s="86"/>
      <c r="J487" s="86"/>
      <c r="K487" s="86"/>
      <c r="L487" s="86"/>
      <c r="M487" s="86"/>
      <c r="N487" s="86"/>
      <c r="O487" s="86"/>
      <c r="P487" s="86"/>
      <c r="Q487" s="86"/>
      <c r="R487" s="86"/>
      <c r="S487" s="86"/>
      <c r="T487" s="86"/>
      <c r="U487" s="86"/>
      <c r="V487" s="86"/>
      <c r="W487" s="86"/>
      <c r="X487" s="86"/>
      <c r="Y487" s="86"/>
      <c r="Z487" s="86"/>
    </row>
    <row r="488" spans="6:26" ht="12.75">
      <c r="F488" s="86"/>
      <c r="G488" s="86"/>
      <c r="H488" s="86"/>
      <c r="I488" s="86"/>
      <c r="J488" s="86"/>
      <c r="K488" s="86"/>
      <c r="L488" s="86"/>
      <c r="M488" s="86"/>
      <c r="N488" s="86"/>
      <c r="O488" s="86"/>
      <c r="P488" s="86"/>
      <c r="Q488" s="86"/>
      <c r="R488" s="86"/>
      <c r="S488" s="86"/>
      <c r="T488" s="86"/>
      <c r="U488" s="86"/>
      <c r="V488" s="86"/>
      <c r="W488" s="86"/>
      <c r="X488" s="86"/>
      <c r="Y488" s="86"/>
      <c r="Z488" s="86"/>
    </row>
    <row r="489" spans="6:26" ht="12.75">
      <c r="F489" s="86"/>
      <c r="G489" s="86"/>
      <c r="H489" s="86"/>
      <c r="I489" s="86"/>
      <c r="J489" s="86"/>
      <c r="K489" s="86"/>
      <c r="L489" s="86"/>
      <c r="M489" s="86"/>
      <c r="N489" s="86"/>
      <c r="O489" s="86"/>
      <c r="P489" s="86"/>
      <c r="Q489" s="86"/>
      <c r="R489" s="86"/>
      <c r="S489" s="86"/>
      <c r="T489" s="86"/>
      <c r="U489" s="86"/>
      <c r="V489" s="86"/>
      <c r="W489" s="86"/>
      <c r="X489" s="86"/>
      <c r="Y489" s="86"/>
      <c r="Z489" s="86"/>
    </row>
    <row r="490" spans="6:26" ht="12.75">
      <c r="F490" s="86"/>
      <c r="G490" s="86"/>
      <c r="H490" s="86"/>
      <c r="I490" s="86"/>
      <c r="J490" s="86"/>
      <c r="K490" s="86"/>
      <c r="L490" s="86"/>
      <c r="M490" s="86"/>
      <c r="N490" s="86"/>
      <c r="O490" s="86"/>
      <c r="P490" s="86"/>
      <c r="Q490" s="86"/>
      <c r="R490" s="86"/>
      <c r="S490" s="86"/>
      <c r="T490" s="86"/>
      <c r="U490" s="86"/>
      <c r="V490" s="86"/>
      <c r="W490" s="86"/>
      <c r="X490" s="86"/>
      <c r="Y490" s="86"/>
      <c r="Z490" s="86"/>
    </row>
    <row r="491" spans="6:26" ht="12.75">
      <c r="F491" s="86"/>
      <c r="G491" s="86"/>
      <c r="H491" s="86"/>
      <c r="I491" s="86"/>
      <c r="J491" s="86"/>
      <c r="K491" s="86"/>
      <c r="L491" s="86"/>
      <c r="M491" s="86"/>
      <c r="N491" s="86"/>
      <c r="O491" s="86"/>
      <c r="P491" s="86"/>
      <c r="Q491" s="86"/>
      <c r="R491" s="86"/>
      <c r="S491" s="86"/>
      <c r="T491" s="86"/>
      <c r="U491" s="86"/>
      <c r="V491" s="86"/>
      <c r="W491" s="86"/>
      <c r="X491" s="86"/>
      <c r="Y491" s="86"/>
      <c r="Z491" s="86"/>
    </row>
    <row r="492" spans="6:26" ht="12.75">
      <c r="F492" s="86"/>
      <c r="G492" s="86"/>
      <c r="H492" s="86"/>
      <c r="I492" s="86"/>
      <c r="J492" s="86"/>
      <c r="K492" s="86"/>
      <c r="L492" s="86"/>
      <c r="M492" s="86"/>
      <c r="N492" s="86"/>
      <c r="O492" s="86"/>
      <c r="P492" s="86"/>
      <c r="Q492" s="86"/>
      <c r="R492" s="86"/>
      <c r="S492" s="86"/>
      <c r="T492" s="86"/>
      <c r="U492" s="86"/>
      <c r="V492" s="86"/>
      <c r="W492" s="86"/>
      <c r="X492" s="86"/>
      <c r="Y492" s="86"/>
      <c r="Z492" s="86"/>
    </row>
    <row r="493" spans="6:26" ht="12.75">
      <c r="F493" s="86"/>
      <c r="G493" s="86"/>
      <c r="H493" s="86"/>
      <c r="I493" s="86"/>
      <c r="J493" s="86"/>
      <c r="K493" s="86"/>
      <c r="L493" s="86"/>
      <c r="M493" s="86"/>
      <c r="N493" s="86"/>
      <c r="O493" s="86"/>
      <c r="P493" s="86"/>
      <c r="Q493" s="86"/>
      <c r="R493" s="86"/>
      <c r="S493" s="86"/>
      <c r="T493" s="86"/>
      <c r="U493" s="86"/>
      <c r="V493" s="86"/>
      <c r="W493" s="86"/>
      <c r="X493" s="86"/>
      <c r="Y493" s="86"/>
      <c r="Z493" s="86"/>
    </row>
    <row r="494" spans="6:26" ht="12.75">
      <c r="F494" s="86"/>
      <c r="G494" s="86"/>
      <c r="H494" s="86"/>
      <c r="I494" s="86"/>
      <c r="J494" s="86"/>
      <c r="K494" s="86"/>
      <c r="L494" s="86"/>
      <c r="M494" s="86"/>
      <c r="N494" s="86"/>
      <c r="O494" s="86"/>
      <c r="P494" s="86"/>
      <c r="Q494" s="86"/>
      <c r="R494" s="86"/>
      <c r="S494" s="86"/>
      <c r="T494" s="86"/>
      <c r="U494" s="86"/>
      <c r="V494" s="86"/>
      <c r="W494" s="86"/>
      <c r="X494" s="86"/>
      <c r="Y494" s="86"/>
      <c r="Z494" s="86"/>
    </row>
    <row r="495" spans="6:26" ht="12.75">
      <c r="F495" s="86"/>
      <c r="G495" s="86"/>
      <c r="H495" s="86"/>
      <c r="I495" s="86"/>
      <c r="J495" s="86"/>
      <c r="K495" s="86"/>
      <c r="L495" s="86"/>
      <c r="M495" s="86"/>
      <c r="N495" s="86"/>
      <c r="O495" s="86"/>
      <c r="P495" s="86"/>
      <c r="Q495" s="86"/>
      <c r="R495" s="86"/>
      <c r="S495" s="86"/>
      <c r="T495" s="86"/>
      <c r="U495" s="86"/>
      <c r="V495" s="86"/>
      <c r="W495" s="86"/>
      <c r="X495" s="86"/>
      <c r="Y495" s="86"/>
      <c r="Z495" s="86"/>
    </row>
    <row r="496" spans="6:26" ht="12.75">
      <c r="F496" s="86"/>
      <c r="G496" s="86"/>
      <c r="H496" s="86"/>
      <c r="I496" s="86"/>
      <c r="J496" s="86"/>
      <c r="K496" s="86"/>
      <c r="L496" s="86"/>
      <c r="M496" s="86"/>
      <c r="N496" s="86"/>
      <c r="O496" s="86"/>
      <c r="P496" s="86"/>
      <c r="Q496" s="86"/>
      <c r="R496" s="86"/>
      <c r="S496" s="86"/>
      <c r="T496" s="86"/>
      <c r="U496" s="86"/>
      <c r="V496" s="86"/>
      <c r="W496" s="86"/>
      <c r="X496" s="86"/>
      <c r="Y496" s="86"/>
      <c r="Z496" s="86"/>
    </row>
    <row r="497" spans="6:26" ht="12.75">
      <c r="F497" s="86"/>
      <c r="G497" s="86"/>
      <c r="H497" s="86"/>
      <c r="I497" s="86"/>
      <c r="J497" s="86"/>
      <c r="K497" s="86"/>
      <c r="L497" s="86"/>
      <c r="M497" s="86"/>
      <c r="N497" s="86"/>
      <c r="O497" s="86"/>
      <c r="P497" s="86"/>
      <c r="Q497" s="86"/>
      <c r="R497" s="86"/>
      <c r="S497" s="86"/>
      <c r="T497" s="86"/>
      <c r="U497" s="86"/>
      <c r="V497" s="86"/>
      <c r="W497" s="86"/>
      <c r="X497" s="86"/>
      <c r="Y497" s="86"/>
      <c r="Z497" s="86"/>
    </row>
    <row r="498" spans="6:26" ht="12.75">
      <c r="F498" s="86"/>
      <c r="G498" s="86"/>
      <c r="H498" s="86"/>
      <c r="I498" s="86"/>
      <c r="J498" s="86"/>
      <c r="K498" s="86"/>
      <c r="L498" s="86"/>
      <c r="M498" s="86"/>
      <c r="N498" s="86"/>
      <c r="O498" s="86"/>
      <c r="P498" s="86"/>
      <c r="Q498" s="86"/>
      <c r="R498" s="86"/>
      <c r="S498" s="86"/>
      <c r="T498" s="86"/>
      <c r="U498" s="86"/>
      <c r="V498" s="86"/>
      <c r="W498" s="86"/>
      <c r="X498" s="86"/>
      <c r="Y498" s="86"/>
      <c r="Z498" s="86"/>
    </row>
    <row r="499" spans="6:26" ht="12.75">
      <c r="F499" s="86"/>
      <c r="G499" s="86"/>
      <c r="H499" s="86"/>
      <c r="I499" s="86"/>
      <c r="J499" s="86"/>
      <c r="K499" s="86"/>
      <c r="L499" s="86"/>
      <c r="M499" s="86"/>
      <c r="N499" s="86"/>
      <c r="O499" s="86"/>
      <c r="P499" s="86"/>
      <c r="Q499" s="86"/>
      <c r="R499" s="86"/>
      <c r="S499" s="86"/>
      <c r="T499" s="86"/>
      <c r="U499" s="86"/>
      <c r="V499" s="86"/>
      <c r="W499" s="86"/>
      <c r="X499" s="86"/>
      <c r="Y499" s="86"/>
      <c r="Z499" s="86"/>
    </row>
    <row r="500" spans="6:26" ht="12.75">
      <c r="F500" s="86"/>
      <c r="G500" s="86"/>
      <c r="H500" s="86"/>
      <c r="I500" s="86"/>
      <c r="J500" s="86"/>
      <c r="K500" s="86"/>
      <c r="L500" s="86"/>
      <c r="M500" s="86"/>
      <c r="N500" s="86"/>
      <c r="O500" s="86"/>
      <c r="P500" s="86"/>
      <c r="Q500" s="86"/>
      <c r="R500" s="86"/>
      <c r="S500" s="86"/>
      <c r="T500" s="86"/>
      <c r="U500" s="86"/>
      <c r="V500" s="86"/>
      <c r="W500" s="86"/>
      <c r="X500" s="86"/>
      <c r="Y500" s="86"/>
      <c r="Z500" s="86"/>
    </row>
    <row r="501" spans="6:26" ht="12.75">
      <c r="F501" s="86"/>
      <c r="G501" s="86"/>
      <c r="H501" s="86"/>
      <c r="I501" s="86"/>
      <c r="J501" s="86"/>
      <c r="K501" s="86"/>
      <c r="L501" s="86"/>
      <c r="M501" s="86"/>
      <c r="N501" s="86"/>
      <c r="O501" s="86"/>
      <c r="P501" s="86"/>
      <c r="Q501" s="86"/>
      <c r="R501" s="86"/>
      <c r="S501" s="86"/>
      <c r="T501" s="86"/>
      <c r="U501" s="86"/>
      <c r="V501" s="86"/>
      <c r="W501" s="86"/>
      <c r="X501" s="86"/>
      <c r="Y501" s="86"/>
      <c r="Z501" s="86"/>
    </row>
    <row r="502" spans="6:26" ht="12.75">
      <c r="F502" s="86"/>
      <c r="G502" s="86"/>
      <c r="H502" s="86"/>
      <c r="I502" s="86"/>
      <c r="J502" s="86"/>
      <c r="K502" s="86"/>
      <c r="L502" s="86"/>
      <c r="M502" s="86"/>
      <c r="N502" s="86"/>
      <c r="O502" s="86"/>
      <c r="P502" s="86"/>
      <c r="Q502" s="86"/>
      <c r="R502" s="86"/>
      <c r="S502" s="86"/>
      <c r="T502" s="86"/>
      <c r="U502" s="86"/>
      <c r="V502" s="86"/>
      <c r="W502" s="86"/>
      <c r="X502" s="86"/>
      <c r="Y502" s="86"/>
      <c r="Z502" s="86"/>
    </row>
    <row r="503" spans="6:26" ht="12.75">
      <c r="F503" s="86"/>
      <c r="G503" s="86"/>
      <c r="H503" s="86"/>
      <c r="I503" s="86"/>
      <c r="J503" s="86"/>
      <c r="K503" s="86"/>
      <c r="L503" s="86"/>
      <c r="M503" s="86"/>
      <c r="N503" s="86"/>
      <c r="O503" s="86"/>
      <c r="P503" s="86"/>
      <c r="Q503" s="86"/>
      <c r="R503" s="86"/>
      <c r="S503" s="86"/>
      <c r="T503" s="86"/>
      <c r="U503" s="86"/>
      <c r="V503" s="86"/>
      <c r="W503" s="86"/>
      <c r="X503" s="86"/>
      <c r="Y503" s="86"/>
      <c r="Z503" s="86"/>
    </row>
    <row r="504" spans="6:26" ht="12.75">
      <c r="F504" s="86"/>
      <c r="G504" s="86"/>
      <c r="H504" s="86"/>
      <c r="I504" s="86"/>
      <c r="J504" s="86"/>
      <c r="K504" s="86"/>
      <c r="L504" s="86"/>
      <c r="M504" s="86"/>
      <c r="N504" s="86"/>
      <c r="O504" s="86"/>
      <c r="P504" s="86"/>
      <c r="Q504" s="86"/>
      <c r="R504" s="86"/>
      <c r="S504" s="86"/>
      <c r="T504" s="86"/>
      <c r="U504" s="86"/>
      <c r="V504" s="86"/>
      <c r="W504" s="86"/>
      <c r="X504" s="86"/>
      <c r="Y504" s="86"/>
      <c r="Z504" s="86"/>
    </row>
    <row r="505" spans="6:26" ht="12.75">
      <c r="F505" s="86"/>
      <c r="G505" s="86"/>
      <c r="H505" s="86"/>
      <c r="I505" s="86"/>
      <c r="J505" s="86"/>
      <c r="K505" s="86"/>
      <c r="L505" s="86"/>
      <c r="M505" s="86"/>
      <c r="N505" s="86"/>
      <c r="O505" s="86"/>
      <c r="P505" s="86"/>
      <c r="Q505" s="86"/>
      <c r="R505" s="86"/>
      <c r="S505" s="86"/>
      <c r="T505" s="86"/>
      <c r="U505" s="86"/>
      <c r="V505" s="86"/>
      <c r="W505" s="86"/>
      <c r="X505" s="86"/>
      <c r="Y505" s="86"/>
      <c r="Z505" s="86"/>
    </row>
    <row r="506" spans="6:26" ht="12.75">
      <c r="F506" s="86"/>
      <c r="G506" s="86"/>
      <c r="H506" s="86"/>
      <c r="I506" s="86"/>
      <c r="J506" s="86"/>
      <c r="K506" s="86"/>
      <c r="L506" s="86"/>
      <c r="M506" s="86"/>
      <c r="N506" s="86"/>
      <c r="O506" s="86"/>
      <c r="P506" s="86"/>
      <c r="Q506" s="86"/>
      <c r="R506" s="86"/>
      <c r="S506" s="86"/>
      <c r="T506" s="86"/>
      <c r="U506" s="86"/>
      <c r="V506" s="86"/>
      <c r="W506" s="86"/>
      <c r="X506" s="86"/>
      <c r="Y506" s="86"/>
      <c r="Z506" s="86"/>
    </row>
    <row r="507" spans="6:26" ht="12.75">
      <c r="F507" s="86"/>
      <c r="G507" s="86"/>
      <c r="H507" s="86"/>
      <c r="I507" s="86"/>
      <c r="J507" s="86"/>
      <c r="K507" s="86"/>
      <c r="L507" s="86"/>
      <c r="M507" s="86"/>
      <c r="N507" s="86"/>
      <c r="O507" s="86"/>
      <c r="P507" s="86"/>
      <c r="Q507" s="86"/>
      <c r="R507" s="86"/>
      <c r="S507" s="86"/>
      <c r="T507" s="86"/>
      <c r="U507" s="86"/>
      <c r="V507" s="86"/>
      <c r="W507" s="86"/>
      <c r="X507" s="86"/>
      <c r="Y507" s="86"/>
      <c r="Z507" s="86"/>
    </row>
    <row r="508" spans="6:26" ht="12.75">
      <c r="F508" s="86"/>
      <c r="G508" s="86"/>
      <c r="H508" s="86"/>
      <c r="I508" s="86"/>
      <c r="J508" s="86"/>
      <c r="K508" s="86"/>
      <c r="L508" s="86"/>
      <c r="M508" s="86"/>
      <c r="N508" s="86"/>
      <c r="O508" s="86"/>
      <c r="P508" s="86"/>
      <c r="Q508" s="86"/>
      <c r="R508" s="86"/>
      <c r="S508" s="86"/>
      <c r="T508" s="86"/>
      <c r="U508" s="86"/>
      <c r="V508" s="86"/>
      <c r="W508" s="86"/>
      <c r="X508" s="86"/>
      <c r="Y508" s="86"/>
      <c r="Z508" s="86"/>
    </row>
    <row r="509" spans="6:26" ht="12.75">
      <c r="F509" s="86"/>
      <c r="G509" s="86"/>
      <c r="H509" s="86"/>
      <c r="I509" s="86"/>
      <c r="J509" s="86"/>
      <c r="K509" s="86"/>
      <c r="L509" s="86"/>
      <c r="M509" s="86"/>
      <c r="N509" s="86"/>
      <c r="O509" s="86"/>
      <c r="P509" s="86"/>
      <c r="Q509" s="86"/>
      <c r="R509" s="86"/>
      <c r="S509" s="86"/>
      <c r="T509" s="86"/>
      <c r="U509" s="86"/>
      <c r="V509" s="86"/>
      <c r="W509" s="86"/>
      <c r="X509" s="86"/>
      <c r="Y509" s="86"/>
      <c r="Z509" s="86"/>
    </row>
    <row r="510" spans="6:26" ht="12.75">
      <c r="F510" s="86"/>
      <c r="G510" s="86"/>
      <c r="H510" s="86"/>
      <c r="I510" s="86"/>
      <c r="J510" s="86"/>
      <c r="K510" s="86"/>
      <c r="L510" s="86"/>
      <c r="M510" s="86"/>
      <c r="N510" s="86"/>
      <c r="O510" s="86"/>
      <c r="P510" s="86"/>
      <c r="Q510" s="86"/>
      <c r="R510" s="86"/>
      <c r="S510" s="86"/>
      <c r="T510" s="86"/>
      <c r="U510" s="86"/>
      <c r="V510" s="86"/>
      <c r="W510" s="86"/>
      <c r="X510" s="86"/>
      <c r="Y510" s="86"/>
      <c r="Z510" s="86"/>
    </row>
    <row r="511" spans="6:26" ht="12.75">
      <c r="F511" s="86"/>
      <c r="G511" s="86"/>
      <c r="H511" s="86"/>
      <c r="I511" s="86"/>
      <c r="J511" s="86"/>
      <c r="K511" s="86"/>
      <c r="L511" s="86"/>
      <c r="M511" s="86"/>
      <c r="N511" s="86"/>
      <c r="O511" s="86"/>
      <c r="P511" s="86"/>
      <c r="Q511" s="86"/>
      <c r="R511" s="86"/>
      <c r="S511" s="86"/>
      <c r="T511" s="86"/>
      <c r="U511" s="86"/>
      <c r="V511" s="86"/>
      <c r="W511" s="86"/>
      <c r="X511" s="86"/>
      <c r="Y511" s="86"/>
      <c r="Z511" s="86"/>
    </row>
    <row r="512" spans="6:26" ht="12.75">
      <c r="F512" s="86"/>
      <c r="G512" s="86"/>
      <c r="H512" s="86"/>
      <c r="I512" s="86"/>
      <c r="J512" s="86"/>
      <c r="K512" s="86"/>
      <c r="L512" s="86"/>
      <c r="M512" s="86"/>
      <c r="N512" s="86"/>
      <c r="O512" s="86"/>
      <c r="P512" s="86"/>
      <c r="Q512" s="86"/>
      <c r="R512" s="86"/>
      <c r="S512" s="86"/>
      <c r="T512" s="86"/>
      <c r="U512" s="86"/>
      <c r="V512" s="86"/>
      <c r="W512" s="86"/>
      <c r="X512" s="86"/>
      <c r="Y512" s="86"/>
      <c r="Z512" s="86"/>
    </row>
    <row r="513" spans="6:26" ht="12.75">
      <c r="F513" s="86"/>
      <c r="G513" s="86"/>
      <c r="H513" s="86"/>
      <c r="I513" s="86"/>
      <c r="J513" s="86"/>
      <c r="K513" s="86"/>
      <c r="L513" s="86"/>
      <c r="M513" s="86"/>
      <c r="N513" s="86"/>
      <c r="O513" s="86"/>
      <c r="P513" s="86"/>
      <c r="Q513" s="86"/>
      <c r="R513" s="86"/>
      <c r="S513" s="86"/>
      <c r="T513" s="86"/>
      <c r="U513" s="86"/>
      <c r="V513" s="86"/>
      <c r="W513" s="86"/>
      <c r="X513" s="86"/>
      <c r="Y513" s="86"/>
      <c r="Z513" s="86"/>
    </row>
    <row r="514" spans="6:26" ht="12.75">
      <c r="F514" s="86"/>
      <c r="G514" s="86"/>
      <c r="H514" s="86"/>
      <c r="I514" s="86"/>
      <c r="J514" s="86"/>
      <c r="K514" s="86"/>
      <c r="L514" s="86"/>
      <c r="M514" s="86"/>
      <c r="N514" s="86"/>
      <c r="O514" s="86"/>
      <c r="P514" s="86"/>
      <c r="Q514" s="86"/>
      <c r="R514" s="86"/>
      <c r="S514" s="86"/>
      <c r="T514" s="86"/>
      <c r="U514" s="86"/>
      <c r="V514" s="86"/>
      <c r="W514" s="86"/>
      <c r="X514" s="86"/>
      <c r="Y514" s="86"/>
      <c r="Z514" s="86"/>
    </row>
    <row r="515" spans="6:26" ht="12.75">
      <c r="F515" s="86"/>
      <c r="G515" s="86"/>
      <c r="H515" s="86"/>
      <c r="I515" s="86"/>
      <c r="J515" s="86"/>
      <c r="K515" s="86"/>
      <c r="L515" s="86"/>
      <c r="M515" s="86"/>
      <c r="N515" s="86"/>
      <c r="O515" s="86"/>
      <c r="P515" s="86"/>
      <c r="Q515" s="86"/>
      <c r="R515" s="86"/>
      <c r="S515" s="86"/>
      <c r="T515" s="86"/>
      <c r="U515" s="86"/>
      <c r="V515" s="86"/>
      <c r="W515" s="86"/>
      <c r="X515" s="86"/>
      <c r="Y515" s="86"/>
      <c r="Z515" s="86"/>
    </row>
    <row r="516" spans="6:26" ht="12.75">
      <c r="F516" s="86"/>
      <c r="G516" s="86"/>
      <c r="H516" s="86"/>
      <c r="I516" s="86"/>
      <c r="J516" s="86"/>
      <c r="K516" s="86"/>
      <c r="L516" s="86"/>
      <c r="M516" s="86"/>
      <c r="N516" s="86"/>
      <c r="O516" s="86"/>
      <c r="P516" s="86"/>
      <c r="Q516" s="86"/>
      <c r="R516" s="86"/>
      <c r="S516" s="86"/>
      <c r="T516" s="86"/>
      <c r="U516" s="86"/>
      <c r="V516" s="86"/>
      <c r="W516" s="86"/>
      <c r="X516" s="86"/>
      <c r="Y516" s="86"/>
      <c r="Z516" s="86"/>
    </row>
    <row r="517" spans="6:26" ht="12.75">
      <c r="F517" s="86"/>
      <c r="G517" s="86"/>
      <c r="H517" s="86"/>
      <c r="I517" s="86"/>
      <c r="J517" s="86"/>
      <c r="K517" s="86"/>
      <c r="L517" s="86"/>
      <c r="M517" s="86"/>
      <c r="N517" s="86"/>
      <c r="O517" s="86"/>
      <c r="P517" s="86"/>
      <c r="Q517" s="86"/>
      <c r="R517" s="86"/>
      <c r="S517" s="86"/>
      <c r="T517" s="86"/>
      <c r="U517" s="86"/>
      <c r="V517" s="86"/>
      <c r="W517" s="86"/>
      <c r="X517" s="86"/>
      <c r="Y517" s="86"/>
      <c r="Z517" s="86"/>
    </row>
    <row r="518" spans="6:26" ht="12.75">
      <c r="F518" s="86"/>
      <c r="G518" s="86"/>
      <c r="H518" s="86"/>
      <c r="I518" s="86"/>
      <c r="J518" s="86"/>
      <c r="K518" s="86"/>
      <c r="L518" s="86"/>
      <c r="M518" s="86"/>
      <c r="N518" s="86"/>
      <c r="O518" s="86"/>
      <c r="P518" s="86"/>
      <c r="Q518" s="86"/>
      <c r="R518" s="86"/>
      <c r="S518" s="86"/>
      <c r="T518" s="86"/>
      <c r="U518" s="86"/>
      <c r="V518" s="86"/>
      <c r="W518" s="86"/>
      <c r="X518" s="86"/>
      <c r="Y518" s="86"/>
      <c r="Z518" s="86"/>
    </row>
    <row r="519" spans="6:26" ht="12.75">
      <c r="F519" s="86"/>
      <c r="G519" s="86"/>
      <c r="H519" s="86"/>
      <c r="I519" s="86"/>
      <c r="J519" s="86"/>
      <c r="K519" s="86"/>
      <c r="L519" s="86"/>
      <c r="M519" s="86"/>
      <c r="N519" s="86"/>
      <c r="O519" s="86"/>
      <c r="P519" s="86"/>
      <c r="Q519" s="86"/>
      <c r="R519" s="86"/>
      <c r="S519" s="86"/>
      <c r="T519" s="86"/>
      <c r="U519" s="86"/>
      <c r="V519" s="86"/>
      <c r="W519" s="86"/>
      <c r="X519" s="86"/>
      <c r="Y519" s="86"/>
      <c r="Z519" s="86"/>
    </row>
    <row r="520" spans="6:26" ht="12.75">
      <c r="F520" s="86"/>
      <c r="G520" s="86"/>
      <c r="H520" s="86"/>
      <c r="I520" s="86"/>
      <c r="J520" s="86"/>
      <c r="K520" s="86"/>
      <c r="L520" s="86"/>
      <c r="M520" s="86"/>
      <c r="N520" s="86"/>
      <c r="O520" s="86"/>
      <c r="P520" s="86"/>
      <c r="Q520" s="86"/>
      <c r="R520" s="86"/>
      <c r="S520" s="86"/>
      <c r="T520" s="86"/>
      <c r="U520" s="86"/>
      <c r="V520" s="86"/>
      <c r="W520" s="86"/>
      <c r="X520" s="86"/>
      <c r="Y520" s="86"/>
      <c r="Z520" s="86"/>
    </row>
    <row r="521" spans="6:26" ht="12.75">
      <c r="F521" s="86"/>
      <c r="G521" s="86"/>
      <c r="H521" s="86"/>
      <c r="I521" s="86"/>
      <c r="J521" s="86"/>
      <c r="K521" s="86"/>
      <c r="L521" s="86"/>
      <c r="M521" s="86"/>
      <c r="N521" s="86"/>
      <c r="O521" s="86"/>
      <c r="P521" s="86"/>
      <c r="Q521" s="86"/>
      <c r="R521" s="86"/>
      <c r="S521" s="86"/>
      <c r="T521" s="86"/>
      <c r="U521" s="86"/>
      <c r="V521" s="86"/>
      <c r="W521" s="86"/>
      <c r="X521" s="86"/>
      <c r="Y521" s="86"/>
      <c r="Z521" s="86"/>
    </row>
    <row r="522" spans="6:26" ht="12.75">
      <c r="F522" s="86"/>
      <c r="G522" s="86"/>
      <c r="H522" s="86"/>
      <c r="I522" s="86"/>
      <c r="J522" s="86"/>
      <c r="K522" s="86"/>
      <c r="L522" s="86"/>
      <c r="M522" s="86"/>
      <c r="N522" s="86"/>
      <c r="O522" s="86"/>
      <c r="P522" s="86"/>
      <c r="Q522" s="86"/>
      <c r="R522" s="86"/>
      <c r="S522" s="86"/>
      <c r="T522" s="86"/>
      <c r="U522" s="86"/>
      <c r="V522" s="86"/>
      <c r="W522" s="86"/>
      <c r="X522" s="86"/>
      <c r="Y522" s="86"/>
      <c r="Z522" s="86"/>
    </row>
    <row r="523" spans="6:26" ht="12.75">
      <c r="F523" s="86"/>
      <c r="G523" s="86"/>
      <c r="H523" s="86"/>
      <c r="I523" s="86"/>
      <c r="J523" s="86"/>
      <c r="K523" s="86"/>
      <c r="L523" s="86"/>
      <c r="M523" s="86"/>
      <c r="N523" s="86"/>
      <c r="O523" s="86"/>
      <c r="P523" s="86"/>
      <c r="Q523" s="86"/>
      <c r="R523" s="86"/>
      <c r="S523" s="86"/>
      <c r="T523" s="86"/>
      <c r="U523" s="86"/>
      <c r="V523" s="86"/>
      <c r="W523" s="86"/>
      <c r="X523" s="86"/>
      <c r="Y523" s="86"/>
      <c r="Z523" s="86"/>
    </row>
    <row r="524" spans="6:26" ht="12.75">
      <c r="F524" s="86"/>
      <c r="G524" s="86"/>
      <c r="H524" s="86"/>
      <c r="I524" s="86"/>
      <c r="J524" s="86"/>
      <c r="K524" s="86"/>
      <c r="L524" s="86"/>
      <c r="M524" s="86"/>
      <c r="N524" s="86"/>
      <c r="O524" s="86"/>
      <c r="P524" s="86"/>
      <c r="Q524" s="86"/>
      <c r="R524" s="86"/>
      <c r="S524" s="86"/>
      <c r="T524" s="86"/>
      <c r="U524" s="86"/>
      <c r="V524" s="86"/>
      <c r="W524" s="86"/>
      <c r="X524" s="86"/>
      <c r="Y524" s="86"/>
      <c r="Z524" s="86"/>
    </row>
    <row r="525" spans="6:26" ht="12.75">
      <c r="F525" s="86"/>
      <c r="G525" s="86"/>
      <c r="H525" s="86"/>
      <c r="I525" s="86"/>
      <c r="J525" s="86"/>
      <c r="K525" s="86"/>
      <c r="L525" s="86"/>
      <c r="M525" s="86"/>
      <c r="N525" s="86"/>
      <c r="O525" s="86"/>
      <c r="P525" s="86"/>
      <c r="Q525" s="86"/>
      <c r="R525" s="86"/>
      <c r="S525" s="86"/>
      <c r="T525" s="86"/>
      <c r="U525" s="86"/>
      <c r="V525" s="86"/>
      <c r="W525" s="86"/>
      <c r="X525" s="86"/>
      <c r="Y525" s="86"/>
      <c r="Z525" s="86"/>
    </row>
    <row r="526" spans="6:26" ht="12.75">
      <c r="F526" s="86"/>
      <c r="G526" s="86"/>
      <c r="H526" s="86"/>
      <c r="I526" s="86"/>
      <c r="J526" s="86"/>
      <c r="K526" s="86"/>
      <c r="L526" s="86"/>
      <c r="M526" s="86"/>
      <c r="N526" s="86"/>
      <c r="O526" s="86"/>
      <c r="P526" s="86"/>
      <c r="Q526" s="86"/>
      <c r="R526" s="86"/>
      <c r="S526" s="86"/>
      <c r="T526" s="86"/>
      <c r="U526" s="86"/>
      <c r="V526" s="86"/>
      <c r="W526" s="86"/>
      <c r="X526" s="86"/>
      <c r="Y526" s="86"/>
      <c r="Z526" s="86"/>
    </row>
    <row r="527" spans="6:26" ht="12.75">
      <c r="F527" s="86"/>
      <c r="G527" s="86"/>
      <c r="H527" s="86"/>
      <c r="I527" s="86"/>
      <c r="J527" s="86"/>
      <c r="K527" s="86"/>
      <c r="L527" s="86"/>
      <c r="M527" s="86"/>
      <c r="N527" s="86"/>
      <c r="O527" s="86"/>
      <c r="P527" s="86"/>
      <c r="Q527" s="86"/>
      <c r="R527" s="86"/>
      <c r="S527" s="86"/>
      <c r="T527" s="86"/>
      <c r="U527" s="86"/>
      <c r="V527" s="86"/>
      <c r="W527" s="86"/>
      <c r="X527" s="86"/>
      <c r="Y527" s="86"/>
      <c r="Z527" s="86"/>
    </row>
    <row r="528" spans="6:26" ht="12.75">
      <c r="F528" s="86"/>
      <c r="G528" s="86"/>
      <c r="H528" s="86"/>
      <c r="I528" s="86"/>
      <c r="J528" s="86"/>
      <c r="K528" s="86"/>
      <c r="L528" s="86"/>
      <c r="M528" s="86"/>
      <c r="N528" s="86"/>
      <c r="O528" s="86"/>
      <c r="P528" s="86"/>
      <c r="Q528" s="86"/>
      <c r="R528" s="86"/>
      <c r="S528" s="86"/>
      <c r="T528" s="86"/>
      <c r="U528" s="86"/>
      <c r="V528" s="86"/>
      <c r="W528" s="86"/>
      <c r="X528" s="86"/>
      <c r="Y528" s="86"/>
      <c r="Z528" s="86"/>
    </row>
    <row r="529" spans="6:26" ht="12.75">
      <c r="F529" s="86"/>
      <c r="G529" s="86"/>
      <c r="H529" s="86"/>
      <c r="I529" s="86"/>
      <c r="J529" s="86"/>
      <c r="K529" s="86"/>
      <c r="L529" s="86"/>
      <c r="M529" s="86"/>
      <c r="N529" s="86"/>
      <c r="O529" s="86"/>
      <c r="P529" s="86"/>
      <c r="Q529" s="86"/>
      <c r="R529" s="86"/>
      <c r="S529" s="86"/>
      <c r="T529" s="86"/>
      <c r="U529" s="86"/>
      <c r="V529" s="86"/>
      <c r="W529" s="86"/>
      <c r="X529" s="86"/>
      <c r="Y529" s="86"/>
      <c r="Z529" s="86"/>
    </row>
    <row r="530" spans="6:26" ht="12.75">
      <c r="F530" s="86"/>
      <c r="G530" s="86"/>
      <c r="H530" s="86"/>
      <c r="I530" s="86"/>
      <c r="J530" s="86"/>
      <c r="K530" s="86"/>
      <c r="L530" s="86"/>
      <c r="M530" s="86"/>
      <c r="N530" s="86"/>
      <c r="O530" s="86"/>
      <c r="P530" s="86"/>
      <c r="Q530" s="86"/>
      <c r="R530" s="86"/>
      <c r="S530" s="86"/>
      <c r="T530" s="86"/>
      <c r="U530" s="86"/>
      <c r="V530" s="86"/>
      <c r="W530" s="86"/>
      <c r="X530" s="86"/>
      <c r="Y530" s="86"/>
      <c r="Z530" s="86"/>
    </row>
    <row r="531" spans="6:26" ht="12.75">
      <c r="F531" s="86"/>
      <c r="G531" s="86"/>
      <c r="H531" s="86"/>
      <c r="I531" s="86"/>
      <c r="J531" s="86"/>
      <c r="K531" s="86"/>
      <c r="L531" s="86"/>
      <c r="M531" s="86"/>
      <c r="N531" s="86"/>
      <c r="O531" s="86"/>
      <c r="P531" s="86"/>
      <c r="Q531" s="86"/>
      <c r="R531" s="86"/>
      <c r="S531" s="86"/>
      <c r="T531" s="86"/>
      <c r="U531" s="86"/>
      <c r="V531" s="86"/>
      <c r="W531" s="86"/>
      <c r="X531" s="86"/>
      <c r="Y531" s="86"/>
      <c r="Z531" s="86"/>
    </row>
    <row r="532" spans="6:26" ht="12.75">
      <c r="F532" s="86"/>
      <c r="G532" s="86"/>
      <c r="H532" s="86"/>
      <c r="I532" s="86"/>
      <c r="J532" s="86"/>
      <c r="K532" s="86"/>
      <c r="L532" s="86"/>
      <c r="M532" s="86"/>
      <c r="N532" s="86"/>
      <c r="O532" s="86"/>
      <c r="P532" s="86"/>
      <c r="Q532" s="86"/>
      <c r="R532" s="86"/>
      <c r="S532" s="86"/>
      <c r="T532" s="86"/>
      <c r="U532" s="86"/>
      <c r="V532" s="86"/>
      <c r="W532" s="86"/>
      <c r="X532" s="86"/>
      <c r="Y532" s="86"/>
      <c r="Z532" s="86"/>
    </row>
    <row r="533" spans="6:26" ht="12.75">
      <c r="F533" s="86"/>
      <c r="G533" s="86"/>
      <c r="H533" s="86"/>
      <c r="I533" s="86"/>
      <c r="J533" s="86"/>
      <c r="K533" s="86"/>
      <c r="L533" s="86"/>
      <c r="M533" s="86"/>
      <c r="N533" s="86"/>
      <c r="O533" s="86"/>
      <c r="P533" s="86"/>
      <c r="Q533" s="86"/>
      <c r="R533" s="86"/>
      <c r="S533" s="86"/>
      <c r="T533" s="86"/>
      <c r="U533" s="86"/>
      <c r="V533" s="86"/>
      <c r="W533" s="86"/>
      <c r="X533" s="86"/>
      <c r="Y533" s="86"/>
      <c r="Z533" s="86"/>
    </row>
    <row r="534" spans="6:26" ht="12.75">
      <c r="F534" s="86"/>
      <c r="G534" s="86"/>
      <c r="H534" s="86"/>
      <c r="I534" s="86"/>
      <c r="J534" s="86"/>
      <c r="K534" s="86"/>
      <c r="L534" s="86"/>
      <c r="M534" s="86"/>
      <c r="N534" s="86"/>
      <c r="O534" s="86"/>
      <c r="P534" s="86"/>
      <c r="Q534" s="86"/>
      <c r="R534" s="86"/>
      <c r="S534" s="86"/>
      <c r="T534" s="86"/>
      <c r="U534" s="86"/>
      <c r="V534" s="86"/>
      <c r="W534" s="86"/>
      <c r="X534" s="86"/>
      <c r="Y534" s="86"/>
      <c r="Z534" s="86"/>
    </row>
    <row r="535" spans="6:26" ht="12.75">
      <c r="F535" s="86"/>
      <c r="G535" s="86"/>
      <c r="H535" s="86"/>
      <c r="I535" s="86"/>
      <c r="J535" s="86"/>
      <c r="K535" s="86"/>
      <c r="L535" s="86"/>
      <c r="M535" s="86"/>
      <c r="N535" s="86"/>
      <c r="O535" s="86"/>
      <c r="P535" s="86"/>
      <c r="Q535" s="86"/>
      <c r="R535" s="86"/>
      <c r="S535" s="86"/>
      <c r="T535" s="86"/>
      <c r="U535" s="86"/>
      <c r="V535" s="86"/>
      <c r="W535" s="86"/>
      <c r="X535" s="86"/>
      <c r="Y535" s="86"/>
      <c r="Z535" s="86"/>
    </row>
    <row r="536" spans="6:26" ht="12.75">
      <c r="F536" s="86"/>
      <c r="G536" s="86"/>
      <c r="H536" s="86"/>
      <c r="I536" s="86"/>
      <c r="J536" s="86"/>
      <c r="K536" s="86"/>
      <c r="L536" s="86"/>
      <c r="M536" s="86"/>
      <c r="N536" s="86"/>
      <c r="O536" s="86"/>
      <c r="P536" s="86"/>
      <c r="Q536" s="86"/>
      <c r="R536" s="86"/>
      <c r="S536" s="86"/>
      <c r="T536" s="86"/>
      <c r="U536" s="86"/>
      <c r="V536" s="86"/>
      <c r="W536" s="86"/>
      <c r="X536" s="86"/>
      <c r="Y536" s="86"/>
      <c r="Z536" s="86"/>
    </row>
    <row r="537" spans="6:26" ht="12.75">
      <c r="F537" s="86"/>
      <c r="G537" s="86"/>
      <c r="H537" s="86"/>
      <c r="I537" s="86"/>
      <c r="J537" s="86"/>
      <c r="K537" s="86"/>
      <c r="L537" s="86"/>
      <c r="M537" s="86"/>
      <c r="N537" s="86"/>
      <c r="O537" s="86"/>
      <c r="P537" s="86"/>
      <c r="Q537" s="86"/>
      <c r="R537" s="86"/>
      <c r="S537" s="86"/>
      <c r="T537" s="86"/>
      <c r="U537" s="86"/>
      <c r="V537" s="86"/>
      <c r="W537" s="86"/>
      <c r="X537" s="86"/>
      <c r="Y537" s="86"/>
      <c r="Z537" s="86"/>
    </row>
    <row r="538" spans="6:26" ht="12.75">
      <c r="F538" s="86"/>
      <c r="G538" s="86"/>
      <c r="H538" s="86"/>
      <c r="I538" s="86"/>
      <c r="J538" s="86"/>
      <c r="K538" s="86"/>
      <c r="L538" s="86"/>
      <c r="M538" s="86"/>
      <c r="N538" s="86"/>
      <c r="O538" s="86"/>
      <c r="P538" s="86"/>
      <c r="Q538" s="86"/>
      <c r="R538" s="86"/>
      <c r="S538" s="86"/>
      <c r="T538" s="86"/>
      <c r="U538" s="86"/>
      <c r="V538" s="86"/>
      <c r="W538" s="86"/>
      <c r="X538" s="86"/>
      <c r="Y538" s="86"/>
      <c r="Z538" s="86"/>
    </row>
    <row r="539" spans="6:26" ht="12.75">
      <c r="F539" s="86"/>
      <c r="G539" s="86"/>
      <c r="H539" s="86"/>
      <c r="I539" s="86"/>
      <c r="J539" s="86"/>
      <c r="K539" s="86"/>
      <c r="L539" s="86"/>
      <c r="M539" s="86"/>
      <c r="N539" s="86"/>
      <c r="O539" s="86"/>
      <c r="P539" s="86"/>
      <c r="Q539" s="86"/>
      <c r="R539" s="86"/>
      <c r="S539" s="86"/>
      <c r="T539" s="86"/>
      <c r="U539" s="86"/>
      <c r="V539" s="86"/>
      <c r="W539" s="86"/>
      <c r="X539" s="86"/>
      <c r="Y539" s="86"/>
      <c r="Z539" s="86"/>
    </row>
    <row r="540" spans="6:26" ht="12.75">
      <c r="F540" s="86"/>
      <c r="G540" s="86"/>
      <c r="H540" s="86"/>
      <c r="I540" s="86"/>
      <c r="J540" s="86"/>
      <c r="K540" s="86"/>
      <c r="L540" s="86"/>
      <c r="M540" s="86"/>
      <c r="N540" s="86"/>
      <c r="O540" s="86"/>
      <c r="P540" s="86"/>
      <c r="Q540" s="86"/>
      <c r="R540" s="86"/>
      <c r="S540" s="86"/>
      <c r="T540" s="86"/>
      <c r="U540" s="86"/>
      <c r="V540" s="86"/>
      <c r="W540" s="86"/>
      <c r="X540" s="86"/>
      <c r="Y540" s="86"/>
      <c r="Z540" s="86"/>
    </row>
    <row r="541" spans="6:26" ht="12.75">
      <c r="F541" s="86"/>
      <c r="G541" s="86"/>
      <c r="H541" s="86"/>
      <c r="I541" s="86"/>
      <c r="J541" s="86"/>
      <c r="K541" s="86"/>
      <c r="L541" s="86"/>
      <c r="M541" s="86"/>
      <c r="N541" s="86"/>
      <c r="O541" s="86"/>
      <c r="P541" s="86"/>
      <c r="Q541" s="86"/>
      <c r="R541" s="86"/>
      <c r="S541" s="86"/>
      <c r="T541" s="86"/>
      <c r="U541" s="86"/>
      <c r="V541" s="86"/>
      <c r="W541" s="86"/>
      <c r="X541" s="86"/>
      <c r="Y541" s="86"/>
      <c r="Z541" s="86"/>
    </row>
    <row r="542" spans="6:26" ht="12.75">
      <c r="F542" s="86"/>
      <c r="G542" s="86"/>
      <c r="H542" s="86"/>
      <c r="I542" s="86"/>
      <c r="J542" s="86"/>
      <c r="K542" s="86"/>
      <c r="L542" s="86"/>
      <c r="M542" s="86"/>
      <c r="N542" s="86"/>
      <c r="O542" s="86"/>
      <c r="P542" s="86"/>
      <c r="Q542" s="86"/>
      <c r="R542" s="86"/>
      <c r="S542" s="86"/>
      <c r="T542" s="86"/>
      <c r="U542" s="86"/>
      <c r="V542" s="86"/>
      <c r="W542" s="86"/>
      <c r="X542" s="86"/>
      <c r="Y542" s="86"/>
      <c r="Z542" s="86"/>
    </row>
    <row r="543" spans="6:26" ht="12.75">
      <c r="F543" s="86"/>
      <c r="G543" s="86"/>
      <c r="H543" s="86"/>
      <c r="I543" s="86"/>
      <c r="J543" s="86"/>
      <c r="K543" s="86"/>
      <c r="L543" s="86"/>
      <c r="M543" s="86"/>
      <c r="N543" s="86"/>
      <c r="O543" s="86"/>
      <c r="P543" s="86"/>
      <c r="Q543" s="86"/>
      <c r="R543" s="86"/>
      <c r="S543" s="86"/>
      <c r="T543" s="86"/>
      <c r="U543" s="86"/>
      <c r="V543" s="86"/>
      <c r="W543" s="86"/>
      <c r="X543" s="86"/>
      <c r="Y543" s="86"/>
      <c r="Z543" s="86"/>
    </row>
    <row r="544" spans="6:26" ht="12.75">
      <c r="F544" s="86"/>
      <c r="G544" s="86"/>
      <c r="H544" s="86"/>
      <c r="I544" s="86"/>
      <c r="J544" s="86"/>
      <c r="K544" s="86"/>
      <c r="L544" s="86"/>
      <c r="M544" s="86"/>
      <c r="N544" s="86"/>
      <c r="O544" s="86"/>
      <c r="P544" s="86"/>
      <c r="Q544" s="86"/>
      <c r="R544" s="86"/>
      <c r="S544" s="86"/>
      <c r="T544" s="86"/>
      <c r="U544" s="86"/>
      <c r="V544" s="86"/>
      <c r="W544" s="86"/>
      <c r="X544" s="86"/>
      <c r="Y544" s="86"/>
      <c r="Z544" s="86"/>
    </row>
    <row r="545" spans="6:26" ht="12.75">
      <c r="F545" s="86"/>
      <c r="G545" s="86"/>
      <c r="H545" s="86"/>
      <c r="I545" s="86"/>
      <c r="J545" s="86"/>
      <c r="K545" s="86"/>
      <c r="L545" s="86"/>
      <c r="M545" s="86"/>
      <c r="N545" s="86"/>
      <c r="O545" s="86"/>
      <c r="P545" s="86"/>
      <c r="Q545" s="86"/>
      <c r="R545" s="86"/>
      <c r="S545" s="86"/>
      <c r="T545" s="86"/>
      <c r="U545" s="86"/>
      <c r="V545" s="86"/>
      <c r="W545" s="86"/>
      <c r="X545" s="86"/>
      <c r="Y545" s="86"/>
      <c r="Z545" s="86"/>
    </row>
    <row r="546" spans="6:26" ht="12.75">
      <c r="F546" s="86"/>
      <c r="G546" s="86"/>
      <c r="H546" s="86"/>
      <c r="I546" s="86"/>
      <c r="J546" s="86"/>
      <c r="K546" s="86"/>
      <c r="L546" s="86"/>
      <c r="M546" s="86"/>
      <c r="N546" s="86"/>
      <c r="O546" s="86"/>
      <c r="P546" s="86"/>
      <c r="Q546" s="86"/>
      <c r="R546" s="86"/>
      <c r="S546" s="86"/>
      <c r="T546" s="86"/>
      <c r="U546" s="86"/>
      <c r="V546" s="86"/>
      <c r="W546" s="86"/>
      <c r="X546" s="86"/>
      <c r="Y546" s="86"/>
      <c r="Z546" s="86"/>
    </row>
    <row r="547" spans="6:26" ht="12.75">
      <c r="F547" s="86"/>
      <c r="G547" s="86"/>
      <c r="H547" s="86"/>
      <c r="I547" s="86"/>
      <c r="J547" s="86"/>
      <c r="K547" s="86"/>
      <c r="L547" s="86"/>
      <c r="M547" s="86"/>
      <c r="N547" s="86"/>
      <c r="O547" s="86"/>
      <c r="P547" s="86"/>
      <c r="Q547" s="86"/>
      <c r="R547" s="86"/>
      <c r="S547" s="86"/>
      <c r="T547" s="86"/>
      <c r="U547" s="86"/>
      <c r="V547" s="86"/>
      <c r="W547" s="86"/>
      <c r="X547" s="86"/>
      <c r="Y547" s="86"/>
      <c r="Z547" s="86"/>
    </row>
    <row r="548" spans="6:26" ht="12.75">
      <c r="F548" s="86"/>
      <c r="G548" s="86"/>
      <c r="H548" s="86"/>
      <c r="I548" s="86"/>
      <c r="J548" s="86"/>
      <c r="K548" s="86"/>
      <c r="L548" s="86"/>
      <c r="M548" s="86"/>
      <c r="N548" s="86"/>
      <c r="O548" s="86"/>
      <c r="P548" s="86"/>
      <c r="Q548" s="86"/>
      <c r="R548" s="86"/>
      <c r="S548" s="86"/>
      <c r="T548" s="86"/>
      <c r="U548" s="86"/>
      <c r="V548" s="86"/>
      <c r="W548" s="86"/>
      <c r="X548" s="86"/>
      <c r="Y548" s="86"/>
      <c r="Z548" s="86"/>
    </row>
    <row r="549" spans="6:26" ht="12.75">
      <c r="F549" s="86"/>
      <c r="G549" s="86"/>
      <c r="H549" s="86"/>
      <c r="I549" s="86"/>
      <c r="J549" s="86"/>
      <c r="K549" s="86"/>
      <c r="L549" s="86"/>
      <c r="M549" s="86"/>
      <c r="N549" s="86"/>
      <c r="O549" s="86"/>
      <c r="P549" s="86"/>
      <c r="Q549" s="86"/>
      <c r="R549" s="86"/>
      <c r="S549" s="86"/>
      <c r="T549" s="86"/>
      <c r="U549" s="86"/>
      <c r="V549" s="86"/>
      <c r="W549" s="86"/>
      <c r="X549" s="86"/>
      <c r="Y549" s="86"/>
      <c r="Z549" s="86"/>
    </row>
    <row r="550" spans="6:26" ht="12.75">
      <c r="F550" s="86"/>
      <c r="G550" s="86"/>
      <c r="H550" s="86"/>
      <c r="I550" s="86"/>
      <c r="J550" s="86"/>
      <c r="K550" s="86"/>
      <c r="L550" s="86"/>
      <c r="M550" s="86"/>
      <c r="N550" s="86"/>
      <c r="O550" s="86"/>
      <c r="P550" s="86"/>
      <c r="Q550" s="86"/>
      <c r="R550" s="86"/>
      <c r="S550" s="86"/>
      <c r="T550" s="86"/>
      <c r="U550" s="86"/>
      <c r="V550" s="86"/>
      <c r="W550" s="86"/>
      <c r="X550" s="86"/>
      <c r="Y550" s="86"/>
      <c r="Z550" s="86"/>
    </row>
    <row r="551" spans="6:26" ht="12.75">
      <c r="F551" s="86"/>
      <c r="G551" s="86"/>
      <c r="H551" s="86"/>
      <c r="I551" s="86"/>
      <c r="J551" s="86"/>
      <c r="K551" s="86"/>
      <c r="L551" s="86"/>
      <c r="M551" s="86"/>
      <c r="N551" s="86"/>
      <c r="O551" s="86"/>
      <c r="P551" s="86"/>
      <c r="Q551" s="86"/>
      <c r="R551" s="86"/>
      <c r="S551" s="86"/>
      <c r="T551" s="86"/>
      <c r="U551" s="86"/>
      <c r="V551" s="86"/>
      <c r="W551" s="86"/>
      <c r="X551" s="86"/>
      <c r="Y551" s="86"/>
      <c r="Z551" s="86"/>
    </row>
    <row r="552" spans="6:26" ht="12.75">
      <c r="F552" s="86"/>
      <c r="G552" s="86"/>
      <c r="H552" s="86"/>
      <c r="I552" s="86"/>
      <c r="J552" s="86"/>
      <c r="K552" s="86"/>
      <c r="L552" s="86"/>
      <c r="M552" s="86"/>
      <c r="N552" s="86"/>
      <c r="O552" s="86"/>
      <c r="P552" s="86"/>
      <c r="Q552" s="86"/>
      <c r="R552" s="86"/>
      <c r="S552" s="86"/>
      <c r="T552" s="86"/>
      <c r="U552" s="86"/>
      <c r="V552" s="86"/>
      <c r="W552" s="86"/>
      <c r="X552" s="86"/>
      <c r="Y552" s="86"/>
      <c r="Z552" s="86"/>
    </row>
    <row r="553" spans="6:26" ht="12.75">
      <c r="F553" s="86"/>
      <c r="G553" s="86"/>
      <c r="H553" s="86"/>
      <c r="I553" s="86"/>
      <c r="J553" s="86"/>
      <c r="K553" s="86"/>
      <c r="L553" s="86"/>
      <c r="M553" s="86"/>
      <c r="N553" s="86"/>
      <c r="O553" s="86"/>
      <c r="P553" s="86"/>
      <c r="Q553" s="86"/>
      <c r="R553" s="86"/>
      <c r="S553" s="86"/>
      <c r="T553" s="86"/>
      <c r="U553" s="86"/>
      <c r="V553" s="86"/>
      <c r="W553" s="86"/>
      <c r="X553" s="86"/>
      <c r="Y553" s="86"/>
      <c r="Z553" s="86"/>
    </row>
    <row r="554" spans="6:26" ht="12.75">
      <c r="F554" s="86"/>
      <c r="G554" s="86"/>
      <c r="H554" s="86"/>
      <c r="I554" s="86"/>
      <c r="J554" s="86"/>
      <c r="K554" s="86"/>
      <c r="L554" s="86"/>
      <c r="M554" s="86"/>
      <c r="N554" s="86"/>
      <c r="O554" s="86"/>
      <c r="P554" s="86"/>
      <c r="Q554" s="86"/>
      <c r="R554" s="86"/>
      <c r="S554" s="86"/>
      <c r="T554" s="86"/>
      <c r="U554" s="86"/>
      <c r="V554" s="86"/>
      <c r="W554" s="86"/>
      <c r="X554" s="86"/>
      <c r="Y554" s="86"/>
      <c r="Z554" s="86"/>
    </row>
    <row r="555" spans="6:26" ht="12.75">
      <c r="F555" s="86"/>
      <c r="G555" s="86"/>
      <c r="H555" s="86"/>
      <c r="I555" s="86"/>
      <c r="J555" s="86"/>
      <c r="K555" s="86"/>
      <c r="L555" s="86"/>
      <c r="M555" s="86"/>
      <c r="N555" s="86"/>
      <c r="O555" s="86"/>
      <c r="P555" s="86"/>
      <c r="Q555" s="86"/>
      <c r="R555" s="86"/>
      <c r="S555" s="86"/>
      <c r="T555" s="86"/>
      <c r="U555" s="86"/>
      <c r="V555" s="86"/>
      <c r="W555" s="86"/>
      <c r="X555" s="86"/>
      <c r="Y555" s="86"/>
      <c r="Z555" s="86"/>
    </row>
    <row r="556" spans="6:26" ht="12.75">
      <c r="F556" s="86"/>
      <c r="G556" s="86"/>
      <c r="H556" s="86"/>
      <c r="I556" s="86"/>
      <c r="J556" s="86"/>
      <c r="K556" s="86"/>
      <c r="L556" s="86"/>
      <c r="M556" s="86"/>
      <c r="N556" s="86"/>
      <c r="O556" s="86"/>
      <c r="P556" s="86"/>
      <c r="Q556" s="86"/>
      <c r="R556" s="86"/>
      <c r="S556" s="86"/>
      <c r="T556" s="86"/>
      <c r="U556" s="86"/>
      <c r="V556" s="86"/>
      <c r="W556" s="86"/>
      <c r="X556" s="86"/>
      <c r="Y556" s="86"/>
      <c r="Z556" s="86"/>
    </row>
    <row r="557" spans="6:26" ht="12.75">
      <c r="F557" s="86"/>
      <c r="G557" s="86"/>
      <c r="H557" s="86"/>
      <c r="I557" s="86"/>
      <c r="J557" s="86"/>
      <c r="K557" s="86"/>
      <c r="L557" s="86"/>
      <c r="M557" s="86"/>
      <c r="N557" s="86"/>
      <c r="O557" s="86"/>
      <c r="P557" s="86"/>
      <c r="Q557" s="86"/>
      <c r="R557" s="86"/>
      <c r="S557" s="86"/>
      <c r="T557" s="86"/>
      <c r="U557" s="86"/>
      <c r="V557" s="86"/>
      <c r="W557" s="86"/>
      <c r="X557" s="86"/>
      <c r="Y557" s="86"/>
      <c r="Z557" s="86"/>
    </row>
    <row r="558" spans="6:26" ht="12.75">
      <c r="F558" s="86"/>
      <c r="G558" s="86"/>
      <c r="H558" s="86"/>
      <c r="I558" s="86"/>
      <c r="J558" s="86"/>
      <c r="K558" s="86"/>
      <c r="L558" s="86"/>
      <c r="M558" s="86"/>
      <c r="N558" s="86"/>
      <c r="O558" s="86"/>
      <c r="P558" s="86"/>
      <c r="Q558" s="86"/>
      <c r="R558" s="86"/>
      <c r="S558" s="86"/>
      <c r="T558" s="86"/>
      <c r="U558" s="86"/>
      <c r="V558" s="86"/>
      <c r="W558" s="86"/>
      <c r="X558" s="86"/>
      <c r="Y558" s="86"/>
      <c r="Z558" s="86"/>
    </row>
    <row r="559" spans="6:26" ht="12.75">
      <c r="F559" s="86"/>
      <c r="G559" s="86"/>
      <c r="H559" s="86"/>
      <c r="I559" s="86"/>
      <c r="J559" s="86"/>
      <c r="K559" s="86"/>
      <c r="L559" s="86"/>
      <c r="M559" s="86"/>
      <c r="N559" s="86"/>
      <c r="O559" s="86"/>
      <c r="P559" s="86"/>
      <c r="Q559" s="86"/>
      <c r="R559" s="86"/>
      <c r="S559" s="86"/>
      <c r="T559" s="86"/>
      <c r="U559" s="86"/>
      <c r="V559" s="86"/>
      <c r="W559" s="86"/>
      <c r="X559" s="86"/>
      <c r="Y559" s="86"/>
      <c r="Z559" s="86"/>
    </row>
    <row r="560" spans="6:26" ht="12.75">
      <c r="F560" s="86"/>
      <c r="G560" s="86"/>
      <c r="H560" s="86"/>
      <c r="I560" s="86"/>
      <c r="J560" s="86"/>
      <c r="K560" s="86"/>
      <c r="L560" s="86"/>
      <c r="M560" s="86"/>
      <c r="N560" s="86"/>
      <c r="O560" s="86"/>
      <c r="P560" s="86"/>
      <c r="Q560" s="86"/>
      <c r="R560" s="86"/>
      <c r="S560" s="86"/>
      <c r="T560" s="86"/>
      <c r="U560" s="86"/>
      <c r="V560" s="86"/>
      <c r="W560" s="86"/>
      <c r="X560" s="86"/>
      <c r="Y560" s="86"/>
      <c r="Z560" s="86"/>
    </row>
    <row r="561" spans="6:26" ht="12.75">
      <c r="F561" s="86"/>
      <c r="G561" s="86"/>
      <c r="H561" s="86"/>
      <c r="I561" s="86"/>
      <c r="J561" s="86"/>
      <c r="K561" s="86"/>
      <c r="L561" s="86"/>
      <c r="M561" s="86"/>
      <c r="N561" s="86"/>
      <c r="O561" s="86"/>
      <c r="P561" s="86"/>
      <c r="Q561" s="86"/>
      <c r="R561" s="86"/>
      <c r="S561" s="86"/>
      <c r="T561" s="86"/>
      <c r="U561" s="86"/>
      <c r="V561" s="86"/>
      <c r="W561" s="86"/>
      <c r="X561" s="86"/>
      <c r="Y561" s="86"/>
      <c r="Z561" s="86"/>
    </row>
    <row r="562" spans="6:26" ht="12.75">
      <c r="F562" s="86"/>
      <c r="G562" s="86"/>
      <c r="H562" s="86"/>
      <c r="I562" s="86"/>
      <c r="J562" s="86"/>
      <c r="K562" s="86"/>
      <c r="L562" s="86"/>
      <c r="M562" s="86"/>
      <c r="N562" s="86"/>
      <c r="O562" s="86"/>
      <c r="P562" s="86"/>
      <c r="Q562" s="86"/>
      <c r="R562" s="86"/>
      <c r="S562" s="86"/>
      <c r="T562" s="86"/>
      <c r="U562" s="86"/>
      <c r="V562" s="86"/>
      <c r="W562" s="86"/>
      <c r="X562" s="86"/>
      <c r="Y562" s="86"/>
      <c r="Z562" s="86"/>
    </row>
    <row r="563" spans="6:26" ht="12.75">
      <c r="F563" s="86"/>
      <c r="G563" s="86"/>
      <c r="H563" s="86"/>
      <c r="I563" s="86"/>
      <c r="J563" s="86"/>
      <c r="K563" s="86"/>
      <c r="L563" s="86"/>
      <c r="M563" s="86"/>
      <c r="N563" s="86"/>
      <c r="O563" s="86"/>
      <c r="P563" s="86"/>
      <c r="Q563" s="86"/>
      <c r="R563" s="86"/>
      <c r="S563" s="86"/>
      <c r="T563" s="86"/>
      <c r="U563" s="86"/>
      <c r="V563" s="86"/>
      <c r="W563" s="86"/>
      <c r="X563" s="86"/>
      <c r="Y563" s="86"/>
      <c r="Z563" s="86"/>
    </row>
    <row r="564" spans="6:26" ht="12.75">
      <c r="F564" s="86"/>
      <c r="G564" s="86"/>
      <c r="H564" s="86"/>
      <c r="I564" s="86"/>
      <c r="J564" s="86"/>
      <c r="K564" s="86"/>
      <c r="L564" s="86"/>
      <c r="M564" s="86"/>
      <c r="N564" s="86"/>
      <c r="O564" s="86"/>
      <c r="P564" s="86"/>
      <c r="Q564" s="86"/>
      <c r="R564" s="86"/>
      <c r="S564" s="86"/>
      <c r="T564" s="86"/>
      <c r="U564" s="86"/>
      <c r="V564" s="86"/>
      <c r="W564" s="86"/>
      <c r="X564" s="86"/>
      <c r="Y564" s="86"/>
      <c r="Z564" s="86"/>
    </row>
    <row r="565" spans="6:26" ht="12.75">
      <c r="F565" s="86"/>
      <c r="G565" s="86"/>
      <c r="H565" s="86"/>
      <c r="I565" s="86"/>
      <c r="J565" s="86"/>
      <c r="K565" s="86"/>
      <c r="L565" s="86"/>
      <c r="M565" s="86"/>
      <c r="N565" s="86"/>
      <c r="O565" s="86"/>
      <c r="P565" s="86"/>
      <c r="Q565" s="86"/>
      <c r="R565" s="86"/>
      <c r="S565" s="86"/>
      <c r="T565" s="86"/>
      <c r="U565" s="86"/>
      <c r="V565" s="86"/>
      <c r="W565" s="86"/>
      <c r="X565" s="86"/>
      <c r="Y565" s="86"/>
      <c r="Z565" s="86"/>
    </row>
    <row r="566" spans="6:26" ht="12.75">
      <c r="F566" s="86"/>
      <c r="G566" s="86"/>
      <c r="H566" s="86"/>
      <c r="I566" s="86"/>
      <c r="J566" s="86"/>
      <c r="K566" s="86"/>
      <c r="L566" s="86"/>
      <c r="M566" s="86"/>
      <c r="N566" s="86"/>
      <c r="O566" s="86"/>
      <c r="P566" s="86"/>
      <c r="Q566" s="86"/>
      <c r="R566" s="86"/>
      <c r="S566" s="86"/>
      <c r="T566" s="86"/>
      <c r="U566" s="86"/>
      <c r="V566" s="86"/>
      <c r="W566" s="86"/>
      <c r="X566" s="86"/>
      <c r="Y566" s="86"/>
      <c r="Z566" s="86"/>
    </row>
    <row r="567" spans="6:26" ht="12.75">
      <c r="F567" s="86"/>
      <c r="G567" s="86"/>
      <c r="H567" s="86"/>
      <c r="I567" s="86"/>
      <c r="J567" s="86"/>
      <c r="K567" s="86"/>
      <c r="L567" s="86"/>
      <c r="M567" s="86"/>
      <c r="N567" s="86"/>
      <c r="O567" s="86"/>
      <c r="P567" s="86"/>
      <c r="Q567" s="86"/>
      <c r="R567" s="86"/>
      <c r="S567" s="86"/>
      <c r="T567" s="86"/>
      <c r="U567" s="86"/>
      <c r="V567" s="86"/>
      <c r="W567" s="86"/>
      <c r="X567" s="86"/>
      <c r="Y567" s="86"/>
      <c r="Z567" s="86"/>
    </row>
    <row r="568" spans="6:26" ht="12.75">
      <c r="F568" s="86"/>
      <c r="G568" s="86"/>
      <c r="H568" s="86"/>
      <c r="I568" s="86"/>
      <c r="J568" s="86"/>
      <c r="K568" s="86"/>
      <c r="L568" s="86"/>
      <c r="M568" s="86"/>
      <c r="N568" s="86"/>
      <c r="O568" s="86"/>
      <c r="P568" s="86"/>
      <c r="Q568" s="86"/>
      <c r="R568" s="86"/>
      <c r="S568" s="86"/>
      <c r="T568" s="86"/>
      <c r="U568" s="86"/>
      <c r="V568" s="86"/>
      <c r="W568" s="86"/>
      <c r="X568" s="86"/>
      <c r="Y568" s="86"/>
      <c r="Z568" s="86"/>
    </row>
    <row r="569" spans="6:26" ht="12.75">
      <c r="F569" s="86"/>
      <c r="G569" s="86"/>
      <c r="H569" s="86"/>
      <c r="I569" s="86"/>
      <c r="J569" s="86"/>
      <c r="K569" s="86"/>
      <c r="L569" s="86"/>
      <c r="M569" s="86"/>
      <c r="N569" s="86"/>
      <c r="O569" s="86"/>
      <c r="P569" s="86"/>
      <c r="Q569" s="86"/>
      <c r="R569" s="86"/>
      <c r="S569" s="86"/>
      <c r="T569" s="86"/>
      <c r="U569" s="86"/>
      <c r="V569" s="86"/>
      <c r="W569" s="86"/>
      <c r="X569" s="86"/>
      <c r="Y569" s="86"/>
      <c r="Z569" s="86"/>
    </row>
    <row r="570" spans="6:26" ht="12.75">
      <c r="F570" s="86"/>
      <c r="G570" s="86"/>
      <c r="H570" s="86"/>
      <c r="I570" s="86"/>
      <c r="J570" s="86"/>
      <c r="K570" s="86"/>
      <c r="L570" s="86"/>
      <c r="M570" s="86"/>
      <c r="N570" s="86"/>
      <c r="O570" s="86"/>
      <c r="P570" s="86"/>
      <c r="Q570" s="86"/>
      <c r="R570" s="86"/>
      <c r="S570" s="86"/>
      <c r="T570" s="86"/>
      <c r="U570" s="86"/>
      <c r="V570" s="86"/>
      <c r="W570" s="86"/>
      <c r="X570" s="86"/>
      <c r="Y570" s="86"/>
      <c r="Z570" s="86"/>
    </row>
    <row r="571" spans="6:26" ht="12.75">
      <c r="F571" s="86"/>
      <c r="G571" s="86"/>
      <c r="H571" s="86"/>
      <c r="I571" s="86"/>
      <c r="J571" s="86"/>
      <c r="K571" s="86"/>
      <c r="L571" s="86"/>
      <c r="M571" s="86"/>
      <c r="N571" s="86"/>
      <c r="O571" s="86"/>
      <c r="P571" s="86"/>
      <c r="Q571" s="86"/>
      <c r="R571" s="86"/>
      <c r="S571" s="86"/>
      <c r="T571" s="86"/>
      <c r="U571" s="86"/>
      <c r="V571" s="86"/>
      <c r="W571" s="86"/>
      <c r="X571" s="86"/>
      <c r="Y571" s="86"/>
      <c r="Z571" s="86"/>
    </row>
    <row r="572" spans="6:26" ht="12.75">
      <c r="F572" s="86"/>
      <c r="G572" s="86"/>
      <c r="H572" s="86"/>
      <c r="I572" s="86"/>
      <c r="J572" s="86"/>
      <c r="K572" s="86"/>
      <c r="L572" s="86"/>
      <c r="M572" s="86"/>
      <c r="N572" s="86"/>
      <c r="O572" s="86"/>
      <c r="P572" s="86"/>
      <c r="Q572" s="86"/>
      <c r="R572" s="86"/>
      <c r="S572" s="86"/>
      <c r="T572" s="86"/>
      <c r="U572" s="86"/>
      <c r="V572" s="86"/>
      <c r="W572" s="86"/>
      <c r="X572" s="86"/>
      <c r="Y572" s="86"/>
      <c r="Z572" s="86"/>
    </row>
    <row r="573" spans="6:26" ht="12.75">
      <c r="F573" s="86"/>
      <c r="G573" s="86"/>
      <c r="H573" s="86"/>
      <c r="I573" s="86"/>
      <c r="J573" s="86"/>
      <c r="K573" s="86"/>
      <c r="L573" s="86"/>
      <c r="M573" s="86"/>
      <c r="N573" s="86"/>
      <c r="O573" s="86"/>
      <c r="P573" s="86"/>
      <c r="Q573" s="86"/>
      <c r="R573" s="86"/>
      <c r="S573" s="86"/>
      <c r="T573" s="86"/>
      <c r="U573" s="86"/>
      <c r="V573" s="86"/>
      <c r="W573" s="86"/>
      <c r="X573" s="86"/>
      <c r="Y573" s="86"/>
      <c r="Z573" s="86"/>
    </row>
    <row r="574" spans="6:26" ht="12.75">
      <c r="F574" s="86"/>
      <c r="G574" s="86"/>
      <c r="H574" s="86"/>
      <c r="I574" s="86"/>
      <c r="J574" s="86"/>
      <c r="K574" s="86"/>
      <c r="L574" s="86"/>
      <c r="M574" s="86"/>
      <c r="N574" s="86"/>
      <c r="O574" s="86"/>
      <c r="P574" s="86"/>
      <c r="Q574" s="86"/>
      <c r="R574" s="86"/>
      <c r="S574" s="86"/>
      <c r="T574" s="86"/>
      <c r="U574" s="86"/>
      <c r="V574" s="86"/>
      <c r="W574" s="86"/>
      <c r="X574" s="86"/>
      <c r="Y574" s="86"/>
      <c r="Z574" s="86"/>
    </row>
    <row r="575" spans="6:26" ht="12.75">
      <c r="F575" s="86"/>
      <c r="G575" s="86"/>
      <c r="H575" s="86"/>
      <c r="I575" s="86"/>
      <c r="J575" s="86"/>
      <c r="K575" s="86"/>
      <c r="L575" s="86"/>
      <c r="M575" s="86"/>
      <c r="N575" s="86"/>
      <c r="O575" s="86"/>
      <c r="P575" s="86"/>
      <c r="Q575" s="86"/>
      <c r="R575" s="86"/>
      <c r="S575" s="86"/>
      <c r="T575" s="86"/>
      <c r="U575" s="86"/>
      <c r="V575" s="86"/>
      <c r="W575" s="86"/>
      <c r="X575" s="86"/>
      <c r="Y575" s="86"/>
      <c r="Z575" s="86"/>
    </row>
    <row r="576" spans="6:26" ht="12.75">
      <c r="F576" s="86"/>
      <c r="G576" s="86"/>
      <c r="H576" s="86"/>
      <c r="I576" s="86"/>
      <c r="J576" s="86"/>
      <c r="K576" s="86"/>
      <c r="L576" s="86"/>
      <c r="M576" s="86"/>
      <c r="N576" s="86"/>
      <c r="O576" s="86"/>
      <c r="P576" s="86"/>
      <c r="Q576" s="86"/>
      <c r="R576" s="86"/>
      <c r="S576" s="86"/>
      <c r="T576" s="86"/>
      <c r="U576" s="86"/>
      <c r="V576" s="86"/>
      <c r="W576" s="86"/>
      <c r="X576" s="86"/>
      <c r="Y576" s="86"/>
      <c r="Z576" s="86"/>
    </row>
    <row r="577" spans="6:26" ht="12.75">
      <c r="F577" s="86"/>
      <c r="G577" s="86"/>
      <c r="H577" s="86"/>
      <c r="I577" s="86"/>
      <c r="J577" s="86"/>
      <c r="K577" s="86"/>
      <c r="L577" s="86"/>
      <c r="M577" s="86"/>
      <c r="N577" s="86"/>
      <c r="O577" s="86"/>
      <c r="P577" s="86"/>
      <c r="Q577" s="86"/>
      <c r="R577" s="86"/>
      <c r="S577" s="86"/>
      <c r="T577" s="86"/>
      <c r="U577" s="86"/>
      <c r="V577" s="86"/>
      <c r="W577" s="86"/>
      <c r="X577" s="86"/>
      <c r="Y577" s="86"/>
      <c r="Z577" s="86"/>
    </row>
    <row r="578" spans="6:26" ht="12.75">
      <c r="F578" s="86"/>
      <c r="G578" s="86"/>
      <c r="H578" s="86"/>
      <c r="I578" s="86"/>
      <c r="J578" s="86"/>
      <c r="K578" s="86"/>
      <c r="L578" s="86"/>
      <c r="M578" s="86"/>
      <c r="N578" s="86"/>
      <c r="O578" s="86"/>
      <c r="P578" s="86"/>
      <c r="Q578" s="86"/>
      <c r="R578" s="86"/>
      <c r="S578" s="86"/>
      <c r="T578" s="86"/>
      <c r="U578" s="86"/>
      <c r="V578" s="86"/>
      <c r="W578" s="86"/>
      <c r="X578" s="86"/>
      <c r="Y578" s="86"/>
      <c r="Z578" s="86"/>
    </row>
    <row r="579" spans="6:26" ht="12.75">
      <c r="F579" s="86"/>
      <c r="G579" s="86"/>
      <c r="H579" s="86"/>
      <c r="I579" s="86"/>
      <c r="J579" s="86"/>
      <c r="K579" s="86"/>
      <c r="L579" s="86"/>
      <c r="M579" s="86"/>
      <c r="N579" s="86"/>
      <c r="O579" s="86"/>
      <c r="P579" s="86"/>
      <c r="Q579" s="86"/>
      <c r="R579" s="86"/>
      <c r="S579" s="86"/>
      <c r="T579" s="86"/>
      <c r="U579" s="86"/>
      <c r="V579" s="86"/>
      <c r="W579" s="86"/>
      <c r="X579" s="86"/>
      <c r="Y579" s="86"/>
      <c r="Z579" s="86"/>
    </row>
    <row r="580" spans="6:26" ht="12.75">
      <c r="F580" s="86"/>
      <c r="G580" s="86"/>
      <c r="H580" s="86"/>
      <c r="I580" s="86"/>
      <c r="J580" s="86"/>
      <c r="K580" s="86"/>
      <c r="L580" s="86"/>
      <c r="M580" s="86"/>
      <c r="N580" s="86"/>
      <c r="O580" s="86"/>
      <c r="P580" s="86"/>
      <c r="Q580" s="86"/>
      <c r="R580" s="86"/>
      <c r="S580" s="86"/>
      <c r="T580" s="86"/>
      <c r="U580" s="86"/>
      <c r="V580" s="86"/>
      <c r="W580" s="86"/>
      <c r="X580" s="86"/>
      <c r="Y580" s="86"/>
      <c r="Z580" s="86"/>
    </row>
    <row r="581" spans="6:26" ht="12.75">
      <c r="F581" s="86"/>
      <c r="G581" s="86"/>
      <c r="H581" s="86"/>
      <c r="I581" s="86"/>
      <c r="J581" s="86"/>
      <c r="K581" s="86"/>
      <c r="L581" s="86"/>
      <c r="M581" s="86"/>
      <c r="N581" s="86"/>
      <c r="O581" s="86"/>
      <c r="P581" s="86"/>
      <c r="Q581" s="86"/>
      <c r="R581" s="86"/>
      <c r="S581" s="86"/>
      <c r="T581" s="86"/>
      <c r="U581" s="86"/>
      <c r="V581" s="86"/>
      <c r="W581" s="86"/>
      <c r="X581" s="86"/>
      <c r="Y581" s="86"/>
      <c r="Z581" s="86"/>
    </row>
    <row r="582" spans="6:26" ht="12.75">
      <c r="F582" s="86"/>
      <c r="G582" s="86"/>
      <c r="H582" s="86"/>
      <c r="I582" s="86"/>
      <c r="J582" s="86"/>
      <c r="K582" s="86"/>
      <c r="L582" s="86"/>
      <c r="M582" s="86"/>
      <c r="N582" s="86"/>
      <c r="O582" s="86"/>
      <c r="P582" s="86"/>
      <c r="Q582" s="86"/>
      <c r="R582" s="86"/>
      <c r="S582" s="86"/>
      <c r="T582" s="86"/>
      <c r="U582" s="86"/>
      <c r="V582" s="86"/>
      <c r="W582" s="86"/>
      <c r="X582" s="86"/>
      <c r="Y582" s="86"/>
      <c r="Z582" s="86"/>
    </row>
    <row r="583" spans="6:26" ht="12.75">
      <c r="F583" s="86"/>
      <c r="G583" s="86"/>
      <c r="H583" s="86"/>
      <c r="I583" s="86"/>
      <c r="J583" s="86"/>
      <c r="K583" s="86"/>
      <c r="L583" s="86"/>
      <c r="M583" s="86"/>
      <c r="N583" s="86"/>
      <c r="O583" s="86"/>
      <c r="P583" s="86"/>
      <c r="Q583" s="86"/>
      <c r="R583" s="86"/>
      <c r="S583" s="86"/>
      <c r="T583" s="86"/>
      <c r="U583" s="86"/>
      <c r="V583" s="86"/>
      <c r="W583" s="86"/>
      <c r="X583" s="86"/>
      <c r="Y583" s="86"/>
      <c r="Z583" s="86"/>
    </row>
    <row r="584" spans="6:26" ht="12.75">
      <c r="F584" s="86"/>
      <c r="G584" s="86"/>
      <c r="H584" s="86"/>
      <c r="I584" s="86"/>
      <c r="J584" s="86"/>
      <c r="K584" s="86"/>
      <c r="L584" s="86"/>
      <c r="M584" s="86"/>
      <c r="N584" s="86"/>
      <c r="O584" s="86"/>
      <c r="P584" s="86"/>
      <c r="Q584" s="86"/>
      <c r="R584" s="86"/>
      <c r="S584" s="86"/>
      <c r="T584" s="86"/>
      <c r="U584" s="86"/>
      <c r="V584" s="86"/>
      <c r="W584" s="86"/>
      <c r="X584" s="86"/>
      <c r="Y584" s="86"/>
      <c r="Z584" s="86"/>
    </row>
    <row r="585" spans="6:26" ht="12.75">
      <c r="F585" s="86"/>
      <c r="G585" s="86"/>
      <c r="H585" s="86"/>
      <c r="I585" s="86"/>
      <c r="J585" s="86"/>
      <c r="K585" s="86"/>
      <c r="L585" s="86"/>
      <c r="M585" s="86"/>
      <c r="N585" s="86"/>
      <c r="O585" s="86"/>
      <c r="P585" s="86"/>
      <c r="Q585" s="86"/>
      <c r="R585" s="86"/>
      <c r="S585" s="86"/>
      <c r="T585" s="86"/>
      <c r="U585" s="86"/>
      <c r="V585" s="86"/>
      <c r="W585" s="86"/>
      <c r="X585" s="86"/>
      <c r="Y585" s="86"/>
      <c r="Z585" s="86"/>
    </row>
    <row r="586" spans="6:26" ht="12.75">
      <c r="F586" s="86"/>
      <c r="G586" s="86"/>
      <c r="H586" s="86"/>
      <c r="I586" s="86"/>
      <c r="J586" s="86"/>
      <c r="K586" s="86"/>
      <c r="L586" s="86"/>
      <c r="M586" s="86"/>
      <c r="N586" s="86"/>
      <c r="O586" s="86"/>
      <c r="P586" s="86"/>
      <c r="Q586" s="86"/>
      <c r="R586" s="86"/>
      <c r="S586" s="86"/>
      <c r="T586" s="86"/>
      <c r="U586" s="86"/>
      <c r="V586" s="86"/>
      <c r="W586" s="86"/>
      <c r="X586" s="86"/>
      <c r="Y586" s="86"/>
      <c r="Z586" s="86"/>
    </row>
    <row r="587" spans="6:26" ht="12.75">
      <c r="F587" s="86"/>
      <c r="G587" s="86"/>
      <c r="H587" s="86"/>
      <c r="I587" s="86"/>
      <c r="J587" s="86"/>
      <c r="K587" s="86"/>
      <c r="L587" s="86"/>
      <c r="M587" s="86"/>
      <c r="N587" s="86"/>
      <c r="O587" s="86"/>
      <c r="P587" s="86"/>
      <c r="Q587" s="86"/>
      <c r="R587" s="86"/>
      <c r="S587" s="86"/>
      <c r="T587" s="86"/>
      <c r="U587" s="86"/>
      <c r="V587" s="86"/>
      <c r="W587" s="86"/>
      <c r="X587" s="86"/>
      <c r="Y587" s="86"/>
      <c r="Z587" s="86"/>
    </row>
    <row r="588" spans="6:26" ht="12.75">
      <c r="F588" s="86"/>
      <c r="G588" s="86"/>
      <c r="H588" s="86"/>
      <c r="I588" s="86"/>
      <c r="J588" s="86"/>
      <c r="K588" s="86"/>
      <c r="L588" s="86"/>
      <c r="M588" s="86"/>
      <c r="N588" s="86"/>
      <c r="O588" s="86"/>
      <c r="P588" s="86"/>
      <c r="Q588" s="86"/>
      <c r="R588" s="86"/>
      <c r="S588" s="86"/>
      <c r="T588" s="86"/>
      <c r="U588" s="86"/>
      <c r="V588" s="86"/>
      <c r="W588" s="86"/>
      <c r="X588" s="86"/>
      <c r="Y588" s="86"/>
      <c r="Z588" s="86"/>
    </row>
    <row r="589" spans="6:26" ht="12.75">
      <c r="F589" s="86"/>
      <c r="G589" s="86"/>
      <c r="H589" s="86"/>
      <c r="I589" s="86"/>
      <c r="J589" s="86"/>
      <c r="K589" s="86"/>
      <c r="L589" s="86"/>
      <c r="M589" s="86"/>
      <c r="N589" s="86"/>
      <c r="O589" s="86"/>
      <c r="P589" s="86"/>
      <c r="Q589" s="86"/>
      <c r="R589" s="86"/>
      <c r="S589" s="86"/>
      <c r="T589" s="86"/>
      <c r="U589" s="86"/>
      <c r="V589" s="86"/>
      <c r="W589" s="86"/>
      <c r="X589" s="86"/>
      <c r="Y589" s="86"/>
      <c r="Z589" s="86"/>
    </row>
    <row r="590" spans="6:26" ht="12.75">
      <c r="F590" s="86"/>
      <c r="G590" s="86"/>
      <c r="H590" s="86"/>
      <c r="I590" s="86"/>
      <c r="J590" s="86"/>
      <c r="K590" s="86"/>
      <c r="L590" s="86"/>
      <c r="M590" s="86"/>
      <c r="N590" s="86"/>
      <c r="O590" s="86"/>
      <c r="P590" s="86"/>
      <c r="Q590" s="86"/>
      <c r="R590" s="86"/>
      <c r="S590" s="86"/>
      <c r="T590" s="86"/>
      <c r="U590" s="86"/>
      <c r="V590" s="86"/>
      <c r="W590" s="86"/>
      <c r="X590" s="86"/>
      <c r="Y590" s="86"/>
      <c r="Z590" s="86"/>
    </row>
    <row r="591" spans="6:26" ht="12.75">
      <c r="F591" s="86"/>
      <c r="G591" s="86"/>
      <c r="H591" s="86"/>
      <c r="I591" s="86"/>
      <c r="J591" s="86"/>
      <c r="K591" s="86"/>
      <c r="L591" s="86"/>
      <c r="M591" s="86"/>
      <c r="N591" s="86"/>
      <c r="O591" s="86"/>
      <c r="P591" s="86"/>
      <c r="Q591" s="86"/>
      <c r="R591" s="86"/>
      <c r="S591" s="86"/>
      <c r="T591" s="86"/>
      <c r="U591" s="86"/>
      <c r="V591" s="86"/>
      <c r="W591" s="86"/>
      <c r="X591" s="86"/>
      <c r="Y591" s="86"/>
      <c r="Z591" s="86"/>
    </row>
    <row r="592" spans="6:26" ht="12.75">
      <c r="F592" s="86"/>
      <c r="G592" s="86"/>
      <c r="H592" s="86"/>
      <c r="I592" s="86"/>
      <c r="J592" s="86"/>
      <c r="K592" s="86"/>
      <c r="L592" s="86"/>
      <c r="M592" s="86"/>
      <c r="N592" s="86"/>
      <c r="O592" s="86"/>
      <c r="P592" s="86"/>
      <c r="Q592" s="86"/>
      <c r="R592" s="86"/>
      <c r="S592" s="86"/>
      <c r="T592" s="86"/>
      <c r="U592" s="86"/>
      <c r="V592" s="86"/>
      <c r="W592" s="86"/>
      <c r="X592" s="86"/>
      <c r="Y592" s="86"/>
      <c r="Z592" s="86"/>
    </row>
    <row r="593" spans="6:26" ht="12.75">
      <c r="F593" s="86"/>
      <c r="G593" s="86"/>
      <c r="H593" s="86"/>
      <c r="I593" s="86"/>
      <c r="J593" s="86"/>
      <c r="K593" s="86"/>
      <c r="L593" s="86"/>
      <c r="M593" s="86"/>
      <c r="N593" s="86"/>
      <c r="O593" s="86"/>
      <c r="P593" s="86"/>
      <c r="Q593" s="86"/>
      <c r="R593" s="86"/>
      <c r="S593" s="86"/>
      <c r="T593" s="86"/>
      <c r="U593" s="86"/>
      <c r="V593" s="86"/>
      <c r="W593" s="86"/>
      <c r="X593" s="86"/>
      <c r="Y593" s="86"/>
      <c r="Z593" s="86"/>
    </row>
    <row r="594" spans="6:26" ht="12.75">
      <c r="F594" s="86"/>
      <c r="G594" s="86"/>
      <c r="H594" s="86"/>
      <c r="I594" s="86"/>
      <c r="J594" s="86"/>
      <c r="K594" s="86"/>
      <c r="L594" s="86"/>
      <c r="M594" s="86"/>
      <c r="N594" s="86"/>
      <c r="O594" s="86"/>
      <c r="P594" s="86"/>
      <c r="Q594" s="86"/>
      <c r="R594" s="86"/>
      <c r="S594" s="86"/>
      <c r="T594" s="86"/>
      <c r="U594" s="86"/>
      <c r="V594" s="86"/>
      <c r="W594" s="86"/>
      <c r="X594" s="86"/>
      <c r="Y594" s="86"/>
      <c r="Z594" s="86"/>
    </row>
    <row r="595" spans="6:26" ht="12.75">
      <c r="F595" s="86"/>
      <c r="G595" s="86"/>
      <c r="H595" s="86"/>
      <c r="I595" s="86"/>
      <c r="J595" s="86"/>
      <c r="K595" s="86"/>
      <c r="L595" s="86"/>
      <c r="M595" s="86"/>
      <c r="N595" s="86"/>
      <c r="O595" s="86"/>
      <c r="P595" s="86"/>
      <c r="Q595" s="86"/>
      <c r="R595" s="86"/>
      <c r="S595" s="86"/>
      <c r="T595" s="86"/>
      <c r="U595" s="86"/>
      <c r="V595" s="86"/>
      <c r="W595" s="86"/>
      <c r="X595" s="86"/>
      <c r="Y595" s="86"/>
      <c r="Z595" s="86"/>
    </row>
    <row r="596" spans="6:26" ht="12.75">
      <c r="F596" s="86"/>
      <c r="G596" s="86"/>
      <c r="H596" s="86"/>
      <c r="I596" s="86"/>
      <c r="J596" s="86"/>
      <c r="K596" s="86"/>
      <c r="L596" s="86"/>
      <c r="M596" s="86"/>
      <c r="N596" s="86"/>
      <c r="O596" s="86"/>
      <c r="P596" s="86"/>
      <c r="Q596" s="86"/>
      <c r="R596" s="86"/>
      <c r="S596" s="86"/>
      <c r="T596" s="86"/>
      <c r="U596" s="86"/>
      <c r="V596" s="86"/>
      <c r="W596" s="86"/>
      <c r="X596" s="86"/>
      <c r="Y596" s="86"/>
      <c r="Z596" s="86"/>
    </row>
    <row r="597" spans="6:26" ht="12.75">
      <c r="F597" s="86"/>
      <c r="G597" s="86"/>
      <c r="H597" s="86"/>
      <c r="I597" s="86"/>
      <c r="J597" s="86"/>
      <c r="K597" s="86"/>
      <c r="L597" s="86"/>
      <c r="M597" s="86"/>
      <c r="N597" s="86"/>
      <c r="O597" s="86"/>
      <c r="P597" s="86"/>
      <c r="Q597" s="86"/>
      <c r="R597" s="86"/>
      <c r="S597" s="86"/>
      <c r="T597" s="86"/>
      <c r="U597" s="86"/>
      <c r="V597" s="86"/>
      <c r="W597" s="86"/>
      <c r="X597" s="86"/>
      <c r="Y597" s="86"/>
      <c r="Z597" s="86"/>
    </row>
    <row r="598" spans="6:26" ht="12.75">
      <c r="F598" s="86"/>
      <c r="G598" s="86"/>
      <c r="H598" s="86"/>
      <c r="I598" s="86"/>
      <c r="J598" s="86"/>
      <c r="K598" s="86"/>
      <c r="L598" s="86"/>
      <c r="M598" s="86"/>
      <c r="N598" s="86"/>
      <c r="O598" s="86"/>
      <c r="P598" s="86"/>
      <c r="Q598" s="86"/>
      <c r="R598" s="86"/>
      <c r="S598" s="86"/>
      <c r="T598" s="86"/>
      <c r="U598" s="86"/>
      <c r="V598" s="86"/>
      <c r="W598" s="86"/>
      <c r="X598" s="86"/>
      <c r="Y598" s="86"/>
      <c r="Z598" s="86"/>
    </row>
    <row r="599" spans="6:26" ht="12.75">
      <c r="F599" s="86"/>
      <c r="G599" s="86"/>
      <c r="H599" s="86"/>
      <c r="I599" s="86"/>
      <c r="J599" s="86"/>
      <c r="K599" s="86"/>
      <c r="L599" s="86"/>
      <c r="M599" s="86"/>
      <c r="N599" s="86"/>
      <c r="O599" s="86"/>
      <c r="P599" s="86"/>
      <c r="Q599" s="86"/>
      <c r="R599" s="86"/>
      <c r="S599" s="86"/>
      <c r="T599" s="86"/>
      <c r="U599" s="86"/>
      <c r="V599" s="86"/>
      <c r="W599" s="86"/>
      <c r="X599" s="86"/>
      <c r="Y599" s="86"/>
      <c r="Z599" s="86"/>
    </row>
    <row r="600" spans="6:26" ht="12.75">
      <c r="F600" s="86"/>
      <c r="G600" s="86"/>
      <c r="H600" s="86"/>
      <c r="I600" s="86"/>
      <c r="J600" s="86"/>
      <c r="K600" s="86"/>
      <c r="L600" s="86"/>
      <c r="M600" s="86"/>
      <c r="N600" s="86"/>
      <c r="O600" s="86"/>
      <c r="P600" s="86"/>
      <c r="Q600" s="86"/>
      <c r="R600" s="86"/>
      <c r="S600" s="86"/>
      <c r="T600" s="86"/>
      <c r="U600" s="86"/>
      <c r="V600" s="86"/>
      <c r="W600" s="86"/>
      <c r="X600" s="86"/>
      <c r="Y600" s="86"/>
      <c r="Z600" s="86"/>
    </row>
    <row r="601" spans="6:26" ht="12.75">
      <c r="F601" s="86"/>
      <c r="G601" s="86"/>
      <c r="H601" s="86"/>
      <c r="I601" s="86"/>
      <c r="J601" s="86"/>
      <c r="K601" s="86"/>
      <c r="L601" s="86"/>
      <c r="M601" s="86"/>
      <c r="N601" s="86"/>
      <c r="O601" s="86"/>
      <c r="P601" s="86"/>
      <c r="Q601" s="86"/>
      <c r="R601" s="86"/>
      <c r="S601" s="86"/>
      <c r="T601" s="86"/>
      <c r="U601" s="86"/>
      <c r="V601" s="86"/>
      <c r="W601" s="86"/>
      <c r="X601" s="86"/>
      <c r="Y601" s="86"/>
      <c r="Z601" s="86"/>
    </row>
    <row r="602" spans="6:26" ht="12.75">
      <c r="F602" s="86"/>
      <c r="G602" s="86"/>
      <c r="H602" s="86"/>
      <c r="I602" s="86"/>
      <c r="J602" s="86"/>
      <c r="K602" s="86"/>
      <c r="L602" s="86"/>
      <c r="M602" s="86"/>
      <c r="N602" s="86"/>
      <c r="O602" s="86"/>
      <c r="P602" s="86"/>
      <c r="Q602" s="86"/>
      <c r="R602" s="86"/>
      <c r="S602" s="86"/>
      <c r="T602" s="86"/>
      <c r="U602" s="86"/>
      <c r="V602" s="86"/>
      <c r="W602" s="86"/>
      <c r="X602" s="86"/>
      <c r="Y602" s="86"/>
      <c r="Z602" s="86"/>
    </row>
    <row r="603" spans="6:26" ht="12.75">
      <c r="F603" s="86"/>
      <c r="G603" s="86"/>
      <c r="H603" s="86"/>
      <c r="I603" s="86"/>
      <c r="J603" s="86"/>
      <c r="K603" s="86"/>
      <c r="L603" s="86"/>
      <c r="M603" s="86"/>
      <c r="N603" s="86"/>
      <c r="O603" s="86"/>
      <c r="P603" s="86"/>
      <c r="Q603" s="86"/>
      <c r="R603" s="86"/>
      <c r="S603" s="86"/>
      <c r="T603" s="86"/>
      <c r="U603" s="86"/>
      <c r="V603" s="86"/>
      <c r="W603" s="86"/>
      <c r="X603" s="86"/>
      <c r="Y603" s="86"/>
      <c r="Z603" s="86"/>
    </row>
    <row r="604" spans="6:26" ht="12.75">
      <c r="F604" s="86"/>
      <c r="G604" s="86"/>
      <c r="H604" s="86"/>
      <c r="I604" s="86"/>
      <c r="J604" s="86"/>
      <c r="K604" s="86"/>
      <c r="L604" s="86"/>
      <c r="M604" s="86"/>
      <c r="N604" s="86"/>
      <c r="O604" s="86"/>
      <c r="P604" s="86"/>
      <c r="Q604" s="86"/>
      <c r="R604" s="86"/>
      <c r="S604" s="86"/>
      <c r="T604" s="86"/>
      <c r="U604" s="86"/>
      <c r="V604" s="86"/>
      <c r="W604" s="86"/>
      <c r="X604" s="86"/>
      <c r="Y604" s="86"/>
      <c r="Z604" s="86"/>
    </row>
    <row r="605" spans="6:26" ht="12.75">
      <c r="F605" s="86"/>
      <c r="G605" s="86"/>
      <c r="H605" s="86"/>
      <c r="I605" s="86"/>
      <c r="J605" s="86"/>
      <c r="K605" s="86"/>
      <c r="L605" s="86"/>
      <c r="M605" s="86"/>
      <c r="N605" s="86"/>
      <c r="O605" s="86"/>
      <c r="P605" s="86"/>
      <c r="Q605" s="86"/>
      <c r="R605" s="86"/>
      <c r="S605" s="86"/>
      <c r="T605" s="86"/>
      <c r="U605" s="86"/>
      <c r="V605" s="86"/>
      <c r="W605" s="86"/>
      <c r="X605" s="86"/>
      <c r="Y605" s="86"/>
      <c r="Z605" s="86"/>
    </row>
    <row r="606" spans="6:26" ht="12.75">
      <c r="F606" s="86"/>
      <c r="G606" s="86"/>
      <c r="H606" s="86"/>
      <c r="I606" s="86"/>
      <c r="J606" s="86"/>
      <c r="K606" s="86"/>
      <c r="L606" s="86"/>
      <c r="M606" s="86"/>
      <c r="N606" s="86"/>
      <c r="O606" s="86"/>
      <c r="P606" s="86"/>
      <c r="Q606" s="86"/>
      <c r="R606" s="86"/>
      <c r="S606" s="86"/>
      <c r="T606" s="86"/>
      <c r="U606" s="86"/>
      <c r="V606" s="86"/>
      <c r="W606" s="86"/>
      <c r="X606" s="86"/>
      <c r="Y606" s="86"/>
      <c r="Z606" s="86"/>
    </row>
    <row r="607" spans="6:26" ht="12.75">
      <c r="F607" s="86"/>
      <c r="G607" s="86"/>
      <c r="H607" s="86"/>
      <c r="I607" s="86"/>
      <c r="J607" s="86"/>
      <c r="K607" s="86"/>
      <c r="L607" s="86"/>
      <c r="M607" s="86"/>
      <c r="N607" s="86"/>
      <c r="O607" s="86"/>
      <c r="P607" s="86"/>
      <c r="Q607" s="86"/>
      <c r="R607" s="86"/>
      <c r="S607" s="86"/>
      <c r="T607" s="86"/>
      <c r="U607" s="86"/>
      <c r="V607" s="86"/>
      <c r="W607" s="86"/>
      <c r="X607" s="86"/>
      <c r="Y607" s="86"/>
      <c r="Z607" s="86"/>
    </row>
    <row r="608" spans="6:26" ht="12.75">
      <c r="F608" s="86"/>
      <c r="G608" s="86"/>
      <c r="H608" s="86"/>
      <c r="I608" s="86"/>
      <c r="J608" s="86"/>
      <c r="K608" s="86"/>
      <c r="L608" s="86"/>
      <c r="M608" s="86"/>
      <c r="N608" s="86"/>
      <c r="O608" s="86"/>
      <c r="P608" s="86"/>
      <c r="Q608" s="86"/>
      <c r="R608" s="86"/>
      <c r="S608" s="86"/>
      <c r="T608" s="86"/>
      <c r="U608" s="86"/>
      <c r="V608" s="86"/>
      <c r="W608" s="86"/>
      <c r="X608" s="86"/>
      <c r="Y608" s="86"/>
      <c r="Z608" s="86"/>
    </row>
    <row r="609" spans="6:26" ht="12.75">
      <c r="F609" s="86"/>
      <c r="G609" s="86"/>
      <c r="H609" s="86"/>
      <c r="I609" s="86"/>
      <c r="J609" s="86"/>
      <c r="K609" s="86"/>
      <c r="L609" s="86"/>
      <c r="M609" s="86"/>
      <c r="N609" s="86"/>
      <c r="O609" s="86"/>
      <c r="P609" s="86"/>
      <c r="Q609" s="86"/>
      <c r="R609" s="86"/>
      <c r="S609" s="86"/>
      <c r="T609" s="86"/>
      <c r="U609" s="86"/>
      <c r="V609" s="86"/>
      <c r="W609" s="86"/>
      <c r="X609" s="86"/>
      <c r="Y609" s="86"/>
      <c r="Z609" s="86"/>
    </row>
    <row r="610" spans="6:26" ht="12.75">
      <c r="F610" s="86"/>
      <c r="G610" s="86"/>
      <c r="H610" s="86"/>
      <c r="I610" s="86"/>
      <c r="J610" s="86"/>
      <c r="K610" s="86"/>
      <c r="L610" s="86"/>
      <c r="M610" s="86"/>
      <c r="N610" s="86"/>
      <c r="O610" s="86"/>
      <c r="P610" s="86"/>
      <c r="Q610" s="86"/>
      <c r="R610" s="86"/>
      <c r="S610" s="86"/>
      <c r="T610" s="86"/>
      <c r="U610" s="86"/>
      <c r="V610" s="86"/>
      <c r="W610" s="86"/>
      <c r="X610" s="86"/>
      <c r="Y610" s="86"/>
      <c r="Z610" s="86"/>
    </row>
    <row r="611" spans="6:26" ht="12.75">
      <c r="F611" s="86"/>
      <c r="G611" s="86"/>
      <c r="H611" s="86"/>
      <c r="I611" s="86"/>
      <c r="J611" s="86"/>
      <c r="K611" s="86"/>
      <c r="L611" s="86"/>
      <c r="M611" s="86"/>
      <c r="N611" s="86"/>
      <c r="O611" s="86"/>
      <c r="P611" s="86"/>
      <c r="Q611" s="86"/>
      <c r="R611" s="86"/>
      <c r="S611" s="86"/>
      <c r="T611" s="86"/>
      <c r="U611" s="86"/>
      <c r="V611" s="86"/>
      <c r="W611" s="86"/>
      <c r="X611" s="86"/>
      <c r="Y611" s="86"/>
      <c r="Z611" s="86"/>
    </row>
    <row r="612" spans="6:26" ht="12.75">
      <c r="F612" s="86"/>
      <c r="G612" s="86"/>
      <c r="H612" s="86"/>
      <c r="I612" s="86"/>
      <c r="J612" s="86"/>
      <c r="K612" s="86"/>
      <c r="L612" s="86"/>
      <c r="M612" s="86"/>
      <c r="N612" s="86"/>
      <c r="O612" s="86"/>
      <c r="P612" s="86"/>
      <c r="Q612" s="86"/>
      <c r="R612" s="86"/>
      <c r="S612" s="86"/>
      <c r="T612" s="86"/>
      <c r="U612" s="86"/>
      <c r="V612" s="86"/>
      <c r="W612" s="86"/>
      <c r="X612" s="86"/>
      <c r="Y612" s="86"/>
      <c r="Z612" s="86"/>
    </row>
    <row r="613" spans="6:26" ht="12.75">
      <c r="F613" s="86"/>
      <c r="G613" s="86"/>
      <c r="H613" s="86"/>
      <c r="I613" s="86"/>
      <c r="J613" s="86"/>
      <c r="K613" s="86"/>
      <c r="L613" s="86"/>
      <c r="M613" s="86"/>
      <c r="N613" s="86"/>
      <c r="O613" s="86"/>
      <c r="P613" s="86"/>
      <c r="Q613" s="86"/>
      <c r="R613" s="86"/>
      <c r="S613" s="86"/>
      <c r="T613" s="86"/>
      <c r="U613" s="86"/>
      <c r="V613" s="86"/>
      <c r="W613" s="86"/>
      <c r="X613" s="86"/>
      <c r="Y613" s="86"/>
      <c r="Z613" s="86"/>
    </row>
    <row r="614" spans="6:26" ht="12.75">
      <c r="F614" s="86"/>
      <c r="G614" s="86"/>
      <c r="H614" s="86"/>
      <c r="I614" s="86"/>
      <c r="J614" s="86"/>
      <c r="K614" s="86"/>
      <c r="L614" s="86"/>
      <c r="M614" s="86"/>
      <c r="N614" s="86"/>
      <c r="O614" s="86"/>
      <c r="P614" s="86"/>
      <c r="Q614" s="86"/>
      <c r="R614" s="86"/>
      <c r="S614" s="86"/>
      <c r="T614" s="86"/>
      <c r="U614" s="86"/>
      <c r="V614" s="86"/>
      <c r="W614" s="86"/>
      <c r="X614" s="86"/>
      <c r="Y614" s="86"/>
      <c r="Z614" s="86"/>
    </row>
    <row r="615" spans="6:26" ht="12.75">
      <c r="F615" s="86"/>
      <c r="G615" s="86"/>
      <c r="H615" s="86"/>
      <c r="I615" s="86"/>
      <c r="J615" s="86"/>
      <c r="K615" s="86"/>
      <c r="L615" s="86"/>
      <c r="M615" s="86"/>
      <c r="N615" s="86"/>
      <c r="O615" s="86"/>
      <c r="P615" s="86"/>
      <c r="Q615" s="86"/>
      <c r="R615" s="86"/>
      <c r="S615" s="86"/>
      <c r="T615" s="86"/>
      <c r="U615" s="86"/>
      <c r="V615" s="86"/>
      <c r="W615" s="86"/>
      <c r="X615" s="86"/>
      <c r="Y615" s="86"/>
      <c r="Z615" s="86"/>
    </row>
    <row r="616" spans="6:26" ht="12.75">
      <c r="F616" s="86"/>
      <c r="G616" s="86"/>
      <c r="H616" s="86"/>
      <c r="I616" s="86"/>
      <c r="J616" s="86"/>
      <c r="K616" s="86"/>
      <c r="L616" s="86"/>
      <c r="M616" s="86"/>
      <c r="N616" s="86"/>
      <c r="O616" s="86"/>
      <c r="P616" s="86"/>
      <c r="Q616" s="86"/>
      <c r="R616" s="86"/>
      <c r="S616" s="86"/>
      <c r="T616" s="86"/>
      <c r="U616" s="86"/>
      <c r="V616" s="86"/>
      <c r="W616" s="86"/>
      <c r="X616" s="86"/>
      <c r="Y616" s="86"/>
      <c r="Z616" s="86"/>
    </row>
    <row r="617" spans="6:26" ht="12.75">
      <c r="F617" s="86"/>
      <c r="G617" s="86"/>
      <c r="H617" s="86"/>
      <c r="I617" s="86"/>
      <c r="J617" s="86"/>
      <c r="K617" s="86"/>
      <c r="L617" s="86"/>
      <c r="M617" s="86"/>
      <c r="N617" s="86"/>
      <c r="O617" s="86"/>
      <c r="P617" s="86"/>
      <c r="Q617" s="86"/>
      <c r="R617" s="86"/>
      <c r="S617" s="86"/>
      <c r="T617" s="86"/>
      <c r="U617" s="86"/>
      <c r="V617" s="86"/>
      <c r="W617" s="86"/>
      <c r="X617" s="86"/>
      <c r="Y617" s="86"/>
      <c r="Z617" s="86"/>
    </row>
    <row r="618" spans="6:26" ht="12.75">
      <c r="F618" s="86"/>
      <c r="G618" s="86"/>
      <c r="H618" s="86"/>
      <c r="I618" s="86"/>
      <c r="J618" s="86"/>
      <c r="K618" s="86"/>
      <c r="L618" s="86"/>
      <c r="M618" s="86"/>
      <c r="N618" s="86"/>
      <c r="O618" s="86"/>
      <c r="P618" s="86"/>
      <c r="Q618" s="86"/>
      <c r="R618" s="86"/>
      <c r="S618" s="86"/>
      <c r="T618" s="86"/>
      <c r="U618" s="86"/>
      <c r="V618" s="86"/>
      <c r="W618" s="86"/>
      <c r="X618" s="86"/>
      <c r="Y618" s="86"/>
      <c r="Z618" s="86"/>
    </row>
    <row r="619" spans="6:26" ht="12.75">
      <c r="F619" s="86"/>
      <c r="G619" s="86"/>
      <c r="H619" s="86"/>
      <c r="I619" s="86"/>
      <c r="J619" s="86"/>
      <c r="K619" s="86"/>
      <c r="L619" s="86"/>
      <c r="M619" s="86"/>
      <c r="N619" s="86"/>
      <c r="O619" s="86"/>
      <c r="P619" s="86"/>
      <c r="Q619" s="86"/>
      <c r="R619" s="86"/>
      <c r="S619" s="86"/>
      <c r="T619" s="86"/>
      <c r="U619" s="86"/>
      <c r="V619" s="86"/>
      <c r="W619" s="86"/>
      <c r="X619" s="86"/>
      <c r="Y619" s="86"/>
      <c r="Z619" s="86"/>
    </row>
    <row r="620" spans="6:26" ht="12.75">
      <c r="F620" s="86"/>
      <c r="G620" s="86"/>
      <c r="H620" s="86"/>
      <c r="I620" s="86"/>
      <c r="J620" s="86"/>
      <c r="K620" s="86"/>
      <c r="L620" s="86"/>
      <c r="M620" s="86"/>
      <c r="N620" s="86"/>
      <c r="O620" s="86"/>
      <c r="P620" s="86"/>
      <c r="Q620" s="86"/>
      <c r="R620" s="86"/>
      <c r="S620" s="86"/>
      <c r="T620" s="86"/>
      <c r="U620" s="86"/>
      <c r="V620" s="86"/>
      <c r="W620" s="86"/>
      <c r="X620" s="86"/>
      <c r="Y620" s="86"/>
      <c r="Z620" s="86"/>
    </row>
    <row r="621" spans="6:26" ht="12.75">
      <c r="F621" s="86"/>
      <c r="G621" s="86"/>
      <c r="H621" s="86"/>
      <c r="I621" s="86"/>
      <c r="J621" s="86"/>
      <c r="K621" s="86"/>
      <c r="L621" s="86"/>
      <c r="M621" s="86"/>
      <c r="N621" s="86"/>
      <c r="O621" s="86"/>
      <c r="P621" s="86"/>
      <c r="Q621" s="86"/>
      <c r="R621" s="86"/>
      <c r="S621" s="86"/>
      <c r="T621" s="86"/>
      <c r="U621" s="86"/>
      <c r="V621" s="86"/>
      <c r="W621" s="86"/>
      <c r="X621" s="86"/>
      <c r="Y621" s="86"/>
      <c r="Z621" s="86"/>
    </row>
    <row r="622" spans="6:26" ht="12.75">
      <c r="F622" s="86"/>
      <c r="G622" s="86"/>
      <c r="H622" s="86"/>
      <c r="I622" s="86"/>
      <c r="J622" s="86"/>
      <c r="K622" s="86"/>
      <c r="L622" s="86"/>
      <c r="M622" s="86"/>
      <c r="N622" s="86"/>
      <c r="O622" s="86"/>
      <c r="P622" s="86"/>
      <c r="Q622" s="86"/>
      <c r="R622" s="86"/>
      <c r="S622" s="86"/>
      <c r="T622" s="86"/>
      <c r="U622" s="86"/>
      <c r="V622" s="86"/>
      <c r="W622" s="86"/>
      <c r="X622" s="86"/>
      <c r="Y622" s="86"/>
      <c r="Z622" s="86"/>
    </row>
    <row r="623" spans="6:26" ht="12.75">
      <c r="F623" s="86"/>
      <c r="G623" s="86"/>
      <c r="H623" s="86"/>
      <c r="I623" s="86"/>
      <c r="J623" s="86"/>
      <c r="K623" s="86"/>
      <c r="L623" s="86"/>
      <c r="M623" s="86"/>
      <c r="N623" s="86"/>
      <c r="O623" s="86"/>
      <c r="P623" s="86"/>
      <c r="Q623" s="86"/>
      <c r="R623" s="86"/>
      <c r="S623" s="86"/>
      <c r="T623" s="86"/>
      <c r="U623" s="86"/>
      <c r="V623" s="86"/>
      <c r="W623" s="86"/>
      <c r="X623" s="86"/>
      <c r="Y623" s="86"/>
      <c r="Z623" s="86"/>
    </row>
    <row r="624" spans="6:26" ht="12.75">
      <c r="F624" s="86"/>
      <c r="G624" s="86"/>
      <c r="H624" s="86"/>
      <c r="I624" s="86"/>
      <c r="J624" s="86"/>
      <c r="K624" s="86"/>
      <c r="L624" s="86"/>
      <c r="M624" s="86"/>
      <c r="N624" s="86"/>
      <c r="O624" s="86"/>
      <c r="P624" s="86"/>
      <c r="Q624" s="86"/>
      <c r="R624" s="86"/>
      <c r="S624" s="86"/>
      <c r="T624" s="86"/>
      <c r="U624" s="86"/>
      <c r="V624" s="86"/>
      <c r="W624" s="86"/>
      <c r="X624" s="86"/>
      <c r="Y624" s="86"/>
      <c r="Z624" s="86"/>
    </row>
    <row r="625" spans="6:26" ht="12.75">
      <c r="F625" s="86"/>
      <c r="G625" s="86"/>
      <c r="H625" s="86"/>
      <c r="I625" s="86"/>
      <c r="J625" s="86"/>
      <c r="K625" s="86"/>
      <c r="L625" s="86"/>
      <c r="M625" s="86"/>
      <c r="N625" s="86"/>
      <c r="O625" s="86"/>
      <c r="P625" s="86"/>
      <c r="Q625" s="86"/>
      <c r="R625" s="86"/>
      <c r="S625" s="86"/>
      <c r="T625" s="86"/>
      <c r="U625" s="86"/>
      <c r="V625" s="86"/>
      <c r="W625" s="86"/>
      <c r="X625" s="86"/>
      <c r="Y625" s="86"/>
      <c r="Z625" s="86"/>
    </row>
    <row r="626" spans="6:26" ht="12.75">
      <c r="F626" s="86"/>
      <c r="G626" s="86"/>
      <c r="H626" s="86"/>
      <c r="I626" s="86"/>
      <c r="J626" s="86"/>
      <c r="K626" s="86"/>
      <c r="L626" s="86"/>
      <c r="M626" s="86"/>
      <c r="N626" s="86"/>
      <c r="O626" s="86"/>
      <c r="P626" s="86"/>
      <c r="Q626" s="86"/>
      <c r="R626" s="86"/>
      <c r="S626" s="86"/>
      <c r="T626" s="86"/>
      <c r="U626" s="86"/>
      <c r="V626" s="86"/>
      <c r="W626" s="86"/>
      <c r="X626" s="86"/>
      <c r="Y626" s="86"/>
      <c r="Z626" s="86"/>
    </row>
    <row r="627" spans="6:26" ht="12.75">
      <c r="F627" s="86"/>
      <c r="G627" s="86"/>
      <c r="H627" s="86"/>
      <c r="I627" s="86"/>
      <c r="J627" s="86"/>
      <c r="K627" s="86"/>
      <c r="L627" s="86"/>
      <c r="M627" s="86"/>
      <c r="N627" s="86"/>
      <c r="O627" s="86"/>
      <c r="P627" s="86"/>
      <c r="Q627" s="86"/>
      <c r="R627" s="86"/>
      <c r="S627" s="86"/>
      <c r="T627" s="86"/>
      <c r="U627" s="86"/>
      <c r="V627" s="86"/>
      <c r="W627" s="86"/>
      <c r="X627" s="86"/>
      <c r="Y627" s="86"/>
      <c r="Z627" s="86"/>
    </row>
    <row r="628" spans="6:26" ht="12.75">
      <c r="F628" s="86"/>
      <c r="G628" s="86"/>
      <c r="H628" s="86"/>
      <c r="I628" s="86"/>
      <c r="J628" s="86"/>
      <c r="K628" s="86"/>
      <c r="L628" s="86"/>
      <c r="M628" s="86"/>
      <c r="N628" s="86"/>
      <c r="O628" s="86"/>
      <c r="P628" s="86"/>
      <c r="Q628" s="86"/>
      <c r="R628" s="86"/>
      <c r="S628" s="86"/>
      <c r="T628" s="86"/>
      <c r="U628" s="86"/>
      <c r="V628" s="86"/>
      <c r="W628" s="86"/>
      <c r="X628" s="86"/>
      <c r="Y628" s="86"/>
      <c r="Z628" s="86"/>
    </row>
    <row r="629" spans="6:26" ht="12.75">
      <c r="F629" s="86"/>
      <c r="G629" s="86"/>
      <c r="H629" s="86"/>
      <c r="I629" s="86"/>
      <c r="J629" s="86"/>
      <c r="K629" s="86"/>
      <c r="L629" s="86"/>
      <c r="M629" s="86"/>
      <c r="N629" s="86"/>
      <c r="O629" s="86"/>
      <c r="P629" s="86"/>
      <c r="Q629" s="86"/>
      <c r="R629" s="86"/>
      <c r="S629" s="86"/>
      <c r="T629" s="86"/>
      <c r="U629" s="86"/>
      <c r="V629" s="86"/>
      <c r="W629" s="86"/>
      <c r="X629" s="86"/>
      <c r="Y629" s="86"/>
      <c r="Z629" s="86"/>
    </row>
    <row r="630" spans="6:26" ht="12.75">
      <c r="F630" s="86"/>
      <c r="G630" s="86"/>
      <c r="H630" s="86"/>
      <c r="I630" s="86"/>
      <c r="J630" s="86"/>
      <c r="K630" s="86"/>
      <c r="L630" s="86"/>
      <c r="M630" s="86"/>
      <c r="N630" s="86"/>
      <c r="O630" s="86"/>
      <c r="P630" s="86"/>
      <c r="Q630" s="86"/>
      <c r="R630" s="86"/>
      <c r="S630" s="86"/>
      <c r="T630" s="86"/>
      <c r="U630" s="86"/>
      <c r="V630" s="86"/>
      <c r="W630" s="86"/>
      <c r="X630" s="86"/>
      <c r="Y630" s="86"/>
      <c r="Z630" s="86"/>
    </row>
    <row r="631" spans="6:26" ht="12.75">
      <c r="F631" s="86"/>
      <c r="G631" s="86"/>
      <c r="H631" s="86"/>
      <c r="I631" s="86"/>
      <c r="J631" s="86"/>
      <c r="K631" s="86"/>
      <c r="L631" s="86"/>
      <c r="M631" s="86"/>
      <c r="N631" s="86"/>
      <c r="O631" s="86"/>
      <c r="P631" s="86"/>
      <c r="Q631" s="86"/>
      <c r="R631" s="86"/>
      <c r="S631" s="86"/>
      <c r="T631" s="86"/>
      <c r="U631" s="86"/>
      <c r="V631" s="86"/>
      <c r="W631" s="86"/>
      <c r="X631" s="86"/>
      <c r="Y631" s="86"/>
      <c r="Z631" s="86"/>
    </row>
    <row r="632" spans="6:26" ht="12.75">
      <c r="F632" s="86"/>
      <c r="G632" s="86"/>
      <c r="H632" s="86"/>
      <c r="I632" s="86"/>
      <c r="J632" s="86"/>
      <c r="K632" s="86"/>
      <c r="L632" s="86"/>
      <c r="M632" s="86"/>
      <c r="N632" s="86"/>
      <c r="O632" s="86"/>
      <c r="P632" s="86"/>
      <c r="Q632" s="86"/>
      <c r="R632" s="86"/>
      <c r="S632" s="86"/>
      <c r="T632" s="86"/>
      <c r="U632" s="86"/>
      <c r="V632" s="86"/>
      <c r="W632" s="86"/>
      <c r="X632" s="86"/>
      <c r="Y632" s="86"/>
      <c r="Z632" s="86"/>
    </row>
    <row r="633" spans="6:26" ht="12.75">
      <c r="F633" s="86"/>
      <c r="G633" s="86"/>
      <c r="H633" s="86"/>
      <c r="I633" s="86"/>
      <c r="J633" s="86"/>
      <c r="K633" s="86"/>
      <c r="L633" s="86"/>
      <c r="M633" s="86"/>
      <c r="N633" s="86"/>
      <c r="O633" s="86"/>
      <c r="P633" s="86"/>
      <c r="Q633" s="86"/>
      <c r="R633" s="86"/>
      <c r="S633" s="86"/>
      <c r="T633" s="86"/>
      <c r="U633" s="86"/>
      <c r="V633" s="86"/>
      <c r="W633" s="86"/>
      <c r="X633" s="86"/>
      <c r="Y633" s="86"/>
      <c r="Z633" s="86"/>
    </row>
    <row r="634" spans="6:26" ht="12.75">
      <c r="F634" s="86"/>
      <c r="G634" s="86"/>
      <c r="H634" s="86"/>
      <c r="I634" s="86"/>
      <c r="J634" s="86"/>
      <c r="K634" s="86"/>
      <c r="L634" s="86"/>
      <c r="M634" s="86"/>
      <c r="N634" s="86"/>
      <c r="O634" s="86"/>
      <c r="P634" s="86"/>
      <c r="Q634" s="86"/>
      <c r="R634" s="86"/>
      <c r="S634" s="86"/>
      <c r="T634" s="86"/>
      <c r="U634" s="86"/>
      <c r="V634" s="86"/>
      <c r="W634" s="86"/>
      <c r="X634" s="86"/>
      <c r="Y634" s="86"/>
      <c r="Z634" s="86"/>
    </row>
    <row r="635" spans="6:26" ht="12.75">
      <c r="F635" s="86"/>
      <c r="G635" s="86"/>
      <c r="H635" s="86"/>
      <c r="I635" s="86"/>
      <c r="J635" s="86"/>
      <c r="K635" s="86"/>
      <c r="L635" s="86"/>
      <c r="M635" s="86"/>
      <c r="N635" s="86"/>
      <c r="O635" s="86"/>
      <c r="P635" s="86"/>
      <c r="Q635" s="86"/>
      <c r="R635" s="86"/>
      <c r="S635" s="86"/>
      <c r="T635" s="86"/>
      <c r="U635" s="86"/>
      <c r="V635" s="86"/>
      <c r="W635" s="86"/>
      <c r="X635" s="86"/>
      <c r="Y635" s="86"/>
      <c r="Z635" s="86"/>
    </row>
    <row r="636" spans="6:26" ht="12.75">
      <c r="F636" s="86"/>
      <c r="G636" s="86"/>
      <c r="H636" s="86"/>
      <c r="I636" s="86"/>
      <c r="J636" s="86"/>
      <c r="K636" s="86"/>
      <c r="L636" s="86"/>
      <c r="M636" s="86"/>
      <c r="N636" s="86"/>
      <c r="O636" s="86"/>
      <c r="P636" s="86"/>
      <c r="Q636" s="86"/>
      <c r="R636" s="86"/>
      <c r="S636" s="86"/>
      <c r="T636" s="86"/>
      <c r="U636" s="86"/>
      <c r="V636" s="86"/>
      <c r="W636" s="86"/>
      <c r="X636" s="86"/>
      <c r="Y636" s="86"/>
      <c r="Z636" s="86"/>
    </row>
    <row r="637" spans="6:26" ht="12.75">
      <c r="F637" s="86"/>
      <c r="G637" s="86"/>
      <c r="H637" s="86"/>
      <c r="I637" s="86"/>
      <c r="J637" s="86"/>
      <c r="K637" s="86"/>
      <c r="L637" s="86"/>
      <c r="M637" s="86"/>
      <c r="N637" s="86"/>
      <c r="O637" s="86"/>
      <c r="P637" s="86"/>
      <c r="Q637" s="86"/>
      <c r="R637" s="86"/>
      <c r="S637" s="86"/>
      <c r="T637" s="86"/>
      <c r="U637" s="86"/>
      <c r="V637" s="86"/>
      <c r="W637" s="86"/>
      <c r="X637" s="86"/>
      <c r="Y637" s="86"/>
      <c r="Z637" s="86"/>
    </row>
    <row r="638" spans="6:26" ht="12.75">
      <c r="F638" s="86"/>
      <c r="G638" s="86"/>
      <c r="H638" s="86"/>
      <c r="I638" s="86"/>
      <c r="J638" s="86"/>
      <c r="K638" s="86"/>
      <c r="L638" s="86"/>
      <c r="M638" s="86"/>
      <c r="N638" s="86"/>
      <c r="O638" s="86"/>
      <c r="P638" s="86"/>
      <c r="Q638" s="86"/>
      <c r="R638" s="86"/>
      <c r="S638" s="86"/>
      <c r="T638" s="86"/>
      <c r="U638" s="86"/>
      <c r="V638" s="86"/>
      <c r="W638" s="86"/>
      <c r="X638" s="86"/>
      <c r="Y638" s="86"/>
      <c r="Z638" s="86"/>
    </row>
    <row r="639" spans="6:26" ht="12.75">
      <c r="F639" s="86"/>
      <c r="G639" s="86"/>
      <c r="H639" s="86"/>
      <c r="I639" s="86"/>
      <c r="J639" s="86"/>
      <c r="K639" s="86"/>
      <c r="L639" s="86"/>
      <c r="M639" s="86"/>
      <c r="N639" s="86"/>
      <c r="O639" s="86"/>
      <c r="P639" s="86"/>
      <c r="Q639" s="86"/>
      <c r="R639" s="86"/>
      <c r="S639" s="86"/>
      <c r="T639" s="86"/>
      <c r="U639" s="86"/>
      <c r="V639" s="86"/>
      <c r="W639" s="86"/>
      <c r="X639" s="86"/>
      <c r="Y639" s="86"/>
      <c r="Z639" s="86"/>
    </row>
    <row r="640" spans="6:26" ht="12.75">
      <c r="F640" s="86"/>
      <c r="G640" s="86"/>
      <c r="H640" s="86"/>
      <c r="I640" s="86"/>
      <c r="J640" s="86"/>
      <c r="K640" s="86"/>
      <c r="L640" s="86"/>
      <c r="M640" s="86"/>
      <c r="N640" s="86"/>
      <c r="O640" s="86"/>
      <c r="P640" s="86"/>
      <c r="Q640" s="86"/>
      <c r="R640" s="86"/>
      <c r="S640" s="86"/>
      <c r="T640" s="86"/>
      <c r="U640" s="86"/>
      <c r="V640" s="86"/>
      <c r="W640" s="86"/>
      <c r="X640" s="86"/>
      <c r="Y640" s="86"/>
      <c r="Z640" s="86"/>
    </row>
    <row r="641" spans="6:26" ht="12.75">
      <c r="F641" s="86"/>
      <c r="G641" s="86"/>
      <c r="H641" s="86"/>
      <c r="I641" s="86"/>
      <c r="J641" s="86"/>
      <c r="K641" s="86"/>
      <c r="L641" s="86"/>
      <c r="M641" s="86"/>
      <c r="N641" s="86"/>
      <c r="O641" s="86"/>
      <c r="P641" s="86"/>
      <c r="Q641" s="86"/>
      <c r="R641" s="86"/>
      <c r="S641" s="86"/>
      <c r="T641" s="86"/>
      <c r="U641" s="86"/>
      <c r="V641" s="86"/>
      <c r="W641" s="86"/>
      <c r="X641" s="86"/>
      <c r="Y641" s="86"/>
      <c r="Z641" s="86"/>
    </row>
    <row r="642" spans="6:26" ht="12.75">
      <c r="F642" s="86"/>
      <c r="G642" s="86"/>
      <c r="H642" s="86"/>
      <c r="I642" s="86"/>
      <c r="J642" s="86"/>
      <c r="K642" s="86"/>
      <c r="L642" s="86"/>
      <c r="M642" s="86"/>
      <c r="N642" s="86"/>
      <c r="O642" s="86"/>
      <c r="P642" s="86"/>
      <c r="Q642" s="86"/>
      <c r="R642" s="86"/>
      <c r="S642" s="86"/>
      <c r="T642" s="86"/>
      <c r="U642" s="86"/>
      <c r="V642" s="86"/>
      <c r="W642" s="86"/>
      <c r="X642" s="86"/>
      <c r="Y642" s="86"/>
      <c r="Z642" s="86"/>
    </row>
    <row r="643" spans="6:26" ht="12.75">
      <c r="F643" s="86"/>
      <c r="G643" s="86"/>
      <c r="H643" s="86"/>
      <c r="I643" s="86"/>
      <c r="J643" s="86"/>
      <c r="K643" s="86"/>
      <c r="L643" s="86"/>
      <c r="M643" s="86"/>
      <c r="N643" s="86"/>
      <c r="O643" s="86"/>
      <c r="P643" s="86"/>
      <c r="Q643" s="86"/>
      <c r="R643" s="86"/>
      <c r="S643" s="86"/>
      <c r="T643" s="86"/>
      <c r="U643" s="86"/>
      <c r="V643" s="86"/>
      <c r="W643" s="86"/>
      <c r="X643" s="86"/>
      <c r="Y643" s="86"/>
      <c r="Z643" s="86"/>
    </row>
    <row r="644" spans="6:26" ht="12.75">
      <c r="F644" s="86"/>
      <c r="G644" s="86"/>
      <c r="H644" s="86"/>
      <c r="I644" s="86"/>
      <c r="J644" s="86"/>
      <c r="K644" s="86"/>
      <c r="L644" s="86"/>
      <c r="M644" s="86"/>
      <c r="N644" s="86"/>
      <c r="O644" s="86"/>
      <c r="P644" s="86"/>
      <c r="Q644" s="86"/>
      <c r="R644" s="86"/>
      <c r="S644" s="86"/>
      <c r="T644" s="86"/>
      <c r="U644" s="86"/>
      <c r="V644" s="86"/>
      <c r="W644" s="86"/>
      <c r="X644" s="86"/>
      <c r="Y644" s="86"/>
      <c r="Z644" s="86"/>
    </row>
    <row r="645" spans="6:26" ht="12.75">
      <c r="F645" s="86"/>
      <c r="G645" s="86"/>
      <c r="H645" s="86"/>
      <c r="I645" s="86"/>
      <c r="J645" s="86"/>
      <c r="K645" s="86"/>
      <c r="L645" s="86"/>
      <c r="M645" s="86"/>
      <c r="N645" s="86"/>
      <c r="O645" s="86"/>
      <c r="P645" s="86"/>
      <c r="Q645" s="86"/>
      <c r="R645" s="86"/>
      <c r="S645" s="86"/>
      <c r="T645" s="86"/>
      <c r="U645" s="86"/>
      <c r="V645" s="86"/>
      <c r="W645" s="86"/>
      <c r="X645" s="86"/>
      <c r="Y645" s="86"/>
      <c r="Z645" s="86"/>
    </row>
    <row r="646" spans="6:26" ht="12.75">
      <c r="F646" s="86"/>
      <c r="G646" s="86"/>
      <c r="H646" s="86"/>
      <c r="I646" s="86"/>
      <c r="J646" s="86"/>
      <c r="K646" s="86"/>
      <c r="L646" s="86"/>
      <c r="M646" s="86"/>
      <c r="N646" s="86"/>
      <c r="O646" s="86"/>
      <c r="P646" s="86"/>
      <c r="Q646" s="86"/>
      <c r="R646" s="86"/>
      <c r="S646" s="86"/>
      <c r="T646" s="86"/>
      <c r="U646" s="86"/>
      <c r="V646" s="86"/>
      <c r="W646" s="86"/>
      <c r="X646" s="86"/>
      <c r="Y646" s="86"/>
      <c r="Z646" s="86"/>
    </row>
    <row r="647" spans="6:26" ht="12.75">
      <c r="F647" s="86"/>
      <c r="G647" s="86"/>
      <c r="H647" s="86"/>
      <c r="I647" s="86"/>
      <c r="J647" s="86"/>
      <c r="K647" s="86"/>
      <c r="L647" s="86"/>
      <c r="M647" s="86"/>
      <c r="N647" s="86"/>
      <c r="O647" s="86"/>
      <c r="P647" s="86"/>
      <c r="Q647" s="86"/>
      <c r="R647" s="86"/>
      <c r="S647" s="86"/>
      <c r="T647" s="86"/>
      <c r="U647" s="86"/>
      <c r="V647" s="86"/>
      <c r="W647" s="86"/>
      <c r="X647" s="86"/>
      <c r="Y647" s="86"/>
      <c r="Z647" s="86"/>
    </row>
    <row r="648" spans="6:26" ht="12.75">
      <c r="F648" s="86"/>
      <c r="G648" s="86"/>
      <c r="H648" s="86"/>
      <c r="I648" s="86"/>
      <c r="J648" s="86"/>
      <c r="K648" s="86"/>
      <c r="L648" s="86"/>
      <c r="M648" s="86"/>
      <c r="N648" s="86"/>
      <c r="O648" s="86"/>
      <c r="P648" s="86"/>
      <c r="Q648" s="86"/>
      <c r="R648" s="86"/>
      <c r="S648" s="86"/>
      <c r="T648" s="86"/>
      <c r="U648" s="86"/>
      <c r="V648" s="86"/>
      <c r="W648" s="86"/>
      <c r="X648" s="86"/>
      <c r="Y648" s="86"/>
      <c r="Z648" s="86"/>
    </row>
    <row r="649" spans="6:26" ht="12.75">
      <c r="F649" s="86"/>
      <c r="G649" s="86"/>
      <c r="H649" s="86"/>
      <c r="I649" s="86"/>
      <c r="J649" s="86"/>
      <c r="K649" s="86"/>
      <c r="L649" s="86"/>
      <c r="M649" s="86"/>
      <c r="N649" s="86"/>
      <c r="O649" s="86"/>
      <c r="P649" s="86"/>
      <c r="Q649" s="86"/>
      <c r="R649" s="86"/>
      <c r="S649" s="86"/>
      <c r="T649" s="86"/>
      <c r="U649" s="86"/>
      <c r="V649" s="86"/>
      <c r="W649" s="86"/>
      <c r="X649" s="86"/>
      <c r="Y649" s="86"/>
      <c r="Z649" s="86"/>
    </row>
    <row r="650" spans="6:26" ht="12.75">
      <c r="F650" s="86"/>
      <c r="G650" s="86"/>
      <c r="H650" s="86"/>
      <c r="I650" s="86"/>
      <c r="J650" s="86"/>
      <c r="K650" s="86"/>
      <c r="L650" s="86"/>
      <c r="M650" s="86"/>
      <c r="N650" s="86"/>
      <c r="O650" s="86"/>
      <c r="P650" s="86"/>
      <c r="Q650" s="86"/>
      <c r="R650" s="86"/>
      <c r="S650" s="86"/>
      <c r="T650" s="86"/>
      <c r="U650" s="86"/>
      <c r="V650" s="86"/>
      <c r="W650" s="86"/>
      <c r="X650" s="86"/>
      <c r="Y650" s="86"/>
      <c r="Z650" s="86"/>
    </row>
    <row r="651" spans="6:26" ht="12.75">
      <c r="F651" s="86"/>
      <c r="G651" s="86"/>
      <c r="H651" s="86"/>
      <c r="I651" s="86"/>
      <c r="J651" s="86"/>
      <c r="K651" s="86"/>
      <c r="L651" s="86"/>
      <c r="M651" s="86"/>
      <c r="N651" s="86"/>
      <c r="O651" s="86"/>
      <c r="P651" s="86"/>
      <c r="Q651" s="86"/>
      <c r="R651" s="86"/>
      <c r="S651" s="86"/>
      <c r="T651" s="86"/>
      <c r="U651" s="86"/>
      <c r="V651" s="86"/>
      <c r="W651" s="86"/>
      <c r="X651" s="86"/>
      <c r="Y651" s="86"/>
      <c r="Z651" s="86"/>
    </row>
    <row r="652" spans="6:26" ht="12.75">
      <c r="F652" s="86"/>
      <c r="G652" s="86"/>
      <c r="H652" s="86"/>
      <c r="I652" s="86"/>
      <c r="J652" s="86"/>
      <c r="K652" s="86"/>
      <c r="L652" s="86"/>
      <c r="M652" s="86"/>
      <c r="N652" s="86"/>
      <c r="O652" s="86"/>
      <c r="P652" s="86"/>
      <c r="Q652" s="86"/>
      <c r="R652" s="86"/>
      <c r="S652" s="86"/>
      <c r="T652" s="86"/>
      <c r="U652" s="86"/>
      <c r="V652" s="86"/>
      <c r="W652" s="86"/>
      <c r="X652" s="86"/>
      <c r="Y652" s="86"/>
      <c r="Z652" s="86"/>
    </row>
    <row r="653" spans="6:26" ht="12.75">
      <c r="F653" s="86"/>
      <c r="G653" s="86"/>
      <c r="H653" s="86"/>
      <c r="I653" s="86"/>
      <c r="J653" s="86"/>
      <c r="K653" s="86"/>
      <c r="L653" s="86"/>
      <c r="M653" s="86"/>
      <c r="N653" s="86"/>
      <c r="O653" s="86"/>
      <c r="P653" s="86"/>
      <c r="Q653" s="86"/>
      <c r="R653" s="86"/>
      <c r="S653" s="86"/>
      <c r="T653" s="86"/>
      <c r="U653" s="86"/>
      <c r="V653" s="86"/>
      <c r="W653" s="86"/>
      <c r="X653" s="86"/>
      <c r="Y653" s="86"/>
      <c r="Z653" s="86"/>
    </row>
    <row r="654" spans="6:26" ht="12.75">
      <c r="F654" s="86"/>
      <c r="G654" s="86"/>
      <c r="H654" s="86"/>
      <c r="I654" s="86"/>
      <c r="J654" s="86"/>
      <c r="K654" s="86"/>
      <c r="L654" s="86"/>
      <c r="M654" s="86"/>
      <c r="N654" s="86"/>
      <c r="O654" s="86"/>
      <c r="P654" s="86"/>
      <c r="Q654" s="86"/>
      <c r="R654" s="86"/>
      <c r="S654" s="86"/>
      <c r="T654" s="86"/>
      <c r="U654" s="86"/>
      <c r="V654" s="86"/>
      <c r="W654" s="86"/>
      <c r="X654" s="86"/>
      <c r="Y654" s="86"/>
      <c r="Z654" s="86"/>
    </row>
    <row r="655" spans="6:26" ht="12.75">
      <c r="F655" s="86"/>
      <c r="G655" s="86"/>
      <c r="H655" s="86"/>
      <c r="I655" s="86"/>
      <c r="J655" s="86"/>
      <c r="K655" s="86"/>
      <c r="L655" s="86"/>
      <c r="M655" s="86"/>
      <c r="N655" s="86"/>
      <c r="O655" s="86"/>
      <c r="P655" s="86"/>
      <c r="Q655" s="86"/>
      <c r="R655" s="86"/>
      <c r="S655" s="86"/>
      <c r="T655" s="86"/>
      <c r="U655" s="86"/>
      <c r="V655" s="86"/>
      <c r="W655" s="86"/>
      <c r="X655" s="86"/>
      <c r="Y655" s="86"/>
      <c r="Z655" s="86"/>
    </row>
    <row r="656" spans="6:26" ht="12.75">
      <c r="F656" s="86"/>
      <c r="G656" s="86"/>
      <c r="H656" s="86"/>
      <c r="I656" s="86"/>
      <c r="J656" s="86"/>
      <c r="K656" s="86"/>
      <c r="L656" s="86"/>
      <c r="M656" s="86"/>
      <c r="N656" s="86"/>
      <c r="O656" s="86"/>
      <c r="P656" s="86"/>
      <c r="Q656" s="86"/>
      <c r="R656" s="86"/>
      <c r="S656" s="86"/>
      <c r="T656" s="86"/>
      <c r="U656" s="86"/>
      <c r="V656" s="86"/>
      <c r="W656" s="86"/>
      <c r="X656" s="86"/>
      <c r="Y656" s="86"/>
      <c r="Z656" s="86"/>
    </row>
    <row r="657" spans="6:26" ht="12.75">
      <c r="F657" s="86"/>
      <c r="G657" s="86"/>
      <c r="H657" s="86"/>
      <c r="I657" s="86"/>
      <c r="J657" s="86"/>
      <c r="K657" s="86"/>
      <c r="L657" s="86"/>
      <c r="M657" s="86"/>
      <c r="N657" s="86"/>
      <c r="O657" s="86"/>
      <c r="P657" s="86"/>
      <c r="Q657" s="86"/>
      <c r="R657" s="86"/>
      <c r="S657" s="86"/>
      <c r="T657" s="86"/>
      <c r="U657" s="86"/>
      <c r="V657" s="86"/>
      <c r="W657" s="86"/>
      <c r="X657" s="86"/>
      <c r="Y657" s="86"/>
      <c r="Z657" s="86"/>
    </row>
    <row r="658" spans="6:26" ht="12.75">
      <c r="F658" s="86"/>
      <c r="G658" s="86"/>
      <c r="H658" s="86"/>
      <c r="I658" s="86"/>
      <c r="J658" s="86"/>
      <c r="K658" s="86"/>
      <c r="L658" s="86"/>
      <c r="M658" s="86"/>
      <c r="N658" s="86"/>
      <c r="O658" s="86"/>
      <c r="P658" s="86"/>
      <c r="Q658" s="86"/>
      <c r="R658" s="86"/>
      <c r="S658" s="86"/>
      <c r="T658" s="86"/>
      <c r="U658" s="86"/>
      <c r="V658" s="86"/>
      <c r="W658" s="86"/>
      <c r="X658" s="86"/>
      <c r="Y658" s="86"/>
      <c r="Z658" s="86"/>
    </row>
    <row r="659" spans="6:26" ht="12.75">
      <c r="F659" s="86"/>
      <c r="G659" s="86"/>
      <c r="H659" s="86"/>
      <c r="I659" s="86"/>
      <c r="J659" s="86"/>
      <c r="K659" s="86"/>
      <c r="L659" s="86"/>
      <c r="M659" s="86"/>
      <c r="N659" s="86"/>
      <c r="O659" s="86"/>
      <c r="P659" s="86"/>
      <c r="Q659" s="86"/>
      <c r="R659" s="86"/>
      <c r="S659" s="86"/>
      <c r="T659" s="86"/>
      <c r="U659" s="86"/>
      <c r="V659" s="86"/>
      <c r="W659" s="86"/>
      <c r="X659" s="86"/>
      <c r="Y659" s="86"/>
      <c r="Z659" s="86"/>
    </row>
    <row r="660" spans="6:26" ht="12.75">
      <c r="F660" s="86"/>
      <c r="G660" s="86"/>
      <c r="H660" s="86"/>
      <c r="I660" s="86"/>
      <c r="J660" s="86"/>
      <c r="K660" s="86"/>
      <c r="L660" s="86"/>
      <c r="M660" s="86"/>
      <c r="N660" s="86"/>
      <c r="O660" s="86"/>
      <c r="P660" s="86"/>
      <c r="Q660" s="86"/>
      <c r="R660" s="86"/>
      <c r="S660" s="86"/>
      <c r="T660" s="86"/>
      <c r="U660" s="86"/>
      <c r="V660" s="86"/>
      <c r="W660" s="86"/>
      <c r="X660" s="86"/>
      <c r="Y660" s="86"/>
      <c r="Z660" s="86"/>
    </row>
    <row r="661" spans="6:26" ht="12.75">
      <c r="F661" s="86"/>
      <c r="G661" s="86"/>
      <c r="H661" s="86"/>
      <c r="I661" s="86"/>
      <c r="J661" s="86"/>
      <c r="K661" s="86"/>
      <c r="L661" s="86"/>
      <c r="M661" s="86"/>
      <c r="N661" s="86"/>
      <c r="O661" s="86"/>
      <c r="P661" s="86"/>
      <c r="Q661" s="86"/>
      <c r="R661" s="86"/>
      <c r="S661" s="86"/>
      <c r="T661" s="86"/>
      <c r="U661" s="86"/>
      <c r="V661" s="86"/>
      <c r="W661" s="86"/>
      <c r="X661" s="86"/>
      <c r="Y661" s="86"/>
      <c r="Z661" s="86"/>
    </row>
    <row r="662" spans="6:26" ht="12.75">
      <c r="F662" s="86"/>
      <c r="G662" s="86"/>
      <c r="H662" s="86"/>
      <c r="I662" s="86"/>
      <c r="J662" s="86"/>
      <c r="K662" s="86"/>
      <c r="L662" s="86"/>
      <c r="M662" s="86"/>
      <c r="N662" s="86"/>
      <c r="O662" s="86"/>
      <c r="P662" s="86"/>
      <c r="Q662" s="86"/>
      <c r="R662" s="86"/>
      <c r="S662" s="86"/>
      <c r="T662" s="86"/>
      <c r="U662" s="86"/>
      <c r="V662" s="86"/>
      <c r="W662" s="86"/>
      <c r="X662" s="86"/>
      <c r="Y662" s="86"/>
      <c r="Z662" s="86"/>
    </row>
    <row r="663" spans="6:26" ht="12.75">
      <c r="F663" s="86"/>
      <c r="G663" s="86"/>
      <c r="H663" s="86"/>
      <c r="I663" s="86"/>
      <c r="J663" s="86"/>
      <c r="K663" s="86"/>
      <c r="L663" s="86"/>
      <c r="M663" s="86"/>
      <c r="N663" s="86"/>
      <c r="O663" s="86"/>
      <c r="P663" s="86"/>
      <c r="Q663" s="86"/>
      <c r="R663" s="86"/>
      <c r="S663" s="86"/>
      <c r="T663" s="86"/>
      <c r="U663" s="86"/>
      <c r="V663" s="86"/>
      <c r="W663" s="86"/>
      <c r="X663" s="86"/>
      <c r="Y663" s="86"/>
      <c r="Z663" s="86"/>
    </row>
    <row r="664" spans="6:26" ht="12.75">
      <c r="F664" s="86"/>
      <c r="G664" s="86"/>
      <c r="H664" s="86"/>
      <c r="I664" s="86"/>
      <c r="J664" s="86"/>
      <c r="K664" s="86"/>
      <c r="L664" s="86"/>
      <c r="M664" s="86"/>
      <c r="N664" s="86"/>
      <c r="O664" s="86"/>
      <c r="P664" s="86"/>
      <c r="Q664" s="86"/>
      <c r="R664" s="86"/>
      <c r="S664" s="86"/>
      <c r="T664" s="86"/>
      <c r="U664" s="86"/>
      <c r="V664" s="86"/>
      <c r="W664" s="86"/>
      <c r="X664" s="86"/>
      <c r="Y664" s="86"/>
      <c r="Z664" s="86"/>
    </row>
    <row r="665" spans="6:26" ht="12.75">
      <c r="F665" s="86"/>
      <c r="G665" s="86"/>
      <c r="H665" s="86"/>
      <c r="I665" s="86"/>
      <c r="J665" s="86"/>
      <c r="K665" s="86"/>
      <c r="L665" s="86"/>
      <c r="M665" s="86"/>
      <c r="N665" s="86"/>
      <c r="O665" s="86"/>
      <c r="P665" s="86"/>
      <c r="Q665" s="86"/>
      <c r="R665" s="86"/>
      <c r="S665" s="86"/>
      <c r="T665" s="86"/>
      <c r="U665" s="86"/>
      <c r="V665" s="86"/>
      <c r="W665" s="86"/>
      <c r="X665" s="86"/>
      <c r="Y665" s="86"/>
      <c r="Z665" s="86"/>
    </row>
    <row r="666" spans="6:26" ht="12.75">
      <c r="F666" s="86"/>
      <c r="G666" s="86"/>
      <c r="H666" s="86"/>
      <c r="I666" s="86"/>
      <c r="J666" s="86"/>
      <c r="K666" s="86"/>
      <c r="L666" s="86"/>
      <c r="M666" s="86"/>
      <c r="N666" s="86"/>
      <c r="O666" s="86"/>
      <c r="P666" s="86"/>
      <c r="Q666" s="86"/>
      <c r="R666" s="86"/>
      <c r="S666" s="86"/>
      <c r="T666" s="86"/>
      <c r="U666" s="86"/>
      <c r="V666" s="86"/>
      <c r="W666" s="86"/>
      <c r="X666" s="86"/>
      <c r="Y666" s="86"/>
      <c r="Z666" s="86"/>
    </row>
    <row r="667" spans="6:26" ht="12.75">
      <c r="F667" s="86"/>
      <c r="G667" s="86"/>
      <c r="H667" s="86"/>
      <c r="I667" s="86"/>
      <c r="J667" s="86"/>
      <c r="K667" s="86"/>
      <c r="L667" s="86"/>
      <c r="M667" s="86"/>
      <c r="N667" s="86"/>
      <c r="O667" s="86"/>
      <c r="P667" s="86"/>
      <c r="Q667" s="86"/>
      <c r="R667" s="86"/>
      <c r="S667" s="86"/>
      <c r="T667" s="86"/>
      <c r="U667" s="86"/>
      <c r="V667" s="86"/>
      <c r="W667" s="86"/>
      <c r="X667" s="86"/>
      <c r="Y667" s="86"/>
      <c r="Z667" s="86"/>
    </row>
    <row r="668" spans="6:26" ht="12.75">
      <c r="F668" s="86"/>
      <c r="G668" s="86"/>
      <c r="H668" s="86"/>
      <c r="I668" s="86"/>
      <c r="J668" s="86"/>
      <c r="K668" s="86"/>
      <c r="L668" s="86"/>
      <c r="M668" s="86"/>
      <c r="N668" s="86"/>
      <c r="O668" s="86"/>
      <c r="P668" s="86"/>
      <c r="Q668" s="86"/>
      <c r="R668" s="86"/>
      <c r="S668" s="86"/>
      <c r="T668" s="86"/>
      <c r="U668" s="86"/>
      <c r="V668" s="86"/>
      <c r="W668" s="86"/>
      <c r="X668" s="86"/>
      <c r="Y668" s="86"/>
      <c r="Z668" s="86"/>
    </row>
    <row r="669" spans="6:26" ht="12.75">
      <c r="F669" s="86"/>
      <c r="G669" s="86"/>
      <c r="H669" s="86"/>
      <c r="I669" s="86"/>
      <c r="J669" s="86"/>
      <c r="K669" s="86"/>
      <c r="L669" s="86"/>
      <c r="M669" s="86"/>
      <c r="N669" s="86"/>
      <c r="O669" s="86"/>
      <c r="P669" s="86"/>
      <c r="Q669" s="86"/>
      <c r="R669" s="86"/>
      <c r="S669" s="86"/>
      <c r="T669" s="86"/>
      <c r="U669" s="86"/>
      <c r="V669" s="86"/>
      <c r="W669" s="86"/>
      <c r="X669" s="86"/>
      <c r="Y669" s="86"/>
      <c r="Z669" s="86"/>
    </row>
    <row r="670" spans="6:26" ht="12.75">
      <c r="F670" s="86"/>
      <c r="G670" s="86"/>
      <c r="H670" s="86"/>
      <c r="I670" s="86"/>
      <c r="J670" s="86"/>
      <c r="K670" s="86"/>
      <c r="L670" s="86"/>
      <c r="M670" s="86"/>
      <c r="N670" s="86"/>
      <c r="O670" s="86"/>
      <c r="P670" s="86"/>
      <c r="Q670" s="86"/>
      <c r="R670" s="86"/>
      <c r="S670" s="86"/>
      <c r="T670" s="86"/>
      <c r="U670" s="86"/>
      <c r="V670" s="86"/>
      <c r="W670" s="86"/>
      <c r="X670" s="86"/>
      <c r="Y670" s="86"/>
      <c r="Z670" s="86"/>
    </row>
    <row r="671" spans="6:26" ht="12.75">
      <c r="F671" s="86"/>
      <c r="G671" s="86"/>
      <c r="H671" s="86"/>
      <c r="I671" s="86"/>
      <c r="J671" s="86"/>
      <c r="K671" s="86"/>
      <c r="L671" s="86"/>
      <c r="M671" s="86"/>
      <c r="N671" s="86"/>
      <c r="O671" s="86"/>
      <c r="P671" s="86"/>
      <c r="Q671" s="86"/>
      <c r="R671" s="86"/>
      <c r="S671" s="86"/>
      <c r="T671" s="86"/>
      <c r="U671" s="86"/>
      <c r="V671" s="86"/>
      <c r="W671" s="86"/>
      <c r="X671" s="86"/>
      <c r="Y671" s="86"/>
      <c r="Z671" s="86"/>
    </row>
    <row r="672" spans="6:26" ht="12.75">
      <c r="F672" s="86"/>
      <c r="G672" s="86"/>
      <c r="H672" s="86"/>
      <c r="I672" s="86"/>
      <c r="J672" s="86"/>
      <c r="K672" s="86"/>
      <c r="L672" s="86"/>
      <c r="M672" s="86"/>
      <c r="N672" s="86"/>
      <c r="O672" s="86"/>
      <c r="P672" s="86"/>
      <c r="Q672" s="86"/>
      <c r="R672" s="86"/>
      <c r="S672" s="86"/>
      <c r="T672" s="86"/>
      <c r="U672" s="86"/>
      <c r="V672" s="86"/>
      <c r="W672" s="86"/>
      <c r="X672" s="86"/>
      <c r="Y672" s="86"/>
      <c r="Z672" s="86"/>
    </row>
    <row r="673" spans="6:26" ht="12.75">
      <c r="F673" s="86"/>
      <c r="G673" s="86"/>
      <c r="H673" s="86"/>
      <c r="I673" s="86"/>
      <c r="J673" s="86"/>
      <c r="K673" s="86"/>
      <c r="L673" s="86"/>
      <c r="M673" s="86"/>
      <c r="N673" s="86"/>
      <c r="O673" s="86"/>
      <c r="P673" s="86"/>
      <c r="Q673" s="86"/>
      <c r="R673" s="86"/>
      <c r="S673" s="86"/>
      <c r="T673" s="86"/>
      <c r="U673" s="86"/>
      <c r="V673" s="86"/>
      <c r="W673" s="86"/>
      <c r="X673" s="86"/>
      <c r="Y673" s="86"/>
      <c r="Z673" s="86"/>
    </row>
    <row r="674" spans="6:26" ht="12.75">
      <c r="F674" s="86"/>
      <c r="G674" s="86"/>
      <c r="H674" s="86"/>
      <c r="I674" s="86"/>
      <c r="J674" s="86"/>
      <c r="K674" s="86"/>
      <c r="L674" s="86"/>
      <c r="M674" s="86"/>
      <c r="N674" s="86"/>
      <c r="O674" s="86"/>
      <c r="P674" s="86"/>
      <c r="Q674" s="86"/>
      <c r="R674" s="86"/>
      <c r="S674" s="86"/>
      <c r="T674" s="86"/>
      <c r="U674" s="86"/>
      <c r="V674" s="86"/>
      <c r="W674" s="86"/>
      <c r="X674" s="86"/>
      <c r="Y674" s="86"/>
      <c r="Z674" s="86"/>
    </row>
    <row r="675" spans="6:26" ht="12.75">
      <c r="F675" s="86"/>
      <c r="G675" s="86"/>
      <c r="H675" s="86"/>
      <c r="I675" s="86"/>
      <c r="J675" s="86"/>
      <c r="K675" s="86"/>
      <c r="L675" s="86"/>
      <c r="M675" s="86"/>
      <c r="N675" s="86"/>
      <c r="O675" s="86"/>
      <c r="P675" s="86"/>
      <c r="Q675" s="86"/>
      <c r="R675" s="86"/>
      <c r="S675" s="86"/>
      <c r="T675" s="86"/>
      <c r="U675" s="86"/>
      <c r="V675" s="86"/>
      <c r="W675" s="86"/>
      <c r="X675" s="86"/>
      <c r="Y675" s="86"/>
      <c r="Z675" s="86"/>
    </row>
    <row r="676" spans="6:26" ht="12.75">
      <c r="F676" s="86"/>
      <c r="G676" s="86"/>
      <c r="H676" s="86"/>
      <c r="I676" s="86"/>
      <c r="J676" s="86"/>
      <c r="K676" s="86"/>
      <c r="L676" s="86"/>
      <c r="M676" s="86"/>
      <c r="N676" s="86"/>
      <c r="O676" s="86"/>
      <c r="P676" s="86"/>
      <c r="Q676" s="86"/>
      <c r="R676" s="86"/>
      <c r="S676" s="86"/>
      <c r="T676" s="86"/>
      <c r="U676" s="86"/>
      <c r="V676" s="86"/>
      <c r="W676" s="86"/>
      <c r="X676" s="86"/>
      <c r="Y676" s="86"/>
      <c r="Z676" s="86"/>
    </row>
    <row r="677" spans="6:26" ht="12.75">
      <c r="F677" s="86"/>
      <c r="G677" s="86"/>
      <c r="H677" s="86"/>
      <c r="I677" s="86"/>
      <c r="J677" s="86"/>
      <c r="K677" s="86"/>
      <c r="L677" s="86"/>
      <c r="M677" s="86"/>
      <c r="N677" s="86"/>
      <c r="O677" s="86"/>
      <c r="P677" s="86"/>
      <c r="Q677" s="86"/>
      <c r="R677" s="86"/>
      <c r="S677" s="86"/>
      <c r="T677" s="86"/>
      <c r="U677" s="86"/>
      <c r="V677" s="86"/>
      <c r="W677" s="86"/>
      <c r="X677" s="86"/>
      <c r="Y677" s="86"/>
      <c r="Z677" s="86"/>
    </row>
    <row r="678" spans="6:26" ht="12.75">
      <c r="F678" s="86"/>
      <c r="G678" s="86"/>
      <c r="H678" s="86"/>
      <c r="I678" s="86"/>
      <c r="J678" s="86"/>
      <c r="K678" s="86"/>
      <c r="L678" s="86"/>
      <c r="M678" s="86"/>
      <c r="N678" s="86"/>
      <c r="O678" s="86"/>
      <c r="P678" s="86"/>
      <c r="Q678" s="86"/>
      <c r="R678" s="86"/>
      <c r="S678" s="86"/>
      <c r="T678" s="86"/>
      <c r="U678" s="86"/>
      <c r="V678" s="86"/>
      <c r="W678" s="86"/>
      <c r="X678" s="86"/>
      <c r="Y678" s="86"/>
      <c r="Z678" s="86"/>
    </row>
    <row r="679" spans="6:26" ht="12.75">
      <c r="F679" s="86"/>
      <c r="G679" s="86"/>
      <c r="H679" s="86"/>
      <c r="I679" s="86"/>
      <c r="J679" s="86"/>
      <c r="K679" s="86"/>
      <c r="L679" s="86"/>
      <c r="M679" s="86"/>
      <c r="N679" s="86"/>
      <c r="O679" s="86"/>
      <c r="P679" s="86"/>
      <c r="Q679" s="86"/>
      <c r="R679" s="86"/>
      <c r="S679" s="86"/>
      <c r="T679" s="86"/>
      <c r="U679" s="86"/>
      <c r="V679" s="86"/>
      <c r="W679" s="86"/>
      <c r="X679" s="86"/>
      <c r="Y679" s="86"/>
      <c r="Z679" s="86"/>
    </row>
    <row r="680" spans="6:26" ht="12.75">
      <c r="F680" s="86"/>
      <c r="G680" s="86"/>
      <c r="H680" s="86"/>
      <c r="I680" s="86"/>
      <c r="J680" s="86"/>
      <c r="K680" s="86"/>
      <c r="L680" s="86"/>
      <c r="M680" s="86"/>
      <c r="N680" s="86"/>
      <c r="O680" s="86"/>
      <c r="P680" s="86"/>
      <c r="Q680" s="86"/>
      <c r="R680" s="86"/>
      <c r="S680" s="86"/>
      <c r="T680" s="86"/>
      <c r="U680" s="86"/>
      <c r="V680" s="86"/>
      <c r="W680" s="86"/>
      <c r="X680" s="86"/>
      <c r="Y680" s="86"/>
      <c r="Z680" s="86"/>
    </row>
    <row r="681" spans="6:26" ht="12.75">
      <c r="F681" s="86"/>
      <c r="G681" s="86"/>
      <c r="H681" s="86"/>
      <c r="I681" s="86"/>
      <c r="J681" s="86"/>
      <c r="K681" s="86"/>
      <c r="L681" s="86"/>
      <c r="M681" s="86"/>
      <c r="N681" s="86"/>
      <c r="O681" s="86"/>
      <c r="P681" s="86"/>
      <c r="Q681" s="86"/>
      <c r="R681" s="86"/>
      <c r="S681" s="86"/>
      <c r="T681" s="86"/>
      <c r="U681" s="86"/>
      <c r="V681" s="86"/>
      <c r="W681" s="86"/>
      <c r="X681" s="86"/>
      <c r="Y681" s="86"/>
      <c r="Z681" s="86"/>
    </row>
    <row r="682" spans="6:26" ht="12.75">
      <c r="F682" s="86"/>
      <c r="G682" s="86"/>
      <c r="H682" s="86"/>
      <c r="I682" s="86"/>
      <c r="J682" s="86"/>
      <c r="K682" s="86"/>
      <c r="L682" s="86"/>
      <c r="M682" s="86"/>
      <c r="N682" s="86"/>
      <c r="O682" s="86"/>
      <c r="P682" s="86"/>
      <c r="Q682" s="86"/>
      <c r="R682" s="86"/>
      <c r="S682" s="86"/>
      <c r="T682" s="86"/>
      <c r="U682" s="86"/>
      <c r="V682" s="86"/>
      <c r="W682" s="86"/>
      <c r="X682" s="86"/>
      <c r="Y682" s="86"/>
      <c r="Z682" s="86"/>
    </row>
    <row r="683" spans="6:26" ht="12.75">
      <c r="F683" s="86"/>
      <c r="G683" s="86"/>
      <c r="H683" s="86"/>
      <c r="I683" s="86"/>
      <c r="J683" s="86"/>
      <c r="K683" s="86"/>
      <c r="L683" s="86"/>
      <c r="M683" s="86"/>
      <c r="N683" s="86"/>
      <c r="O683" s="86"/>
      <c r="P683" s="86"/>
      <c r="Q683" s="86"/>
      <c r="R683" s="86"/>
      <c r="S683" s="86"/>
      <c r="T683" s="86"/>
      <c r="U683" s="86"/>
      <c r="V683" s="86"/>
      <c r="W683" s="86"/>
      <c r="X683" s="86"/>
      <c r="Y683" s="86"/>
      <c r="Z683" s="86"/>
    </row>
    <row r="684" spans="6:26" ht="12.75">
      <c r="F684" s="86"/>
      <c r="G684" s="86"/>
      <c r="H684" s="86"/>
      <c r="I684" s="86"/>
      <c r="J684" s="86"/>
      <c r="K684" s="86"/>
      <c r="L684" s="86"/>
      <c r="M684" s="86"/>
      <c r="N684" s="86"/>
      <c r="O684" s="86"/>
      <c r="P684" s="86"/>
      <c r="Q684" s="86"/>
      <c r="R684" s="86"/>
      <c r="S684" s="86"/>
      <c r="T684" s="86"/>
      <c r="U684" s="86"/>
      <c r="V684" s="86"/>
      <c r="W684" s="86"/>
      <c r="X684" s="86"/>
      <c r="Y684" s="86"/>
      <c r="Z684" s="86"/>
    </row>
    <row r="685" spans="6:26" ht="12.75">
      <c r="F685" s="86"/>
      <c r="G685" s="86"/>
      <c r="H685" s="86"/>
      <c r="I685" s="86"/>
      <c r="J685" s="86"/>
      <c r="K685" s="86"/>
      <c r="L685" s="86"/>
      <c r="M685" s="86"/>
      <c r="N685" s="86"/>
      <c r="O685" s="86"/>
      <c r="P685" s="86"/>
      <c r="Q685" s="86"/>
      <c r="R685" s="86"/>
      <c r="S685" s="86"/>
      <c r="T685" s="86"/>
      <c r="U685" s="86"/>
      <c r="V685" s="86"/>
      <c r="W685" s="86"/>
      <c r="X685" s="86"/>
      <c r="Y685" s="86"/>
      <c r="Z685" s="86"/>
    </row>
    <row r="686" spans="6:26" ht="12.75">
      <c r="F686" s="86"/>
      <c r="G686" s="86"/>
      <c r="H686" s="86"/>
      <c r="I686" s="86"/>
      <c r="J686" s="86"/>
      <c r="K686" s="86"/>
      <c r="L686" s="86"/>
      <c r="M686" s="86"/>
      <c r="N686" s="86"/>
      <c r="O686" s="86"/>
      <c r="P686" s="86"/>
      <c r="Q686" s="86"/>
      <c r="R686" s="86"/>
      <c r="S686" s="86"/>
      <c r="T686" s="86"/>
      <c r="U686" s="86"/>
      <c r="V686" s="86"/>
      <c r="W686" s="86"/>
      <c r="X686" s="86"/>
      <c r="Y686" s="86"/>
      <c r="Z686" s="86"/>
    </row>
    <row r="687" spans="6:26" ht="12.75">
      <c r="F687" s="86"/>
      <c r="G687" s="86"/>
      <c r="H687" s="86"/>
      <c r="I687" s="86"/>
      <c r="J687" s="86"/>
      <c r="K687" s="86"/>
      <c r="L687" s="86"/>
      <c r="M687" s="86"/>
      <c r="N687" s="86"/>
      <c r="O687" s="86"/>
      <c r="P687" s="86"/>
      <c r="Q687" s="86"/>
      <c r="R687" s="86"/>
      <c r="S687" s="86"/>
      <c r="T687" s="86"/>
      <c r="U687" s="86"/>
      <c r="V687" s="86"/>
      <c r="W687" s="86"/>
      <c r="X687" s="86"/>
      <c r="Y687" s="86"/>
      <c r="Z687" s="86"/>
    </row>
    <row r="688" spans="6:26" ht="12.75">
      <c r="F688" s="86"/>
      <c r="G688" s="86"/>
      <c r="H688" s="86"/>
      <c r="I688" s="86"/>
      <c r="J688" s="86"/>
      <c r="K688" s="86"/>
      <c r="L688" s="86"/>
      <c r="M688" s="86"/>
      <c r="N688" s="86"/>
      <c r="O688" s="86"/>
      <c r="P688" s="86"/>
      <c r="Q688" s="86"/>
      <c r="R688" s="86"/>
      <c r="S688" s="86"/>
      <c r="T688" s="86"/>
      <c r="U688" s="86"/>
      <c r="V688" s="86"/>
      <c r="W688" s="86"/>
      <c r="X688" s="86"/>
      <c r="Y688" s="86"/>
      <c r="Z688" s="86"/>
    </row>
    <row r="689" spans="6:26" ht="12.75">
      <c r="F689" s="86"/>
      <c r="G689" s="86"/>
      <c r="H689" s="86"/>
      <c r="I689" s="86"/>
      <c r="J689" s="86"/>
      <c r="K689" s="86"/>
      <c r="L689" s="86"/>
      <c r="M689" s="86"/>
      <c r="N689" s="86"/>
      <c r="O689" s="86"/>
      <c r="P689" s="86"/>
      <c r="Q689" s="86"/>
      <c r="R689" s="86"/>
      <c r="S689" s="86"/>
      <c r="T689" s="86"/>
      <c r="U689" s="86"/>
      <c r="V689" s="86"/>
      <c r="W689" s="86"/>
      <c r="X689" s="86"/>
      <c r="Y689" s="86"/>
      <c r="Z689" s="86"/>
    </row>
    <row r="690" spans="6:26" ht="12.75">
      <c r="F690" s="86"/>
      <c r="G690" s="86"/>
      <c r="H690" s="86"/>
      <c r="I690" s="86"/>
      <c r="J690" s="86"/>
      <c r="K690" s="86"/>
      <c r="L690" s="86"/>
      <c r="M690" s="86"/>
      <c r="N690" s="86"/>
      <c r="O690" s="86"/>
      <c r="P690" s="86"/>
      <c r="Q690" s="86"/>
      <c r="R690" s="86"/>
      <c r="S690" s="86"/>
      <c r="T690" s="86"/>
      <c r="U690" s="86"/>
      <c r="V690" s="86"/>
      <c r="W690" s="86"/>
      <c r="X690" s="86"/>
      <c r="Y690" s="86"/>
      <c r="Z690" s="86"/>
    </row>
    <row r="691" spans="6:26" ht="12.75">
      <c r="F691" s="86"/>
      <c r="G691" s="86"/>
      <c r="H691" s="86"/>
      <c r="I691" s="86"/>
      <c r="J691" s="86"/>
      <c r="K691" s="86"/>
      <c r="L691" s="86"/>
      <c r="M691" s="86"/>
      <c r="N691" s="86"/>
      <c r="O691" s="86"/>
      <c r="P691" s="86"/>
      <c r="Q691" s="86"/>
      <c r="R691" s="86"/>
      <c r="S691" s="86"/>
      <c r="T691" s="86"/>
      <c r="U691" s="86"/>
      <c r="V691" s="86"/>
      <c r="W691" s="86"/>
      <c r="X691" s="86"/>
      <c r="Y691" s="86"/>
      <c r="Z691" s="86"/>
    </row>
    <row r="692" spans="6:26" ht="12.75">
      <c r="F692" s="86"/>
      <c r="G692" s="86"/>
      <c r="H692" s="86"/>
      <c r="I692" s="86"/>
      <c r="J692" s="86"/>
      <c r="K692" s="86"/>
      <c r="L692" s="86"/>
      <c r="M692" s="86"/>
      <c r="N692" s="86"/>
      <c r="O692" s="86"/>
      <c r="P692" s="86"/>
      <c r="Q692" s="86"/>
      <c r="R692" s="86"/>
      <c r="S692" s="86"/>
      <c r="T692" s="86"/>
      <c r="U692" s="86"/>
      <c r="V692" s="86"/>
      <c r="W692" s="86"/>
      <c r="X692" s="86"/>
      <c r="Y692" s="86"/>
      <c r="Z692" s="86"/>
    </row>
    <row r="693" spans="6:26" ht="12.75">
      <c r="F693" s="86"/>
      <c r="G693" s="86"/>
      <c r="H693" s="86"/>
      <c r="I693" s="86"/>
      <c r="J693" s="86"/>
      <c r="K693" s="86"/>
      <c r="L693" s="86"/>
      <c r="M693" s="86"/>
      <c r="N693" s="86"/>
      <c r="O693" s="86"/>
      <c r="P693" s="86"/>
      <c r="Q693" s="86"/>
      <c r="R693" s="86"/>
      <c r="S693" s="86"/>
      <c r="T693" s="86"/>
      <c r="U693" s="86"/>
      <c r="V693" s="86"/>
      <c r="W693" s="86"/>
      <c r="X693" s="86"/>
      <c r="Y693" s="86"/>
      <c r="Z693" s="86"/>
    </row>
    <row r="694" spans="6:26" ht="12.75">
      <c r="F694" s="86"/>
      <c r="G694" s="86"/>
      <c r="H694" s="86"/>
      <c r="I694" s="86"/>
      <c r="J694" s="86"/>
      <c r="K694" s="86"/>
      <c r="L694" s="86"/>
      <c r="M694" s="86"/>
      <c r="N694" s="86"/>
      <c r="O694" s="86"/>
      <c r="P694" s="86"/>
      <c r="Q694" s="86"/>
      <c r="R694" s="86"/>
      <c r="S694" s="86"/>
      <c r="T694" s="86"/>
      <c r="U694" s="86"/>
      <c r="V694" s="86"/>
      <c r="W694" s="86"/>
      <c r="X694" s="86"/>
      <c r="Y694" s="86"/>
      <c r="Z694" s="86"/>
    </row>
    <row r="695" spans="6:26" ht="12.75">
      <c r="F695" s="86"/>
      <c r="G695" s="86"/>
      <c r="H695" s="86"/>
      <c r="I695" s="86"/>
      <c r="J695" s="86"/>
      <c r="K695" s="86"/>
      <c r="L695" s="86"/>
      <c r="M695" s="86"/>
      <c r="N695" s="86"/>
      <c r="O695" s="86"/>
      <c r="P695" s="86"/>
      <c r="Q695" s="86"/>
      <c r="R695" s="86"/>
      <c r="S695" s="86"/>
      <c r="T695" s="86"/>
      <c r="U695" s="86"/>
      <c r="V695" s="86"/>
      <c r="W695" s="86"/>
      <c r="X695" s="86"/>
      <c r="Y695" s="86"/>
      <c r="Z695" s="86"/>
    </row>
    <row r="696" spans="6:26" ht="12.75">
      <c r="F696" s="86"/>
      <c r="G696" s="86"/>
      <c r="H696" s="86"/>
      <c r="I696" s="86"/>
      <c r="J696" s="86"/>
      <c r="K696" s="86"/>
      <c r="L696" s="86"/>
      <c r="M696" s="86"/>
      <c r="N696" s="86"/>
      <c r="O696" s="86"/>
      <c r="P696" s="86"/>
      <c r="Q696" s="86"/>
      <c r="R696" s="86"/>
      <c r="S696" s="86"/>
      <c r="T696" s="86"/>
      <c r="U696" s="86"/>
      <c r="V696" s="86"/>
      <c r="W696" s="86"/>
      <c r="X696" s="86"/>
      <c r="Y696" s="86"/>
      <c r="Z696" s="86"/>
    </row>
    <row r="697" spans="6:26" ht="12.75">
      <c r="F697" s="86"/>
      <c r="G697" s="86"/>
      <c r="H697" s="86"/>
      <c r="I697" s="86"/>
      <c r="J697" s="86"/>
      <c r="K697" s="86"/>
      <c r="L697" s="86"/>
      <c r="M697" s="86"/>
      <c r="N697" s="86"/>
      <c r="O697" s="86"/>
      <c r="P697" s="86"/>
      <c r="Q697" s="86"/>
      <c r="R697" s="86"/>
      <c r="S697" s="86"/>
      <c r="T697" s="86"/>
      <c r="U697" s="86"/>
      <c r="V697" s="86"/>
      <c r="W697" s="86"/>
      <c r="X697" s="86"/>
      <c r="Y697" s="86"/>
      <c r="Z697" s="86"/>
    </row>
    <row r="698" spans="6:26" ht="12.75">
      <c r="F698" s="86"/>
      <c r="G698" s="86"/>
      <c r="H698" s="86"/>
      <c r="I698" s="86"/>
      <c r="J698" s="86"/>
      <c r="K698" s="86"/>
      <c r="L698" s="86"/>
      <c r="M698" s="86"/>
      <c r="N698" s="86"/>
      <c r="O698" s="86"/>
      <c r="P698" s="86"/>
      <c r="Q698" s="86"/>
      <c r="R698" s="86"/>
      <c r="S698" s="86"/>
      <c r="T698" s="86"/>
      <c r="U698" s="86"/>
      <c r="V698" s="86"/>
      <c r="W698" s="86"/>
      <c r="X698" s="86"/>
      <c r="Y698" s="86"/>
      <c r="Z698" s="86"/>
    </row>
    <row r="699" spans="6:26" ht="12.75">
      <c r="F699" s="86"/>
      <c r="G699" s="86"/>
      <c r="H699" s="86"/>
      <c r="I699" s="86"/>
      <c r="J699" s="86"/>
      <c r="K699" s="86"/>
      <c r="L699" s="86"/>
      <c r="M699" s="86"/>
      <c r="N699" s="86"/>
      <c r="O699" s="86"/>
      <c r="P699" s="86"/>
      <c r="Q699" s="86"/>
      <c r="R699" s="86"/>
      <c r="S699" s="86"/>
      <c r="T699" s="86"/>
      <c r="U699" s="86"/>
      <c r="V699" s="86"/>
      <c r="W699" s="86"/>
      <c r="X699" s="86"/>
      <c r="Y699" s="86"/>
      <c r="Z699" s="86"/>
    </row>
    <row r="700" spans="6:26" ht="12.75">
      <c r="F700" s="86"/>
      <c r="G700" s="86"/>
      <c r="H700" s="86"/>
      <c r="I700" s="86"/>
      <c r="J700" s="86"/>
      <c r="K700" s="86"/>
      <c r="L700" s="86"/>
      <c r="M700" s="86"/>
      <c r="N700" s="86"/>
      <c r="O700" s="86"/>
      <c r="P700" s="86"/>
      <c r="Q700" s="86"/>
      <c r="R700" s="86"/>
      <c r="S700" s="86"/>
      <c r="T700" s="86"/>
      <c r="U700" s="86"/>
      <c r="V700" s="86"/>
      <c r="W700" s="86"/>
      <c r="X700" s="86"/>
      <c r="Y700" s="86"/>
      <c r="Z700" s="86"/>
    </row>
    <row r="701" spans="6:26" ht="12.75">
      <c r="F701" s="86"/>
      <c r="G701" s="86"/>
      <c r="H701" s="86"/>
      <c r="I701" s="86"/>
      <c r="J701" s="86"/>
      <c r="K701" s="86"/>
      <c r="L701" s="86"/>
      <c r="M701" s="86"/>
      <c r="N701" s="86"/>
      <c r="O701" s="86"/>
      <c r="P701" s="86"/>
      <c r="Q701" s="86"/>
      <c r="R701" s="86"/>
      <c r="S701" s="86"/>
      <c r="T701" s="86"/>
      <c r="U701" s="86"/>
      <c r="V701" s="86"/>
      <c r="W701" s="86"/>
      <c r="X701" s="86"/>
      <c r="Y701" s="86"/>
      <c r="Z701" s="86"/>
    </row>
    <row r="702" spans="6:26" ht="12.75">
      <c r="F702" s="86"/>
      <c r="G702" s="86"/>
      <c r="H702" s="86"/>
      <c r="I702" s="86"/>
      <c r="J702" s="86"/>
      <c r="K702" s="86"/>
      <c r="L702" s="86"/>
      <c r="M702" s="86"/>
      <c r="N702" s="86"/>
      <c r="O702" s="86"/>
      <c r="P702" s="86"/>
      <c r="Q702" s="86"/>
      <c r="R702" s="86"/>
      <c r="S702" s="86"/>
      <c r="T702" s="86"/>
      <c r="U702" s="86"/>
      <c r="V702" s="86"/>
      <c r="W702" s="86"/>
      <c r="X702" s="86"/>
      <c r="Y702" s="86"/>
      <c r="Z702" s="86"/>
    </row>
    <row r="703" spans="6:26" ht="12.75">
      <c r="F703" s="86"/>
      <c r="G703" s="86"/>
      <c r="H703" s="86"/>
      <c r="I703" s="86"/>
      <c r="J703" s="86"/>
      <c r="K703" s="86"/>
      <c r="L703" s="86"/>
      <c r="M703" s="86"/>
      <c r="N703" s="86"/>
      <c r="O703" s="86"/>
      <c r="P703" s="86"/>
      <c r="Q703" s="86"/>
      <c r="R703" s="86"/>
      <c r="S703" s="86"/>
      <c r="T703" s="86"/>
      <c r="U703" s="86"/>
      <c r="V703" s="86"/>
      <c r="W703" s="86"/>
      <c r="X703" s="86"/>
      <c r="Y703" s="86"/>
      <c r="Z703" s="86"/>
    </row>
    <row r="704" spans="6:26" ht="12.75">
      <c r="F704" s="86"/>
      <c r="G704" s="86"/>
      <c r="H704" s="86"/>
      <c r="I704" s="86"/>
      <c r="J704" s="86"/>
      <c r="K704" s="86"/>
      <c r="L704" s="86"/>
      <c r="M704" s="86"/>
      <c r="N704" s="86"/>
      <c r="O704" s="86"/>
      <c r="P704" s="86"/>
      <c r="Q704" s="86"/>
      <c r="R704" s="86"/>
      <c r="S704" s="86"/>
      <c r="T704" s="86"/>
      <c r="U704" s="86"/>
      <c r="V704" s="86"/>
      <c r="W704" s="86"/>
      <c r="X704" s="86"/>
      <c r="Y704" s="86"/>
      <c r="Z704" s="86"/>
    </row>
    <row r="705" spans="6:26" ht="12.75">
      <c r="F705" s="86"/>
      <c r="G705" s="86"/>
      <c r="H705" s="86"/>
      <c r="I705" s="86"/>
      <c r="J705" s="86"/>
      <c r="K705" s="86"/>
      <c r="L705" s="86"/>
      <c r="M705" s="86"/>
      <c r="N705" s="86"/>
      <c r="O705" s="86"/>
      <c r="P705" s="86"/>
      <c r="Q705" s="86"/>
      <c r="R705" s="86"/>
      <c r="S705" s="86"/>
      <c r="T705" s="86"/>
      <c r="U705" s="86"/>
      <c r="V705" s="86"/>
      <c r="W705" s="86"/>
      <c r="X705" s="86"/>
      <c r="Y705" s="86"/>
      <c r="Z705" s="86"/>
    </row>
    <row r="706" spans="6:26" ht="12.75">
      <c r="F706" s="86"/>
      <c r="G706" s="86"/>
      <c r="H706" s="86"/>
      <c r="I706" s="86"/>
      <c r="J706" s="86"/>
      <c r="K706" s="86"/>
      <c r="L706" s="86"/>
      <c r="M706" s="86"/>
      <c r="N706" s="86"/>
      <c r="O706" s="86"/>
      <c r="P706" s="86"/>
      <c r="Q706" s="86"/>
      <c r="R706" s="86"/>
      <c r="S706" s="86"/>
      <c r="T706" s="86"/>
      <c r="U706" s="86"/>
      <c r="V706" s="86"/>
      <c r="W706" s="86"/>
      <c r="X706" s="86"/>
      <c r="Y706" s="86"/>
      <c r="Z706" s="86"/>
    </row>
    <row r="707" spans="6:26" ht="12.75">
      <c r="F707" s="86"/>
      <c r="G707" s="86"/>
      <c r="H707" s="86"/>
      <c r="I707" s="86"/>
      <c r="J707" s="86"/>
      <c r="K707" s="86"/>
      <c r="L707" s="86"/>
      <c r="M707" s="86"/>
      <c r="N707" s="86"/>
      <c r="O707" s="86"/>
      <c r="P707" s="86"/>
      <c r="Q707" s="86"/>
      <c r="R707" s="86"/>
      <c r="S707" s="86"/>
      <c r="T707" s="86"/>
      <c r="U707" s="86"/>
      <c r="V707" s="86"/>
      <c r="W707" s="86"/>
      <c r="X707" s="86"/>
      <c r="Y707" s="86"/>
      <c r="Z707" s="86"/>
    </row>
    <row r="708" spans="6:26" ht="12.75">
      <c r="F708" s="86"/>
      <c r="G708" s="86"/>
      <c r="H708" s="86"/>
      <c r="I708" s="86"/>
      <c r="J708" s="86"/>
      <c r="K708" s="86"/>
      <c r="L708" s="86"/>
      <c r="M708" s="86"/>
      <c r="N708" s="86"/>
      <c r="O708" s="86"/>
      <c r="P708" s="86"/>
      <c r="Q708" s="86"/>
      <c r="R708" s="86"/>
      <c r="S708" s="86"/>
      <c r="T708" s="86"/>
      <c r="U708" s="86"/>
      <c r="V708" s="86"/>
      <c r="W708" s="86"/>
      <c r="X708" s="86"/>
      <c r="Y708" s="86"/>
      <c r="Z708" s="86"/>
    </row>
    <row r="709" spans="6:26" ht="12.75">
      <c r="F709" s="86"/>
      <c r="G709" s="86"/>
      <c r="H709" s="86"/>
      <c r="I709" s="86"/>
      <c r="J709" s="86"/>
      <c r="K709" s="86"/>
      <c r="L709" s="86"/>
      <c r="M709" s="86"/>
      <c r="N709" s="86"/>
      <c r="O709" s="86"/>
      <c r="P709" s="86"/>
      <c r="Q709" s="86"/>
      <c r="R709" s="86"/>
      <c r="S709" s="86"/>
      <c r="T709" s="86"/>
      <c r="U709" s="86"/>
      <c r="V709" s="86"/>
      <c r="W709" s="86"/>
      <c r="X709" s="86"/>
      <c r="Y709" s="86"/>
      <c r="Z709" s="86"/>
    </row>
    <row r="710" spans="6:26" ht="12.75">
      <c r="F710" s="86"/>
      <c r="G710" s="86"/>
      <c r="H710" s="86"/>
      <c r="I710" s="86"/>
      <c r="J710" s="86"/>
      <c r="K710" s="86"/>
      <c r="L710" s="86"/>
      <c r="M710" s="86"/>
      <c r="N710" s="86"/>
      <c r="O710" s="86"/>
      <c r="P710" s="86"/>
      <c r="Q710" s="86"/>
      <c r="R710" s="86"/>
      <c r="S710" s="86"/>
      <c r="T710" s="86"/>
      <c r="U710" s="86"/>
      <c r="V710" s="86"/>
      <c r="W710" s="86"/>
      <c r="X710" s="86"/>
      <c r="Y710" s="86"/>
      <c r="Z710" s="86"/>
    </row>
    <row r="711" spans="6:26" ht="12.75">
      <c r="F711" s="86"/>
      <c r="G711" s="86"/>
      <c r="H711" s="86"/>
      <c r="I711" s="86"/>
      <c r="J711" s="86"/>
      <c r="K711" s="86"/>
      <c r="L711" s="86"/>
      <c r="M711" s="86"/>
      <c r="N711" s="86"/>
      <c r="O711" s="86"/>
      <c r="P711" s="86"/>
      <c r="Q711" s="86"/>
      <c r="R711" s="86"/>
      <c r="S711" s="86"/>
      <c r="T711" s="86"/>
      <c r="U711" s="86"/>
      <c r="V711" s="86"/>
      <c r="W711" s="86"/>
      <c r="X711" s="86"/>
      <c r="Y711" s="86"/>
      <c r="Z711" s="86"/>
    </row>
    <row r="712" spans="6:26" ht="12.75">
      <c r="F712" s="86"/>
      <c r="G712" s="86"/>
      <c r="H712" s="86"/>
      <c r="I712" s="86"/>
      <c r="J712" s="86"/>
      <c r="K712" s="86"/>
      <c r="L712" s="86"/>
      <c r="M712" s="86"/>
      <c r="N712" s="86"/>
      <c r="O712" s="86"/>
      <c r="P712" s="86"/>
      <c r="Q712" s="86"/>
      <c r="R712" s="86"/>
      <c r="S712" s="86"/>
      <c r="T712" s="86"/>
      <c r="U712" s="86"/>
      <c r="V712" s="86"/>
      <c r="W712" s="86"/>
      <c r="X712" s="86"/>
      <c r="Y712" s="86"/>
      <c r="Z712" s="86"/>
    </row>
    <row r="713" spans="6:26" ht="12.75">
      <c r="F713" s="86"/>
      <c r="G713" s="86"/>
      <c r="H713" s="86"/>
      <c r="I713" s="86"/>
      <c r="J713" s="86"/>
      <c r="K713" s="86"/>
      <c r="L713" s="86"/>
      <c r="M713" s="86"/>
      <c r="N713" s="86"/>
      <c r="O713" s="86"/>
      <c r="P713" s="86"/>
      <c r="Q713" s="86"/>
      <c r="R713" s="86"/>
      <c r="S713" s="86"/>
      <c r="T713" s="86"/>
      <c r="U713" s="86"/>
      <c r="V713" s="86"/>
      <c r="W713" s="86"/>
      <c r="X713" s="86"/>
      <c r="Y713" s="86"/>
      <c r="Z713" s="86"/>
    </row>
    <row r="714" spans="6:26" ht="12.75">
      <c r="F714" s="86"/>
      <c r="G714" s="86"/>
      <c r="H714" s="86"/>
      <c r="I714" s="86"/>
      <c r="J714" s="86"/>
      <c r="K714" s="86"/>
      <c r="L714" s="86"/>
      <c r="M714" s="86"/>
      <c r="N714" s="86"/>
      <c r="O714" s="86"/>
      <c r="P714" s="86"/>
      <c r="Q714" s="86"/>
      <c r="R714" s="86"/>
      <c r="S714" s="86"/>
      <c r="T714" s="86"/>
      <c r="U714" s="86"/>
      <c r="V714" s="86"/>
      <c r="W714" s="86"/>
      <c r="X714" s="86"/>
      <c r="Y714" s="86"/>
      <c r="Z714" s="86"/>
    </row>
    <row r="715" spans="6:26" ht="12.75">
      <c r="F715" s="86"/>
      <c r="G715" s="86"/>
      <c r="H715" s="86"/>
      <c r="I715" s="86"/>
      <c r="J715" s="86"/>
      <c r="K715" s="86"/>
      <c r="L715" s="86"/>
      <c r="M715" s="86"/>
      <c r="N715" s="86"/>
      <c r="O715" s="86"/>
      <c r="P715" s="86"/>
      <c r="Q715" s="86"/>
      <c r="R715" s="86"/>
      <c r="S715" s="86"/>
      <c r="T715" s="86"/>
      <c r="U715" s="86"/>
      <c r="V715" s="86"/>
      <c r="W715" s="86"/>
      <c r="X715" s="86"/>
      <c r="Y715" s="86"/>
      <c r="Z715" s="86"/>
    </row>
    <row r="716" spans="6:26" ht="12.75">
      <c r="F716" s="86"/>
      <c r="G716" s="86"/>
      <c r="H716" s="86"/>
      <c r="I716" s="86"/>
      <c r="J716" s="86"/>
      <c r="K716" s="86"/>
      <c r="L716" s="86"/>
      <c r="M716" s="86"/>
      <c r="N716" s="86"/>
      <c r="O716" s="86"/>
      <c r="P716" s="86"/>
      <c r="Q716" s="86"/>
      <c r="R716" s="86"/>
      <c r="S716" s="86"/>
      <c r="T716" s="86"/>
      <c r="U716" s="86"/>
      <c r="V716" s="86"/>
      <c r="W716" s="86"/>
      <c r="X716" s="86"/>
      <c r="Y716" s="86"/>
      <c r="Z716" s="86"/>
    </row>
    <row r="717" spans="6:26" ht="12.75">
      <c r="F717" s="86"/>
      <c r="G717" s="86"/>
      <c r="H717" s="86"/>
      <c r="I717" s="86"/>
      <c r="J717" s="86"/>
      <c r="K717" s="86"/>
      <c r="L717" s="86"/>
      <c r="M717" s="86"/>
      <c r="N717" s="86"/>
      <c r="O717" s="86"/>
      <c r="P717" s="86"/>
      <c r="Q717" s="86"/>
      <c r="R717" s="86"/>
      <c r="S717" s="86"/>
      <c r="T717" s="86"/>
      <c r="U717" s="86"/>
      <c r="V717" s="86"/>
      <c r="W717" s="86"/>
      <c r="X717" s="86"/>
      <c r="Y717" s="86"/>
      <c r="Z717" s="86"/>
    </row>
    <row r="718" spans="6:26" ht="12.75">
      <c r="F718" s="86"/>
      <c r="G718" s="86"/>
      <c r="H718" s="86"/>
      <c r="I718" s="86"/>
      <c r="J718" s="86"/>
      <c r="K718" s="86"/>
      <c r="L718" s="86"/>
      <c r="M718" s="86"/>
      <c r="N718" s="86"/>
      <c r="O718" s="86"/>
      <c r="P718" s="86"/>
      <c r="Q718" s="86"/>
      <c r="R718" s="86"/>
      <c r="S718" s="86"/>
      <c r="T718" s="86"/>
      <c r="U718" s="86"/>
      <c r="V718" s="86"/>
      <c r="W718" s="86"/>
      <c r="X718" s="86"/>
      <c r="Y718" s="86"/>
      <c r="Z718" s="86"/>
    </row>
    <row r="719" spans="6:26" ht="12.75">
      <c r="F719" s="86"/>
      <c r="G719" s="86"/>
      <c r="H719" s="86"/>
      <c r="I719" s="86"/>
      <c r="J719" s="86"/>
      <c r="K719" s="86"/>
      <c r="L719" s="86"/>
      <c r="M719" s="86"/>
      <c r="N719" s="86"/>
      <c r="O719" s="86"/>
      <c r="P719" s="86"/>
      <c r="Q719" s="86"/>
      <c r="R719" s="86"/>
      <c r="S719" s="86"/>
      <c r="T719" s="86"/>
      <c r="U719" s="86"/>
      <c r="V719" s="86"/>
      <c r="W719" s="86"/>
      <c r="X719" s="86"/>
      <c r="Y719" s="86"/>
      <c r="Z719" s="86"/>
    </row>
    <row r="720" spans="6:26" ht="12.75">
      <c r="F720" s="86"/>
      <c r="G720" s="86"/>
      <c r="H720" s="86"/>
      <c r="I720" s="86"/>
      <c r="J720" s="86"/>
      <c r="K720" s="86"/>
      <c r="L720" s="86"/>
      <c r="M720" s="86"/>
      <c r="N720" s="86"/>
      <c r="O720" s="86"/>
      <c r="P720" s="86"/>
      <c r="Q720" s="86"/>
      <c r="R720" s="86"/>
      <c r="S720" s="86"/>
      <c r="T720" s="86"/>
      <c r="U720" s="86"/>
      <c r="V720" s="86"/>
      <c r="W720" s="86"/>
      <c r="X720" s="86"/>
      <c r="Y720" s="86"/>
      <c r="Z720" s="86"/>
    </row>
    <row r="721" spans="6:26" ht="12.75">
      <c r="F721" s="86"/>
      <c r="G721" s="86"/>
      <c r="H721" s="86"/>
      <c r="I721" s="86"/>
      <c r="J721" s="86"/>
      <c r="K721" s="86"/>
      <c r="L721" s="86"/>
      <c r="M721" s="86"/>
      <c r="N721" s="86"/>
      <c r="O721" s="86"/>
      <c r="P721" s="86"/>
      <c r="Q721" s="86"/>
      <c r="R721" s="86"/>
      <c r="S721" s="86"/>
      <c r="T721" s="86"/>
      <c r="U721" s="86"/>
      <c r="V721" s="86"/>
      <c r="W721" s="86"/>
      <c r="X721" s="86"/>
      <c r="Y721" s="86"/>
      <c r="Z721" s="86"/>
    </row>
    <row r="722" spans="6:26" ht="12.75">
      <c r="F722" s="86"/>
      <c r="G722" s="86"/>
      <c r="H722" s="86"/>
      <c r="I722" s="86"/>
      <c r="J722" s="86"/>
      <c r="K722" s="86"/>
      <c r="L722" s="86"/>
      <c r="M722" s="86"/>
      <c r="N722" s="86"/>
      <c r="O722" s="86"/>
      <c r="P722" s="86"/>
      <c r="Q722" s="86"/>
      <c r="R722" s="86"/>
      <c r="S722" s="86"/>
      <c r="T722" s="86"/>
      <c r="U722" s="86"/>
      <c r="V722" s="86"/>
      <c r="W722" s="86"/>
      <c r="X722" s="86"/>
      <c r="Y722" s="86"/>
      <c r="Z722" s="86"/>
    </row>
    <row r="723" spans="6:26" ht="12.75">
      <c r="F723" s="86"/>
      <c r="G723" s="86"/>
      <c r="H723" s="86"/>
      <c r="I723" s="86"/>
      <c r="J723" s="86"/>
      <c r="K723" s="86"/>
      <c r="L723" s="86"/>
      <c r="M723" s="86"/>
      <c r="N723" s="86"/>
      <c r="O723" s="86"/>
      <c r="P723" s="86"/>
      <c r="Q723" s="86"/>
      <c r="R723" s="86"/>
      <c r="S723" s="86"/>
      <c r="T723" s="86"/>
      <c r="U723" s="86"/>
      <c r="V723" s="86"/>
      <c r="W723" s="86"/>
      <c r="X723" s="86"/>
      <c r="Y723" s="86"/>
      <c r="Z723" s="86"/>
    </row>
    <row r="724" spans="6:26" ht="12.75">
      <c r="F724" s="86"/>
      <c r="G724" s="86"/>
      <c r="H724" s="86"/>
      <c r="I724" s="86"/>
      <c r="J724" s="86"/>
      <c r="K724" s="86"/>
      <c r="L724" s="86"/>
      <c r="M724" s="86"/>
      <c r="N724" s="86"/>
      <c r="O724" s="86"/>
      <c r="P724" s="86"/>
      <c r="Q724" s="86"/>
      <c r="R724" s="86"/>
      <c r="S724" s="86"/>
      <c r="T724" s="86"/>
      <c r="U724" s="86"/>
      <c r="V724" s="86"/>
      <c r="W724" s="86"/>
      <c r="X724" s="86"/>
      <c r="Y724" s="86"/>
      <c r="Z724" s="86"/>
    </row>
    <row r="725" spans="6:26" ht="12.75">
      <c r="F725" s="86"/>
      <c r="G725" s="86"/>
      <c r="H725" s="86"/>
      <c r="I725" s="86"/>
      <c r="J725" s="86"/>
      <c r="K725" s="86"/>
      <c r="L725" s="86"/>
      <c r="M725" s="86"/>
      <c r="N725" s="86"/>
      <c r="O725" s="86"/>
      <c r="P725" s="86"/>
      <c r="Q725" s="86"/>
      <c r="R725" s="86"/>
      <c r="S725" s="86"/>
      <c r="T725" s="86"/>
      <c r="U725" s="86"/>
      <c r="V725" s="86"/>
      <c r="W725" s="86"/>
      <c r="X725" s="86"/>
      <c r="Y725" s="86"/>
      <c r="Z725" s="86"/>
    </row>
    <row r="726" spans="6:26" ht="12.75">
      <c r="F726" s="86"/>
      <c r="G726" s="86"/>
      <c r="H726" s="86"/>
      <c r="I726" s="86"/>
      <c r="J726" s="86"/>
      <c r="K726" s="86"/>
      <c r="L726" s="86"/>
      <c r="M726" s="86"/>
      <c r="N726" s="86"/>
      <c r="O726" s="86"/>
      <c r="P726" s="86"/>
      <c r="Q726" s="86"/>
      <c r="R726" s="86"/>
      <c r="S726" s="86"/>
      <c r="T726" s="86"/>
      <c r="U726" s="86"/>
      <c r="V726" s="86"/>
      <c r="W726" s="86"/>
      <c r="X726" s="86"/>
      <c r="Y726" s="86"/>
      <c r="Z726" s="86"/>
    </row>
    <row r="727" spans="6:26" ht="12.75">
      <c r="F727" s="86"/>
      <c r="G727" s="86"/>
      <c r="H727" s="86"/>
      <c r="I727" s="86"/>
      <c r="J727" s="86"/>
      <c r="K727" s="86"/>
      <c r="L727" s="86"/>
      <c r="M727" s="86"/>
      <c r="N727" s="86"/>
      <c r="O727" s="86"/>
      <c r="P727" s="86"/>
      <c r="Q727" s="86"/>
      <c r="R727" s="86"/>
      <c r="S727" s="86"/>
      <c r="T727" s="86"/>
      <c r="U727" s="86"/>
      <c r="V727" s="86"/>
      <c r="W727" s="86"/>
      <c r="X727" s="86"/>
      <c r="Y727" s="86"/>
      <c r="Z727" s="86"/>
    </row>
    <row r="728" spans="6:26" ht="12.75">
      <c r="F728" s="86"/>
      <c r="G728" s="86"/>
      <c r="H728" s="86"/>
      <c r="I728" s="86"/>
      <c r="J728" s="86"/>
      <c r="K728" s="86"/>
      <c r="L728" s="86"/>
      <c r="M728" s="86"/>
      <c r="N728" s="86"/>
      <c r="O728" s="86"/>
      <c r="P728" s="86"/>
      <c r="Q728" s="86"/>
      <c r="R728" s="86"/>
      <c r="S728" s="86"/>
      <c r="T728" s="86"/>
      <c r="U728" s="86"/>
      <c r="V728" s="86"/>
      <c r="W728" s="86"/>
      <c r="X728" s="86"/>
      <c r="Y728" s="86"/>
      <c r="Z728" s="86"/>
    </row>
    <row r="729" spans="6:26" ht="12.75">
      <c r="F729" s="86"/>
      <c r="G729" s="86"/>
      <c r="H729" s="86"/>
      <c r="I729" s="86"/>
      <c r="J729" s="86"/>
      <c r="K729" s="86"/>
      <c r="L729" s="86"/>
      <c r="M729" s="86"/>
      <c r="N729" s="86"/>
      <c r="O729" s="86"/>
      <c r="P729" s="86"/>
      <c r="Q729" s="86"/>
      <c r="R729" s="86"/>
      <c r="S729" s="86"/>
      <c r="T729" s="86"/>
      <c r="U729" s="86"/>
      <c r="V729" s="86"/>
      <c r="W729" s="86"/>
      <c r="X729" s="86"/>
      <c r="Y729" s="86"/>
      <c r="Z729" s="86"/>
    </row>
    <row r="730" spans="6:26" ht="12.75">
      <c r="F730" s="86"/>
      <c r="G730" s="86"/>
      <c r="H730" s="86"/>
      <c r="I730" s="86"/>
      <c r="J730" s="86"/>
      <c r="K730" s="86"/>
      <c r="L730" s="86"/>
      <c r="M730" s="86"/>
      <c r="N730" s="86"/>
      <c r="O730" s="86"/>
      <c r="P730" s="86"/>
      <c r="Q730" s="86"/>
      <c r="R730" s="86"/>
      <c r="S730" s="86"/>
      <c r="T730" s="86"/>
      <c r="U730" s="86"/>
      <c r="V730" s="86"/>
      <c r="W730" s="86"/>
      <c r="X730" s="86"/>
      <c r="Y730" s="86"/>
      <c r="Z730" s="86"/>
    </row>
    <row r="731" spans="6:26" ht="12.75">
      <c r="F731" s="86"/>
      <c r="G731" s="86"/>
      <c r="H731" s="86"/>
      <c r="I731" s="86"/>
      <c r="J731" s="86"/>
      <c r="K731" s="86"/>
      <c r="L731" s="86"/>
      <c r="M731" s="86"/>
      <c r="N731" s="86"/>
      <c r="O731" s="86"/>
      <c r="P731" s="86"/>
      <c r="Q731" s="86"/>
      <c r="R731" s="86"/>
      <c r="S731" s="86"/>
      <c r="T731" s="86"/>
      <c r="U731" s="86"/>
      <c r="V731" s="86"/>
      <c r="W731" s="86"/>
      <c r="X731" s="86"/>
      <c r="Y731" s="86"/>
      <c r="Z731" s="86"/>
    </row>
    <row r="732" spans="6:26" ht="12.75">
      <c r="F732" s="86"/>
      <c r="G732" s="86"/>
      <c r="H732" s="86"/>
      <c r="I732" s="86"/>
      <c r="J732" s="86"/>
      <c r="K732" s="86"/>
      <c r="L732" s="86"/>
      <c r="M732" s="86"/>
      <c r="N732" s="86"/>
      <c r="O732" s="86"/>
      <c r="P732" s="86"/>
      <c r="Q732" s="86"/>
      <c r="R732" s="86"/>
      <c r="S732" s="86"/>
      <c r="T732" s="86"/>
      <c r="U732" s="86"/>
      <c r="V732" s="86"/>
      <c r="W732" s="86"/>
      <c r="X732" s="86"/>
      <c r="Y732" s="86"/>
      <c r="Z732" s="86"/>
    </row>
    <row r="733" spans="6:26" ht="12.75">
      <c r="F733" s="86"/>
      <c r="G733" s="86"/>
      <c r="H733" s="86"/>
      <c r="I733" s="86"/>
      <c r="J733" s="86"/>
      <c r="K733" s="86"/>
      <c r="L733" s="86"/>
      <c r="M733" s="86"/>
      <c r="N733" s="86"/>
      <c r="O733" s="86"/>
      <c r="P733" s="86"/>
      <c r="Q733" s="86"/>
      <c r="R733" s="86"/>
      <c r="S733" s="86"/>
      <c r="T733" s="86"/>
      <c r="U733" s="86"/>
      <c r="V733" s="86"/>
      <c r="W733" s="86"/>
      <c r="X733" s="86"/>
      <c r="Y733" s="86"/>
      <c r="Z733" s="86"/>
    </row>
    <row r="734" spans="6:26" ht="12.75">
      <c r="F734" s="86"/>
      <c r="G734" s="86"/>
      <c r="H734" s="86"/>
      <c r="I734" s="86"/>
      <c r="J734" s="86"/>
      <c r="K734" s="86"/>
      <c r="L734" s="86"/>
      <c r="M734" s="86"/>
      <c r="N734" s="86"/>
      <c r="O734" s="86"/>
      <c r="P734" s="86"/>
      <c r="Q734" s="86"/>
      <c r="R734" s="86"/>
      <c r="S734" s="86"/>
      <c r="T734" s="86"/>
      <c r="U734" s="86"/>
      <c r="V734" s="86"/>
      <c r="W734" s="86"/>
      <c r="X734" s="86"/>
      <c r="Y734" s="86"/>
      <c r="Z734" s="86"/>
    </row>
    <row r="735" spans="6:26" ht="12.75">
      <c r="F735" s="86"/>
      <c r="G735" s="86"/>
      <c r="H735" s="86"/>
      <c r="I735" s="86"/>
      <c r="J735" s="86"/>
      <c r="K735" s="86"/>
      <c r="L735" s="86"/>
      <c r="M735" s="86"/>
      <c r="N735" s="86"/>
      <c r="O735" s="86"/>
      <c r="P735" s="86"/>
      <c r="Q735" s="86"/>
      <c r="R735" s="86"/>
      <c r="S735" s="86"/>
      <c r="T735" s="86"/>
      <c r="U735" s="86"/>
      <c r="V735" s="86"/>
      <c r="W735" s="86"/>
      <c r="X735" s="86"/>
      <c r="Y735" s="86"/>
      <c r="Z735" s="86"/>
    </row>
    <row r="736" spans="6:26" ht="12.75">
      <c r="F736" s="86"/>
      <c r="G736" s="86"/>
      <c r="H736" s="86"/>
      <c r="I736" s="86"/>
      <c r="J736" s="86"/>
      <c r="K736" s="86"/>
      <c r="L736" s="86"/>
      <c r="M736" s="86"/>
      <c r="N736" s="86"/>
      <c r="O736" s="86"/>
      <c r="P736" s="86"/>
      <c r="Q736" s="86"/>
      <c r="R736" s="86"/>
      <c r="S736" s="86"/>
      <c r="T736" s="86"/>
      <c r="U736" s="86"/>
      <c r="V736" s="86"/>
      <c r="W736" s="86"/>
      <c r="X736" s="86"/>
      <c r="Y736" s="86"/>
      <c r="Z736" s="86"/>
    </row>
    <row r="737" spans="6:26" ht="12.75">
      <c r="F737" s="86"/>
      <c r="G737" s="86"/>
      <c r="H737" s="86"/>
      <c r="I737" s="86"/>
      <c r="J737" s="86"/>
      <c r="K737" s="86"/>
      <c r="L737" s="86"/>
      <c r="M737" s="86"/>
      <c r="N737" s="86"/>
      <c r="O737" s="86"/>
      <c r="P737" s="86"/>
      <c r="Q737" s="86"/>
      <c r="R737" s="86"/>
      <c r="S737" s="86"/>
      <c r="T737" s="86"/>
      <c r="U737" s="86"/>
      <c r="V737" s="86"/>
      <c r="W737" s="86"/>
      <c r="X737" s="86"/>
      <c r="Y737" s="86"/>
      <c r="Z737" s="86"/>
    </row>
    <row r="738" spans="6:26" ht="12.75">
      <c r="F738" s="86"/>
      <c r="G738" s="86"/>
      <c r="H738" s="86"/>
      <c r="I738" s="86"/>
      <c r="J738" s="86"/>
      <c r="K738" s="86"/>
      <c r="L738" s="86"/>
      <c r="M738" s="86"/>
      <c r="N738" s="86"/>
      <c r="O738" s="86"/>
      <c r="P738" s="86"/>
      <c r="Q738" s="86"/>
      <c r="R738" s="86"/>
      <c r="S738" s="86"/>
      <c r="T738" s="86"/>
      <c r="U738" s="86"/>
      <c r="V738" s="86"/>
      <c r="W738" s="86"/>
      <c r="X738" s="86"/>
      <c r="Y738" s="86"/>
      <c r="Z738" s="86"/>
    </row>
    <row r="739" spans="6:26" ht="12.75">
      <c r="F739" s="86"/>
      <c r="G739" s="86"/>
      <c r="H739" s="86"/>
      <c r="I739" s="86"/>
      <c r="J739" s="86"/>
      <c r="K739" s="86"/>
      <c r="L739" s="86"/>
      <c r="M739" s="86"/>
      <c r="N739" s="86"/>
      <c r="O739" s="86"/>
      <c r="P739" s="86"/>
      <c r="Q739" s="86"/>
      <c r="R739" s="86"/>
      <c r="S739" s="86"/>
      <c r="T739" s="86"/>
      <c r="U739" s="86"/>
      <c r="V739" s="86"/>
      <c r="W739" s="86"/>
      <c r="X739" s="86"/>
      <c r="Y739" s="86"/>
      <c r="Z739" s="86"/>
    </row>
    <row r="740" spans="6:26" ht="12.75">
      <c r="F740" s="86"/>
      <c r="G740" s="86"/>
      <c r="H740" s="86"/>
      <c r="I740" s="86"/>
      <c r="J740" s="86"/>
      <c r="K740" s="86"/>
      <c r="L740" s="86"/>
      <c r="M740" s="86"/>
      <c r="N740" s="86"/>
      <c r="O740" s="86"/>
      <c r="P740" s="86"/>
      <c r="Q740" s="86"/>
      <c r="R740" s="86"/>
      <c r="S740" s="86"/>
      <c r="T740" s="86"/>
      <c r="U740" s="86"/>
      <c r="V740" s="86"/>
      <c r="W740" s="86"/>
      <c r="X740" s="86"/>
      <c r="Y740" s="86"/>
      <c r="Z740" s="86"/>
    </row>
    <row r="741" spans="6:26" ht="12.75">
      <c r="F741" s="86"/>
      <c r="G741" s="86"/>
      <c r="H741" s="86"/>
      <c r="I741" s="86"/>
      <c r="J741" s="86"/>
      <c r="K741" s="86"/>
      <c r="L741" s="86"/>
      <c r="M741" s="86"/>
      <c r="N741" s="86"/>
      <c r="O741" s="86"/>
      <c r="P741" s="86"/>
      <c r="Q741" s="86"/>
      <c r="R741" s="86"/>
      <c r="S741" s="86"/>
      <c r="T741" s="86"/>
      <c r="U741" s="86"/>
      <c r="V741" s="86"/>
      <c r="W741" s="86"/>
      <c r="X741" s="86"/>
      <c r="Y741" s="86"/>
      <c r="Z741" s="86"/>
    </row>
    <row r="742" spans="6:26" ht="12.75">
      <c r="F742" s="86"/>
      <c r="G742" s="86"/>
      <c r="H742" s="86"/>
      <c r="I742" s="86"/>
      <c r="J742" s="86"/>
      <c r="K742" s="86"/>
      <c r="L742" s="86"/>
      <c r="M742" s="86"/>
      <c r="N742" s="86"/>
      <c r="O742" s="86"/>
      <c r="P742" s="86"/>
      <c r="Q742" s="86"/>
      <c r="R742" s="86"/>
      <c r="S742" s="86"/>
      <c r="T742" s="86"/>
      <c r="U742" s="86"/>
      <c r="V742" s="86"/>
      <c r="W742" s="86"/>
      <c r="X742" s="86"/>
      <c r="Y742" s="86"/>
      <c r="Z742" s="86"/>
    </row>
    <row r="743" spans="6:26" ht="12.75">
      <c r="F743" s="86"/>
      <c r="G743" s="86"/>
      <c r="H743" s="86"/>
      <c r="I743" s="86"/>
      <c r="J743" s="86"/>
      <c r="K743" s="86"/>
      <c r="L743" s="86"/>
      <c r="M743" s="86"/>
      <c r="N743" s="86"/>
      <c r="O743" s="86"/>
      <c r="P743" s="86"/>
      <c r="Q743" s="86"/>
      <c r="R743" s="86"/>
      <c r="S743" s="86"/>
      <c r="T743" s="86"/>
      <c r="U743" s="86"/>
      <c r="V743" s="86"/>
      <c r="W743" s="86"/>
      <c r="X743" s="86"/>
      <c r="Y743" s="86"/>
      <c r="Z743" s="86"/>
    </row>
    <row r="744" spans="6:26" ht="12.75">
      <c r="F744" s="86"/>
      <c r="G744" s="86"/>
      <c r="H744" s="86"/>
      <c r="I744" s="86"/>
      <c r="J744" s="86"/>
      <c r="K744" s="86"/>
      <c r="L744" s="86"/>
      <c r="M744" s="86"/>
      <c r="N744" s="86"/>
      <c r="O744" s="86"/>
      <c r="P744" s="86"/>
      <c r="Q744" s="86"/>
      <c r="R744" s="86"/>
      <c r="S744" s="86"/>
      <c r="T744" s="86"/>
      <c r="U744" s="86"/>
      <c r="V744" s="86"/>
      <c r="W744" s="86"/>
      <c r="X744" s="86"/>
      <c r="Y744" s="86"/>
      <c r="Z744" s="86"/>
    </row>
    <row r="745" spans="6:26" ht="12.75">
      <c r="F745" s="86"/>
      <c r="G745" s="86"/>
      <c r="H745" s="86"/>
      <c r="I745" s="86"/>
      <c r="J745" s="86"/>
      <c r="K745" s="86"/>
      <c r="L745" s="86"/>
      <c r="M745" s="86"/>
      <c r="N745" s="86"/>
      <c r="O745" s="86"/>
      <c r="P745" s="86"/>
      <c r="Q745" s="86"/>
      <c r="R745" s="86"/>
      <c r="S745" s="86"/>
      <c r="T745" s="86"/>
      <c r="U745" s="86"/>
      <c r="V745" s="86"/>
      <c r="W745" s="86"/>
      <c r="X745" s="86"/>
      <c r="Y745" s="86"/>
      <c r="Z745" s="86"/>
    </row>
    <row r="746" spans="6:26" ht="12.75">
      <c r="F746" s="86"/>
      <c r="G746" s="86"/>
      <c r="H746" s="86"/>
      <c r="I746" s="86"/>
      <c r="J746" s="86"/>
      <c r="K746" s="86"/>
      <c r="L746" s="86"/>
      <c r="M746" s="86"/>
      <c r="N746" s="86"/>
      <c r="O746" s="86"/>
      <c r="P746" s="86"/>
      <c r="Q746" s="86"/>
      <c r="R746" s="86"/>
      <c r="S746" s="86"/>
      <c r="T746" s="86"/>
      <c r="U746" s="86"/>
      <c r="V746" s="86"/>
      <c r="W746" s="86"/>
      <c r="X746" s="86"/>
      <c r="Y746" s="86"/>
      <c r="Z746" s="86"/>
    </row>
    <row r="747" spans="6:26" ht="12.75">
      <c r="F747" s="86"/>
      <c r="G747" s="86"/>
      <c r="H747" s="86"/>
      <c r="I747" s="86"/>
      <c r="J747" s="86"/>
      <c r="K747" s="86"/>
      <c r="L747" s="86"/>
      <c r="M747" s="86"/>
      <c r="N747" s="86"/>
      <c r="O747" s="86"/>
      <c r="P747" s="86"/>
      <c r="Q747" s="86"/>
      <c r="R747" s="86"/>
      <c r="S747" s="86"/>
      <c r="T747" s="86"/>
      <c r="U747" s="86"/>
      <c r="V747" s="86"/>
      <c r="W747" s="86"/>
      <c r="X747" s="86"/>
      <c r="Y747" s="86"/>
      <c r="Z747" s="86"/>
    </row>
    <row r="748" spans="6:26" ht="12.75">
      <c r="F748" s="86"/>
      <c r="G748" s="86"/>
      <c r="H748" s="86"/>
      <c r="I748" s="86"/>
      <c r="J748" s="86"/>
      <c r="K748" s="86"/>
      <c r="L748" s="86"/>
      <c r="M748" s="86"/>
      <c r="N748" s="86"/>
      <c r="O748" s="86"/>
      <c r="P748" s="86"/>
      <c r="Q748" s="86"/>
      <c r="R748" s="86"/>
      <c r="S748" s="86"/>
      <c r="T748" s="86"/>
      <c r="U748" s="86"/>
      <c r="V748" s="86"/>
      <c r="W748" s="86"/>
      <c r="X748" s="86"/>
      <c r="Y748" s="86"/>
      <c r="Z748" s="86"/>
    </row>
    <row r="749" spans="6:26" ht="12.75">
      <c r="F749" s="86"/>
      <c r="G749" s="86"/>
      <c r="H749" s="86"/>
      <c r="I749" s="86"/>
      <c r="J749" s="86"/>
      <c r="K749" s="86"/>
      <c r="L749" s="86"/>
      <c r="M749" s="86"/>
      <c r="N749" s="86"/>
      <c r="O749" s="86"/>
      <c r="P749" s="86"/>
      <c r="Q749" s="86"/>
      <c r="R749" s="86"/>
      <c r="S749" s="86"/>
      <c r="T749" s="86"/>
      <c r="U749" s="86"/>
      <c r="V749" s="86"/>
      <c r="W749" s="86"/>
      <c r="X749" s="86"/>
      <c r="Y749" s="86"/>
      <c r="Z749" s="86"/>
    </row>
    <row r="750" spans="6:26" ht="12.75">
      <c r="F750" s="86"/>
      <c r="G750" s="86"/>
      <c r="H750" s="86"/>
      <c r="I750" s="86"/>
      <c r="J750" s="86"/>
      <c r="K750" s="86"/>
      <c r="L750" s="86"/>
      <c r="M750" s="86"/>
      <c r="N750" s="86"/>
      <c r="O750" s="86"/>
      <c r="P750" s="86"/>
      <c r="Q750" s="86"/>
      <c r="R750" s="86"/>
      <c r="S750" s="86"/>
      <c r="T750" s="86"/>
      <c r="U750" s="86"/>
      <c r="V750" s="86"/>
      <c r="W750" s="86"/>
      <c r="X750" s="86"/>
      <c r="Y750" s="86"/>
      <c r="Z750" s="86"/>
    </row>
    <row r="751" spans="6:26" ht="12.75">
      <c r="F751" s="86"/>
      <c r="G751" s="86"/>
      <c r="H751" s="86"/>
      <c r="I751" s="86"/>
      <c r="J751" s="86"/>
      <c r="K751" s="86"/>
      <c r="L751" s="86"/>
      <c r="M751" s="86"/>
      <c r="N751" s="86"/>
      <c r="O751" s="86"/>
      <c r="P751" s="86"/>
      <c r="Q751" s="86"/>
      <c r="R751" s="86"/>
      <c r="S751" s="86"/>
      <c r="T751" s="86"/>
      <c r="U751" s="86"/>
      <c r="V751" s="86"/>
      <c r="W751" s="86"/>
      <c r="X751" s="86"/>
      <c r="Y751" s="86"/>
      <c r="Z751" s="86"/>
    </row>
    <row r="752" spans="6:26" ht="12.75">
      <c r="F752" s="86"/>
      <c r="G752" s="86"/>
      <c r="H752" s="86"/>
      <c r="I752" s="86"/>
      <c r="J752" s="86"/>
      <c r="K752" s="86"/>
      <c r="L752" s="86"/>
      <c r="M752" s="86"/>
      <c r="N752" s="86"/>
      <c r="O752" s="86"/>
      <c r="P752" s="86"/>
      <c r="Q752" s="86"/>
      <c r="R752" s="86"/>
      <c r="S752" s="86"/>
      <c r="T752" s="86"/>
      <c r="U752" s="86"/>
      <c r="V752" s="86"/>
      <c r="W752" s="86"/>
      <c r="X752" s="86"/>
      <c r="Y752" s="86"/>
      <c r="Z752" s="86"/>
    </row>
    <row r="753" spans="6:26" ht="12.75">
      <c r="F753" s="86"/>
      <c r="G753" s="86"/>
      <c r="H753" s="86"/>
      <c r="I753" s="86"/>
      <c r="J753" s="86"/>
      <c r="K753" s="86"/>
      <c r="L753" s="86"/>
      <c r="M753" s="86"/>
      <c r="N753" s="86"/>
      <c r="O753" s="86"/>
      <c r="P753" s="86"/>
      <c r="Q753" s="86"/>
      <c r="R753" s="86"/>
      <c r="S753" s="86"/>
      <c r="T753" s="86"/>
      <c r="U753" s="86"/>
      <c r="V753" s="86"/>
      <c r="W753" s="86"/>
      <c r="X753" s="86"/>
      <c r="Y753" s="86"/>
      <c r="Z753" s="86"/>
    </row>
    <row r="754" spans="6:26" ht="12.75">
      <c r="F754" s="86"/>
      <c r="G754" s="86"/>
      <c r="H754" s="86"/>
      <c r="I754" s="86"/>
      <c r="J754" s="86"/>
      <c r="K754" s="86"/>
      <c r="L754" s="86"/>
      <c r="M754" s="86"/>
      <c r="N754" s="86"/>
      <c r="O754" s="86"/>
      <c r="P754" s="86"/>
      <c r="Q754" s="86"/>
      <c r="R754" s="86"/>
      <c r="S754" s="86"/>
      <c r="T754" s="86"/>
      <c r="U754" s="86"/>
      <c r="V754" s="86"/>
      <c r="W754" s="86"/>
      <c r="X754" s="86"/>
      <c r="Y754" s="86"/>
      <c r="Z754" s="86"/>
    </row>
    <row r="755" spans="6:26" ht="12.75">
      <c r="F755" s="86"/>
      <c r="G755" s="86"/>
      <c r="H755" s="86"/>
      <c r="I755" s="86"/>
      <c r="J755" s="86"/>
      <c r="K755" s="86"/>
      <c r="L755" s="86"/>
      <c r="M755" s="86"/>
      <c r="N755" s="86"/>
      <c r="O755" s="86"/>
      <c r="P755" s="86"/>
      <c r="Q755" s="86"/>
      <c r="R755" s="86"/>
      <c r="S755" s="86"/>
      <c r="T755" s="86"/>
      <c r="U755" s="86"/>
      <c r="V755" s="86"/>
      <c r="W755" s="86"/>
      <c r="X755" s="86"/>
      <c r="Y755" s="86"/>
      <c r="Z755" s="86"/>
    </row>
    <row r="756" spans="6:26" ht="12.75">
      <c r="F756" s="86"/>
      <c r="G756" s="86"/>
      <c r="H756" s="86"/>
      <c r="I756" s="86"/>
      <c r="J756" s="86"/>
      <c r="K756" s="86"/>
      <c r="L756" s="86"/>
      <c r="M756" s="86"/>
      <c r="N756" s="86"/>
      <c r="O756" s="86"/>
      <c r="P756" s="86"/>
      <c r="Q756" s="86"/>
      <c r="R756" s="86"/>
      <c r="S756" s="86"/>
      <c r="T756" s="86"/>
      <c r="U756" s="86"/>
      <c r="V756" s="86"/>
      <c r="W756" s="86"/>
      <c r="X756" s="86"/>
      <c r="Y756" s="86"/>
      <c r="Z756" s="86"/>
    </row>
    <row r="757" spans="6:26" ht="12.75">
      <c r="F757" s="86"/>
      <c r="G757" s="86"/>
      <c r="H757" s="86"/>
      <c r="I757" s="86"/>
      <c r="J757" s="86"/>
      <c r="K757" s="86"/>
      <c r="L757" s="86"/>
      <c r="M757" s="86"/>
      <c r="N757" s="86"/>
      <c r="O757" s="86"/>
      <c r="P757" s="86"/>
      <c r="Q757" s="86"/>
      <c r="R757" s="86"/>
      <c r="S757" s="86"/>
      <c r="T757" s="86"/>
      <c r="U757" s="86"/>
      <c r="V757" s="86"/>
      <c r="W757" s="86"/>
      <c r="X757" s="86"/>
      <c r="Y757" s="86"/>
      <c r="Z757" s="86"/>
    </row>
    <row r="758" spans="6:26" ht="12.75">
      <c r="F758" s="86"/>
      <c r="G758" s="86"/>
      <c r="H758" s="86"/>
      <c r="I758" s="86"/>
      <c r="J758" s="86"/>
      <c r="K758" s="86"/>
      <c r="L758" s="86"/>
      <c r="M758" s="86"/>
      <c r="N758" s="86"/>
      <c r="O758" s="86"/>
      <c r="P758" s="86"/>
      <c r="Q758" s="86"/>
      <c r="R758" s="86"/>
      <c r="S758" s="86"/>
      <c r="T758" s="86"/>
      <c r="U758" s="86"/>
      <c r="V758" s="86"/>
      <c r="W758" s="86"/>
      <c r="X758" s="86"/>
      <c r="Y758" s="86"/>
      <c r="Z758" s="86"/>
    </row>
    <row r="759" spans="6:26" ht="12.75">
      <c r="F759" s="86"/>
      <c r="G759" s="86"/>
      <c r="H759" s="86"/>
      <c r="I759" s="86"/>
      <c r="J759" s="86"/>
      <c r="K759" s="86"/>
      <c r="L759" s="86"/>
      <c r="M759" s="86"/>
      <c r="N759" s="86"/>
      <c r="O759" s="86"/>
      <c r="P759" s="86"/>
      <c r="Q759" s="86"/>
      <c r="R759" s="86"/>
      <c r="S759" s="86"/>
      <c r="T759" s="86"/>
      <c r="U759" s="86"/>
      <c r="V759" s="86"/>
      <c r="W759" s="86"/>
      <c r="X759" s="86"/>
      <c r="Y759" s="86"/>
      <c r="Z759" s="86"/>
    </row>
    <row r="760" spans="6:26" ht="12.75">
      <c r="F760" s="86"/>
      <c r="G760" s="86"/>
      <c r="H760" s="86"/>
      <c r="I760" s="86"/>
      <c r="J760" s="86"/>
      <c r="K760" s="86"/>
      <c r="L760" s="86"/>
      <c r="M760" s="86"/>
      <c r="N760" s="86"/>
      <c r="O760" s="86"/>
      <c r="P760" s="86"/>
      <c r="Q760" s="86"/>
      <c r="R760" s="86"/>
      <c r="S760" s="86"/>
      <c r="T760" s="86"/>
      <c r="U760" s="86"/>
      <c r="V760" s="86"/>
      <c r="W760" s="86"/>
      <c r="X760" s="86"/>
      <c r="Y760" s="86"/>
      <c r="Z760" s="86"/>
    </row>
    <row r="761" spans="6:26" ht="12.75">
      <c r="F761" s="86"/>
      <c r="G761" s="86"/>
      <c r="H761" s="86"/>
      <c r="I761" s="86"/>
      <c r="J761" s="86"/>
      <c r="K761" s="86"/>
      <c r="L761" s="86"/>
      <c r="M761" s="86"/>
      <c r="N761" s="86"/>
      <c r="O761" s="86"/>
      <c r="P761" s="86"/>
      <c r="Q761" s="86"/>
      <c r="R761" s="86"/>
      <c r="S761" s="86"/>
      <c r="T761" s="86"/>
      <c r="U761" s="86"/>
      <c r="V761" s="86"/>
      <c r="W761" s="86"/>
      <c r="X761" s="86"/>
      <c r="Y761" s="86"/>
      <c r="Z761" s="86"/>
    </row>
    <row r="762" spans="6:26" ht="12.75">
      <c r="F762" s="86"/>
      <c r="G762" s="86"/>
      <c r="H762" s="86"/>
      <c r="I762" s="86"/>
      <c r="J762" s="86"/>
      <c r="K762" s="86"/>
      <c r="L762" s="86"/>
      <c r="M762" s="86"/>
      <c r="N762" s="86"/>
      <c r="O762" s="86"/>
      <c r="P762" s="86"/>
      <c r="Q762" s="86"/>
      <c r="R762" s="86"/>
      <c r="S762" s="86"/>
      <c r="T762" s="86"/>
      <c r="U762" s="86"/>
      <c r="V762" s="86"/>
      <c r="W762" s="86"/>
      <c r="X762" s="86"/>
      <c r="Y762" s="86"/>
      <c r="Z762" s="86"/>
    </row>
    <row r="763" spans="6:26" ht="12.75">
      <c r="F763" s="86"/>
      <c r="G763" s="86"/>
      <c r="H763" s="86"/>
      <c r="I763" s="86"/>
      <c r="J763" s="86"/>
      <c r="K763" s="86"/>
      <c r="L763" s="86"/>
      <c r="M763" s="86"/>
      <c r="N763" s="86"/>
      <c r="O763" s="86"/>
      <c r="P763" s="86"/>
      <c r="Q763" s="86"/>
      <c r="R763" s="86"/>
      <c r="S763" s="86"/>
      <c r="T763" s="86"/>
      <c r="U763" s="86"/>
      <c r="V763" s="86"/>
      <c r="W763" s="86"/>
      <c r="X763" s="86"/>
      <c r="Y763" s="86"/>
      <c r="Z763" s="86"/>
    </row>
    <row r="764" spans="6:26" ht="12.75">
      <c r="F764" s="86"/>
      <c r="G764" s="86"/>
      <c r="H764" s="86"/>
      <c r="I764" s="86"/>
      <c r="J764" s="86"/>
      <c r="K764" s="86"/>
      <c r="L764" s="86"/>
      <c r="M764" s="86"/>
      <c r="N764" s="86"/>
      <c r="O764" s="86"/>
      <c r="P764" s="86"/>
      <c r="Q764" s="86"/>
      <c r="R764" s="86"/>
      <c r="S764" s="86"/>
      <c r="T764" s="86"/>
      <c r="U764" s="86"/>
      <c r="V764" s="86"/>
      <c r="W764" s="86"/>
      <c r="X764" s="86"/>
      <c r="Y764" s="86"/>
      <c r="Z764" s="86"/>
    </row>
    <row r="765" spans="6:26" ht="12.75">
      <c r="F765" s="86"/>
      <c r="G765" s="86"/>
      <c r="H765" s="86"/>
      <c r="I765" s="86"/>
      <c r="J765" s="86"/>
      <c r="K765" s="86"/>
      <c r="L765" s="86"/>
      <c r="M765" s="86"/>
      <c r="N765" s="86"/>
      <c r="O765" s="86"/>
      <c r="P765" s="86"/>
      <c r="Q765" s="86"/>
      <c r="R765" s="86"/>
      <c r="S765" s="86"/>
      <c r="T765" s="86"/>
      <c r="U765" s="86"/>
      <c r="V765" s="86"/>
      <c r="W765" s="86"/>
      <c r="X765" s="86"/>
      <c r="Y765" s="86"/>
      <c r="Z765" s="86"/>
    </row>
    <row r="766" spans="6:26" ht="12.75">
      <c r="F766" s="86"/>
      <c r="G766" s="86"/>
      <c r="H766" s="86"/>
      <c r="I766" s="86"/>
      <c r="J766" s="86"/>
      <c r="K766" s="86"/>
      <c r="L766" s="86"/>
      <c r="M766" s="86"/>
      <c r="N766" s="86"/>
      <c r="O766" s="86"/>
      <c r="P766" s="86"/>
      <c r="Q766" s="86"/>
      <c r="R766" s="86"/>
      <c r="S766" s="86"/>
      <c r="T766" s="86"/>
      <c r="U766" s="86"/>
      <c r="V766" s="86"/>
      <c r="W766" s="86"/>
      <c r="X766" s="86"/>
      <c r="Y766" s="86"/>
      <c r="Z766" s="86"/>
    </row>
    <row r="767" spans="6:26" ht="12.75">
      <c r="F767" s="86"/>
      <c r="G767" s="86"/>
      <c r="H767" s="86"/>
      <c r="I767" s="86"/>
      <c r="J767" s="86"/>
      <c r="K767" s="86"/>
      <c r="L767" s="86"/>
      <c r="M767" s="86"/>
      <c r="N767" s="86"/>
      <c r="O767" s="86"/>
      <c r="P767" s="86"/>
      <c r="Q767" s="86"/>
      <c r="R767" s="86"/>
      <c r="S767" s="86"/>
      <c r="T767" s="86"/>
      <c r="U767" s="86"/>
      <c r="V767" s="86"/>
      <c r="W767" s="86"/>
      <c r="X767" s="86"/>
      <c r="Y767" s="86"/>
      <c r="Z767" s="86"/>
    </row>
    <row r="768" spans="6:26" ht="12.75">
      <c r="F768" s="86"/>
      <c r="G768" s="86"/>
      <c r="H768" s="86"/>
      <c r="I768" s="86"/>
      <c r="J768" s="86"/>
      <c r="K768" s="86"/>
      <c r="L768" s="86"/>
      <c r="M768" s="86"/>
      <c r="N768" s="86"/>
      <c r="O768" s="86"/>
      <c r="P768" s="86"/>
      <c r="Q768" s="86"/>
      <c r="R768" s="86"/>
      <c r="S768" s="86"/>
      <c r="T768" s="86"/>
      <c r="U768" s="86"/>
      <c r="V768" s="86"/>
      <c r="W768" s="86"/>
      <c r="X768" s="86"/>
      <c r="Y768" s="86"/>
      <c r="Z768" s="86"/>
    </row>
    <row r="769" spans="6:26" ht="12.75">
      <c r="F769" s="86"/>
      <c r="G769" s="86"/>
      <c r="H769" s="86"/>
      <c r="I769" s="86"/>
      <c r="J769" s="86"/>
      <c r="K769" s="86"/>
      <c r="L769" s="86"/>
      <c r="M769" s="86"/>
      <c r="N769" s="86"/>
      <c r="O769" s="86"/>
      <c r="P769" s="86"/>
      <c r="Q769" s="86"/>
      <c r="R769" s="86"/>
      <c r="S769" s="86"/>
      <c r="T769" s="86"/>
      <c r="U769" s="86"/>
      <c r="V769" s="86"/>
      <c r="W769" s="86"/>
      <c r="X769" s="86"/>
      <c r="Y769" s="86"/>
      <c r="Z769" s="86"/>
    </row>
    <row r="770" spans="6:26" ht="12.75">
      <c r="F770" s="86"/>
      <c r="G770" s="86"/>
      <c r="H770" s="86"/>
      <c r="I770" s="86"/>
      <c r="J770" s="86"/>
      <c r="K770" s="86"/>
      <c r="L770" s="86"/>
      <c r="M770" s="86"/>
      <c r="N770" s="86"/>
      <c r="O770" s="86"/>
      <c r="P770" s="86"/>
      <c r="Q770" s="86"/>
      <c r="R770" s="86"/>
      <c r="S770" s="86"/>
      <c r="T770" s="86"/>
      <c r="U770" s="86"/>
      <c r="V770" s="86"/>
      <c r="W770" s="86"/>
      <c r="X770" s="86"/>
      <c r="Y770" s="86"/>
      <c r="Z770" s="86"/>
    </row>
    <row r="771" spans="6:26" ht="12.75">
      <c r="F771" s="86"/>
      <c r="G771" s="86"/>
      <c r="H771" s="86"/>
      <c r="I771" s="86"/>
      <c r="J771" s="86"/>
      <c r="K771" s="86"/>
      <c r="L771" s="86"/>
      <c r="M771" s="86"/>
      <c r="N771" s="86"/>
      <c r="O771" s="86"/>
      <c r="P771" s="86"/>
      <c r="Q771" s="86"/>
      <c r="R771" s="86"/>
      <c r="S771" s="86"/>
      <c r="T771" s="86"/>
      <c r="U771" s="86"/>
      <c r="V771" s="86"/>
      <c r="W771" s="86"/>
      <c r="X771" s="86"/>
      <c r="Y771" s="86"/>
      <c r="Z771" s="86"/>
    </row>
    <row r="772" spans="6:26" ht="12.75">
      <c r="F772" s="86"/>
      <c r="G772" s="86"/>
      <c r="H772" s="86"/>
      <c r="I772" s="86"/>
      <c r="J772" s="86"/>
      <c r="K772" s="86"/>
      <c r="L772" s="86"/>
      <c r="M772" s="86"/>
      <c r="N772" s="86"/>
      <c r="O772" s="86"/>
      <c r="P772" s="86"/>
      <c r="Q772" s="86"/>
      <c r="R772" s="86"/>
      <c r="S772" s="86"/>
      <c r="T772" s="86"/>
      <c r="U772" s="86"/>
      <c r="V772" s="86"/>
      <c r="W772" s="86"/>
      <c r="X772" s="86"/>
      <c r="Y772" s="86"/>
      <c r="Z772" s="86"/>
    </row>
    <row r="773" spans="6:26" ht="12.75">
      <c r="F773" s="86"/>
      <c r="G773" s="86"/>
      <c r="H773" s="86"/>
      <c r="I773" s="86"/>
      <c r="J773" s="86"/>
      <c r="K773" s="86"/>
      <c r="L773" s="86"/>
      <c r="M773" s="86"/>
      <c r="N773" s="86"/>
      <c r="O773" s="86"/>
      <c r="P773" s="86"/>
      <c r="Q773" s="86"/>
      <c r="R773" s="86"/>
      <c r="S773" s="86"/>
      <c r="T773" s="86"/>
      <c r="U773" s="86"/>
      <c r="V773" s="86"/>
      <c r="W773" s="86"/>
      <c r="X773" s="86"/>
      <c r="Y773" s="86"/>
      <c r="Z773" s="86"/>
    </row>
    <row r="774" spans="6:26" ht="12.75">
      <c r="F774" s="86"/>
      <c r="G774" s="86"/>
      <c r="H774" s="86"/>
      <c r="I774" s="86"/>
      <c r="J774" s="86"/>
      <c r="K774" s="86"/>
      <c r="L774" s="86"/>
      <c r="M774" s="86"/>
      <c r="N774" s="86"/>
      <c r="O774" s="86"/>
      <c r="P774" s="86"/>
      <c r="Q774" s="86"/>
      <c r="R774" s="86"/>
      <c r="S774" s="86"/>
      <c r="T774" s="86"/>
      <c r="U774" s="86"/>
      <c r="V774" s="86"/>
      <c r="W774" s="86"/>
      <c r="X774" s="86"/>
      <c r="Y774" s="86"/>
      <c r="Z774" s="86"/>
    </row>
    <row r="775" spans="6:26" ht="12.75">
      <c r="F775" s="86"/>
      <c r="G775" s="86"/>
      <c r="H775" s="86"/>
      <c r="I775" s="86"/>
      <c r="J775" s="86"/>
      <c r="K775" s="86"/>
      <c r="L775" s="86"/>
      <c r="M775" s="86"/>
      <c r="N775" s="86"/>
      <c r="O775" s="86"/>
      <c r="P775" s="86"/>
      <c r="Q775" s="86"/>
      <c r="R775" s="86"/>
      <c r="S775" s="86"/>
      <c r="T775" s="86"/>
      <c r="U775" s="86"/>
      <c r="V775" s="86"/>
      <c r="W775" s="86"/>
      <c r="X775" s="86"/>
      <c r="Y775" s="86"/>
      <c r="Z775" s="86"/>
    </row>
    <row r="776" spans="6:26" ht="12.75">
      <c r="F776" s="86"/>
      <c r="G776" s="86"/>
      <c r="H776" s="86"/>
      <c r="I776" s="86"/>
      <c r="J776" s="86"/>
      <c r="K776" s="86"/>
      <c r="L776" s="86"/>
      <c r="M776" s="86"/>
      <c r="N776" s="86"/>
      <c r="O776" s="86"/>
      <c r="P776" s="86"/>
      <c r="Q776" s="86"/>
      <c r="R776" s="86"/>
      <c r="S776" s="86"/>
      <c r="T776" s="86"/>
      <c r="U776" s="86"/>
      <c r="V776" s="86"/>
      <c r="W776" s="86"/>
      <c r="X776" s="86"/>
      <c r="Y776" s="86"/>
      <c r="Z776" s="86"/>
    </row>
    <row r="777" spans="6:26" ht="12.75">
      <c r="F777" s="86"/>
      <c r="G777" s="86"/>
      <c r="H777" s="86"/>
      <c r="I777" s="86"/>
      <c r="J777" s="86"/>
      <c r="K777" s="86"/>
      <c r="L777" s="86"/>
      <c r="M777" s="86"/>
      <c r="N777" s="86"/>
      <c r="O777" s="86"/>
      <c r="P777" s="86"/>
      <c r="Q777" s="86"/>
      <c r="R777" s="86"/>
      <c r="S777" s="86"/>
      <c r="T777" s="86"/>
      <c r="U777" s="86"/>
      <c r="V777" s="86"/>
      <c r="W777" s="86"/>
      <c r="X777" s="86"/>
      <c r="Y777" s="86"/>
      <c r="Z777" s="86"/>
    </row>
    <row r="778" spans="6:26" ht="12.75">
      <c r="F778" s="86"/>
      <c r="G778" s="86"/>
      <c r="H778" s="86"/>
      <c r="I778" s="86"/>
      <c r="J778" s="86"/>
      <c r="K778" s="86"/>
      <c r="L778" s="86"/>
      <c r="M778" s="86"/>
      <c r="N778" s="86"/>
      <c r="O778" s="86"/>
      <c r="P778" s="86"/>
      <c r="Q778" s="86"/>
      <c r="R778" s="86"/>
      <c r="S778" s="86"/>
      <c r="T778" s="86"/>
      <c r="U778" s="86"/>
      <c r="V778" s="86"/>
      <c r="W778" s="86"/>
      <c r="X778" s="86"/>
      <c r="Y778" s="86"/>
      <c r="Z778" s="86"/>
    </row>
    <row r="779" spans="6:26" ht="12.75">
      <c r="F779" s="86"/>
      <c r="G779" s="86"/>
      <c r="H779" s="86"/>
      <c r="I779" s="86"/>
      <c r="J779" s="86"/>
      <c r="K779" s="86"/>
      <c r="L779" s="86"/>
      <c r="M779" s="86"/>
      <c r="N779" s="86"/>
      <c r="O779" s="86"/>
      <c r="P779" s="86"/>
      <c r="Q779" s="86"/>
      <c r="R779" s="86"/>
      <c r="S779" s="86"/>
      <c r="T779" s="86"/>
      <c r="U779" s="86"/>
      <c r="V779" s="86"/>
      <c r="W779" s="86"/>
      <c r="X779" s="86"/>
      <c r="Y779" s="86"/>
      <c r="Z779" s="86"/>
    </row>
    <row r="780" spans="6:26" ht="12.75">
      <c r="F780" s="86"/>
      <c r="G780" s="86"/>
      <c r="H780" s="86"/>
      <c r="I780" s="86"/>
      <c r="J780" s="86"/>
      <c r="K780" s="86"/>
      <c r="L780" s="86"/>
      <c r="M780" s="86"/>
      <c r="N780" s="86"/>
      <c r="O780" s="86"/>
      <c r="P780" s="86"/>
      <c r="Q780" s="86"/>
      <c r="R780" s="86"/>
      <c r="S780" s="86"/>
      <c r="T780" s="86"/>
      <c r="U780" s="86"/>
      <c r="V780" s="86"/>
      <c r="W780" s="86"/>
      <c r="X780" s="86"/>
      <c r="Y780" s="86"/>
      <c r="Z780" s="86"/>
    </row>
    <row r="781" spans="6:26" ht="12.75">
      <c r="F781" s="86"/>
      <c r="G781" s="86"/>
      <c r="H781" s="86"/>
      <c r="I781" s="86"/>
      <c r="J781" s="86"/>
      <c r="K781" s="86"/>
      <c r="L781" s="86"/>
      <c r="M781" s="86"/>
      <c r="N781" s="86"/>
      <c r="O781" s="86"/>
      <c r="P781" s="86"/>
      <c r="Q781" s="86"/>
      <c r="R781" s="86"/>
      <c r="S781" s="86"/>
      <c r="T781" s="86"/>
      <c r="U781" s="86"/>
      <c r="V781" s="86"/>
      <c r="W781" s="86"/>
      <c r="X781" s="86"/>
      <c r="Y781" s="86"/>
      <c r="Z781" s="86"/>
    </row>
    <row r="782" spans="6:26" ht="12.75">
      <c r="F782" s="86"/>
      <c r="G782" s="86"/>
      <c r="H782" s="86"/>
      <c r="I782" s="86"/>
      <c r="J782" s="86"/>
      <c r="K782" s="86"/>
      <c r="L782" s="86"/>
      <c r="M782" s="86"/>
      <c r="N782" s="86"/>
      <c r="O782" s="86"/>
      <c r="P782" s="86"/>
      <c r="Q782" s="86"/>
      <c r="R782" s="86"/>
      <c r="S782" s="86"/>
      <c r="T782" s="86"/>
      <c r="U782" s="86"/>
      <c r="V782" s="86"/>
      <c r="W782" s="86"/>
      <c r="X782" s="86"/>
      <c r="Y782" s="86"/>
      <c r="Z782" s="86"/>
    </row>
    <row r="783" spans="6:26" ht="12.75">
      <c r="F783" s="86"/>
      <c r="G783" s="86"/>
      <c r="H783" s="86"/>
      <c r="I783" s="86"/>
      <c r="J783" s="86"/>
      <c r="K783" s="86"/>
      <c r="L783" s="86"/>
      <c r="M783" s="86"/>
      <c r="N783" s="86"/>
      <c r="O783" s="86"/>
      <c r="P783" s="86"/>
      <c r="Q783" s="86"/>
      <c r="R783" s="86"/>
      <c r="S783" s="86"/>
      <c r="T783" s="86"/>
      <c r="U783" s="86"/>
      <c r="V783" s="86"/>
      <c r="W783" s="86"/>
      <c r="X783" s="86"/>
      <c r="Y783" s="86"/>
      <c r="Z783" s="86"/>
    </row>
    <row r="784" spans="6:26" ht="12.75">
      <c r="F784" s="86"/>
      <c r="G784" s="86"/>
      <c r="H784" s="86"/>
      <c r="I784" s="86"/>
      <c r="J784" s="86"/>
      <c r="K784" s="86"/>
      <c r="L784" s="86"/>
      <c r="M784" s="86"/>
      <c r="N784" s="86"/>
      <c r="O784" s="86"/>
      <c r="P784" s="86"/>
      <c r="Q784" s="86"/>
      <c r="R784" s="86"/>
      <c r="S784" s="86"/>
      <c r="T784" s="86"/>
      <c r="U784" s="86"/>
      <c r="V784" s="86"/>
      <c r="W784" s="86"/>
      <c r="X784" s="86"/>
      <c r="Y784" s="86"/>
      <c r="Z784" s="86"/>
    </row>
    <row r="785" spans="6:26" ht="12.75">
      <c r="F785" s="86"/>
      <c r="G785" s="86"/>
      <c r="H785" s="86"/>
      <c r="I785" s="86"/>
      <c r="J785" s="86"/>
      <c r="K785" s="86"/>
      <c r="L785" s="86"/>
      <c r="M785" s="86"/>
      <c r="N785" s="86"/>
      <c r="O785" s="86"/>
      <c r="P785" s="86"/>
      <c r="Q785" s="86"/>
      <c r="R785" s="86"/>
      <c r="S785" s="86"/>
      <c r="T785" s="86"/>
      <c r="U785" s="86"/>
      <c r="V785" s="86"/>
      <c r="W785" s="86"/>
      <c r="X785" s="86"/>
      <c r="Y785" s="86"/>
      <c r="Z785" s="86"/>
    </row>
    <row r="786" spans="6:26" ht="12.75">
      <c r="F786" s="86"/>
      <c r="G786" s="86"/>
      <c r="H786" s="86"/>
      <c r="I786" s="86"/>
      <c r="J786" s="86"/>
      <c r="K786" s="86"/>
      <c r="L786" s="86"/>
      <c r="M786" s="86"/>
      <c r="N786" s="86"/>
      <c r="O786" s="86"/>
      <c r="P786" s="86"/>
      <c r="Q786" s="86"/>
      <c r="R786" s="86"/>
      <c r="S786" s="86"/>
      <c r="T786" s="86"/>
      <c r="U786" s="86"/>
      <c r="V786" s="86"/>
      <c r="W786" s="86"/>
      <c r="X786" s="86"/>
      <c r="Y786" s="86"/>
      <c r="Z786" s="86"/>
    </row>
    <row r="787" spans="6:26" ht="12.75">
      <c r="F787" s="86"/>
      <c r="G787" s="86"/>
      <c r="H787" s="86"/>
      <c r="I787" s="86"/>
      <c r="J787" s="86"/>
      <c r="K787" s="86"/>
      <c r="L787" s="86"/>
      <c r="M787" s="86"/>
      <c r="N787" s="86"/>
      <c r="O787" s="86"/>
      <c r="P787" s="86"/>
      <c r="Q787" s="86"/>
      <c r="R787" s="86"/>
      <c r="S787" s="86"/>
      <c r="T787" s="86"/>
      <c r="U787" s="86"/>
      <c r="V787" s="86"/>
      <c r="W787" s="86"/>
      <c r="X787" s="86"/>
      <c r="Y787" s="86"/>
      <c r="Z787" s="86"/>
    </row>
    <row r="788" spans="6:26" ht="12.75">
      <c r="F788" s="86"/>
      <c r="G788" s="86"/>
      <c r="H788" s="86"/>
      <c r="I788" s="86"/>
      <c r="J788" s="86"/>
      <c r="K788" s="86"/>
      <c r="L788" s="86"/>
      <c r="M788" s="86"/>
      <c r="N788" s="86"/>
      <c r="O788" s="86"/>
      <c r="P788" s="86"/>
      <c r="Q788" s="86"/>
      <c r="R788" s="86"/>
      <c r="S788" s="86"/>
      <c r="T788" s="86"/>
      <c r="U788" s="86"/>
      <c r="V788" s="86"/>
      <c r="W788" s="86"/>
      <c r="X788" s="86"/>
      <c r="Y788" s="86"/>
      <c r="Z788" s="86"/>
    </row>
    <row r="789" spans="6:26" ht="12.75">
      <c r="F789" s="86"/>
      <c r="G789" s="86"/>
      <c r="H789" s="86"/>
      <c r="I789" s="86"/>
      <c r="J789" s="86"/>
      <c r="K789" s="86"/>
      <c r="L789" s="86"/>
      <c r="M789" s="86"/>
      <c r="N789" s="86"/>
      <c r="O789" s="86"/>
      <c r="P789" s="86"/>
      <c r="Q789" s="86"/>
      <c r="R789" s="86"/>
      <c r="S789" s="86"/>
      <c r="T789" s="86"/>
      <c r="U789" s="86"/>
      <c r="V789" s="86"/>
      <c r="W789" s="86"/>
      <c r="X789" s="86"/>
      <c r="Y789" s="86"/>
      <c r="Z789" s="86"/>
    </row>
    <row r="790" spans="6:26" ht="12.75">
      <c r="F790" s="86"/>
      <c r="G790" s="86"/>
      <c r="H790" s="86"/>
      <c r="I790" s="86"/>
      <c r="J790" s="86"/>
      <c r="K790" s="86"/>
      <c r="L790" s="86"/>
      <c r="M790" s="86"/>
      <c r="N790" s="86"/>
      <c r="O790" s="86"/>
      <c r="P790" s="86"/>
      <c r="Q790" s="86"/>
      <c r="R790" s="86"/>
      <c r="S790" s="86"/>
      <c r="T790" s="86"/>
      <c r="U790" s="86"/>
      <c r="V790" s="86"/>
      <c r="W790" s="86"/>
      <c r="X790" s="86"/>
      <c r="Y790" s="86"/>
      <c r="Z790" s="86"/>
    </row>
    <row r="791" spans="6:26" ht="12.75">
      <c r="F791" s="86"/>
      <c r="G791" s="86"/>
      <c r="H791" s="86"/>
      <c r="I791" s="86"/>
      <c r="J791" s="86"/>
      <c r="K791" s="86"/>
      <c r="L791" s="86"/>
      <c r="M791" s="86"/>
      <c r="N791" s="86"/>
      <c r="O791" s="86"/>
      <c r="P791" s="86"/>
      <c r="Q791" s="86"/>
      <c r="R791" s="86"/>
      <c r="S791" s="86"/>
      <c r="T791" s="86"/>
      <c r="U791" s="86"/>
      <c r="V791" s="86"/>
      <c r="W791" s="86"/>
      <c r="X791" s="86"/>
      <c r="Y791" s="86"/>
      <c r="Z791" s="86"/>
    </row>
    <row r="792" spans="6:26" ht="12.75">
      <c r="F792" s="86"/>
      <c r="G792" s="86"/>
      <c r="H792" s="86"/>
      <c r="I792" s="86"/>
      <c r="J792" s="86"/>
      <c r="K792" s="86"/>
      <c r="L792" s="86"/>
      <c r="M792" s="86"/>
      <c r="N792" s="86"/>
      <c r="O792" s="86"/>
      <c r="P792" s="86"/>
      <c r="Q792" s="86"/>
      <c r="R792" s="86"/>
      <c r="S792" s="86"/>
      <c r="T792" s="86"/>
      <c r="U792" s="86"/>
      <c r="V792" s="86"/>
      <c r="W792" s="86"/>
      <c r="X792" s="86"/>
      <c r="Y792" s="86"/>
      <c r="Z792" s="86"/>
    </row>
    <row r="793" spans="6:26" ht="12.75">
      <c r="F793" s="86"/>
      <c r="G793" s="86"/>
      <c r="H793" s="86"/>
      <c r="I793" s="86"/>
      <c r="J793" s="86"/>
      <c r="K793" s="86"/>
      <c r="L793" s="86"/>
      <c r="M793" s="86"/>
      <c r="N793" s="86"/>
      <c r="O793" s="86"/>
      <c r="P793" s="86"/>
      <c r="Q793" s="86"/>
      <c r="R793" s="86"/>
      <c r="S793" s="86"/>
      <c r="T793" s="86"/>
      <c r="U793" s="86"/>
      <c r="V793" s="86"/>
      <c r="W793" s="86"/>
      <c r="X793" s="86"/>
      <c r="Y793" s="86"/>
      <c r="Z793" s="86"/>
    </row>
    <row r="794" spans="6:26" ht="12.75">
      <c r="F794" s="86"/>
      <c r="G794" s="86"/>
      <c r="H794" s="86"/>
      <c r="I794" s="86"/>
      <c r="J794" s="86"/>
      <c r="K794" s="86"/>
      <c r="L794" s="86"/>
      <c r="M794" s="86"/>
      <c r="N794" s="86"/>
      <c r="O794" s="86"/>
      <c r="P794" s="86"/>
      <c r="Q794" s="86"/>
      <c r="R794" s="86"/>
      <c r="S794" s="86"/>
      <c r="T794" s="86"/>
      <c r="U794" s="86"/>
      <c r="V794" s="86"/>
      <c r="W794" s="86"/>
      <c r="X794" s="86"/>
      <c r="Y794" s="86"/>
      <c r="Z794" s="86"/>
    </row>
    <row r="795" spans="6:26" ht="12.75">
      <c r="F795" s="86"/>
      <c r="G795" s="86"/>
      <c r="H795" s="86"/>
      <c r="I795" s="86"/>
      <c r="J795" s="86"/>
      <c r="K795" s="86"/>
      <c r="L795" s="86"/>
      <c r="M795" s="86"/>
      <c r="N795" s="86"/>
      <c r="O795" s="86"/>
      <c r="P795" s="86"/>
      <c r="Q795" s="86"/>
      <c r="R795" s="86"/>
      <c r="S795" s="86"/>
      <c r="T795" s="86"/>
      <c r="U795" s="86"/>
      <c r="V795" s="86"/>
      <c r="W795" s="86"/>
      <c r="X795" s="86"/>
      <c r="Y795" s="86"/>
      <c r="Z795" s="86"/>
    </row>
    <row r="796" spans="6:26" ht="12.75">
      <c r="F796" s="86"/>
      <c r="G796" s="86"/>
      <c r="H796" s="86"/>
      <c r="I796" s="86"/>
      <c r="J796" s="86"/>
      <c r="K796" s="86"/>
      <c r="L796" s="86"/>
      <c r="M796" s="86"/>
      <c r="N796" s="86"/>
      <c r="O796" s="86"/>
      <c r="P796" s="86"/>
      <c r="Q796" s="86"/>
      <c r="R796" s="86"/>
      <c r="S796" s="86"/>
      <c r="T796" s="86"/>
      <c r="U796" s="86"/>
      <c r="V796" s="86"/>
      <c r="W796" s="86"/>
      <c r="X796" s="86"/>
      <c r="Y796" s="86"/>
      <c r="Z796" s="86"/>
    </row>
    <row r="797" spans="6:26" ht="12.75">
      <c r="F797" s="86"/>
      <c r="G797" s="86"/>
      <c r="H797" s="86"/>
      <c r="I797" s="86"/>
      <c r="J797" s="86"/>
      <c r="K797" s="86"/>
      <c r="L797" s="86"/>
      <c r="M797" s="86"/>
      <c r="N797" s="86"/>
      <c r="O797" s="86"/>
      <c r="P797" s="86"/>
      <c r="Q797" s="86"/>
      <c r="R797" s="86"/>
      <c r="S797" s="86"/>
      <c r="T797" s="86"/>
      <c r="U797" s="86"/>
      <c r="V797" s="86"/>
      <c r="W797" s="86"/>
      <c r="X797" s="86"/>
      <c r="Y797" s="86"/>
      <c r="Z797" s="86"/>
    </row>
    <row r="798" spans="6:26" ht="12.75">
      <c r="F798" s="86"/>
      <c r="G798" s="86"/>
      <c r="H798" s="86"/>
      <c r="I798" s="86"/>
      <c r="J798" s="86"/>
      <c r="K798" s="86"/>
      <c r="L798" s="86"/>
      <c r="M798" s="86"/>
      <c r="N798" s="86"/>
      <c r="O798" s="86"/>
      <c r="P798" s="86"/>
      <c r="Q798" s="86"/>
      <c r="R798" s="86"/>
      <c r="S798" s="86"/>
      <c r="T798" s="86"/>
      <c r="U798" s="86"/>
      <c r="V798" s="86"/>
      <c r="W798" s="86"/>
      <c r="X798" s="86"/>
      <c r="Y798" s="86"/>
      <c r="Z798" s="86"/>
    </row>
    <row r="799" spans="6:26" ht="12.75">
      <c r="F799" s="86"/>
      <c r="G799" s="86"/>
      <c r="H799" s="86"/>
      <c r="I799" s="86"/>
      <c r="J799" s="86"/>
      <c r="K799" s="86"/>
      <c r="L799" s="86"/>
      <c r="M799" s="86"/>
      <c r="N799" s="86"/>
      <c r="O799" s="86"/>
      <c r="P799" s="86"/>
      <c r="Q799" s="86"/>
      <c r="R799" s="86"/>
      <c r="S799" s="86"/>
      <c r="T799" s="86"/>
      <c r="U799" s="86"/>
      <c r="V799" s="86"/>
      <c r="W799" s="86"/>
      <c r="X799" s="86"/>
      <c r="Y799" s="86"/>
      <c r="Z799" s="86"/>
    </row>
    <row r="800" spans="6:26" ht="12.75">
      <c r="F800" s="86"/>
      <c r="G800" s="86"/>
      <c r="H800" s="86"/>
      <c r="I800" s="86"/>
      <c r="J800" s="86"/>
      <c r="K800" s="86"/>
      <c r="L800" s="86"/>
      <c r="M800" s="86"/>
      <c r="N800" s="86"/>
      <c r="O800" s="86"/>
      <c r="P800" s="86"/>
      <c r="Q800" s="86"/>
      <c r="R800" s="86"/>
      <c r="S800" s="86"/>
      <c r="T800" s="86"/>
      <c r="U800" s="86"/>
      <c r="V800" s="86"/>
      <c r="W800" s="86"/>
      <c r="X800" s="86"/>
      <c r="Y800" s="86"/>
      <c r="Z800" s="86"/>
    </row>
    <row r="801" spans="6:26" ht="12.75">
      <c r="F801" s="86"/>
      <c r="G801" s="86"/>
      <c r="H801" s="86"/>
      <c r="I801" s="86"/>
      <c r="J801" s="86"/>
      <c r="K801" s="86"/>
      <c r="L801" s="86"/>
      <c r="M801" s="86"/>
      <c r="N801" s="86"/>
      <c r="O801" s="86"/>
      <c r="P801" s="86"/>
      <c r="Q801" s="86"/>
      <c r="R801" s="86"/>
      <c r="S801" s="86"/>
      <c r="T801" s="86"/>
      <c r="U801" s="86"/>
      <c r="V801" s="86"/>
      <c r="W801" s="86"/>
      <c r="X801" s="86"/>
      <c r="Y801" s="86"/>
      <c r="Z801" s="86"/>
    </row>
    <row r="802" spans="6:26" ht="12.75">
      <c r="F802" s="86"/>
      <c r="G802" s="86"/>
      <c r="H802" s="86"/>
      <c r="I802" s="86"/>
      <c r="J802" s="86"/>
      <c r="K802" s="86"/>
      <c r="L802" s="86"/>
      <c r="M802" s="86"/>
      <c r="N802" s="86"/>
      <c r="O802" s="86"/>
      <c r="P802" s="86"/>
      <c r="Q802" s="86"/>
      <c r="R802" s="86"/>
      <c r="S802" s="86"/>
      <c r="T802" s="86"/>
      <c r="U802" s="86"/>
      <c r="V802" s="86"/>
      <c r="W802" s="86"/>
      <c r="X802" s="86"/>
      <c r="Y802" s="86"/>
      <c r="Z802" s="86"/>
    </row>
    <row r="803" spans="6:26" ht="12.75">
      <c r="F803" s="86"/>
      <c r="G803" s="86"/>
      <c r="H803" s="86"/>
      <c r="I803" s="86"/>
      <c r="J803" s="86"/>
      <c r="K803" s="86"/>
      <c r="L803" s="86"/>
      <c r="M803" s="86"/>
      <c r="N803" s="86"/>
      <c r="O803" s="86"/>
      <c r="P803" s="86"/>
      <c r="Q803" s="86"/>
      <c r="R803" s="86"/>
      <c r="S803" s="86"/>
      <c r="T803" s="86"/>
      <c r="U803" s="86"/>
      <c r="V803" s="86"/>
      <c r="W803" s="86"/>
      <c r="X803" s="86"/>
      <c r="Y803" s="86"/>
      <c r="Z803" s="86"/>
    </row>
    <row r="804" spans="6:26" ht="12.75">
      <c r="F804" s="86"/>
      <c r="G804" s="86"/>
      <c r="H804" s="86"/>
      <c r="I804" s="86"/>
      <c r="J804" s="86"/>
      <c r="K804" s="86"/>
      <c r="L804" s="86"/>
      <c r="M804" s="86"/>
      <c r="N804" s="86"/>
      <c r="O804" s="86"/>
      <c r="P804" s="86"/>
      <c r="Q804" s="86"/>
      <c r="R804" s="86"/>
      <c r="S804" s="86"/>
      <c r="T804" s="86"/>
      <c r="U804" s="86"/>
      <c r="V804" s="86"/>
      <c r="W804" s="86"/>
      <c r="X804" s="86"/>
      <c r="Y804" s="86"/>
      <c r="Z804" s="86"/>
    </row>
    <row r="805" spans="6:26" ht="12.75">
      <c r="F805" s="86"/>
      <c r="G805" s="86"/>
      <c r="H805" s="86"/>
      <c r="I805" s="86"/>
      <c r="J805" s="86"/>
      <c r="K805" s="86"/>
      <c r="L805" s="86"/>
      <c r="M805" s="86"/>
      <c r="N805" s="86"/>
      <c r="O805" s="86"/>
      <c r="P805" s="86"/>
      <c r="Q805" s="86"/>
      <c r="R805" s="86"/>
      <c r="S805" s="86"/>
      <c r="T805" s="86"/>
      <c r="U805" s="86"/>
      <c r="V805" s="86"/>
      <c r="W805" s="86"/>
      <c r="X805" s="86"/>
      <c r="Y805" s="86"/>
      <c r="Z805" s="86"/>
    </row>
    <row r="806" spans="6:26" ht="12.75">
      <c r="F806" s="86"/>
      <c r="G806" s="86"/>
      <c r="H806" s="86"/>
      <c r="I806" s="86"/>
      <c r="J806" s="86"/>
      <c r="K806" s="86"/>
      <c r="L806" s="86"/>
      <c r="M806" s="86"/>
      <c r="N806" s="86"/>
      <c r="O806" s="86"/>
      <c r="P806" s="86"/>
      <c r="Q806" s="86"/>
      <c r="R806" s="86"/>
      <c r="S806" s="86"/>
      <c r="T806" s="86"/>
      <c r="U806" s="86"/>
      <c r="V806" s="86"/>
      <c r="W806" s="86"/>
      <c r="X806" s="86"/>
      <c r="Y806" s="86"/>
      <c r="Z806" s="86"/>
    </row>
    <row r="807" spans="6:26" ht="12.75">
      <c r="F807" s="86"/>
      <c r="G807" s="86"/>
      <c r="H807" s="86"/>
      <c r="I807" s="86"/>
      <c r="J807" s="86"/>
      <c r="K807" s="86"/>
      <c r="L807" s="86"/>
      <c r="M807" s="86"/>
      <c r="N807" s="86"/>
      <c r="O807" s="86"/>
      <c r="P807" s="86"/>
      <c r="Q807" s="86"/>
      <c r="R807" s="86"/>
      <c r="S807" s="86"/>
      <c r="T807" s="86"/>
      <c r="U807" s="86"/>
      <c r="V807" s="86"/>
      <c r="W807" s="86"/>
      <c r="X807" s="86"/>
      <c r="Y807" s="86"/>
      <c r="Z807" s="86"/>
    </row>
    <row r="808" spans="6:26" ht="12.75">
      <c r="F808" s="86"/>
      <c r="G808" s="86"/>
      <c r="H808" s="86"/>
      <c r="I808" s="86"/>
      <c r="J808" s="86"/>
      <c r="K808" s="86"/>
      <c r="L808" s="86"/>
      <c r="M808" s="86"/>
      <c r="N808" s="86"/>
      <c r="O808" s="86"/>
      <c r="P808" s="86"/>
      <c r="Q808" s="86"/>
      <c r="R808" s="86"/>
      <c r="S808" s="86"/>
      <c r="T808" s="86"/>
      <c r="U808" s="86"/>
      <c r="V808" s="86"/>
      <c r="W808" s="86"/>
      <c r="X808" s="86"/>
      <c r="Y808" s="86"/>
      <c r="Z808" s="86"/>
    </row>
    <row r="809" spans="6:26" ht="12.75">
      <c r="F809" s="86"/>
      <c r="G809" s="86"/>
      <c r="H809" s="86"/>
      <c r="I809" s="86"/>
      <c r="J809" s="86"/>
      <c r="K809" s="86"/>
      <c r="L809" s="86"/>
      <c r="M809" s="86"/>
      <c r="N809" s="86"/>
      <c r="O809" s="86"/>
      <c r="P809" s="86"/>
      <c r="Q809" s="86"/>
      <c r="R809" s="86"/>
      <c r="S809" s="86"/>
      <c r="T809" s="86"/>
      <c r="U809" s="86"/>
      <c r="V809" s="86"/>
      <c r="W809" s="86"/>
      <c r="X809" s="86"/>
      <c r="Y809" s="86"/>
      <c r="Z809" s="86"/>
    </row>
    <row r="810" spans="6:26" ht="12.75">
      <c r="F810" s="86"/>
      <c r="G810" s="86"/>
      <c r="H810" s="86"/>
      <c r="I810" s="86"/>
      <c r="J810" s="86"/>
      <c r="K810" s="86"/>
      <c r="L810" s="86"/>
      <c r="M810" s="86"/>
      <c r="N810" s="86"/>
      <c r="O810" s="86"/>
      <c r="P810" s="86"/>
      <c r="Q810" s="86"/>
      <c r="R810" s="86"/>
      <c r="S810" s="86"/>
      <c r="T810" s="86"/>
      <c r="U810" s="86"/>
      <c r="V810" s="86"/>
      <c r="W810" s="86"/>
      <c r="X810" s="86"/>
      <c r="Y810" s="86"/>
      <c r="Z810" s="86"/>
    </row>
    <row r="811" spans="6:26" ht="12.75">
      <c r="F811" s="86"/>
      <c r="G811" s="86"/>
      <c r="H811" s="86"/>
      <c r="I811" s="86"/>
      <c r="J811" s="86"/>
      <c r="K811" s="86"/>
      <c r="L811" s="86"/>
      <c r="M811" s="86"/>
      <c r="N811" s="86"/>
      <c r="O811" s="86"/>
      <c r="P811" s="86"/>
      <c r="Q811" s="86"/>
      <c r="R811" s="86"/>
      <c r="S811" s="86"/>
      <c r="T811" s="86"/>
      <c r="U811" s="86"/>
      <c r="V811" s="86"/>
      <c r="W811" s="86"/>
      <c r="X811" s="86"/>
      <c r="Y811" s="86"/>
      <c r="Z811" s="86"/>
    </row>
    <row r="812" spans="6:26" ht="12.75">
      <c r="F812" s="86"/>
      <c r="G812" s="86"/>
      <c r="H812" s="86"/>
      <c r="I812" s="86"/>
      <c r="J812" s="86"/>
      <c r="K812" s="86"/>
      <c r="L812" s="86"/>
      <c r="M812" s="86"/>
      <c r="N812" s="86"/>
      <c r="O812" s="86"/>
      <c r="P812" s="86"/>
      <c r="Q812" s="86"/>
      <c r="R812" s="86"/>
      <c r="S812" s="86"/>
      <c r="T812" s="86"/>
      <c r="U812" s="86"/>
      <c r="V812" s="86"/>
      <c r="W812" s="86"/>
      <c r="X812" s="86"/>
      <c r="Y812" s="86"/>
      <c r="Z812" s="86"/>
    </row>
    <row r="813" spans="6:26" ht="12.75">
      <c r="F813" s="86"/>
      <c r="G813" s="86"/>
      <c r="H813" s="86"/>
      <c r="I813" s="86"/>
      <c r="J813" s="86"/>
      <c r="K813" s="86"/>
      <c r="L813" s="86"/>
      <c r="M813" s="86"/>
      <c r="N813" s="86"/>
      <c r="O813" s="86"/>
      <c r="P813" s="86"/>
      <c r="Q813" s="86"/>
      <c r="R813" s="86"/>
      <c r="S813" s="86"/>
      <c r="T813" s="86"/>
      <c r="U813" s="86"/>
      <c r="V813" s="86"/>
      <c r="W813" s="86"/>
      <c r="X813" s="86"/>
      <c r="Y813" s="86"/>
      <c r="Z813" s="86"/>
    </row>
    <row r="814" spans="6:26" ht="12.75">
      <c r="F814" s="86"/>
      <c r="G814" s="86"/>
      <c r="H814" s="86"/>
      <c r="I814" s="86"/>
      <c r="J814" s="86"/>
      <c r="K814" s="86"/>
      <c r="L814" s="86"/>
      <c r="M814" s="86"/>
      <c r="N814" s="86"/>
      <c r="O814" s="86"/>
      <c r="P814" s="86"/>
      <c r="Q814" s="86"/>
      <c r="R814" s="86"/>
      <c r="S814" s="86"/>
      <c r="T814" s="86"/>
      <c r="U814" s="86"/>
      <c r="V814" s="86"/>
      <c r="W814" s="86"/>
      <c r="X814" s="86"/>
      <c r="Y814" s="86"/>
      <c r="Z814" s="86"/>
    </row>
    <row r="815" spans="6:26" ht="12.75">
      <c r="F815" s="86"/>
      <c r="G815" s="86"/>
      <c r="H815" s="86"/>
      <c r="I815" s="86"/>
      <c r="J815" s="86"/>
      <c r="K815" s="86"/>
      <c r="L815" s="86"/>
      <c r="M815" s="86"/>
      <c r="N815" s="86"/>
      <c r="O815" s="86"/>
      <c r="P815" s="86"/>
      <c r="Q815" s="86"/>
      <c r="R815" s="86"/>
      <c r="S815" s="86"/>
      <c r="T815" s="86"/>
      <c r="U815" s="86"/>
      <c r="V815" s="86"/>
      <c r="W815" s="86"/>
      <c r="X815" s="86"/>
      <c r="Y815" s="86"/>
      <c r="Z815" s="86"/>
    </row>
    <row r="816" spans="6:26" ht="12.75">
      <c r="F816" s="86"/>
      <c r="G816" s="86"/>
      <c r="H816" s="86"/>
      <c r="I816" s="86"/>
      <c r="J816" s="86"/>
      <c r="K816" s="86"/>
      <c r="L816" s="86"/>
      <c r="M816" s="86"/>
      <c r="N816" s="86"/>
      <c r="O816" s="86"/>
      <c r="P816" s="86"/>
      <c r="Q816" s="86"/>
      <c r="R816" s="86"/>
      <c r="S816" s="86"/>
      <c r="T816" s="86"/>
      <c r="U816" s="86"/>
      <c r="V816" s="86"/>
      <c r="W816" s="86"/>
      <c r="X816" s="86"/>
      <c r="Y816" s="86"/>
      <c r="Z816" s="86"/>
    </row>
    <row r="817" spans="6:26" ht="12.75">
      <c r="F817" s="86"/>
      <c r="G817" s="86"/>
      <c r="H817" s="86"/>
      <c r="I817" s="86"/>
      <c r="J817" s="86"/>
      <c r="K817" s="86"/>
      <c r="L817" s="86"/>
      <c r="M817" s="86"/>
      <c r="N817" s="86"/>
      <c r="O817" s="86"/>
      <c r="P817" s="86"/>
      <c r="Q817" s="86"/>
      <c r="R817" s="86"/>
      <c r="S817" s="86"/>
      <c r="T817" s="86"/>
      <c r="U817" s="86"/>
      <c r="V817" s="86"/>
      <c r="W817" s="86"/>
      <c r="X817" s="86"/>
      <c r="Y817" s="86"/>
      <c r="Z817" s="86"/>
    </row>
    <row r="818" spans="6:26" ht="12.75">
      <c r="F818" s="86"/>
      <c r="G818" s="86"/>
      <c r="H818" s="86"/>
      <c r="I818" s="86"/>
      <c r="J818" s="86"/>
      <c r="K818" s="86"/>
      <c r="L818" s="86"/>
      <c r="M818" s="86"/>
      <c r="N818" s="86"/>
      <c r="O818" s="86"/>
      <c r="P818" s="86"/>
      <c r="Q818" s="86"/>
      <c r="R818" s="86"/>
      <c r="S818" s="86"/>
      <c r="T818" s="86"/>
      <c r="U818" s="86"/>
      <c r="V818" s="86"/>
      <c r="W818" s="86"/>
      <c r="X818" s="86"/>
      <c r="Y818" s="86"/>
      <c r="Z818" s="86"/>
    </row>
    <row r="819" spans="6:26" ht="12.75">
      <c r="F819" s="86"/>
      <c r="G819" s="86"/>
      <c r="H819" s="86"/>
      <c r="I819" s="86"/>
      <c r="J819" s="86"/>
      <c r="K819" s="86"/>
      <c r="L819" s="86"/>
      <c r="M819" s="86"/>
      <c r="N819" s="86"/>
      <c r="O819" s="86"/>
      <c r="P819" s="86"/>
      <c r="Q819" s="86"/>
      <c r="R819" s="86"/>
      <c r="S819" s="86"/>
      <c r="T819" s="86"/>
      <c r="U819" s="86"/>
      <c r="V819" s="86"/>
      <c r="W819" s="86"/>
      <c r="X819" s="86"/>
      <c r="Y819" s="86"/>
      <c r="Z819" s="86"/>
    </row>
    <row r="820" spans="6:26" ht="12.75">
      <c r="F820" s="86"/>
      <c r="G820" s="86"/>
      <c r="H820" s="86"/>
      <c r="I820" s="86"/>
      <c r="J820" s="86"/>
      <c r="K820" s="86"/>
      <c r="L820" s="86"/>
      <c r="M820" s="86"/>
      <c r="N820" s="86"/>
      <c r="O820" s="86"/>
      <c r="P820" s="86"/>
      <c r="Q820" s="86"/>
      <c r="R820" s="86"/>
      <c r="S820" s="86"/>
      <c r="T820" s="86"/>
      <c r="U820" s="86"/>
      <c r="V820" s="86"/>
      <c r="W820" s="86"/>
      <c r="X820" s="86"/>
      <c r="Y820" s="86"/>
      <c r="Z820" s="86"/>
    </row>
    <row r="821" spans="6:26" ht="12.75">
      <c r="F821" s="86"/>
      <c r="G821" s="86"/>
      <c r="H821" s="86"/>
      <c r="I821" s="86"/>
      <c r="J821" s="86"/>
      <c r="K821" s="86"/>
      <c r="L821" s="86"/>
      <c r="M821" s="86"/>
      <c r="N821" s="86"/>
      <c r="O821" s="86"/>
      <c r="P821" s="86"/>
      <c r="Q821" s="86"/>
      <c r="R821" s="86"/>
      <c r="S821" s="86"/>
      <c r="T821" s="86"/>
      <c r="U821" s="86"/>
      <c r="V821" s="86"/>
      <c r="W821" s="86"/>
      <c r="X821" s="86"/>
      <c r="Y821" s="86"/>
      <c r="Z821" s="86"/>
    </row>
    <row r="822" spans="6:26" ht="12.75">
      <c r="F822" s="86"/>
      <c r="G822" s="86"/>
      <c r="H822" s="86"/>
      <c r="I822" s="86"/>
      <c r="J822" s="86"/>
      <c r="K822" s="86"/>
      <c r="L822" s="86"/>
      <c r="M822" s="86"/>
      <c r="N822" s="86"/>
      <c r="O822" s="86"/>
      <c r="P822" s="86"/>
      <c r="Q822" s="86"/>
      <c r="R822" s="86"/>
      <c r="S822" s="86"/>
      <c r="T822" s="86"/>
      <c r="U822" s="86"/>
      <c r="V822" s="86"/>
      <c r="W822" s="86"/>
      <c r="X822" s="86"/>
      <c r="Y822" s="86"/>
      <c r="Z822" s="86"/>
    </row>
    <row r="823" spans="6:26" ht="12.75">
      <c r="F823" s="86"/>
      <c r="G823" s="86"/>
      <c r="H823" s="86"/>
      <c r="I823" s="86"/>
      <c r="J823" s="86"/>
      <c r="K823" s="86"/>
      <c r="L823" s="86"/>
      <c r="M823" s="86"/>
      <c r="N823" s="86"/>
      <c r="O823" s="86"/>
      <c r="P823" s="86"/>
      <c r="Q823" s="86"/>
      <c r="R823" s="86"/>
      <c r="S823" s="86"/>
      <c r="T823" s="86"/>
      <c r="U823" s="86"/>
      <c r="V823" s="86"/>
      <c r="W823" s="86"/>
      <c r="X823" s="86"/>
      <c r="Y823" s="86"/>
      <c r="Z823" s="86"/>
    </row>
    <row r="824" spans="6:26" ht="12.75">
      <c r="F824" s="86"/>
      <c r="G824" s="86"/>
      <c r="H824" s="86"/>
      <c r="I824" s="86"/>
      <c r="J824" s="86"/>
      <c r="K824" s="86"/>
      <c r="L824" s="86"/>
      <c r="M824" s="86"/>
      <c r="N824" s="86"/>
      <c r="O824" s="86"/>
      <c r="P824" s="86"/>
      <c r="Q824" s="86"/>
      <c r="R824" s="86"/>
      <c r="S824" s="86"/>
      <c r="T824" s="86"/>
      <c r="U824" s="86"/>
      <c r="V824" s="86"/>
      <c r="W824" s="86"/>
      <c r="X824" s="86"/>
      <c r="Y824" s="86"/>
      <c r="Z824" s="86"/>
    </row>
    <row r="825" spans="6:26" ht="12.75">
      <c r="F825" s="86"/>
      <c r="G825" s="86"/>
      <c r="H825" s="86"/>
      <c r="I825" s="86"/>
      <c r="J825" s="86"/>
      <c r="K825" s="86"/>
      <c r="L825" s="86"/>
      <c r="M825" s="86"/>
      <c r="N825" s="86"/>
      <c r="O825" s="86"/>
      <c r="P825" s="86"/>
      <c r="Q825" s="86"/>
      <c r="R825" s="86"/>
      <c r="S825" s="86"/>
      <c r="T825" s="86"/>
      <c r="U825" s="86"/>
      <c r="V825" s="86"/>
      <c r="W825" s="86"/>
      <c r="X825" s="86"/>
      <c r="Y825" s="86"/>
      <c r="Z825" s="86"/>
    </row>
    <row r="826" spans="6:26" ht="12.75">
      <c r="F826" s="86"/>
      <c r="G826" s="86"/>
      <c r="H826" s="86"/>
      <c r="I826" s="86"/>
      <c r="J826" s="86"/>
      <c r="K826" s="86"/>
      <c r="L826" s="86"/>
      <c r="M826" s="86"/>
      <c r="N826" s="86"/>
      <c r="O826" s="86"/>
      <c r="P826" s="86"/>
      <c r="Q826" s="86"/>
      <c r="R826" s="86"/>
      <c r="S826" s="86"/>
      <c r="T826" s="86"/>
      <c r="U826" s="86"/>
      <c r="V826" s="86"/>
      <c r="W826" s="86"/>
      <c r="X826" s="86"/>
      <c r="Y826" s="86"/>
      <c r="Z826" s="86"/>
    </row>
    <row r="827" spans="6:26" ht="12.75">
      <c r="F827" s="86"/>
      <c r="G827" s="86"/>
      <c r="H827" s="86"/>
      <c r="I827" s="86"/>
      <c r="J827" s="86"/>
      <c r="K827" s="86"/>
      <c r="L827" s="86"/>
      <c r="M827" s="86"/>
      <c r="N827" s="86"/>
      <c r="O827" s="86"/>
      <c r="P827" s="86"/>
      <c r="Q827" s="86"/>
      <c r="R827" s="86"/>
      <c r="S827" s="86"/>
      <c r="T827" s="86"/>
      <c r="U827" s="86"/>
      <c r="V827" s="86"/>
      <c r="W827" s="86"/>
      <c r="X827" s="86"/>
      <c r="Y827" s="86"/>
      <c r="Z827" s="86"/>
    </row>
    <row r="828" spans="6:26" ht="12.75">
      <c r="F828" s="86"/>
      <c r="G828" s="86"/>
      <c r="H828" s="86"/>
      <c r="I828" s="86"/>
      <c r="J828" s="86"/>
      <c r="K828" s="86"/>
      <c r="L828" s="86"/>
      <c r="M828" s="86"/>
      <c r="N828" s="86"/>
      <c r="O828" s="86"/>
      <c r="P828" s="86"/>
      <c r="Q828" s="86"/>
      <c r="R828" s="86"/>
      <c r="S828" s="86"/>
      <c r="T828" s="86"/>
      <c r="U828" s="86"/>
      <c r="V828" s="86"/>
      <c r="W828" s="86"/>
      <c r="X828" s="86"/>
      <c r="Y828" s="86"/>
      <c r="Z828" s="86"/>
    </row>
    <row r="829" spans="6:26" ht="12.75">
      <c r="F829" s="86"/>
      <c r="G829" s="86"/>
      <c r="H829" s="86"/>
      <c r="I829" s="86"/>
      <c r="J829" s="86"/>
      <c r="K829" s="86"/>
      <c r="L829" s="86"/>
      <c r="M829" s="86"/>
      <c r="N829" s="86"/>
      <c r="O829" s="86"/>
      <c r="P829" s="86"/>
      <c r="Q829" s="86"/>
      <c r="R829" s="86"/>
      <c r="S829" s="86"/>
      <c r="T829" s="86"/>
      <c r="U829" s="86"/>
      <c r="V829" s="86"/>
      <c r="W829" s="86"/>
      <c r="X829" s="86"/>
      <c r="Y829" s="86"/>
      <c r="Z829" s="86"/>
    </row>
    <row r="830" spans="6:26" ht="12.75">
      <c r="F830" s="86"/>
      <c r="G830" s="86"/>
      <c r="H830" s="86"/>
      <c r="I830" s="86"/>
      <c r="J830" s="86"/>
      <c r="K830" s="86"/>
      <c r="L830" s="86"/>
      <c r="M830" s="86"/>
      <c r="N830" s="86"/>
      <c r="O830" s="86"/>
      <c r="P830" s="86"/>
      <c r="Q830" s="86"/>
      <c r="R830" s="86"/>
      <c r="S830" s="86"/>
      <c r="T830" s="86"/>
      <c r="U830" s="86"/>
      <c r="V830" s="86"/>
      <c r="W830" s="86"/>
      <c r="X830" s="86"/>
      <c r="Y830" s="86"/>
      <c r="Z830" s="86"/>
    </row>
    <row r="831" spans="6:26" ht="12.75">
      <c r="F831" s="86"/>
      <c r="G831" s="86"/>
      <c r="H831" s="86"/>
      <c r="I831" s="86"/>
      <c r="J831" s="86"/>
      <c r="K831" s="86"/>
      <c r="L831" s="86"/>
      <c r="M831" s="86"/>
      <c r="N831" s="86"/>
      <c r="O831" s="86"/>
      <c r="P831" s="86"/>
      <c r="Q831" s="86"/>
      <c r="R831" s="86"/>
      <c r="S831" s="86"/>
      <c r="T831" s="86"/>
      <c r="U831" s="86"/>
      <c r="V831" s="86"/>
      <c r="W831" s="86"/>
      <c r="X831" s="86"/>
      <c r="Y831" s="86"/>
      <c r="Z831" s="86"/>
    </row>
    <row r="832" spans="6:26" ht="12.75">
      <c r="F832" s="86"/>
      <c r="G832" s="86"/>
      <c r="H832" s="86"/>
      <c r="I832" s="86"/>
      <c r="J832" s="86"/>
      <c r="K832" s="86"/>
      <c r="L832" s="86"/>
      <c r="M832" s="86"/>
      <c r="N832" s="86"/>
      <c r="O832" s="86"/>
      <c r="P832" s="86"/>
      <c r="Q832" s="86"/>
      <c r="R832" s="86"/>
      <c r="S832" s="86"/>
      <c r="T832" s="86"/>
      <c r="U832" s="86"/>
      <c r="V832" s="86"/>
      <c r="W832" s="86"/>
      <c r="X832" s="86"/>
      <c r="Y832" s="86"/>
      <c r="Z832" s="86"/>
    </row>
    <row r="833" spans="6:26" ht="12.75">
      <c r="F833" s="86"/>
      <c r="G833" s="86"/>
      <c r="H833" s="86"/>
      <c r="I833" s="86"/>
      <c r="J833" s="86"/>
      <c r="K833" s="86"/>
      <c r="L833" s="86"/>
      <c r="M833" s="86"/>
      <c r="N833" s="86"/>
      <c r="O833" s="86"/>
      <c r="P833" s="86"/>
      <c r="Q833" s="86"/>
      <c r="R833" s="86"/>
      <c r="S833" s="86"/>
      <c r="T833" s="86"/>
      <c r="U833" s="86"/>
      <c r="V833" s="86"/>
      <c r="W833" s="86"/>
      <c r="X833" s="86"/>
      <c r="Y833" s="86"/>
      <c r="Z833" s="86"/>
    </row>
    <row r="834" spans="6:26" ht="12.75">
      <c r="F834" s="86"/>
      <c r="G834" s="86"/>
      <c r="H834" s="86"/>
      <c r="I834" s="86"/>
      <c r="J834" s="86"/>
      <c r="K834" s="86"/>
      <c r="L834" s="86"/>
      <c r="M834" s="86"/>
      <c r="N834" s="86"/>
      <c r="O834" s="86"/>
      <c r="P834" s="86"/>
      <c r="Q834" s="86"/>
      <c r="R834" s="86"/>
      <c r="S834" s="86"/>
      <c r="T834" s="86"/>
      <c r="U834" s="86"/>
      <c r="V834" s="86"/>
      <c r="W834" s="86"/>
      <c r="X834" s="86"/>
      <c r="Y834" s="86"/>
      <c r="Z834" s="86"/>
    </row>
    <row r="835" spans="6:26" ht="12.75">
      <c r="F835" s="86"/>
      <c r="G835" s="86"/>
      <c r="H835" s="86"/>
      <c r="I835" s="86"/>
      <c r="J835" s="86"/>
      <c r="K835" s="86"/>
      <c r="L835" s="86"/>
      <c r="M835" s="86"/>
      <c r="N835" s="86"/>
      <c r="O835" s="86"/>
      <c r="P835" s="86"/>
      <c r="Q835" s="86"/>
      <c r="R835" s="86"/>
      <c r="S835" s="86"/>
      <c r="T835" s="86"/>
      <c r="U835" s="86"/>
      <c r="V835" s="86"/>
      <c r="W835" s="86"/>
      <c r="X835" s="86"/>
      <c r="Y835" s="86"/>
      <c r="Z835" s="86"/>
    </row>
    <row r="836" spans="6:26" ht="12.75">
      <c r="F836" s="86"/>
      <c r="G836" s="86"/>
      <c r="H836" s="86"/>
      <c r="I836" s="86"/>
      <c r="J836" s="86"/>
      <c r="K836" s="86"/>
      <c r="L836" s="86"/>
      <c r="M836" s="86"/>
      <c r="N836" s="86"/>
      <c r="O836" s="86"/>
      <c r="P836" s="86"/>
      <c r="Q836" s="86"/>
      <c r="R836" s="86"/>
      <c r="S836" s="86"/>
      <c r="T836" s="86"/>
      <c r="U836" s="86"/>
      <c r="V836" s="86"/>
      <c r="W836" s="86"/>
      <c r="X836" s="86"/>
      <c r="Y836" s="86"/>
      <c r="Z836" s="86"/>
    </row>
    <row r="837" spans="6:26" ht="12.75">
      <c r="F837" s="86"/>
      <c r="G837" s="86"/>
      <c r="H837" s="86"/>
      <c r="I837" s="86"/>
      <c r="J837" s="86"/>
      <c r="K837" s="86"/>
      <c r="L837" s="86"/>
      <c r="M837" s="86"/>
      <c r="N837" s="86"/>
      <c r="O837" s="86"/>
      <c r="P837" s="86"/>
      <c r="Q837" s="86"/>
      <c r="R837" s="86"/>
      <c r="S837" s="86"/>
      <c r="T837" s="86"/>
      <c r="U837" s="86"/>
      <c r="V837" s="86"/>
      <c r="W837" s="86"/>
      <c r="X837" s="86"/>
      <c r="Y837" s="86"/>
      <c r="Z837" s="86"/>
    </row>
    <row r="838" spans="6:26" ht="12.75">
      <c r="F838" s="86"/>
      <c r="G838" s="86"/>
      <c r="H838" s="86"/>
      <c r="I838" s="86"/>
      <c r="J838" s="86"/>
      <c r="K838" s="86"/>
      <c r="L838" s="86"/>
      <c r="M838" s="86"/>
      <c r="N838" s="86"/>
      <c r="O838" s="86"/>
      <c r="P838" s="86"/>
      <c r="Q838" s="86"/>
      <c r="R838" s="86"/>
      <c r="S838" s="86"/>
      <c r="T838" s="86"/>
      <c r="U838" s="86"/>
      <c r="V838" s="86"/>
      <c r="W838" s="86"/>
      <c r="X838" s="86"/>
      <c r="Y838" s="86"/>
      <c r="Z838" s="86"/>
    </row>
    <row r="839" spans="6:26" ht="12.75">
      <c r="F839" s="86"/>
      <c r="G839" s="86"/>
      <c r="H839" s="86"/>
      <c r="I839" s="86"/>
      <c r="J839" s="86"/>
      <c r="K839" s="86"/>
      <c r="L839" s="86"/>
      <c r="M839" s="86"/>
      <c r="N839" s="86"/>
      <c r="O839" s="86"/>
      <c r="P839" s="86"/>
      <c r="Q839" s="86"/>
      <c r="R839" s="86"/>
      <c r="S839" s="86"/>
      <c r="T839" s="86"/>
      <c r="U839" s="86"/>
      <c r="V839" s="86"/>
      <c r="W839" s="86"/>
      <c r="X839" s="86"/>
      <c r="Y839" s="86"/>
      <c r="Z839" s="86"/>
    </row>
    <row r="840" spans="6:26" ht="12.75">
      <c r="F840" s="86"/>
      <c r="G840" s="86"/>
      <c r="H840" s="86"/>
      <c r="I840" s="86"/>
      <c r="J840" s="86"/>
      <c r="K840" s="86"/>
      <c r="L840" s="86"/>
      <c r="M840" s="86"/>
      <c r="N840" s="86"/>
      <c r="O840" s="86"/>
      <c r="P840" s="86"/>
      <c r="Q840" s="86"/>
      <c r="R840" s="86"/>
      <c r="S840" s="86"/>
      <c r="T840" s="86"/>
      <c r="U840" s="86"/>
      <c r="V840" s="86"/>
      <c r="W840" s="86"/>
      <c r="X840" s="86"/>
      <c r="Y840" s="86"/>
      <c r="Z840" s="86"/>
    </row>
    <row r="841" spans="6:26" ht="12.75">
      <c r="F841" s="86"/>
      <c r="G841" s="86"/>
      <c r="H841" s="86"/>
      <c r="I841" s="86"/>
      <c r="J841" s="86"/>
      <c r="K841" s="86"/>
      <c r="L841" s="86"/>
      <c r="M841" s="86"/>
      <c r="N841" s="86"/>
      <c r="O841" s="86"/>
      <c r="P841" s="86"/>
      <c r="Q841" s="86"/>
      <c r="R841" s="86"/>
      <c r="S841" s="86"/>
      <c r="T841" s="86"/>
      <c r="U841" s="86"/>
      <c r="V841" s="86"/>
      <c r="W841" s="86"/>
      <c r="X841" s="86"/>
      <c r="Y841" s="86"/>
      <c r="Z841" s="86"/>
    </row>
    <row r="842" spans="6:26" ht="12.75">
      <c r="F842" s="86"/>
      <c r="G842" s="86"/>
      <c r="H842" s="86"/>
      <c r="I842" s="86"/>
      <c r="J842" s="86"/>
      <c r="K842" s="86"/>
      <c r="L842" s="86"/>
      <c r="M842" s="86"/>
      <c r="N842" s="86"/>
      <c r="O842" s="86"/>
      <c r="P842" s="86"/>
      <c r="Q842" s="86"/>
      <c r="R842" s="86"/>
      <c r="S842" s="86"/>
      <c r="T842" s="86"/>
      <c r="U842" s="86"/>
      <c r="V842" s="86"/>
      <c r="W842" s="86"/>
      <c r="X842" s="86"/>
      <c r="Y842" s="86"/>
      <c r="Z842" s="86"/>
    </row>
    <row r="843" spans="6:26" ht="12.75">
      <c r="F843" s="86"/>
      <c r="G843" s="86"/>
      <c r="H843" s="86"/>
      <c r="I843" s="86"/>
      <c r="J843" s="86"/>
      <c r="K843" s="86"/>
      <c r="L843" s="86"/>
      <c r="M843" s="86"/>
      <c r="N843" s="86"/>
      <c r="O843" s="86"/>
      <c r="P843" s="86"/>
      <c r="Q843" s="86"/>
      <c r="R843" s="86"/>
      <c r="S843" s="86"/>
      <c r="T843" s="86"/>
      <c r="U843" s="86"/>
      <c r="V843" s="86"/>
      <c r="W843" s="86"/>
      <c r="X843" s="86"/>
      <c r="Y843" s="86"/>
      <c r="Z843" s="86"/>
    </row>
    <row r="844" spans="6:26" ht="12.75">
      <c r="F844" s="86"/>
      <c r="G844" s="86"/>
      <c r="H844" s="86"/>
      <c r="I844" s="86"/>
      <c r="J844" s="86"/>
      <c r="K844" s="86"/>
      <c r="L844" s="86"/>
      <c r="M844" s="86"/>
      <c r="N844" s="86"/>
      <c r="O844" s="86"/>
      <c r="P844" s="86"/>
      <c r="Q844" s="86"/>
      <c r="R844" s="86"/>
      <c r="S844" s="86"/>
      <c r="T844" s="86"/>
      <c r="U844" s="86"/>
      <c r="V844" s="86"/>
      <c r="W844" s="86"/>
      <c r="X844" s="86"/>
      <c r="Y844" s="86"/>
      <c r="Z844" s="86"/>
    </row>
    <row r="845" spans="6:26" ht="12.75">
      <c r="F845" s="86"/>
      <c r="G845" s="86"/>
      <c r="H845" s="86"/>
      <c r="I845" s="86"/>
      <c r="J845" s="86"/>
      <c r="K845" s="86"/>
      <c r="L845" s="86"/>
      <c r="M845" s="86"/>
      <c r="N845" s="86"/>
      <c r="O845" s="86"/>
      <c r="P845" s="86"/>
      <c r="Q845" s="86"/>
      <c r="R845" s="86"/>
      <c r="S845" s="86"/>
      <c r="T845" s="86"/>
      <c r="U845" s="86"/>
      <c r="V845" s="86"/>
      <c r="W845" s="86"/>
      <c r="X845" s="86"/>
      <c r="Y845" s="86"/>
      <c r="Z845" s="86"/>
    </row>
    <row r="846" spans="6:26" ht="12.75">
      <c r="F846" s="86"/>
      <c r="G846" s="86"/>
      <c r="H846" s="86"/>
      <c r="I846" s="86"/>
      <c r="J846" s="86"/>
      <c r="K846" s="86"/>
      <c r="L846" s="86"/>
      <c r="M846" s="86"/>
      <c r="N846" s="86"/>
      <c r="O846" s="86"/>
      <c r="P846" s="86"/>
      <c r="Q846" s="86"/>
      <c r="R846" s="86"/>
      <c r="S846" s="86"/>
      <c r="T846" s="86"/>
      <c r="U846" s="86"/>
      <c r="V846" s="86"/>
      <c r="W846" s="86"/>
      <c r="X846" s="86"/>
      <c r="Y846" s="86"/>
      <c r="Z846" s="86"/>
    </row>
    <row r="847" spans="6:26" ht="12.75">
      <c r="F847" s="86"/>
      <c r="G847" s="86"/>
      <c r="H847" s="86"/>
      <c r="I847" s="86"/>
      <c r="J847" s="86"/>
      <c r="K847" s="86"/>
      <c r="L847" s="86"/>
      <c r="M847" s="86"/>
      <c r="N847" s="86"/>
      <c r="O847" s="86"/>
      <c r="P847" s="86"/>
      <c r="Q847" s="86"/>
      <c r="R847" s="86"/>
      <c r="S847" s="86"/>
      <c r="T847" s="86"/>
      <c r="U847" s="86"/>
      <c r="V847" s="86"/>
      <c r="W847" s="86"/>
      <c r="X847" s="86"/>
      <c r="Y847" s="86"/>
      <c r="Z847" s="86"/>
    </row>
    <row r="848" spans="6:26" ht="12.75">
      <c r="F848" s="86"/>
      <c r="G848" s="86"/>
      <c r="H848" s="86"/>
      <c r="I848" s="86"/>
      <c r="J848" s="86"/>
      <c r="K848" s="86"/>
      <c r="L848" s="86"/>
      <c r="M848" s="86"/>
      <c r="N848" s="86"/>
      <c r="O848" s="86"/>
      <c r="P848" s="86"/>
      <c r="Q848" s="86"/>
      <c r="R848" s="86"/>
      <c r="S848" s="86"/>
      <c r="T848" s="86"/>
      <c r="U848" s="86"/>
      <c r="V848" s="86"/>
      <c r="W848" s="86"/>
      <c r="X848" s="86"/>
      <c r="Y848" s="86"/>
      <c r="Z848" s="86"/>
    </row>
    <row r="849" spans="6:26" ht="12.75">
      <c r="F849" s="86"/>
      <c r="G849" s="86"/>
      <c r="H849" s="86"/>
      <c r="I849" s="86"/>
      <c r="J849" s="86"/>
      <c r="K849" s="86"/>
      <c r="L849" s="86"/>
      <c r="M849" s="86"/>
      <c r="N849" s="86"/>
      <c r="O849" s="86"/>
      <c r="P849" s="86"/>
      <c r="Q849" s="86"/>
      <c r="R849" s="86"/>
      <c r="S849" s="86"/>
      <c r="T849" s="86"/>
      <c r="U849" s="86"/>
      <c r="V849" s="86"/>
      <c r="W849" s="86"/>
      <c r="X849" s="86"/>
      <c r="Y849" s="86"/>
      <c r="Z849" s="86"/>
    </row>
    <row r="850" spans="6:26" ht="12.75">
      <c r="F850" s="86"/>
      <c r="G850" s="86"/>
      <c r="H850" s="86"/>
      <c r="I850" s="86"/>
      <c r="J850" s="86"/>
      <c r="K850" s="86"/>
      <c r="L850" s="86"/>
      <c r="M850" s="86"/>
      <c r="N850" s="86"/>
      <c r="O850" s="86"/>
      <c r="P850" s="86"/>
      <c r="Q850" s="86"/>
      <c r="R850" s="86"/>
      <c r="S850" s="86"/>
      <c r="T850" s="86"/>
      <c r="U850" s="86"/>
      <c r="V850" s="86"/>
      <c r="W850" s="86"/>
      <c r="X850" s="86"/>
      <c r="Y850" s="86"/>
      <c r="Z850" s="86"/>
    </row>
    <row r="851" spans="6:26" ht="12.75">
      <c r="F851" s="86"/>
      <c r="G851" s="86"/>
      <c r="H851" s="86"/>
      <c r="I851" s="86"/>
      <c r="J851" s="86"/>
      <c r="K851" s="86"/>
      <c r="L851" s="86"/>
      <c r="M851" s="86"/>
      <c r="N851" s="86"/>
      <c r="O851" s="86"/>
      <c r="P851" s="86"/>
      <c r="Q851" s="86"/>
      <c r="R851" s="86"/>
      <c r="S851" s="86"/>
      <c r="T851" s="86"/>
      <c r="U851" s="86"/>
      <c r="V851" s="86"/>
      <c r="W851" s="86"/>
      <c r="X851" s="86"/>
      <c r="Y851" s="86"/>
      <c r="Z851" s="86"/>
    </row>
    <row r="852" spans="6:26" ht="12.75">
      <c r="F852" s="86"/>
      <c r="G852" s="86"/>
      <c r="H852" s="86"/>
      <c r="I852" s="86"/>
      <c r="J852" s="86"/>
      <c r="K852" s="86"/>
      <c r="L852" s="86"/>
      <c r="M852" s="86"/>
      <c r="N852" s="86"/>
      <c r="O852" s="86"/>
      <c r="P852" s="86"/>
      <c r="Q852" s="86"/>
      <c r="R852" s="86"/>
      <c r="S852" s="86"/>
      <c r="T852" s="86"/>
      <c r="U852" s="86"/>
      <c r="V852" s="86"/>
      <c r="W852" s="86"/>
      <c r="X852" s="86"/>
      <c r="Y852" s="86"/>
      <c r="Z852" s="86"/>
    </row>
    <row r="853" spans="6:26" ht="12.75">
      <c r="F853" s="86"/>
      <c r="G853" s="86"/>
      <c r="H853" s="86"/>
      <c r="I853" s="86"/>
      <c r="J853" s="86"/>
      <c r="K853" s="86"/>
      <c r="L853" s="86"/>
      <c r="M853" s="86"/>
      <c r="N853" s="86"/>
      <c r="O853" s="86"/>
      <c r="P853" s="86"/>
      <c r="Q853" s="86"/>
      <c r="R853" s="86"/>
      <c r="S853" s="86"/>
      <c r="T853" s="86"/>
      <c r="U853" s="86"/>
      <c r="V853" s="86"/>
      <c r="W853" s="86"/>
      <c r="X853" s="86"/>
      <c r="Y853" s="86"/>
      <c r="Z853" s="86"/>
    </row>
    <row r="854" spans="6:26" ht="12.75">
      <c r="F854" s="86"/>
      <c r="G854" s="86"/>
      <c r="H854" s="86"/>
      <c r="I854" s="86"/>
      <c r="J854" s="86"/>
      <c r="K854" s="86"/>
      <c r="L854" s="86"/>
      <c r="M854" s="86"/>
      <c r="N854" s="86"/>
      <c r="O854" s="86"/>
      <c r="P854" s="86"/>
      <c r="Q854" s="86"/>
      <c r="R854" s="86"/>
      <c r="S854" s="86"/>
      <c r="T854" s="86"/>
      <c r="U854" s="86"/>
      <c r="V854" s="86"/>
      <c r="W854" s="86"/>
      <c r="X854" s="86"/>
      <c r="Y854" s="86"/>
      <c r="Z854" s="86"/>
    </row>
    <row r="855" spans="6:26" ht="12.75">
      <c r="F855" s="86"/>
      <c r="G855" s="86"/>
      <c r="H855" s="86"/>
      <c r="I855" s="86"/>
      <c r="J855" s="86"/>
      <c r="K855" s="86"/>
      <c r="L855" s="86"/>
      <c r="M855" s="86"/>
      <c r="N855" s="86"/>
      <c r="O855" s="86"/>
      <c r="P855" s="86"/>
      <c r="Q855" s="86"/>
      <c r="R855" s="86"/>
      <c r="S855" s="86"/>
      <c r="T855" s="86"/>
      <c r="U855" s="86"/>
      <c r="V855" s="86"/>
      <c r="W855" s="86"/>
      <c r="X855" s="86"/>
      <c r="Y855" s="86"/>
      <c r="Z855" s="86"/>
    </row>
    <row r="856" spans="6:26" ht="12.75">
      <c r="F856" s="86"/>
      <c r="G856" s="86"/>
      <c r="H856" s="86"/>
      <c r="I856" s="86"/>
      <c r="J856" s="86"/>
      <c r="K856" s="86"/>
      <c r="L856" s="86"/>
      <c r="M856" s="86"/>
      <c r="N856" s="86"/>
      <c r="O856" s="86"/>
      <c r="P856" s="86"/>
      <c r="Q856" s="86"/>
      <c r="R856" s="86"/>
      <c r="S856" s="86"/>
      <c r="T856" s="86"/>
      <c r="U856" s="86"/>
      <c r="V856" s="86"/>
      <c r="W856" s="86"/>
      <c r="X856" s="86"/>
      <c r="Y856" s="86"/>
      <c r="Z856" s="86"/>
    </row>
    <row r="857" spans="6:26" ht="12.75">
      <c r="F857" s="86"/>
      <c r="G857" s="86"/>
      <c r="H857" s="86"/>
      <c r="I857" s="86"/>
      <c r="J857" s="86"/>
      <c r="K857" s="86"/>
      <c r="L857" s="86"/>
      <c r="M857" s="86"/>
      <c r="N857" s="86"/>
      <c r="O857" s="86"/>
      <c r="P857" s="86"/>
      <c r="Q857" s="86"/>
      <c r="R857" s="86"/>
      <c r="S857" s="86"/>
      <c r="T857" s="86"/>
      <c r="U857" s="86"/>
      <c r="V857" s="86"/>
      <c r="W857" s="86"/>
      <c r="X857" s="86"/>
      <c r="Y857" s="86"/>
      <c r="Z857" s="86"/>
    </row>
    <row r="858" spans="6:26" ht="12.75">
      <c r="F858" s="86"/>
      <c r="G858" s="86"/>
      <c r="H858" s="86"/>
      <c r="I858" s="86"/>
      <c r="J858" s="86"/>
      <c r="K858" s="86"/>
      <c r="L858" s="86"/>
      <c r="M858" s="86"/>
      <c r="N858" s="86"/>
      <c r="O858" s="86"/>
      <c r="P858" s="86"/>
      <c r="Q858" s="86"/>
      <c r="R858" s="86"/>
      <c r="S858" s="86"/>
      <c r="T858" s="86"/>
      <c r="U858" s="86"/>
      <c r="V858" s="86"/>
      <c r="W858" s="86"/>
      <c r="X858" s="86"/>
      <c r="Y858" s="86"/>
      <c r="Z858" s="86"/>
    </row>
    <row r="859" spans="6:26" ht="12.75">
      <c r="F859" s="86"/>
      <c r="G859" s="86"/>
      <c r="H859" s="86"/>
      <c r="I859" s="86"/>
      <c r="J859" s="86"/>
      <c r="K859" s="86"/>
      <c r="L859" s="86"/>
      <c r="M859" s="86"/>
      <c r="N859" s="86"/>
      <c r="O859" s="86"/>
      <c r="P859" s="86"/>
      <c r="Q859" s="86"/>
      <c r="R859" s="86"/>
      <c r="S859" s="86"/>
      <c r="T859" s="86"/>
      <c r="U859" s="86"/>
      <c r="V859" s="86"/>
      <c r="W859" s="86"/>
      <c r="X859" s="86"/>
      <c r="Y859" s="86"/>
      <c r="Z859" s="86"/>
    </row>
    <row r="860" spans="6:26" ht="12.75">
      <c r="F860" s="86"/>
      <c r="G860" s="86"/>
      <c r="H860" s="86"/>
      <c r="I860" s="86"/>
      <c r="J860" s="86"/>
      <c r="K860" s="86"/>
      <c r="L860" s="86"/>
      <c r="M860" s="86"/>
      <c r="N860" s="86"/>
      <c r="O860" s="86"/>
      <c r="P860" s="86"/>
      <c r="Q860" s="86"/>
      <c r="R860" s="86"/>
      <c r="S860" s="86"/>
      <c r="T860" s="86"/>
      <c r="U860" s="86"/>
      <c r="V860" s="86"/>
      <c r="W860" s="86"/>
      <c r="X860" s="86"/>
      <c r="Y860" s="86"/>
      <c r="Z860" s="86"/>
    </row>
    <row r="861" spans="6:26" ht="12.75">
      <c r="F861" s="86"/>
      <c r="G861" s="86"/>
      <c r="H861" s="86"/>
      <c r="I861" s="86"/>
      <c r="J861" s="86"/>
      <c r="K861" s="86"/>
      <c r="L861" s="86"/>
      <c r="M861" s="86"/>
      <c r="N861" s="86"/>
      <c r="O861" s="86"/>
      <c r="P861" s="86"/>
      <c r="Q861" s="86"/>
      <c r="R861" s="86"/>
      <c r="S861" s="86"/>
      <c r="T861" s="86"/>
      <c r="U861" s="86"/>
      <c r="V861" s="86"/>
      <c r="W861" s="86"/>
      <c r="X861" s="86"/>
      <c r="Y861" s="86"/>
      <c r="Z861" s="86"/>
    </row>
    <row r="862" spans="6:26" ht="12.75">
      <c r="F862" s="86"/>
      <c r="G862" s="86"/>
      <c r="H862" s="86"/>
      <c r="I862" s="86"/>
      <c r="J862" s="86"/>
      <c r="K862" s="86"/>
      <c r="L862" s="86"/>
      <c r="M862" s="86"/>
      <c r="N862" s="86"/>
      <c r="O862" s="86"/>
      <c r="P862" s="86"/>
      <c r="Q862" s="86"/>
      <c r="R862" s="86"/>
      <c r="S862" s="86"/>
      <c r="T862" s="86"/>
      <c r="U862" s="86"/>
      <c r="V862" s="86"/>
      <c r="W862" s="86"/>
      <c r="X862" s="86"/>
      <c r="Y862" s="86"/>
      <c r="Z862" s="86"/>
    </row>
    <row r="863" spans="6:26" ht="12.75">
      <c r="F863" s="86"/>
      <c r="G863" s="86"/>
      <c r="H863" s="86"/>
      <c r="I863" s="86"/>
      <c r="J863" s="86"/>
      <c r="K863" s="86"/>
      <c r="L863" s="86"/>
      <c r="M863" s="86"/>
      <c r="N863" s="86"/>
      <c r="O863" s="86"/>
      <c r="P863" s="86"/>
      <c r="Q863" s="86"/>
      <c r="R863" s="86"/>
      <c r="S863" s="86"/>
      <c r="T863" s="86"/>
      <c r="U863" s="86"/>
      <c r="V863" s="86"/>
      <c r="W863" s="86"/>
      <c r="X863" s="86"/>
      <c r="Y863" s="86"/>
      <c r="Z863" s="86"/>
    </row>
    <row r="864" spans="6:26" ht="12.75">
      <c r="F864" s="86"/>
      <c r="G864" s="86"/>
      <c r="H864" s="86"/>
      <c r="I864" s="86"/>
      <c r="J864" s="86"/>
      <c r="K864" s="86"/>
      <c r="L864" s="86"/>
      <c r="M864" s="86"/>
      <c r="N864" s="86"/>
      <c r="O864" s="86"/>
      <c r="P864" s="86"/>
      <c r="Q864" s="86"/>
      <c r="R864" s="86"/>
      <c r="S864" s="86"/>
      <c r="T864" s="86"/>
      <c r="U864" s="86"/>
      <c r="V864" s="86"/>
      <c r="W864" s="86"/>
      <c r="X864" s="86"/>
      <c r="Y864" s="86"/>
      <c r="Z864" s="86"/>
    </row>
    <row r="865" spans="6:26" ht="12.75">
      <c r="F865" s="86"/>
      <c r="G865" s="86"/>
      <c r="H865" s="86"/>
      <c r="I865" s="86"/>
      <c r="J865" s="86"/>
      <c r="K865" s="86"/>
      <c r="L865" s="86"/>
      <c r="M865" s="86"/>
      <c r="N865" s="86"/>
      <c r="O865" s="86"/>
      <c r="P865" s="86"/>
      <c r="Q865" s="86"/>
      <c r="R865" s="86"/>
      <c r="S865" s="86"/>
      <c r="T865" s="86"/>
      <c r="U865" s="86"/>
      <c r="V865" s="86"/>
      <c r="W865" s="86"/>
      <c r="X865" s="86"/>
      <c r="Y865" s="86"/>
      <c r="Z865" s="86"/>
    </row>
    <row r="866" spans="6:26" ht="12.75">
      <c r="F866" s="86"/>
      <c r="G866" s="86"/>
      <c r="H866" s="86"/>
      <c r="I866" s="86"/>
      <c r="J866" s="86"/>
      <c r="K866" s="86"/>
      <c r="L866" s="86"/>
      <c r="M866" s="86"/>
      <c r="N866" s="86"/>
      <c r="O866" s="86"/>
      <c r="P866" s="86"/>
      <c r="Q866" s="86"/>
      <c r="R866" s="86"/>
      <c r="S866" s="86"/>
      <c r="T866" s="86"/>
      <c r="U866" s="86"/>
      <c r="V866" s="86"/>
      <c r="W866" s="86"/>
      <c r="X866" s="86"/>
      <c r="Y866" s="86"/>
      <c r="Z866" s="86"/>
    </row>
    <row r="867" spans="6:26" ht="12.75">
      <c r="F867" s="86"/>
      <c r="G867" s="86"/>
      <c r="H867" s="86"/>
      <c r="I867" s="86"/>
      <c r="J867" s="86"/>
      <c r="K867" s="86"/>
      <c r="L867" s="86"/>
      <c r="M867" s="86"/>
      <c r="N867" s="86"/>
      <c r="O867" s="86"/>
      <c r="P867" s="86"/>
      <c r="Q867" s="86"/>
      <c r="R867" s="86"/>
      <c r="S867" s="86"/>
      <c r="T867" s="86"/>
      <c r="U867" s="86"/>
      <c r="V867" s="86"/>
      <c r="W867" s="86"/>
      <c r="X867" s="86"/>
      <c r="Y867" s="86"/>
      <c r="Z867" s="86"/>
    </row>
    <row r="868" spans="6:26" ht="12.75">
      <c r="F868" s="86"/>
      <c r="G868" s="86"/>
      <c r="H868" s="86"/>
      <c r="I868" s="86"/>
      <c r="J868" s="86"/>
      <c r="K868" s="86"/>
      <c r="L868" s="86"/>
      <c r="M868" s="86"/>
      <c r="N868" s="86"/>
      <c r="O868" s="86"/>
      <c r="P868" s="86"/>
      <c r="Q868" s="86"/>
      <c r="R868" s="86"/>
      <c r="S868" s="86"/>
      <c r="T868" s="86"/>
      <c r="U868" s="86"/>
      <c r="V868" s="86"/>
      <c r="W868" s="86"/>
      <c r="X868" s="86"/>
      <c r="Y868" s="86"/>
      <c r="Z868" s="86"/>
    </row>
    <row r="869" spans="6:26" ht="12.75">
      <c r="F869" s="86"/>
      <c r="G869" s="86"/>
      <c r="H869" s="86"/>
      <c r="I869" s="86"/>
      <c r="J869" s="86"/>
      <c r="K869" s="86"/>
      <c r="L869" s="86"/>
      <c r="M869" s="86"/>
      <c r="N869" s="86"/>
      <c r="O869" s="86"/>
      <c r="P869" s="86"/>
      <c r="Q869" s="86"/>
      <c r="R869" s="86"/>
      <c r="S869" s="86"/>
      <c r="T869" s="86"/>
      <c r="U869" s="86"/>
      <c r="V869" s="86"/>
      <c r="W869" s="86"/>
      <c r="X869" s="86"/>
      <c r="Y869" s="86"/>
      <c r="Z869" s="86"/>
    </row>
    <row r="870" spans="6:26" ht="12.75">
      <c r="F870" s="86"/>
      <c r="G870" s="86"/>
      <c r="H870" s="86"/>
      <c r="I870" s="86"/>
      <c r="J870" s="86"/>
      <c r="K870" s="86"/>
      <c r="L870" s="86"/>
      <c r="M870" s="86"/>
      <c r="N870" s="86"/>
      <c r="O870" s="86"/>
      <c r="P870" s="86"/>
      <c r="Q870" s="86"/>
      <c r="R870" s="86"/>
      <c r="S870" s="86"/>
      <c r="T870" s="86"/>
      <c r="U870" s="86"/>
      <c r="V870" s="86"/>
      <c r="W870" s="86"/>
      <c r="X870" s="86"/>
      <c r="Y870" s="86"/>
      <c r="Z870" s="86"/>
    </row>
    <row r="871" spans="6:26" ht="12.75">
      <c r="F871" s="86"/>
      <c r="G871" s="86"/>
      <c r="H871" s="86"/>
      <c r="I871" s="86"/>
      <c r="J871" s="86"/>
      <c r="K871" s="86"/>
      <c r="L871" s="86"/>
      <c r="M871" s="86"/>
      <c r="N871" s="86"/>
      <c r="O871" s="86"/>
      <c r="P871" s="86"/>
      <c r="Q871" s="86"/>
      <c r="R871" s="86"/>
      <c r="S871" s="86"/>
      <c r="T871" s="86"/>
      <c r="U871" s="86"/>
      <c r="V871" s="86"/>
      <c r="W871" s="86"/>
      <c r="X871" s="86"/>
      <c r="Y871" s="86"/>
      <c r="Z871" s="86"/>
    </row>
    <row r="872" spans="6:26" ht="12.75">
      <c r="F872" s="86"/>
      <c r="G872" s="86"/>
      <c r="H872" s="86"/>
      <c r="I872" s="86"/>
      <c r="J872" s="86"/>
      <c r="K872" s="86"/>
      <c r="L872" s="86"/>
      <c r="M872" s="86"/>
      <c r="N872" s="86"/>
      <c r="O872" s="86"/>
      <c r="P872" s="86"/>
      <c r="Q872" s="86"/>
      <c r="R872" s="86"/>
      <c r="S872" s="86"/>
      <c r="T872" s="86"/>
      <c r="U872" s="86"/>
      <c r="V872" s="86"/>
      <c r="W872" s="86"/>
      <c r="X872" s="86"/>
      <c r="Y872" s="86"/>
      <c r="Z872" s="86"/>
    </row>
    <row r="873" spans="6:26" ht="12.75">
      <c r="F873" s="86"/>
      <c r="G873" s="86"/>
      <c r="H873" s="86"/>
      <c r="I873" s="86"/>
      <c r="J873" s="86"/>
      <c r="K873" s="86"/>
      <c r="L873" s="86"/>
      <c r="M873" s="86"/>
      <c r="N873" s="86"/>
      <c r="O873" s="86"/>
      <c r="P873" s="86"/>
      <c r="Q873" s="86"/>
      <c r="R873" s="86"/>
      <c r="S873" s="86"/>
      <c r="T873" s="86"/>
      <c r="U873" s="86"/>
      <c r="V873" s="86"/>
      <c r="W873" s="86"/>
      <c r="X873" s="86"/>
      <c r="Y873" s="86"/>
      <c r="Z873" s="86"/>
    </row>
    <row r="874" spans="6:26" ht="12.75">
      <c r="F874" s="86"/>
      <c r="G874" s="86"/>
      <c r="H874" s="86"/>
      <c r="I874" s="86"/>
      <c r="J874" s="86"/>
      <c r="K874" s="86"/>
      <c r="L874" s="86"/>
      <c r="M874" s="86"/>
      <c r="N874" s="86"/>
      <c r="O874" s="86"/>
      <c r="P874" s="86"/>
      <c r="Q874" s="86"/>
      <c r="R874" s="86"/>
      <c r="S874" s="86"/>
      <c r="T874" s="86"/>
      <c r="U874" s="86"/>
      <c r="V874" s="86"/>
      <c r="W874" s="86"/>
      <c r="X874" s="86"/>
      <c r="Y874" s="86"/>
      <c r="Z874" s="86"/>
    </row>
    <row r="875" spans="6:26" ht="12.75">
      <c r="F875" s="86"/>
      <c r="G875" s="86"/>
      <c r="H875" s="86"/>
      <c r="I875" s="86"/>
      <c r="J875" s="86"/>
      <c r="K875" s="86"/>
      <c r="L875" s="86"/>
      <c r="M875" s="86"/>
      <c r="N875" s="86"/>
      <c r="O875" s="86"/>
      <c r="P875" s="86"/>
      <c r="Q875" s="86"/>
      <c r="R875" s="86"/>
      <c r="S875" s="86"/>
      <c r="T875" s="86"/>
      <c r="U875" s="86"/>
      <c r="V875" s="86"/>
      <c r="W875" s="86"/>
      <c r="X875" s="86"/>
      <c r="Y875" s="86"/>
      <c r="Z875" s="86"/>
    </row>
    <row r="876" spans="6:26" ht="12.75">
      <c r="F876" s="86"/>
      <c r="G876" s="86"/>
      <c r="H876" s="86"/>
      <c r="I876" s="86"/>
      <c r="J876" s="86"/>
      <c r="K876" s="86"/>
      <c r="L876" s="86"/>
      <c r="M876" s="86"/>
      <c r="N876" s="86"/>
      <c r="O876" s="86"/>
      <c r="P876" s="86"/>
      <c r="Q876" s="86"/>
      <c r="R876" s="86"/>
      <c r="S876" s="86"/>
      <c r="T876" s="86"/>
      <c r="U876" s="86"/>
      <c r="V876" s="86"/>
      <c r="W876" s="86"/>
      <c r="X876" s="86"/>
      <c r="Y876" s="86"/>
      <c r="Z876" s="86"/>
    </row>
    <row r="877" spans="6:26" ht="12.75">
      <c r="F877" s="86"/>
      <c r="G877" s="86"/>
      <c r="H877" s="86"/>
      <c r="I877" s="86"/>
      <c r="J877" s="86"/>
      <c r="K877" s="86"/>
      <c r="L877" s="86"/>
      <c r="M877" s="86"/>
      <c r="N877" s="86"/>
      <c r="O877" s="86"/>
      <c r="P877" s="86"/>
      <c r="Q877" s="86"/>
      <c r="R877" s="86"/>
      <c r="S877" s="86"/>
      <c r="T877" s="86"/>
      <c r="U877" s="86"/>
      <c r="V877" s="86"/>
      <c r="W877" s="86"/>
      <c r="X877" s="86"/>
      <c r="Y877" s="86"/>
      <c r="Z877" s="86"/>
    </row>
    <row r="878" spans="6:26" ht="12.75">
      <c r="F878" s="86"/>
      <c r="G878" s="86"/>
      <c r="H878" s="86"/>
      <c r="I878" s="86"/>
      <c r="J878" s="86"/>
      <c r="K878" s="86"/>
      <c r="L878" s="86"/>
      <c r="M878" s="86"/>
      <c r="N878" s="86"/>
      <c r="O878" s="86"/>
      <c r="P878" s="86"/>
      <c r="Q878" s="86"/>
      <c r="R878" s="86"/>
      <c r="S878" s="86"/>
      <c r="T878" s="86"/>
      <c r="U878" s="86"/>
      <c r="V878" s="86"/>
      <c r="W878" s="86"/>
      <c r="X878" s="86"/>
      <c r="Y878" s="86"/>
      <c r="Z878" s="86"/>
    </row>
    <row r="879" spans="6:26" ht="12.75">
      <c r="F879" s="86"/>
      <c r="G879" s="86"/>
      <c r="H879" s="86"/>
      <c r="I879" s="86"/>
      <c r="J879" s="86"/>
      <c r="K879" s="86"/>
      <c r="L879" s="86"/>
      <c r="M879" s="86"/>
      <c r="N879" s="86"/>
      <c r="O879" s="86"/>
      <c r="P879" s="86"/>
      <c r="Q879" s="86"/>
      <c r="R879" s="86"/>
      <c r="S879" s="86"/>
      <c r="T879" s="86"/>
      <c r="U879" s="86"/>
      <c r="V879" s="86"/>
      <c r="W879" s="86"/>
      <c r="X879" s="86"/>
      <c r="Y879" s="86"/>
      <c r="Z879" s="86"/>
    </row>
    <row r="880" spans="6:26" ht="12.75">
      <c r="F880" s="86"/>
      <c r="G880" s="86"/>
      <c r="H880" s="86"/>
      <c r="I880" s="86"/>
      <c r="J880" s="86"/>
      <c r="K880" s="86"/>
      <c r="L880" s="86"/>
      <c r="M880" s="86"/>
      <c r="N880" s="86"/>
      <c r="O880" s="86"/>
      <c r="P880" s="86"/>
      <c r="Q880" s="86"/>
      <c r="R880" s="86"/>
      <c r="S880" s="86"/>
      <c r="T880" s="86"/>
      <c r="U880" s="86"/>
      <c r="V880" s="86"/>
      <c r="W880" s="86"/>
      <c r="X880" s="86"/>
      <c r="Y880" s="86"/>
      <c r="Z880" s="86"/>
    </row>
    <row r="881" spans="6:26" ht="12.75">
      <c r="F881" s="86"/>
      <c r="G881" s="86"/>
      <c r="H881" s="86"/>
      <c r="I881" s="86"/>
      <c r="J881" s="86"/>
      <c r="K881" s="86"/>
      <c r="L881" s="86"/>
      <c r="M881" s="86"/>
      <c r="N881" s="86"/>
      <c r="O881" s="86"/>
      <c r="P881" s="86"/>
      <c r="Q881" s="86"/>
      <c r="R881" s="86"/>
      <c r="S881" s="86"/>
      <c r="T881" s="86"/>
      <c r="U881" s="86"/>
      <c r="V881" s="86"/>
      <c r="W881" s="86"/>
      <c r="X881" s="86"/>
      <c r="Y881" s="86"/>
      <c r="Z881" s="86"/>
    </row>
    <row r="882" spans="6:26" ht="12.75">
      <c r="F882" s="86"/>
      <c r="G882" s="86"/>
      <c r="H882" s="86"/>
      <c r="I882" s="86"/>
      <c r="J882" s="86"/>
      <c r="K882" s="86"/>
      <c r="L882" s="86"/>
      <c r="M882" s="86"/>
      <c r="N882" s="86"/>
      <c r="O882" s="86"/>
      <c r="P882" s="86"/>
      <c r="Q882" s="86"/>
      <c r="R882" s="86"/>
      <c r="S882" s="86"/>
      <c r="T882" s="86"/>
      <c r="U882" s="86"/>
      <c r="V882" s="86"/>
      <c r="W882" s="86"/>
      <c r="X882" s="86"/>
      <c r="Y882" s="86"/>
      <c r="Z882" s="86"/>
    </row>
    <row r="883" spans="6:26" ht="12.75">
      <c r="F883" s="86"/>
      <c r="G883" s="86"/>
      <c r="H883" s="86"/>
      <c r="I883" s="86"/>
      <c r="J883" s="86"/>
      <c r="K883" s="86"/>
      <c r="L883" s="86"/>
      <c r="M883" s="86"/>
      <c r="N883" s="86"/>
      <c r="O883" s="86"/>
      <c r="P883" s="86"/>
      <c r="Q883" s="86"/>
      <c r="R883" s="86"/>
      <c r="S883" s="86"/>
      <c r="T883" s="86"/>
      <c r="U883" s="86"/>
      <c r="V883" s="86"/>
      <c r="W883" s="86"/>
      <c r="X883" s="86"/>
      <c r="Y883" s="86"/>
      <c r="Z883" s="86"/>
    </row>
    <row r="884" spans="6:26" ht="12.75">
      <c r="F884" s="86"/>
      <c r="G884" s="86"/>
      <c r="H884" s="86"/>
      <c r="I884" s="86"/>
      <c r="J884" s="86"/>
      <c r="K884" s="86"/>
      <c r="L884" s="86"/>
      <c r="M884" s="86"/>
      <c r="N884" s="86"/>
      <c r="O884" s="86"/>
      <c r="P884" s="86"/>
      <c r="Q884" s="86"/>
      <c r="R884" s="86"/>
      <c r="S884" s="86"/>
      <c r="T884" s="86"/>
      <c r="U884" s="86"/>
      <c r="V884" s="86"/>
      <c r="W884" s="86"/>
      <c r="X884" s="86"/>
      <c r="Y884" s="86"/>
      <c r="Z884" s="86"/>
    </row>
    <row r="885" spans="6:26" ht="12.75">
      <c r="F885" s="86"/>
      <c r="G885" s="86"/>
      <c r="H885" s="86"/>
      <c r="I885" s="86"/>
      <c r="J885" s="86"/>
      <c r="K885" s="86"/>
      <c r="L885" s="86"/>
      <c r="M885" s="86"/>
      <c r="N885" s="86"/>
      <c r="O885" s="86"/>
      <c r="P885" s="86"/>
      <c r="Q885" s="86"/>
      <c r="R885" s="86"/>
      <c r="S885" s="86"/>
      <c r="T885" s="86"/>
      <c r="U885" s="86"/>
      <c r="V885" s="86"/>
      <c r="W885" s="86"/>
      <c r="X885" s="86"/>
      <c r="Y885" s="86"/>
      <c r="Z885" s="86"/>
    </row>
    <row r="886" spans="6:26" ht="12.75">
      <c r="F886" s="86"/>
      <c r="G886" s="86"/>
      <c r="H886" s="86"/>
      <c r="I886" s="86"/>
      <c r="J886" s="86"/>
      <c r="K886" s="86"/>
      <c r="L886" s="86"/>
      <c r="M886" s="86"/>
      <c r="N886" s="86"/>
      <c r="O886" s="86"/>
      <c r="P886" s="86"/>
      <c r="Q886" s="86"/>
      <c r="R886" s="86"/>
      <c r="S886" s="86"/>
      <c r="T886" s="86"/>
      <c r="U886" s="86"/>
      <c r="V886" s="86"/>
      <c r="W886" s="86"/>
      <c r="X886" s="86"/>
      <c r="Y886" s="86"/>
      <c r="Z886" s="86"/>
    </row>
    <row r="887" spans="6:26" ht="12.75">
      <c r="F887" s="86"/>
      <c r="G887" s="86"/>
      <c r="H887" s="86"/>
      <c r="I887" s="86"/>
      <c r="J887" s="86"/>
      <c r="K887" s="86"/>
      <c r="L887" s="86"/>
      <c r="M887" s="86"/>
      <c r="N887" s="86"/>
      <c r="O887" s="86"/>
      <c r="P887" s="86"/>
      <c r="Q887" s="86"/>
      <c r="R887" s="86"/>
      <c r="S887" s="86"/>
      <c r="T887" s="86"/>
      <c r="U887" s="86"/>
      <c r="V887" s="86"/>
      <c r="W887" s="86"/>
      <c r="X887" s="86"/>
      <c r="Y887" s="86"/>
      <c r="Z887" s="86"/>
    </row>
    <row r="888" spans="6:26" ht="12.75">
      <c r="F888" s="86"/>
      <c r="G888" s="86"/>
      <c r="H888" s="86"/>
      <c r="I888" s="86"/>
      <c r="J888" s="86"/>
      <c r="K888" s="86"/>
      <c r="L888" s="86"/>
      <c r="M888" s="86"/>
      <c r="N888" s="86"/>
      <c r="O888" s="86"/>
      <c r="P888" s="86"/>
      <c r="Q888" s="86"/>
      <c r="R888" s="86"/>
      <c r="S888" s="86"/>
      <c r="T888" s="86"/>
      <c r="U888" s="86"/>
      <c r="V888" s="86"/>
      <c r="W888" s="86"/>
      <c r="X888" s="86"/>
      <c r="Y888" s="86"/>
      <c r="Z888" s="86"/>
    </row>
    <row r="889" spans="6:26" ht="12.75">
      <c r="F889" s="86"/>
      <c r="G889" s="86"/>
      <c r="H889" s="86"/>
      <c r="I889" s="86"/>
      <c r="J889" s="86"/>
      <c r="K889" s="86"/>
      <c r="L889" s="86"/>
      <c r="M889" s="86"/>
      <c r="N889" s="86"/>
      <c r="O889" s="86"/>
      <c r="P889" s="86"/>
      <c r="Q889" s="86"/>
      <c r="R889" s="86"/>
      <c r="S889" s="86"/>
      <c r="T889" s="86"/>
      <c r="U889" s="86"/>
      <c r="V889" s="86"/>
      <c r="W889" s="86"/>
      <c r="X889" s="86"/>
      <c r="Y889" s="86"/>
      <c r="Z889" s="86"/>
    </row>
    <row r="890" spans="6:26" ht="12.75">
      <c r="F890" s="86"/>
      <c r="G890" s="86"/>
      <c r="H890" s="86"/>
      <c r="I890" s="86"/>
      <c r="J890" s="86"/>
      <c r="K890" s="86"/>
      <c r="L890" s="86"/>
      <c r="M890" s="86"/>
      <c r="N890" s="86"/>
      <c r="O890" s="86"/>
      <c r="P890" s="86"/>
      <c r="Q890" s="86"/>
      <c r="R890" s="86"/>
      <c r="S890" s="86"/>
      <c r="T890" s="86"/>
      <c r="U890" s="86"/>
      <c r="V890" s="86"/>
      <c r="W890" s="86"/>
      <c r="X890" s="86"/>
      <c r="Y890" s="86"/>
      <c r="Z890" s="86"/>
    </row>
    <row r="891" spans="6:26" ht="12.75">
      <c r="F891" s="86"/>
      <c r="G891" s="86"/>
      <c r="H891" s="86"/>
      <c r="I891" s="86"/>
      <c r="J891" s="86"/>
      <c r="K891" s="86"/>
      <c r="L891" s="86"/>
      <c r="M891" s="86"/>
      <c r="N891" s="86"/>
      <c r="O891" s="86"/>
      <c r="P891" s="86"/>
      <c r="Q891" s="86"/>
      <c r="R891" s="86"/>
      <c r="S891" s="86"/>
      <c r="T891" s="86"/>
      <c r="U891" s="86"/>
      <c r="V891" s="86"/>
      <c r="W891" s="86"/>
      <c r="X891" s="86"/>
      <c r="Y891" s="86"/>
      <c r="Z891" s="86"/>
    </row>
    <row r="892" spans="6:26" ht="12.75">
      <c r="F892" s="86"/>
      <c r="G892" s="86"/>
      <c r="H892" s="86"/>
      <c r="I892" s="86"/>
      <c r="J892" s="86"/>
      <c r="K892" s="86"/>
      <c r="L892" s="86"/>
      <c r="M892" s="86"/>
      <c r="N892" s="86"/>
      <c r="O892" s="86"/>
      <c r="P892" s="86"/>
      <c r="Q892" s="86"/>
      <c r="R892" s="86"/>
      <c r="S892" s="86"/>
      <c r="T892" s="86"/>
      <c r="U892" s="86"/>
      <c r="V892" s="86"/>
      <c r="W892" s="86"/>
      <c r="X892" s="86"/>
      <c r="Y892" s="86"/>
      <c r="Z892" s="86"/>
    </row>
    <row r="893" spans="6:26" ht="12.75">
      <c r="F893" s="86"/>
      <c r="G893" s="86"/>
      <c r="H893" s="86"/>
      <c r="I893" s="86"/>
      <c r="J893" s="86"/>
      <c r="K893" s="86"/>
      <c r="L893" s="86"/>
      <c r="M893" s="86"/>
      <c r="N893" s="86"/>
      <c r="O893" s="86"/>
      <c r="P893" s="86"/>
      <c r="Q893" s="86"/>
      <c r="R893" s="86"/>
      <c r="S893" s="86"/>
      <c r="T893" s="86"/>
      <c r="U893" s="86"/>
      <c r="V893" s="86"/>
      <c r="W893" s="86"/>
      <c r="X893" s="86"/>
      <c r="Y893" s="86"/>
      <c r="Z893" s="86"/>
    </row>
    <row r="894" spans="6:26" ht="12.75">
      <c r="F894" s="86"/>
      <c r="G894" s="86"/>
      <c r="H894" s="86"/>
      <c r="I894" s="86"/>
      <c r="J894" s="86"/>
      <c r="K894" s="86"/>
      <c r="L894" s="86"/>
      <c r="M894" s="86"/>
      <c r="N894" s="86"/>
      <c r="O894" s="86"/>
      <c r="P894" s="86"/>
      <c r="Q894" s="86"/>
      <c r="R894" s="86"/>
      <c r="S894" s="86"/>
      <c r="T894" s="86"/>
      <c r="U894" s="86"/>
      <c r="V894" s="86"/>
      <c r="W894" s="86"/>
      <c r="X894" s="86"/>
      <c r="Y894" s="86"/>
      <c r="Z894" s="86"/>
    </row>
    <row r="895" spans="6:26" ht="12.75">
      <c r="F895" s="86"/>
      <c r="G895" s="86"/>
      <c r="H895" s="86"/>
      <c r="I895" s="86"/>
      <c r="J895" s="86"/>
      <c r="K895" s="86"/>
      <c r="L895" s="86"/>
      <c r="M895" s="86"/>
      <c r="N895" s="86"/>
      <c r="O895" s="86"/>
      <c r="P895" s="86"/>
      <c r="Q895" s="86"/>
      <c r="R895" s="86"/>
      <c r="S895" s="86"/>
      <c r="T895" s="86"/>
      <c r="U895" s="86"/>
      <c r="V895" s="86"/>
      <c r="W895" s="86"/>
      <c r="X895" s="86"/>
      <c r="Y895" s="86"/>
      <c r="Z895" s="86"/>
    </row>
    <row r="896" spans="6:26" ht="12.75">
      <c r="F896" s="86"/>
      <c r="G896" s="86"/>
      <c r="H896" s="86"/>
      <c r="I896" s="86"/>
      <c r="J896" s="86"/>
      <c r="K896" s="86"/>
      <c r="L896" s="86"/>
      <c r="M896" s="86"/>
      <c r="N896" s="86"/>
      <c r="O896" s="86"/>
      <c r="P896" s="86"/>
      <c r="Q896" s="86"/>
      <c r="R896" s="86"/>
      <c r="S896" s="86"/>
      <c r="T896" s="86"/>
      <c r="U896" s="86"/>
      <c r="V896" s="86"/>
      <c r="W896" s="86"/>
      <c r="X896" s="86"/>
      <c r="Y896" s="86"/>
      <c r="Z896" s="86"/>
    </row>
    <row r="897" spans="6:26" ht="12.75">
      <c r="F897" s="86"/>
      <c r="G897" s="86"/>
      <c r="H897" s="86"/>
      <c r="I897" s="86"/>
      <c r="J897" s="86"/>
      <c r="K897" s="86"/>
      <c r="L897" s="86"/>
      <c r="M897" s="86"/>
      <c r="N897" s="86"/>
      <c r="O897" s="86"/>
      <c r="P897" s="86"/>
      <c r="Q897" s="86"/>
      <c r="R897" s="86"/>
      <c r="S897" s="86"/>
      <c r="T897" s="86"/>
      <c r="U897" s="86"/>
      <c r="V897" s="86"/>
      <c r="W897" s="86"/>
      <c r="X897" s="86"/>
      <c r="Y897" s="86"/>
      <c r="Z897" s="86"/>
    </row>
    <row r="898" spans="6:26" ht="12.75">
      <c r="F898" s="86"/>
      <c r="G898" s="86"/>
      <c r="H898" s="86"/>
      <c r="I898" s="86"/>
      <c r="J898" s="86"/>
      <c r="K898" s="86"/>
      <c r="L898" s="86"/>
      <c r="M898" s="86"/>
      <c r="N898" s="86"/>
      <c r="O898" s="86"/>
      <c r="P898" s="86"/>
      <c r="Q898" s="86"/>
      <c r="R898" s="86"/>
      <c r="S898" s="86"/>
      <c r="T898" s="86"/>
      <c r="U898" s="86"/>
      <c r="V898" s="86"/>
      <c r="W898" s="86"/>
      <c r="X898" s="86"/>
      <c r="Y898" s="86"/>
      <c r="Z898" s="86"/>
    </row>
    <row r="899" spans="6:26" ht="12.75">
      <c r="F899" s="86"/>
      <c r="G899" s="86"/>
      <c r="H899" s="86"/>
      <c r="I899" s="86"/>
      <c r="J899" s="86"/>
      <c r="K899" s="86"/>
      <c r="L899" s="86"/>
      <c r="M899" s="86"/>
      <c r="N899" s="86"/>
      <c r="O899" s="86"/>
      <c r="P899" s="86"/>
      <c r="Q899" s="86"/>
      <c r="R899" s="86"/>
      <c r="S899" s="86"/>
      <c r="T899" s="86"/>
      <c r="U899" s="86"/>
      <c r="V899" s="86"/>
      <c r="W899" s="86"/>
      <c r="X899" s="86"/>
      <c r="Y899" s="86"/>
      <c r="Z899" s="86"/>
    </row>
    <row r="900" spans="6:26" ht="12.75">
      <c r="F900" s="86"/>
      <c r="G900" s="86"/>
      <c r="H900" s="86"/>
      <c r="I900" s="86"/>
      <c r="J900" s="86"/>
      <c r="K900" s="86"/>
      <c r="L900" s="86"/>
      <c r="M900" s="86"/>
      <c r="N900" s="86"/>
      <c r="O900" s="86"/>
      <c r="P900" s="86"/>
      <c r="Q900" s="86"/>
      <c r="R900" s="86"/>
      <c r="S900" s="86"/>
      <c r="T900" s="86"/>
      <c r="U900" s="86"/>
      <c r="V900" s="86"/>
      <c r="W900" s="86"/>
      <c r="X900" s="86"/>
      <c r="Y900" s="86"/>
      <c r="Z900" s="86"/>
    </row>
    <row r="901" spans="6:26" ht="12.75">
      <c r="F901" s="86"/>
      <c r="G901" s="86"/>
      <c r="H901" s="86"/>
      <c r="I901" s="86"/>
      <c r="J901" s="86"/>
      <c r="K901" s="86"/>
      <c r="L901" s="86"/>
      <c r="M901" s="86"/>
      <c r="N901" s="86"/>
      <c r="O901" s="86"/>
      <c r="P901" s="86"/>
      <c r="Q901" s="86"/>
      <c r="R901" s="86"/>
      <c r="S901" s="86"/>
      <c r="T901" s="86"/>
      <c r="U901" s="86"/>
      <c r="V901" s="86"/>
      <c r="W901" s="86"/>
      <c r="X901" s="86"/>
      <c r="Y901" s="86"/>
      <c r="Z901" s="86"/>
    </row>
    <row r="902" spans="6:26" ht="12.75">
      <c r="F902" s="86"/>
      <c r="G902" s="86"/>
      <c r="H902" s="86"/>
      <c r="I902" s="86"/>
      <c r="J902" s="86"/>
      <c r="K902" s="86"/>
      <c r="L902" s="86"/>
      <c r="M902" s="86"/>
      <c r="N902" s="86"/>
      <c r="O902" s="86"/>
      <c r="P902" s="86"/>
      <c r="Q902" s="86"/>
      <c r="R902" s="86"/>
      <c r="S902" s="86"/>
      <c r="T902" s="86"/>
      <c r="U902" s="86"/>
      <c r="V902" s="86"/>
      <c r="W902" s="86"/>
      <c r="X902" s="86"/>
      <c r="Y902" s="86"/>
      <c r="Z902" s="86"/>
    </row>
    <row r="903" spans="6:26" ht="12.75">
      <c r="F903" s="86"/>
      <c r="G903" s="86"/>
      <c r="H903" s="86"/>
      <c r="I903" s="86"/>
      <c r="J903" s="86"/>
      <c r="K903" s="86"/>
      <c r="L903" s="86"/>
      <c r="M903" s="86"/>
      <c r="N903" s="86"/>
      <c r="O903" s="86"/>
      <c r="P903" s="86"/>
      <c r="Q903" s="86"/>
      <c r="R903" s="86"/>
      <c r="S903" s="86"/>
      <c r="T903" s="86"/>
      <c r="U903" s="86"/>
      <c r="V903" s="86"/>
      <c r="W903" s="86"/>
      <c r="X903" s="86"/>
      <c r="Y903" s="86"/>
      <c r="Z903" s="86"/>
    </row>
    <row r="904" spans="6:26" ht="12.75">
      <c r="F904" s="86"/>
      <c r="G904" s="86"/>
      <c r="H904" s="86"/>
      <c r="I904" s="86"/>
      <c r="J904" s="86"/>
      <c r="K904" s="86"/>
      <c r="L904" s="86"/>
      <c r="M904" s="86"/>
      <c r="N904" s="86"/>
      <c r="O904" s="86"/>
      <c r="P904" s="86"/>
      <c r="Q904" s="86"/>
      <c r="R904" s="86"/>
      <c r="S904" s="86"/>
      <c r="T904" s="86"/>
      <c r="U904" s="86"/>
      <c r="V904" s="86"/>
      <c r="W904" s="86"/>
      <c r="X904" s="86"/>
      <c r="Y904" s="86"/>
      <c r="Z904" s="86"/>
    </row>
    <row r="905" spans="6:26" ht="12.75">
      <c r="F905" s="86"/>
      <c r="G905" s="86"/>
      <c r="H905" s="86"/>
      <c r="I905" s="86"/>
      <c r="J905" s="86"/>
      <c r="K905" s="86"/>
      <c r="L905" s="86"/>
      <c r="M905" s="86"/>
      <c r="N905" s="86"/>
      <c r="O905" s="86"/>
      <c r="P905" s="86"/>
      <c r="Q905" s="86"/>
      <c r="R905" s="86"/>
      <c r="S905" s="86"/>
      <c r="T905" s="86"/>
      <c r="U905" s="86"/>
      <c r="V905" s="86"/>
      <c r="W905" s="86"/>
      <c r="X905" s="86"/>
      <c r="Y905" s="86"/>
      <c r="Z905" s="86"/>
    </row>
    <row r="906" spans="6:26" ht="12.75">
      <c r="F906" s="86"/>
      <c r="G906" s="86"/>
      <c r="H906" s="86"/>
      <c r="I906" s="86"/>
      <c r="J906" s="86"/>
      <c r="K906" s="86"/>
      <c r="L906" s="86"/>
      <c r="M906" s="86"/>
      <c r="N906" s="86"/>
      <c r="O906" s="86"/>
      <c r="P906" s="86"/>
      <c r="Q906" s="86"/>
      <c r="R906" s="86"/>
      <c r="S906" s="86"/>
      <c r="T906" s="86"/>
      <c r="U906" s="86"/>
      <c r="V906" s="86"/>
      <c r="W906" s="86"/>
      <c r="X906" s="86"/>
      <c r="Y906" s="86"/>
      <c r="Z906" s="86"/>
    </row>
    <row r="907" spans="6:26" ht="12.75">
      <c r="F907" s="86"/>
      <c r="G907" s="86"/>
      <c r="H907" s="86"/>
      <c r="I907" s="86"/>
      <c r="J907" s="86"/>
      <c r="K907" s="86"/>
      <c r="L907" s="86"/>
      <c r="M907" s="86"/>
      <c r="N907" s="86"/>
      <c r="O907" s="86"/>
      <c r="P907" s="86"/>
      <c r="Q907" s="86"/>
      <c r="R907" s="86"/>
      <c r="S907" s="86"/>
      <c r="T907" s="86"/>
      <c r="U907" s="86"/>
      <c r="V907" s="86"/>
      <c r="W907" s="86"/>
      <c r="X907" s="86"/>
      <c r="Y907" s="86"/>
      <c r="Z907" s="86"/>
    </row>
    <row r="908" spans="6:26" ht="12.75">
      <c r="F908" s="86"/>
      <c r="G908" s="86"/>
      <c r="H908" s="86"/>
      <c r="I908" s="86"/>
      <c r="J908" s="86"/>
      <c r="K908" s="86"/>
      <c r="L908" s="86"/>
      <c r="M908" s="86"/>
      <c r="N908" s="86"/>
      <c r="O908" s="86"/>
      <c r="P908" s="86"/>
      <c r="Q908" s="86"/>
      <c r="R908" s="86"/>
      <c r="S908" s="86"/>
      <c r="T908" s="86"/>
      <c r="U908" s="86"/>
      <c r="V908" s="86"/>
      <c r="W908" s="86"/>
      <c r="X908" s="86"/>
      <c r="Y908" s="86"/>
      <c r="Z908" s="86"/>
    </row>
    <row r="909" spans="6:26" ht="12.75">
      <c r="F909" s="86"/>
      <c r="G909" s="86"/>
      <c r="H909" s="86"/>
      <c r="I909" s="86"/>
      <c r="J909" s="86"/>
      <c r="K909" s="86"/>
      <c r="L909" s="86"/>
      <c r="M909" s="86"/>
      <c r="N909" s="86"/>
      <c r="O909" s="86"/>
      <c r="P909" s="86"/>
      <c r="Q909" s="86"/>
      <c r="R909" s="86"/>
      <c r="S909" s="86"/>
      <c r="T909" s="86"/>
      <c r="U909" s="86"/>
      <c r="V909" s="86"/>
      <c r="W909" s="86"/>
      <c r="X909" s="86"/>
      <c r="Y909" s="86"/>
      <c r="Z909" s="86"/>
    </row>
    <row r="910" spans="6:26" ht="12.75">
      <c r="F910" s="86"/>
      <c r="G910" s="86"/>
      <c r="H910" s="86"/>
      <c r="I910" s="86"/>
      <c r="J910" s="86"/>
      <c r="K910" s="86"/>
      <c r="L910" s="86"/>
      <c r="M910" s="86"/>
      <c r="N910" s="86"/>
      <c r="O910" s="86"/>
      <c r="P910" s="86"/>
      <c r="Q910" s="86"/>
      <c r="R910" s="86"/>
      <c r="S910" s="86"/>
      <c r="T910" s="86"/>
      <c r="U910" s="86"/>
      <c r="V910" s="86"/>
      <c r="W910" s="86"/>
      <c r="X910" s="86"/>
      <c r="Y910" s="86"/>
      <c r="Z910" s="86"/>
    </row>
    <row r="911" spans="6:26" ht="12.75">
      <c r="F911" s="86"/>
      <c r="G911" s="86"/>
      <c r="H911" s="86"/>
      <c r="I911" s="86"/>
      <c r="J911" s="86"/>
      <c r="K911" s="86"/>
      <c r="L911" s="86"/>
      <c r="M911" s="86"/>
      <c r="N911" s="86"/>
      <c r="O911" s="86"/>
      <c r="P911" s="86"/>
      <c r="Q911" s="86"/>
      <c r="R911" s="86"/>
      <c r="S911" s="86"/>
      <c r="T911" s="86"/>
      <c r="U911" s="86"/>
      <c r="V911" s="86"/>
      <c r="W911" s="86"/>
      <c r="X911" s="86"/>
      <c r="Y911" s="86"/>
      <c r="Z911" s="86"/>
    </row>
    <row r="912" spans="6:26" ht="12.75">
      <c r="F912" s="86"/>
      <c r="G912" s="86"/>
      <c r="H912" s="86"/>
      <c r="I912" s="86"/>
      <c r="J912" s="86"/>
      <c r="K912" s="86"/>
      <c r="L912" s="86"/>
      <c r="M912" s="86"/>
      <c r="N912" s="86"/>
      <c r="O912" s="86"/>
      <c r="P912" s="86"/>
      <c r="Q912" s="86"/>
      <c r="R912" s="86"/>
      <c r="S912" s="86"/>
      <c r="T912" s="86"/>
      <c r="U912" s="86"/>
      <c r="V912" s="86"/>
      <c r="W912" s="86"/>
      <c r="X912" s="86"/>
      <c r="Y912" s="86"/>
      <c r="Z912" s="86"/>
    </row>
    <row r="913" spans="6:26" ht="12.75">
      <c r="F913" s="86"/>
      <c r="G913" s="86"/>
      <c r="H913" s="86"/>
      <c r="I913" s="86"/>
      <c r="J913" s="86"/>
      <c r="K913" s="86"/>
      <c r="L913" s="86"/>
      <c r="M913" s="86"/>
      <c r="N913" s="86"/>
      <c r="O913" s="86"/>
      <c r="P913" s="86"/>
      <c r="Q913" s="86"/>
      <c r="R913" s="86"/>
      <c r="S913" s="86"/>
      <c r="T913" s="86"/>
      <c r="U913" s="86"/>
      <c r="V913" s="86"/>
      <c r="W913" s="86"/>
      <c r="X913" s="86"/>
      <c r="Y913" s="86"/>
      <c r="Z913" s="86"/>
    </row>
    <row r="914" spans="6:26" ht="12.75">
      <c r="F914" s="86"/>
      <c r="G914" s="86"/>
      <c r="H914" s="86"/>
      <c r="I914" s="86"/>
      <c r="J914" s="86"/>
      <c r="K914" s="86"/>
      <c r="L914" s="86"/>
      <c r="M914" s="86"/>
      <c r="N914" s="86"/>
      <c r="O914" s="86"/>
      <c r="P914" s="86"/>
      <c r="Q914" s="86"/>
      <c r="R914" s="86"/>
      <c r="S914" s="86"/>
      <c r="T914" s="86"/>
      <c r="U914" s="86"/>
      <c r="V914" s="86"/>
      <c r="W914" s="86"/>
      <c r="X914" s="86"/>
      <c r="Y914" s="86"/>
      <c r="Z914" s="86"/>
    </row>
    <row r="915" spans="6:26" ht="12.75">
      <c r="F915" s="86"/>
      <c r="G915" s="86"/>
      <c r="H915" s="86"/>
      <c r="I915" s="86"/>
      <c r="J915" s="86"/>
      <c r="K915" s="86"/>
      <c r="L915" s="86"/>
      <c r="M915" s="86"/>
      <c r="N915" s="86"/>
      <c r="O915" s="86"/>
      <c r="P915" s="86"/>
      <c r="Q915" s="86"/>
      <c r="R915" s="86"/>
      <c r="S915" s="86"/>
      <c r="T915" s="86"/>
      <c r="U915" s="86"/>
      <c r="V915" s="86"/>
      <c r="W915" s="86"/>
      <c r="X915" s="86"/>
      <c r="Y915" s="86"/>
      <c r="Z915" s="86"/>
    </row>
    <row r="916" spans="6:26" ht="12.75">
      <c r="F916" s="86"/>
      <c r="G916" s="86"/>
      <c r="H916" s="86"/>
      <c r="I916" s="86"/>
      <c r="J916" s="86"/>
      <c r="K916" s="86"/>
      <c r="L916" s="86"/>
      <c r="M916" s="86"/>
      <c r="N916" s="86"/>
      <c r="O916" s="86"/>
      <c r="P916" s="86"/>
      <c r="Q916" s="86"/>
      <c r="R916" s="86"/>
      <c r="S916" s="86"/>
      <c r="T916" s="86"/>
      <c r="U916" s="86"/>
      <c r="V916" s="86"/>
      <c r="W916" s="86"/>
      <c r="X916" s="86"/>
      <c r="Y916" s="86"/>
      <c r="Z916" s="86"/>
    </row>
    <row r="917" spans="6:26" ht="12.75">
      <c r="F917" s="86"/>
      <c r="G917" s="86"/>
      <c r="H917" s="86"/>
      <c r="I917" s="86"/>
      <c r="J917" s="86"/>
      <c r="K917" s="86"/>
      <c r="L917" s="86"/>
      <c r="M917" s="86"/>
      <c r="N917" s="86"/>
      <c r="O917" s="86"/>
      <c r="P917" s="86"/>
      <c r="Q917" s="86"/>
      <c r="R917" s="86"/>
      <c r="S917" s="86"/>
      <c r="T917" s="86"/>
      <c r="U917" s="86"/>
      <c r="V917" s="86"/>
      <c r="W917" s="86"/>
      <c r="X917" s="86"/>
      <c r="Y917" s="86"/>
      <c r="Z917" s="86"/>
    </row>
    <row r="918" spans="6:26" ht="12.75">
      <c r="F918" s="86"/>
      <c r="G918" s="86"/>
      <c r="H918" s="86"/>
      <c r="I918" s="86"/>
      <c r="J918" s="86"/>
      <c r="K918" s="86"/>
      <c r="L918" s="86"/>
      <c r="M918" s="86"/>
      <c r="N918" s="86"/>
      <c r="O918" s="86"/>
      <c r="P918" s="86"/>
      <c r="Q918" s="86"/>
      <c r="R918" s="86"/>
      <c r="S918" s="86"/>
      <c r="T918" s="86"/>
      <c r="U918" s="86"/>
      <c r="V918" s="86"/>
      <c r="W918" s="86"/>
      <c r="X918" s="86"/>
      <c r="Y918" s="86"/>
      <c r="Z918" s="86"/>
    </row>
    <row r="919" spans="6:26" ht="12.75">
      <c r="F919" s="86"/>
      <c r="G919" s="86"/>
      <c r="H919" s="86"/>
      <c r="I919" s="86"/>
      <c r="J919" s="86"/>
      <c r="K919" s="86"/>
      <c r="L919" s="86"/>
      <c r="M919" s="86"/>
      <c r="N919" s="86"/>
      <c r="O919" s="86"/>
      <c r="P919" s="86"/>
      <c r="Q919" s="86"/>
      <c r="R919" s="86"/>
      <c r="S919" s="86"/>
      <c r="T919" s="86"/>
      <c r="U919" s="86"/>
      <c r="V919" s="86"/>
      <c r="W919" s="86"/>
      <c r="X919" s="86"/>
      <c r="Y919" s="86"/>
      <c r="Z919" s="86"/>
    </row>
    <row r="920" spans="6:26" ht="12.75">
      <c r="F920" s="86"/>
      <c r="G920" s="86"/>
      <c r="H920" s="86"/>
      <c r="I920" s="86"/>
      <c r="J920" s="86"/>
      <c r="K920" s="86"/>
      <c r="L920" s="86"/>
      <c r="M920" s="86"/>
      <c r="N920" s="86"/>
      <c r="O920" s="86"/>
      <c r="P920" s="86"/>
      <c r="Q920" s="86"/>
      <c r="R920" s="86"/>
      <c r="S920" s="86"/>
      <c r="T920" s="86"/>
      <c r="U920" s="86"/>
      <c r="V920" s="86"/>
      <c r="W920" s="86"/>
      <c r="X920" s="86"/>
      <c r="Y920" s="86"/>
      <c r="Z920" s="86"/>
    </row>
    <row r="921" spans="6:26" ht="12.75">
      <c r="F921" s="86"/>
      <c r="G921" s="86"/>
      <c r="H921" s="86"/>
      <c r="I921" s="86"/>
      <c r="J921" s="86"/>
      <c r="K921" s="86"/>
      <c r="L921" s="86"/>
      <c r="M921" s="86"/>
      <c r="N921" s="86"/>
      <c r="O921" s="86"/>
      <c r="P921" s="86"/>
      <c r="Q921" s="86"/>
      <c r="R921" s="86"/>
      <c r="S921" s="86"/>
      <c r="T921" s="86"/>
      <c r="U921" s="86"/>
      <c r="V921" s="86"/>
      <c r="W921" s="86"/>
      <c r="X921" s="86"/>
      <c r="Y921" s="86"/>
      <c r="Z921" s="86"/>
    </row>
    <row r="922" spans="6:26" ht="12.75">
      <c r="F922" s="86"/>
      <c r="G922" s="86"/>
      <c r="H922" s="86"/>
      <c r="I922" s="86"/>
      <c r="J922" s="86"/>
      <c r="K922" s="86"/>
      <c r="L922" s="86"/>
      <c r="M922" s="86"/>
      <c r="N922" s="86"/>
      <c r="O922" s="86"/>
      <c r="P922" s="86"/>
      <c r="Q922" s="86"/>
      <c r="R922" s="86"/>
      <c r="S922" s="86"/>
      <c r="T922" s="86"/>
      <c r="U922" s="86"/>
      <c r="V922" s="86"/>
      <c r="W922" s="86"/>
      <c r="X922" s="86"/>
      <c r="Y922" s="86"/>
      <c r="Z922" s="86"/>
    </row>
    <row r="923" spans="6:26" ht="12.75">
      <c r="F923" s="86"/>
      <c r="G923" s="86"/>
      <c r="H923" s="86"/>
      <c r="I923" s="86"/>
      <c r="J923" s="86"/>
      <c r="K923" s="86"/>
      <c r="L923" s="86"/>
      <c r="M923" s="86"/>
      <c r="N923" s="86"/>
      <c r="O923" s="86"/>
      <c r="P923" s="86"/>
      <c r="Q923" s="86"/>
      <c r="R923" s="86"/>
      <c r="S923" s="86"/>
      <c r="T923" s="86"/>
      <c r="U923" s="86"/>
      <c r="V923" s="86"/>
      <c r="W923" s="86"/>
      <c r="X923" s="86"/>
      <c r="Y923" s="86"/>
      <c r="Z923" s="86"/>
    </row>
    <row r="924" spans="6:26" ht="12.75">
      <c r="F924" s="86"/>
      <c r="G924" s="86"/>
      <c r="H924" s="86"/>
      <c r="I924" s="86"/>
      <c r="J924" s="86"/>
      <c r="K924" s="86"/>
      <c r="L924" s="86"/>
      <c r="M924" s="86"/>
      <c r="N924" s="86"/>
      <c r="O924" s="86"/>
      <c r="P924" s="86"/>
      <c r="Q924" s="86"/>
      <c r="R924" s="86"/>
      <c r="S924" s="86"/>
      <c r="T924" s="86"/>
      <c r="U924" s="86"/>
      <c r="V924" s="86"/>
      <c r="W924" s="86"/>
      <c r="X924" s="86"/>
      <c r="Y924" s="86"/>
      <c r="Z924" s="86"/>
    </row>
    <row r="925" spans="6:26" ht="12.75">
      <c r="F925" s="86"/>
      <c r="G925" s="86"/>
      <c r="H925" s="86"/>
      <c r="I925" s="86"/>
      <c r="J925" s="86"/>
      <c r="K925" s="86"/>
      <c r="L925" s="86"/>
      <c r="M925" s="86"/>
      <c r="N925" s="86"/>
      <c r="O925" s="86"/>
      <c r="P925" s="86"/>
      <c r="Q925" s="86"/>
      <c r="R925" s="86"/>
      <c r="S925" s="86"/>
      <c r="T925" s="86"/>
      <c r="U925" s="86"/>
      <c r="V925" s="86"/>
      <c r="W925" s="86"/>
      <c r="X925" s="86"/>
      <c r="Y925" s="86"/>
      <c r="Z925" s="86"/>
    </row>
    <row r="926" spans="6:26" ht="12.75">
      <c r="F926" s="86"/>
      <c r="G926" s="86"/>
      <c r="H926" s="86"/>
      <c r="I926" s="86"/>
      <c r="J926" s="86"/>
      <c r="K926" s="86"/>
      <c r="L926" s="86"/>
      <c r="M926" s="86"/>
      <c r="N926" s="86"/>
      <c r="O926" s="86"/>
      <c r="P926" s="86"/>
      <c r="Q926" s="86"/>
      <c r="R926" s="86"/>
      <c r="S926" s="86"/>
      <c r="T926" s="86"/>
      <c r="U926" s="86"/>
      <c r="V926" s="86"/>
      <c r="W926" s="86"/>
      <c r="X926" s="86"/>
      <c r="Y926" s="86"/>
      <c r="Z926" s="86"/>
    </row>
    <row r="927" spans="6:26" ht="12.75">
      <c r="F927" s="86"/>
      <c r="G927" s="86"/>
      <c r="H927" s="86"/>
      <c r="I927" s="86"/>
      <c r="J927" s="86"/>
      <c r="K927" s="86"/>
      <c r="L927" s="86"/>
      <c r="M927" s="86"/>
      <c r="N927" s="86"/>
      <c r="O927" s="86"/>
      <c r="P927" s="86"/>
      <c r="Q927" s="86"/>
      <c r="R927" s="86"/>
      <c r="S927" s="86"/>
      <c r="T927" s="86"/>
      <c r="U927" s="86"/>
      <c r="V927" s="86"/>
      <c r="W927" s="86"/>
      <c r="X927" s="86"/>
      <c r="Y927" s="86"/>
      <c r="Z927" s="86"/>
    </row>
    <row r="928" spans="6:26" ht="12.75">
      <c r="F928" s="86"/>
      <c r="G928" s="86"/>
      <c r="H928" s="86"/>
      <c r="I928" s="86"/>
      <c r="J928" s="86"/>
      <c r="K928" s="86"/>
      <c r="L928" s="86"/>
      <c r="M928" s="86"/>
      <c r="N928" s="86"/>
      <c r="O928" s="86"/>
      <c r="P928" s="86"/>
      <c r="Q928" s="86"/>
      <c r="R928" s="86"/>
      <c r="S928" s="86"/>
      <c r="T928" s="86"/>
      <c r="U928" s="86"/>
      <c r="V928" s="86"/>
      <c r="W928" s="86"/>
      <c r="X928" s="86"/>
      <c r="Y928" s="86"/>
      <c r="Z928" s="86"/>
    </row>
    <row r="929" spans="6:26" ht="12.75">
      <c r="F929" s="86"/>
      <c r="G929" s="86"/>
      <c r="H929" s="86"/>
      <c r="I929" s="86"/>
      <c r="J929" s="86"/>
      <c r="K929" s="86"/>
      <c r="L929" s="86"/>
      <c r="M929" s="86"/>
      <c r="N929" s="86"/>
      <c r="O929" s="86"/>
      <c r="P929" s="86"/>
      <c r="Q929" s="86"/>
      <c r="R929" s="86"/>
      <c r="S929" s="86"/>
      <c r="T929" s="86"/>
      <c r="U929" s="86"/>
      <c r="V929" s="86"/>
      <c r="W929" s="86"/>
      <c r="X929" s="86"/>
      <c r="Y929" s="86"/>
      <c r="Z929" s="86"/>
    </row>
    <row r="930" spans="6:26" ht="12.75">
      <c r="F930" s="86"/>
      <c r="G930" s="86"/>
      <c r="H930" s="86"/>
      <c r="I930" s="86"/>
      <c r="J930" s="86"/>
      <c r="K930" s="86"/>
      <c r="L930" s="86"/>
      <c r="M930" s="86"/>
      <c r="N930" s="86"/>
      <c r="O930" s="86"/>
      <c r="P930" s="86"/>
      <c r="Q930" s="86"/>
      <c r="R930" s="86"/>
      <c r="S930" s="86"/>
      <c r="T930" s="86"/>
      <c r="U930" s="86"/>
      <c r="V930" s="86"/>
      <c r="W930" s="86"/>
      <c r="X930" s="86"/>
      <c r="Y930" s="86"/>
      <c r="Z930" s="86"/>
    </row>
    <row r="931" spans="6:26" ht="12.75">
      <c r="F931" s="86"/>
      <c r="G931" s="86"/>
      <c r="H931" s="86"/>
      <c r="I931" s="86"/>
      <c r="J931" s="86"/>
      <c r="K931" s="86"/>
      <c r="L931" s="86"/>
      <c r="M931" s="86"/>
      <c r="N931" s="86"/>
      <c r="O931" s="86"/>
      <c r="P931" s="86"/>
      <c r="Q931" s="86"/>
      <c r="R931" s="86"/>
      <c r="S931" s="86"/>
      <c r="T931" s="86"/>
      <c r="U931" s="86"/>
      <c r="V931" s="86"/>
      <c r="W931" s="86"/>
      <c r="X931" s="86"/>
      <c r="Y931" s="86"/>
      <c r="Z931" s="86"/>
    </row>
    <row r="932" spans="6:26" ht="12.75">
      <c r="F932" s="86"/>
      <c r="G932" s="86"/>
      <c r="H932" s="86"/>
      <c r="I932" s="86"/>
      <c r="J932" s="86"/>
      <c r="K932" s="86"/>
      <c r="L932" s="86"/>
      <c r="M932" s="86"/>
      <c r="N932" s="86"/>
      <c r="O932" s="86"/>
      <c r="P932" s="86"/>
      <c r="Q932" s="86"/>
      <c r="R932" s="86"/>
      <c r="S932" s="86"/>
      <c r="T932" s="86"/>
      <c r="U932" s="86"/>
      <c r="V932" s="86"/>
      <c r="W932" s="86"/>
      <c r="X932" s="86"/>
      <c r="Y932" s="86"/>
      <c r="Z932" s="86"/>
    </row>
    <row r="933" spans="6:26" ht="12.75">
      <c r="F933" s="86"/>
      <c r="G933" s="86"/>
      <c r="H933" s="86"/>
      <c r="I933" s="86"/>
      <c r="J933" s="86"/>
      <c r="K933" s="86"/>
      <c r="L933" s="86"/>
      <c r="M933" s="86"/>
      <c r="N933" s="86"/>
      <c r="O933" s="86"/>
      <c r="P933" s="86"/>
      <c r="Q933" s="86"/>
      <c r="R933" s="86"/>
      <c r="S933" s="86"/>
      <c r="T933" s="86"/>
      <c r="U933" s="86"/>
      <c r="V933" s="86"/>
      <c r="W933" s="86"/>
      <c r="X933" s="86"/>
      <c r="Y933" s="86"/>
      <c r="Z933" s="86"/>
    </row>
    <row r="934" spans="6:26" ht="12.75">
      <c r="F934" s="86"/>
      <c r="G934" s="86"/>
      <c r="H934" s="86"/>
      <c r="I934" s="86"/>
      <c r="J934" s="86"/>
      <c r="K934" s="86"/>
      <c r="L934" s="86"/>
      <c r="M934" s="86"/>
      <c r="N934" s="86"/>
      <c r="O934" s="86"/>
      <c r="P934" s="86"/>
      <c r="Q934" s="86"/>
      <c r="R934" s="86"/>
      <c r="S934" s="86"/>
      <c r="T934" s="86"/>
      <c r="U934" s="86"/>
      <c r="V934" s="86"/>
      <c r="W934" s="86"/>
      <c r="X934" s="86"/>
      <c r="Y934" s="86"/>
      <c r="Z934" s="86"/>
    </row>
    <row r="935" spans="6:26" ht="12.75">
      <c r="F935" s="86"/>
      <c r="G935" s="86"/>
      <c r="H935" s="86"/>
      <c r="I935" s="86"/>
      <c r="J935" s="86"/>
      <c r="K935" s="86"/>
      <c r="L935" s="86"/>
      <c r="M935" s="86"/>
      <c r="N935" s="86"/>
      <c r="O935" s="86"/>
      <c r="P935" s="86"/>
      <c r="Q935" s="86"/>
      <c r="R935" s="86"/>
      <c r="S935" s="86"/>
      <c r="T935" s="86"/>
      <c r="U935" s="86"/>
      <c r="V935" s="86"/>
      <c r="W935" s="86"/>
      <c r="X935" s="86"/>
      <c r="Y935" s="86"/>
      <c r="Z935" s="86"/>
    </row>
    <row r="936" spans="6:26" ht="12.75">
      <c r="F936" s="86"/>
      <c r="G936" s="86"/>
      <c r="H936" s="86"/>
      <c r="I936" s="86"/>
      <c r="J936" s="86"/>
      <c r="K936" s="86"/>
      <c r="L936" s="86"/>
      <c r="M936" s="86"/>
      <c r="N936" s="86"/>
      <c r="O936" s="86"/>
      <c r="P936" s="86"/>
      <c r="Q936" s="86"/>
      <c r="R936" s="86"/>
      <c r="S936" s="86"/>
      <c r="T936" s="86"/>
      <c r="U936" s="86"/>
      <c r="V936" s="86"/>
      <c r="W936" s="86"/>
      <c r="X936" s="86"/>
      <c r="Y936" s="86"/>
      <c r="Z936" s="86"/>
    </row>
    <row r="937" spans="6:26" ht="12.75">
      <c r="F937" s="86"/>
      <c r="G937" s="86"/>
      <c r="H937" s="86"/>
      <c r="I937" s="86"/>
      <c r="J937" s="86"/>
      <c r="K937" s="86"/>
      <c r="L937" s="86"/>
      <c r="M937" s="86"/>
      <c r="N937" s="86"/>
      <c r="O937" s="86"/>
      <c r="P937" s="86"/>
      <c r="Q937" s="86"/>
      <c r="R937" s="86"/>
      <c r="S937" s="86"/>
      <c r="T937" s="86"/>
      <c r="U937" s="86"/>
      <c r="V937" s="86"/>
      <c r="W937" s="86"/>
      <c r="X937" s="86"/>
      <c r="Y937" s="86"/>
      <c r="Z937" s="86"/>
    </row>
    <row r="938" spans="6:26" ht="12.75">
      <c r="F938" s="86"/>
      <c r="G938" s="86"/>
      <c r="H938" s="86"/>
      <c r="I938" s="86"/>
      <c r="J938" s="86"/>
      <c r="K938" s="86"/>
      <c r="L938" s="86"/>
      <c r="M938" s="86"/>
      <c r="N938" s="86"/>
      <c r="O938" s="86"/>
      <c r="P938" s="86"/>
      <c r="Q938" s="86"/>
      <c r="R938" s="86"/>
      <c r="S938" s="86"/>
      <c r="T938" s="86"/>
      <c r="U938" s="86"/>
      <c r="V938" s="86"/>
      <c r="W938" s="86"/>
      <c r="X938" s="86"/>
      <c r="Y938" s="86"/>
      <c r="Z938" s="86"/>
    </row>
    <row r="939" spans="6:26" ht="12.75">
      <c r="F939" s="86"/>
      <c r="G939" s="86"/>
      <c r="H939" s="86"/>
      <c r="I939" s="86"/>
      <c r="J939" s="86"/>
      <c r="K939" s="86"/>
      <c r="L939" s="86"/>
      <c r="M939" s="86"/>
      <c r="N939" s="86"/>
      <c r="O939" s="86"/>
      <c r="P939" s="86"/>
      <c r="Q939" s="86"/>
      <c r="R939" s="86"/>
      <c r="S939" s="86"/>
      <c r="T939" s="86"/>
      <c r="U939" s="86"/>
      <c r="V939" s="86"/>
      <c r="W939" s="86"/>
      <c r="X939" s="86"/>
      <c r="Y939" s="86"/>
      <c r="Z939" s="86"/>
    </row>
    <row r="940" spans="6:26" ht="12.75">
      <c r="F940" s="86"/>
      <c r="G940" s="86"/>
      <c r="H940" s="86"/>
      <c r="I940" s="86"/>
      <c r="J940" s="86"/>
      <c r="K940" s="86"/>
      <c r="L940" s="86"/>
      <c r="M940" s="86"/>
      <c r="N940" s="86"/>
      <c r="O940" s="86"/>
      <c r="P940" s="86"/>
      <c r="Q940" s="86"/>
      <c r="R940" s="86"/>
      <c r="S940" s="86"/>
      <c r="T940" s="86"/>
      <c r="U940" s="86"/>
      <c r="V940" s="86"/>
      <c r="W940" s="86"/>
      <c r="X940" s="86"/>
      <c r="Y940" s="86"/>
      <c r="Z940" s="86"/>
    </row>
    <row r="941" spans="6:26" ht="12.75">
      <c r="F941" s="86"/>
      <c r="G941" s="86"/>
      <c r="H941" s="86"/>
      <c r="I941" s="86"/>
      <c r="J941" s="86"/>
      <c r="K941" s="86"/>
      <c r="L941" s="86"/>
      <c r="M941" s="86"/>
      <c r="N941" s="86"/>
      <c r="O941" s="86"/>
      <c r="P941" s="86"/>
      <c r="Q941" s="86"/>
      <c r="R941" s="86"/>
      <c r="S941" s="86"/>
      <c r="T941" s="86"/>
      <c r="U941" s="86"/>
      <c r="V941" s="86"/>
      <c r="W941" s="86"/>
      <c r="X941" s="86"/>
      <c r="Y941" s="86"/>
      <c r="Z941" s="86"/>
    </row>
    <row r="942" spans="6:26" ht="12.75">
      <c r="F942" s="86"/>
      <c r="G942" s="86"/>
      <c r="H942" s="86"/>
      <c r="I942" s="86"/>
      <c r="J942" s="86"/>
      <c r="K942" s="86"/>
      <c r="L942" s="86"/>
      <c r="M942" s="86"/>
      <c r="N942" s="86"/>
      <c r="O942" s="86"/>
      <c r="P942" s="86"/>
      <c r="Q942" s="86"/>
      <c r="R942" s="86"/>
      <c r="S942" s="86"/>
      <c r="T942" s="86"/>
      <c r="U942" s="86"/>
      <c r="V942" s="86"/>
      <c r="W942" s="86"/>
      <c r="X942" s="86"/>
      <c r="Y942" s="86"/>
      <c r="Z942" s="86"/>
    </row>
    <row r="943" spans="6:26" ht="12.75">
      <c r="F943" s="86"/>
      <c r="G943" s="86"/>
      <c r="H943" s="86"/>
      <c r="I943" s="86"/>
      <c r="J943" s="86"/>
      <c r="K943" s="86"/>
      <c r="L943" s="86"/>
      <c r="M943" s="86"/>
      <c r="N943" s="86"/>
      <c r="O943" s="86"/>
      <c r="P943" s="86"/>
      <c r="Q943" s="86"/>
      <c r="R943" s="86"/>
      <c r="S943" s="86"/>
      <c r="T943" s="86"/>
      <c r="U943" s="86"/>
      <c r="V943" s="86"/>
      <c r="W943" s="86"/>
      <c r="X943" s="86"/>
      <c r="Y943" s="86"/>
      <c r="Z943" s="86"/>
    </row>
    <row r="944" spans="6:26" ht="12.75">
      <c r="F944" s="86"/>
      <c r="G944" s="86"/>
      <c r="H944" s="86"/>
      <c r="I944" s="86"/>
      <c r="J944" s="86"/>
      <c r="K944" s="86"/>
      <c r="L944" s="86"/>
      <c r="M944" s="86"/>
      <c r="N944" s="86"/>
      <c r="O944" s="86"/>
      <c r="P944" s="86"/>
      <c r="Q944" s="86"/>
      <c r="R944" s="86"/>
      <c r="S944" s="86"/>
      <c r="T944" s="86"/>
      <c r="U944" s="86"/>
      <c r="V944" s="86"/>
      <c r="W944" s="86"/>
      <c r="X944" s="86"/>
      <c r="Y944" s="86"/>
      <c r="Z944" s="86"/>
    </row>
    <row r="945" spans="6:26" ht="12.75">
      <c r="F945" s="86"/>
      <c r="G945" s="86"/>
      <c r="H945" s="86"/>
      <c r="I945" s="86"/>
      <c r="J945" s="86"/>
      <c r="K945" s="86"/>
      <c r="L945" s="86"/>
      <c r="M945" s="86"/>
      <c r="N945" s="86"/>
      <c r="O945" s="86"/>
      <c r="P945" s="86"/>
      <c r="Q945" s="86"/>
      <c r="R945" s="86"/>
      <c r="S945" s="86"/>
      <c r="T945" s="86"/>
      <c r="U945" s="86"/>
      <c r="V945" s="86"/>
      <c r="W945" s="86"/>
      <c r="X945" s="86"/>
      <c r="Y945" s="86"/>
      <c r="Z945" s="86"/>
    </row>
    <row r="946" spans="6:26" ht="12.75">
      <c r="F946" s="86"/>
      <c r="G946" s="86"/>
      <c r="H946" s="86"/>
      <c r="I946" s="86"/>
      <c r="J946" s="86"/>
      <c r="K946" s="86"/>
      <c r="L946" s="86"/>
      <c r="M946" s="86"/>
      <c r="N946" s="86"/>
      <c r="O946" s="86"/>
      <c r="P946" s="86"/>
      <c r="Q946" s="86"/>
      <c r="R946" s="86"/>
      <c r="S946" s="86"/>
      <c r="T946" s="86"/>
      <c r="U946" s="86"/>
      <c r="V946" s="86"/>
      <c r="W946" s="86"/>
      <c r="X946" s="86"/>
      <c r="Y946" s="86"/>
      <c r="Z946" s="86"/>
    </row>
    <row r="947" spans="6:26" ht="12.75">
      <c r="F947" s="86"/>
      <c r="G947" s="86"/>
      <c r="H947" s="86"/>
      <c r="I947" s="86"/>
      <c r="J947" s="86"/>
      <c r="K947" s="86"/>
      <c r="L947" s="86"/>
      <c r="M947" s="86"/>
      <c r="N947" s="86"/>
      <c r="O947" s="86"/>
      <c r="P947" s="86"/>
      <c r="Q947" s="86"/>
      <c r="R947" s="86"/>
      <c r="S947" s="86"/>
      <c r="T947" s="86"/>
      <c r="U947" s="86"/>
      <c r="V947" s="86"/>
      <c r="W947" s="86"/>
      <c r="X947" s="86"/>
      <c r="Y947" s="86"/>
      <c r="Z947" s="86"/>
    </row>
    <row r="948" spans="6:26" ht="12.75">
      <c r="F948" s="86"/>
      <c r="G948" s="86"/>
      <c r="H948" s="86"/>
      <c r="I948" s="86"/>
      <c r="J948" s="86"/>
      <c r="K948" s="86"/>
      <c r="L948" s="86"/>
      <c r="M948" s="86"/>
      <c r="N948" s="86"/>
      <c r="O948" s="86"/>
      <c r="P948" s="86"/>
      <c r="Q948" s="86"/>
      <c r="R948" s="86"/>
      <c r="S948" s="86"/>
      <c r="T948" s="86"/>
      <c r="U948" s="86"/>
      <c r="V948" s="86"/>
      <c r="W948" s="86"/>
      <c r="X948" s="86"/>
      <c r="Y948" s="86"/>
      <c r="Z948" s="86"/>
    </row>
    <row r="949" spans="6:26" ht="12.75">
      <c r="F949" s="86"/>
      <c r="G949" s="86"/>
      <c r="H949" s="86"/>
      <c r="I949" s="86"/>
      <c r="J949" s="86"/>
      <c r="K949" s="86"/>
      <c r="L949" s="86"/>
      <c r="M949" s="86"/>
      <c r="N949" s="86"/>
      <c r="O949" s="86"/>
      <c r="P949" s="86"/>
      <c r="Q949" s="86"/>
      <c r="R949" s="86"/>
      <c r="S949" s="86"/>
      <c r="T949" s="86"/>
      <c r="U949" s="86"/>
      <c r="V949" s="86"/>
      <c r="W949" s="86"/>
      <c r="X949" s="86"/>
      <c r="Y949" s="86"/>
      <c r="Z949" s="86"/>
    </row>
    <row r="950" spans="6:26" ht="12.75">
      <c r="F950" s="86"/>
      <c r="G950" s="86"/>
      <c r="H950" s="86"/>
      <c r="I950" s="86"/>
      <c r="J950" s="86"/>
      <c r="K950" s="86"/>
      <c r="L950" s="86"/>
      <c r="M950" s="86"/>
      <c r="N950" s="86"/>
      <c r="O950" s="86"/>
      <c r="P950" s="86"/>
      <c r="Q950" s="86"/>
      <c r="R950" s="86"/>
      <c r="S950" s="86"/>
      <c r="T950" s="86"/>
      <c r="U950" s="86"/>
      <c r="V950" s="86"/>
      <c r="W950" s="86"/>
      <c r="X950" s="86"/>
      <c r="Y950" s="86"/>
      <c r="Z950" s="86"/>
    </row>
    <row r="951" spans="6:26" ht="12.75">
      <c r="F951" s="86"/>
      <c r="G951" s="86"/>
      <c r="H951" s="86"/>
      <c r="I951" s="86"/>
      <c r="J951" s="86"/>
      <c r="K951" s="86"/>
      <c r="L951" s="86"/>
      <c r="M951" s="86"/>
      <c r="N951" s="86"/>
      <c r="O951" s="86"/>
      <c r="P951" s="86"/>
      <c r="Q951" s="86"/>
      <c r="R951" s="86"/>
      <c r="S951" s="86"/>
      <c r="T951" s="86"/>
      <c r="U951" s="86"/>
      <c r="V951" s="86"/>
      <c r="W951" s="86"/>
      <c r="X951" s="86"/>
      <c r="Y951" s="86"/>
      <c r="Z951" s="86"/>
    </row>
    <row r="952" spans="6:26" ht="12.75">
      <c r="F952" s="86"/>
      <c r="G952" s="86"/>
      <c r="H952" s="86"/>
      <c r="I952" s="86"/>
      <c r="J952" s="86"/>
      <c r="K952" s="86"/>
      <c r="L952" s="86"/>
      <c r="M952" s="86"/>
      <c r="N952" s="86"/>
      <c r="O952" s="86"/>
      <c r="P952" s="86"/>
      <c r="Q952" s="86"/>
      <c r="R952" s="86"/>
      <c r="S952" s="86"/>
      <c r="T952" s="86"/>
      <c r="U952" s="86"/>
      <c r="V952" s="86"/>
      <c r="W952" s="86"/>
      <c r="X952" s="86"/>
      <c r="Y952" s="86"/>
      <c r="Z952" s="86"/>
    </row>
    <row r="953" spans="6:26" ht="12.75">
      <c r="F953" s="86"/>
      <c r="G953" s="86"/>
      <c r="H953" s="86"/>
      <c r="I953" s="86"/>
      <c r="J953" s="86"/>
      <c r="K953" s="86"/>
      <c r="L953" s="86"/>
      <c r="M953" s="86"/>
      <c r="N953" s="86"/>
      <c r="O953" s="86"/>
      <c r="P953" s="86"/>
      <c r="Q953" s="86"/>
      <c r="R953" s="86"/>
      <c r="S953" s="86"/>
      <c r="T953" s="86"/>
      <c r="U953" s="86"/>
      <c r="V953" s="86"/>
      <c r="W953" s="86"/>
      <c r="X953" s="86"/>
      <c r="Y953" s="86"/>
      <c r="Z953" s="86"/>
    </row>
    <row r="954" spans="6:26" ht="12.75">
      <c r="F954" s="86"/>
      <c r="G954" s="86"/>
      <c r="H954" s="86"/>
      <c r="I954" s="86"/>
      <c r="J954" s="86"/>
      <c r="K954" s="86"/>
      <c r="L954" s="86"/>
      <c r="M954" s="86"/>
      <c r="N954" s="86"/>
      <c r="O954" s="86"/>
      <c r="P954" s="86"/>
      <c r="Q954" s="86"/>
      <c r="R954" s="86"/>
      <c r="S954" s="86"/>
      <c r="T954" s="86"/>
      <c r="U954" s="86"/>
      <c r="V954" s="86"/>
      <c r="W954" s="86"/>
      <c r="X954" s="86"/>
      <c r="Y954" s="86"/>
      <c r="Z954" s="86"/>
    </row>
    <row r="955" spans="6:26" ht="12.75">
      <c r="F955" s="86"/>
      <c r="G955" s="86"/>
      <c r="H955" s="86"/>
      <c r="I955" s="86"/>
      <c r="J955" s="86"/>
      <c r="K955" s="86"/>
      <c r="L955" s="86"/>
      <c r="M955" s="86"/>
      <c r="N955" s="86"/>
      <c r="O955" s="86"/>
      <c r="P955" s="86"/>
      <c r="Q955" s="86"/>
      <c r="R955" s="86"/>
      <c r="S955" s="86"/>
      <c r="T955" s="86"/>
      <c r="U955" s="86"/>
      <c r="V955" s="86"/>
      <c r="W955" s="86"/>
      <c r="X955" s="86"/>
      <c r="Y955" s="86"/>
      <c r="Z955" s="86"/>
    </row>
    <row r="956" spans="6:26" ht="12.75">
      <c r="F956" s="86"/>
      <c r="G956" s="86"/>
      <c r="H956" s="86"/>
      <c r="I956" s="86"/>
      <c r="J956" s="86"/>
      <c r="K956" s="86"/>
      <c r="L956" s="86"/>
      <c r="M956" s="86"/>
      <c r="N956" s="86"/>
      <c r="O956" s="86"/>
      <c r="P956" s="86"/>
      <c r="Q956" s="86"/>
      <c r="R956" s="86"/>
      <c r="S956" s="86"/>
      <c r="T956" s="86"/>
      <c r="U956" s="86"/>
      <c r="V956" s="86"/>
      <c r="W956" s="86"/>
      <c r="X956" s="86"/>
      <c r="Y956" s="86"/>
      <c r="Z956" s="86"/>
    </row>
    <row r="957" spans="6:26" ht="12.75">
      <c r="F957" s="86"/>
      <c r="G957" s="86"/>
      <c r="H957" s="86"/>
      <c r="I957" s="86"/>
      <c r="J957" s="86"/>
      <c r="K957" s="86"/>
      <c r="L957" s="86"/>
      <c r="M957" s="86"/>
      <c r="N957" s="86"/>
      <c r="O957" s="86"/>
      <c r="P957" s="86"/>
      <c r="Q957" s="86"/>
      <c r="R957" s="86"/>
      <c r="S957" s="86"/>
      <c r="T957" s="86"/>
      <c r="U957" s="86"/>
      <c r="V957" s="86"/>
      <c r="W957" s="86"/>
      <c r="X957" s="86"/>
      <c r="Y957" s="86"/>
      <c r="Z957" s="86"/>
    </row>
    <row r="958" spans="6:26" ht="12.75">
      <c r="F958" s="86"/>
      <c r="G958" s="86"/>
      <c r="H958" s="86"/>
      <c r="I958" s="86"/>
      <c r="J958" s="86"/>
      <c r="K958" s="86"/>
      <c r="L958" s="86"/>
      <c r="M958" s="86"/>
      <c r="N958" s="86"/>
      <c r="O958" s="86"/>
      <c r="P958" s="86"/>
      <c r="Q958" s="86"/>
      <c r="R958" s="86"/>
      <c r="S958" s="86"/>
      <c r="T958" s="86"/>
      <c r="U958" s="86"/>
      <c r="V958" s="86"/>
      <c r="W958" s="86"/>
      <c r="X958" s="86"/>
      <c r="Y958" s="86"/>
      <c r="Z958" s="86"/>
    </row>
    <row r="959" spans="6:26" ht="12.75">
      <c r="F959" s="86"/>
      <c r="G959" s="86"/>
      <c r="H959" s="86"/>
      <c r="I959" s="86"/>
      <c r="J959" s="86"/>
      <c r="K959" s="86"/>
      <c r="L959" s="86"/>
      <c r="M959" s="86"/>
      <c r="N959" s="86"/>
      <c r="O959" s="86"/>
      <c r="P959" s="86"/>
      <c r="Q959" s="86"/>
      <c r="R959" s="86"/>
      <c r="S959" s="86"/>
      <c r="T959" s="86"/>
      <c r="U959" s="86"/>
      <c r="V959" s="86"/>
      <c r="W959" s="86"/>
      <c r="X959" s="86"/>
      <c r="Y959" s="86"/>
      <c r="Z959" s="86"/>
    </row>
    <row r="960" spans="6:26" ht="12.75">
      <c r="F960" s="86"/>
      <c r="G960" s="86"/>
      <c r="H960" s="86"/>
      <c r="I960" s="86"/>
      <c r="J960" s="86"/>
      <c r="K960" s="86"/>
      <c r="L960" s="86"/>
      <c r="M960" s="86"/>
      <c r="N960" s="86"/>
      <c r="O960" s="86"/>
      <c r="P960" s="86"/>
      <c r="Q960" s="86"/>
      <c r="R960" s="86"/>
      <c r="S960" s="86"/>
      <c r="T960" s="86"/>
      <c r="U960" s="86"/>
      <c r="V960" s="86"/>
      <c r="W960" s="86"/>
      <c r="X960" s="86"/>
      <c r="Y960" s="86"/>
      <c r="Z960" s="86"/>
    </row>
    <row r="961" spans="6:26" ht="12.75">
      <c r="F961" s="86"/>
      <c r="G961" s="86"/>
      <c r="H961" s="86"/>
      <c r="I961" s="86"/>
      <c r="J961" s="86"/>
      <c r="K961" s="86"/>
      <c r="L961" s="86"/>
      <c r="M961" s="86"/>
      <c r="N961" s="86"/>
      <c r="O961" s="86"/>
      <c r="P961" s="86"/>
      <c r="Q961" s="86"/>
      <c r="R961" s="86"/>
      <c r="S961" s="86"/>
      <c r="T961" s="86"/>
      <c r="U961" s="86"/>
      <c r="V961" s="86"/>
      <c r="W961" s="86"/>
      <c r="X961" s="86"/>
      <c r="Y961" s="86"/>
      <c r="Z961" s="86"/>
    </row>
    <row r="962" spans="6:26" ht="12.75">
      <c r="F962" s="86"/>
      <c r="G962" s="86"/>
      <c r="H962" s="86"/>
      <c r="I962" s="86"/>
      <c r="J962" s="86"/>
      <c r="K962" s="86"/>
      <c r="L962" s="86"/>
      <c r="M962" s="86"/>
      <c r="N962" s="86"/>
      <c r="O962" s="86"/>
      <c r="P962" s="86"/>
      <c r="Q962" s="86"/>
      <c r="R962" s="86"/>
      <c r="S962" s="86"/>
      <c r="T962" s="86"/>
      <c r="U962" s="86"/>
      <c r="V962" s="86"/>
      <c r="W962" s="86"/>
      <c r="X962" s="86"/>
      <c r="Y962" s="86"/>
      <c r="Z962" s="86"/>
    </row>
    <row r="963" spans="6:26" ht="12.75">
      <c r="F963" s="86"/>
      <c r="G963" s="86"/>
      <c r="H963" s="86"/>
      <c r="I963" s="86"/>
      <c r="J963" s="86"/>
      <c r="K963" s="86"/>
      <c r="L963" s="86"/>
      <c r="M963" s="86"/>
      <c r="N963" s="86"/>
      <c r="O963" s="86"/>
      <c r="P963" s="86"/>
      <c r="Q963" s="86"/>
      <c r="R963" s="86"/>
      <c r="S963" s="86"/>
      <c r="T963" s="86"/>
      <c r="U963" s="86"/>
      <c r="V963" s="86"/>
      <c r="W963" s="86"/>
      <c r="X963" s="86"/>
      <c r="Y963" s="86"/>
      <c r="Z963" s="86"/>
    </row>
    <row r="964" spans="6:26" ht="12.75">
      <c r="F964" s="86"/>
      <c r="G964" s="86"/>
      <c r="H964" s="86"/>
      <c r="I964" s="86"/>
      <c r="J964" s="86"/>
      <c r="K964" s="86"/>
      <c r="L964" s="86"/>
      <c r="M964" s="86"/>
      <c r="N964" s="86"/>
      <c r="O964" s="86"/>
      <c r="P964" s="86"/>
      <c r="Q964" s="86"/>
      <c r="R964" s="86"/>
      <c r="S964" s="86"/>
      <c r="T964" s="86"/>
      <c r="U964" s="86"/>
      <c r="V964" s="86"/>
      <c r="W964" s="86"/>
      <c r="X964" s="86"/>
      <c r="Y964" s="86"/>
      <c r="Z964" s="86"/>
    </row>
    <row r="965" spans="6:26" ht="12.75">
      <c r="F965" s="86"/>
      <c r="G965" s="86"/>
      <c r="H965" s="86"/>
      <c r="I965" s="86"/>
      <c r="J965" s="86"/>
      <c r="K965" s="86"/>
      <c r="L965" s="86"/>
      <c r="M965" s="86"/>
      <c r="N965" s="86"/>
      <c r="O965" s="86"/>
      <c r="P965" s="86"/>
      <c r="Q965" s="86"/>
      <c r="R965" s="86"/>
      <c r="S965" s="86"/>
      <c r="T965" s="86"/>
      <c r="U965" s="86"/>
      <c r="V965" s="86"/>
      <c r="W965" s="86"/>
      <c r="X965" s="86"/>
      <c r="Y965" s="86"/>
      <c r="Z965" s="86"/>
    </row>
    <row r="966" spans="6:26" ht="12.75">
      <c r="F966" s="86"/>
      <c r="G966" s="86"/>
      <c r="H966" s="86"/>
      <c r="I966" s="86"/>
      <c r="J966" s="86"/>
      <c r="K966" s="86"/>
      <c r="L966" s="86"/>
      <c r="M966" s="86"/>
      <c r="N966" s="86"/>
      <c r="O966" s="86"/>
      <c r="P966" s="86"/>
      <c r="Q966" s="86"/>
      <c r="R966" s="86"/>
      <c r="S966" s="86"/>
      <c r="T966" s="86"/>
      <c r="U966" s="86"/>
      <c r="V966" s="86"/>
      <c r="W966" s="86"/>
      <c r="X966" s="86"/>
      <c r="Y966" s="86"/>
      <c r="Z966" s="86"/>
    </row>
    <row r="967" spans="6:26" ht="12.75">
      <c r="F967" s="86"/>
      <c r="G967" s="86"/>
      <c r="H967" s="86"/>
      <c r="I967" s="86"/>
      <c r="J967" s="86"/>
      <c r="K967" s="86"/>
      <c r="L967" s="86"/>
      <c r="M967" s="86"/>
      <c r="N967" s="86"/>
      <c r="O967" s="86"/>
      <c r="P967" s="86"/>
      <c r="Q967" s="86"/>
      <c r="R967" s="86"/>
      <c r="S967" s="86"/>
      <c r="T967" s="86"/>
      <c r="U967" s="86"/>
      <c r="V967" s="86"/>
      <c r="W967" s="86"/>
      <c r="X967" s="86"/>
      <c r="Y967" s="86"/>
      <c r="Z967" s="86"/>
    </row>
    <row r="968" spans="6:26" ht="12.75">
      <c r="F968" s="86"/>
      <c r="G968" s="86"/>
      <c r="H968" s="86"/>
      <c r="I968" s="86"/>
      <c r="J968" s="86"/>
      <c r="K968" s="86"/>
      <c r="L968" s="86"/>
      <c r="M968" s="86"/>
      <c r="N968" s="86"/>
      <c r="O968" s="86"/>
      <c r="P968" s="86"/>
      <c r="Q968" s="86"/>
      <c r="R968" s="86"/>
      <c r="S968" s="86"/>
      <c r="T968" s="86"/>
      <c r="U968" s="86"/>
      <c r="V968" s="86"/>
      <c r="W968" s="86"/>
      <c r="X968" s="86"/>
      <c r="Y968" s="86"/>
      <c r="Z968" s="86"/>
    </row>
    <row r="969" spans="6:26" ht="12.75">
      <c r="F969" s="86"/>
      <c r="G969" s="86"/>
      <c r="H969" s="86"/>
      <c r="I969" s="86"/>
      <c r="J969" s="86"/>
      <c r="K969" s="86"/>
      <c r="L969" s="86"/>
      <c r="M969" s="86"/>
      <c r="N969" s="86"/>
      <c r="O969" s="86"/>
      <c r="P969" s="86"/>
      <c r="Q969" s="86"/>
      <c r="R969" s="86"/>
      <c r="S969" s="86"/>
      <c r="T969" s="86"/>
      <c r="U969" s="86"/>
      <c r="V969" s="86"/>
      <c r="W969" s="86"/>
      <c r="X969" s="86"/>
      <c r="Y969" s="86"/>
      <c r="Z969" s="86"/>
    </row>
    <row r="970" spans="6:26" ht="12.75">
      <c r="F970" s="86"/>
      <c r="G970" s="86"/>
      <c r="H970" s="86"/>
      <c r="I970" s="86"/>
      <c r="J970" s="86"/>
      <c r="K970" s="86"/>
      <c r="L970" s="86"/>
      <c r="M970" s="86"/>
      <c r="N970" s="86"/>
      <c r="O970" s="86"/>
      <c r="P970" s="86"/>
      <c r="Q970" s="86"/>
      <c r="R970" s="86"/>
      <c r="S970" s="86"/>
      <c r="T970" s="86"/>
      <c r="U970" s="86"/>
      <c r="V970" s="86"/>
      <c r="W970" s="86"/>
      <c r="X970" s="86"/>
      <c r="Y970" s="86"/>
      <c r="Z970" s="86"/>
    </row>
    <row r="971" spans="6:26" ht="12.75">
      <c r="F971" s="86"/>
      <c r="G971" s="86"/>
      <c r="H971" s="86"/>
      <c r="I971" s="86"/>
      <c r="J971" s="86"/>
      <c r="K971" s="86"/>
      <c r="L971" s="86"/>
      <c r="M971" s="86"/>
      <c r="N971" s="86"/>
      <c r="O971" s="86"/>
      <c r="P971" s="86"/>
      <c r="Q971" s="86"/>
      <c r="R971" s="86"/>
      <c r="S971" s="86"/>
      <c r="T971" s="86"/>
      <c r="U971" s="86"/>
      <c r="V971" s="86"/>
      <c r="W971" s="86"/>
      <c r="X971" s="86"/>
      <c r="Y971" s="86"/>
      <c r="Z971" s="86"/>
    </row>
    <row r="972" spans="6:26" ht="12.75">
      <c r="F972" s="86"/>
      <c r="G972" s="86"/>
      <c r="H972" s="86"/>
      <c r="I972" s="86"/>
      <c r="J972" s="86"/>
      <c r="K972" s="86"/>
      <c r="L972" s="86"/>
      <c r="M972" s="86"/>
      <c r="N972" s="86"/>
      <c r="O972" s="86"/>
      <c r="P972" s="86"/>
      <c r="Q972" s="86"/>
      <c r="R972" s="86"/>
      <c r="S972" s="86"/>
      <c r="T972" s="86"/>
      <c r="U972" s="86"/>
      <c r="V972" s="86"/>
      <c r="W972" s="86"/>
      <c r="X972" s="86"/>
      <c r="Y972" s="86"/>
      <c r="Z972" s="86"/>
    </row>
    <row r="973" spans="6:26" ht="12.75">
      <c r="F973" s="86"/>
      <c r="G973" s="86"/>
      <c r="H973" s="86"/>
      <c r="I973" s="86"/>
      <c r="J973" s="86"/>
      <c r="K973" s="86"/>
      <c r="L973" s="86"/>
      <c r="M973" s="86"/>
      <c r="N973" s="86"/>
      <c r="O973" s="86"/>
      <c r="P973" s="86"/>
      <c r="Q973" s="86"/>
      <c r="R973" s="86"/>
      <c r="S973" s="86"/>
      <c r="T973" s="86"/>
      <c r="U973" s="86"/>
      <c r="V973" s="86"/>
      <c r="W973" s="86"/>
      <c r="X973" s="86"/>
      <c r="Y973" s="86"/>
      <c r="Z973" s="86"/>
    </row>
    <row r="974" spans="6:26" ht="12.75">
      <c r="F974" s="86"/>
      <c r="G974" s="86"/>
      <c r="H974" s="86"/>
      <c r="I974" s="86"/>
      <c r="J974" s="86"/>
      <c r="K974" s="86"/>
      <c r="L974" s="86"/>
      <c r="M974" s="86"/>
      <c r="N974" s="86"/>
      <c r="O974" s="86"/>
      <c r="P974" s="86"/>
      <c r="Q974" s="86"/>
      <c r="R974" s="86"/>
      <c r="S974" s="86"/>
      <c r="T974" s="86"/>
      <c r="U974" s="86"/>
      <c r="V974" s="86"/>
      <c r="W974" s="86"/>
      <c r="X974" s="86"/>
      <c r="Y974" s="86"/>
      <c r="Z974" s="86"/>
    </row>
    <row r="975" spans="6:26" ht="12.75">
      <c r="F975" s="86"/>
      <c r="G975" s="86"/>
      <c r="H975" s="86"/>
      <c r="I975" s="86"/>
      <c r="J975" s="86"/>
      <c r="K975" s="86"/>
      <c r="L975" s="86"/>
      <c r="M975" s="86"/>
      <c r="N975" s="86"/>
      <c r="O975" s="86"/>
      <c r="P975" s="86"/>
      <c r="Q975" s="86"/>
      <c r="R975" s="86"/>
      <c r="S975" s="86"/>
      <c r="T975" s="86"/>
      <c r="U975" s="86"/>
      <c r="V975" s="86"/>
      <c r="W975" s="86"/>
      <c r="X975" s="86"/>
      <c r="Y975" s="86"/>
      <c r="Z975" s="86"/>
    </row>
    <row r="976" spans="6:26" ht="12.75">
      <c r="F976" s="86"/>
      <c r="G976" s="86"/>
      <c r="H976" s="86"/>
      <c r="I976" s="86"/>
      <c r="J976" s="86"/>
      <c r="K976" s="86"/>
      <c r="L976" s="86"/>
      <c r="M976" s="86"/>
      <c r="N976" s="86"/>
      <c r="O976" s="86"/>
      <c r="P976" s="86"/>
      <c r="Q976" s="86"/>
      <c r="R976" s="86"/>
      <c r="S976" s="86"/>
      <c r="T976" s="86"/>
      <c r="U976" s="86"/>
      <c r="V976" s="86"/>
      <c r="W976" s="86"/>
      <c r="X976" s="86"/>
      <c r="Y976" s="86"/>
      <c r="Z976" s="86"/>
    </row>
    <row r="977" spans="6:26" ht="12.75">
      <c r="F977" s="86"/>
      <c r="G977" s="86"/>
      <c r="H977" s="86"/>
      <c r="I977" s="86"/>
      <c r="J977" s="86"/>
      <c r="K977" s="86"/>
      <c r="L977" s="86"/>
      <c r="M977" s="86"/>
      <c r="N977" s="86"/>
      <c r="O977" s="86"/>
      <c r="P977" s="86"/>
      <c r="Q977" s="86"/>
      <c r="R977" s="86"/>
      <c r="S977" s="86"/>
      <c r="T977" s="86"/>
      <c r="U977" s="86"/>
      <c r="V977" s="86"/>
      <c r="W977" s="86"/>
      <c r="X977" s="86"/>
      <c r="Y977" s="86"/>
      <c r="Z977" s="86"/>
    </row>
    <row r="978" spans="6:26" ht="12.75">
      <c r="F978" s="86"/>
      <c r="G978" s="86"/>
      <c r="H978" s="86"/>
      <c r="I978" s="86"/>
      <c r="J978" s="86"/>
      <c r="K978" s="86"/>
      <c r="L978" s="86"/>
      <c r="M978" s="86"/>
      <c r="N978" s="86"/>
      <c r="O978" s="86"/>
      <c r="P978" s="86"/>
      <c r="Q978" s="86"/>
      <c r="R978" s="86"/>
      <c r="S978" s="86"/>
      <c r="T978" s="86"/>
      <c r="U978" s="86"/>
      <c r="V978" s="86"/>
      <c r="W978" s="86"/>
      <c r="X978" s="86"/>
      <c r="Y978" s="86"/>
      <c r="Z978" s="86"/>
    </row>
    <row r="979" spans="6:26" ht="12.75">
      <c r="F979" s="86"/>
      <c r="G979" s="86"/>
      <c r="H979" s="86"/>
      <c r="I979" s="86"/>
      <c r="J979" s="86"/>
      <c r="K979" s="86"/>
      <c r="L979" s="86"/>
      <c r="M979" s="86"/>
      <c r="N979" s="86"/>
      <c r="O979" s="86"/>
      <c r="P979" s="86"/>
      <c r="Q979" s="86"/>
      <c r="R979" s="86"/>
      <c r="S979" s="86"/>
      <c r="T979" s="86"/>
      <c r="U979" s="86"/>
      <c r="V979" s="86"/>
      <c r="W979" s="86"/>
      <c r="X979" s="86"/>
      <c r="Y979" s="86"/>
      <c r="Z979" s="86"/>
    </row>
    <row r="980" spans="6:26" ht="12.75">
      <c r="F980" s="86"/>
      <c r="G980" s="86"/>
      <c r="H980" s="86"/>
      <c r="I980" s="86"/>
      <c r="J980" s="86"/>
      <c r="K980" s="86"/>
      <c r="L980" s="86"/>
      <c r="M980" s="86"/>
      <c r="N980" s="86"/>
      <c r="O980" s="86"/>
      <c r="P980" s="86"/>
      <c r="Q980" s="86"/>
      <c r="R980" s="86"/>
      <c r="S980" s="86"/>
      <c r="T980" s="86"/>
      <c r="U980" s="86"/>
      <c r="V980" s="86"/>
      <c r="W980" s="86"/>
      <c r="X980" s="86"/>
      <c r="Y980" s="86"/>
      <c r="Z980" s="86"/>
    </row>
    <row r="981" spans="6:26" ht="12.75">
      <c r="F981" s="86"/>
      <c r="G981" s="86"/>
      <c r="H981" s="86"/>
      <c r="I981" s="86"/>
      <c r="J981" s="86"/>
      <c r="K981" s="86"/>
      <c r="L981" s="86"/>
      <c r="M981" s="86"/>
      <c r="N981" s="86"/>
      <c r="O981" s="86"/>
      <c r="P981" s="86"/>
      <c r="Q981" s="86"/>
      <c r="R981" s="86"/>
      <c r="S981" s="86"/>
      <c r="T981" s="86"/>
      <c r="U981" s="86"/>
      <c r="V981" s="86"/>
      <c r="W981" s="86"/>
      <c r="X981" s="86"/>
      <c r="Y981" s="86"/>
      <c r="Z981" s="86"/>
    </row>
    <row r="982" spans="6:26" ht="12.75">
      <c r="F982" s="86"/>
      <c r="G982" s="86"/>
      <c r="H982" s="86"/>
      <c r="I982" s="86"/>
      <c r="J982" s="86"/>
      <c r="K982" s="86"/>
      <c r="L982" s="86"/>
      <c r="M982" s="86"/>
      <c r="N982" s="86"/>
      <c r="O982" s="86"/>
      <c r="P982" s="86"/>
      <c r="Q982" s="86"/>
      <c r="R982" s="86"/>
      <c r="S982" s="86"/>
      <c r="T982" s="86"/>
      <c r="U982" s="86"/>
      <c r="V982" s="86"/>
      <c r="W982" s="86"/>
      <c r="X982" s="86"/>
      <c r="Y982" s="86"/>
      <c r="Z982" s="86"/>
    </row>
    <row r="983" spans="6:26" ht="12.75">
      <c r="F983" s="86"/>
      <c r="G983" s="86"/>
      <c r="H983" s="86"/>
      <c r="I983" s="86"/>
      <c r="J983" s="86"/>
      <c r="K983" s="86"/>
      <c r="L983" s="86"/>
      <c r="M983" s="86"/>
      <c r="N983" s="86"/>
      <c r="O983" s="86"/>
      <c r="P983" s="86"/>
      <c r="Q983" s="86"/>
      <c r="R983" s="86"/>
      <c r="S983" s="86"/>
      <c r="T983" s="86"/>
      <c r="U983" s="86"/>
      <c r="V983" s="86"/>
      <c r="W983" s="86"/>
      <c r="X983" s="86"/>
      <c r="Y983" s="86"/>
      <c r="Z983" s="86"/>
    </row>
    <row r="984" spans="6:26" ht="12.75">
      <c r="F984" s="86"/>
      <c r="G984" s="86"/>
      <c r="H984" s="86"/>
      <c r="I984" s="86"/>
      <c r="J984" s="86"/>
      <c r="K984" s="86"/>
      <c r="L984" s="86"/>
      <c r="M984" s="86"/>
      <c r="N984" s="86"/>
      <c r="O984" s="86"/>
      <c r="P984" s="86"/>
      <c r="Q984" s="86"/>
      <c r="R984" s="86"/>
      <c r="S984" s="86"/>
      <c r="T984" s="86"/>
      <c r="U984" s="86"/>
      <c r="V984" s="86"/>
      <c r="W984" s="86"/>
      <c r="X984" s="86"/>
      <c r="Y984" s="86"/>
      <c r="Z984" s="86"/>
    </row>
    <row r="985" spans="6:26" ht="12.75">
      <c r="F985" s="86"/>
      <c r="G985" s="86"/>
      <c r="H985" s="86"/>
      <c r="I985" s="86"/>
      <c r="J985" s="86"/>
      <c r="K985" s="86"/>
      <c r="L985" s="86"/>
      <c r="M985" s="86"/>
      <c r="N985" s="86"/>
      <c r="O985" s="86"/>
      <c r="P985" s="86"/>
      <c r="Q985" s="86"/>
      <c r="R985" s="86"/>
      <c r="S985" s="86"/>
      <c r="T985" s="86"/>
      <c r="U985" s="86"/>
      <c r="V985" s="86"/>
      <c r="W985" s="86"/>
      <c r="X985" s="86"/>
      <c r="Y985" s="86"/>
      <c r="Z985" s="86"/>
    </row>
    <row r="986" spans="6:26" ht="12.75">
      <c r="F986" s="86"/>
      <c r="G986" s="86"/>
      <c r="H986" s="86"/>
      <c r="I986" s="86"/>
      <c r="J986" s="86"/>
      <c r="K986" s="86"/>
      <c r="L986" s="86"/>
      <c r="M986" s="86"/>
      <c r="N986" s="86"/>
      <c r="O986" s="86"/>
      <c r="P986" s="86"/>
      <c r="Q986" s="86"/>
      <c r="R986" s="86"/>
      <c r="S986" s="86"/>
      <c r="T986" s="86"/>
      <c r="U986" s="86"/>
      <c r="V986" s="86"/>
      <c r="W986" s="86"/>
      <c r="X986" s="86"/>
      <c r="Y986" s="86"/>
      <c r="Z986" s="86"/>
    </row>
    <row r="987" spans="6:26" ht="12.75">
      <c r="F987" s="86"/>
      <c r="G987" s="86"/>
      <c r="H987" s="86"/>
      <c r="I987" s="86"/>
      <c r="J987" s="86"/>
      <c r="K987" s="86"/>
      <c r="L987" s="86"/>
      <c r="M987" s="86"/>
      <c r="N987" s="86"/>
      <c r="O987" s="86"/>
      <c r="P987" s="86"/>
      <c r="Q987" s="86"/>
      <c r="R987" s="86"/>
      <c r="S987" s="86"/>
      <c r="T987" s="86"/>
      <c r="U987" s="86"/>
      <c r="V987" s="86"/>
      <c r="W987" s="86"/>
      <c r="X987" s="86"/>
      <c r="Y987" s="86"/>
      <c r="Z987" s="86"/>
    </row>
    <row r="988" spans="6:26" ht="12.75">
      <c r="F988" s="86"/>
      <c r="G988" s="86"/>
      <c r="H988" s="86"/>
      <c r="I988" s="86"/>
      <c r="J988" s="86"/>
      <c r="K988" s="86"/>
      <c r="L988" s="86"/>
      <c r="M988" s="86"/>
      <c r="N988" s="86"/>
      <c r="O988" s="86"/>
      <c r="P988" s="86"/>
      <c r="Q988" s="86"/>
      <c r="R988" s="86"/>
      <c r="S988" s="86"/>
      <c r="T988" s="86"/>
      <c r="U988" s="86"/>
      <c r="V988" s="86"/>
      <c r="W988" s="86"/>
      <c r="X988" s="86"/>
      <c r="Y988" s="86"/>
      <c r="Z988" s="86"/>
    </row>
    <row r="989" spans="6:26" ht="12.75">
      <c r="F989" s="86"/>
      <c r="G989" s="86"/>
      <c r="H989" s="86"/>
      <c r="I989" s="86"/>
      <c r="J989" s="86"/>
      <c r="K989" s="86"/>
      <c r="L989" s="86"/>
      <c r="M989" s="86"/>
      <c r="N989" s="86"/>
      <c r="O989" s="86"/>
      <c r="P989" s="86"/>
      <c r="Q989" s="86"/>
      <c r="R989" s="86"/>
      <c r="S989" s="86"/>
      <c r="T989" s="86"/>
      <c r="U989" s="86"/>
      <c r="V989" s="86"/>
      <c r="W989" s="86"/>
      <c r="X989" s="86"/>
      <c r="Y989" s="86"/>
      <c r="Z989" s="86"/>
    </row>
    <row r="990" spans="6:26" ht="12.75">
      <c r="F990" s="86"/>
      <c r="G990" s="86"/>
      <c r="H990" s="86"/>
      <c r="I990" s="86"/>
      <c r="J990" s="86"/>
      <c r="K990" s="86"/>
      <c r="L990" s="86"/>
      <c r="M990" s="86"/>
      <c r="N990" s="86"/>
      <c r="O990" s="86"/>
      <c r="P990" s="86"/>
      <c r="Q990" s="86"/>
      <c r="R990" s="86"/>
      <c r="S990" s="86"/>
      <c r="T990" s="86"/>
      <c r="U990" s="86"/>
      <c r="V990" s="86"/>
      <c r="W990" s="86"/>
      <c r="X990" s="86"/>
      <c r="Y990" s="86"/>
      <c r="Z990" s="86"/>
    </row>
    <row r="991" spans="6:26" ht="12.75">
      <c r="F991" s="86"/>
      <c r="G991" s="86"/>
      <c r="H991" s="86"/>
      <c r="I991" s="86"/>
      <c r="J991" s="86"/>
      <c r="K991" s="86"/>
      <c r="L991" s="86"/>
      <c r="M991" s="86"/>
      <c r="N991" s="86"/>
      <c r="O991" s="86"/>
      <c r="P991" s="86"/>
      <c r="Q991" s="86"/>
      <c r="R991" s="86"/>
      <c r="S991" s="86"/>
      <c r="T991" s="86"/>
      <c r="U991" s="86"/>
      <c r="V991" s="86"/>
      <c r="W991" s="86"/>
      <c r="X991" s="86"/>
      <c r="Y991" s="86"/>
      <c r="Z991" s="86"/>
    </row>
    <row r="992" spans="6:26" ht="12.75">
      <c r="F992" s="86"/>
      <c r="G992" s="86"/>
      <c r="H992" s="86"/>
      <c r="I992" s="86"/>
      <c r="J992" s="86"/>
      <c r="K992" s="86"/>
      <c r="L992" s="86"/>
      <c r="M992" s="86"/>
      <c r="N992" s="86"/>
      <c r="O992" s="86"/>
      <c r="P992" s="86"/>
      <c r="Q992" s="86"/>
      <c r="R992" s="86"/>
      <c r="S992" s="86"/>
      <c r="T992" s="86"/>
      <c r="U992" s="86"/>
      <c r="V992" s="86"/>
      <c r="W992" s="86"/>
      <c r="X992" s="86"/>
      <c r="Y992" s="86"/>
      <c r="Z992" s="86"/>
    </row>
    <row r="993" spans="6:26" ht="12.75">
      <c r="F993" s="86"/>
      <c r="G993" s="86"/>
      <c r="H993" s="86"/>
      <c r="I993" s="86"/>
      <c r="J993" s="86"/>
      <c r="K993" s="86"/>
      <c r="L993" s="86"/>
      <c r="M993" s="86"/>
      <c r="N993" s="86"/>
      <c r="O993" s="86"/>
      <c r="P993" s="86"/>
      <c r="Q993" s="86"/>
      <c r="R993" s="86"/>
      <c r="S993" s="86"/>
      <c r="T993" s="86"/>
      <c r="U993" s="86"/>
      <c r="V993" s="86"/>
      <c r="W993" s="86"/>
      <c r="X993" s="86"/>
      <c r="Y993" s="86"/>
      <c r="Z993" s="86"/>
    </row>
    <row r="994" spans="6:26" ht="12.75">
      <c r="F994" s="86"/>
      <c r="G994" s="86"/>
      <c r="H994" s="86"/>
      <c r="I994" s="86"/>
      <c r="J994" s="86"/>
      <c r="K994" s="86"/>
      <c r="L994" s="86"/>
      <c r="M994" s="86"/>
      <c r="N994" s="86"/>
      <c r="O994" s="86"/>
      <c r="P994" s="86"/>
      <c r="Q994" s="86"/>
      <c r="R994" s="86"/>
      <c r="S994" s="86"/>
      <c r="T994" s="86"/>
      <c r="U994" s="86"/>
      <c r="V994" s="86"/>
      <c r="W994" s="86"/>
      <c r="X994" s="86"/>
      <c r="Y994" s="86"/>
      <c r="Z994" s="86"/>
    </row>
    <row r="995" spans="6:26" ht="12.75">
      <c r="F995" s="86"/>
      <c r="G995" s="86"/>
      <c r="H995" s="86"/>
      <c r="I995" s="86"/>
      <c r="J995" s="86"/>
      <c r="K995" s="86"/>
      <c r="L995" s="86"/>
      <c r="M995" s="86"/>
      <c r="N995" s="86"/>
      <c r="O995" s="86"/>
      <c r="P995" s="86"/>
      <c r="Q995" s="86"/>
      <c r="R995" s="86"/>
      <c r="S995" s="86"/>
      <c r="T995" s="86"/>
      <c r="U995" s="86"/>
      <c r="V995" s="86"/>
      <c r="W995" s="86"/>
      <c r="X995" s="86"/>
      <c r="Y995" s="86"/>
      <c r="Z995" s="86"/>
    </row>
    <row r="996" spans="6:26" ht="12.75">
      <c r="F996" s="86"/>
      <c r="G996" s="86"/>
      <c r="H996" s="86"/>
      <c r="I996" s="86"/>
      <c r="J996" s="86"/>
      <c r="K996" s="86"/>
      <c r="L996" s="86"/>
      <c r="M996" s="86"/>
      <c r="N996" s="86"/>
      <c r="O996" s="86"/>
      <c r="P996" s="86"/>
      <c r="Q996" s="86"/>
      <c r="R996" s="86"/>
      <c r="S996" s="86"/>
      <c r="T996" s="86"/>
      <c r="U996" s="86"/>
      <c r="V996" s="86"/>
      <c r="W996" s="86"/>
      <c r="X996" s="86"/>
      <c r="Y996" s="86"/>
      <c r="Z996" s="86"/>
    </row>
    <row r="997" spans="6:26" ht="12.75">
      <c r="F997" s="86"/>
      <c r="G997" s="86"/>
      <c r="H997" s="86"/>
      <c r="I997" s="86"/>
      <c r="J997" s="86"/>
      <c r="K997" s="86"/>
      <c r="L997" s="86"/>
      <c r="M997" s="86"/>
      <c r="N997" s="86"/>
      <c r="O997" s="86"/>
      <c r="P997" s="86"/>
      <c r="Q997" s="86"/>
      <c r="R997" s="86"/>
      <c r="S997" s="86"/>
      <c r="T997" s="86"/>
      <c r="U997" s="86"/>
      <c r="V997" s="86"/>
      <c r="W997" s="86"/>
      <c r="X997" s="86"/>
      <c r="Y997" s="86"/>
      <c r="Z997" s="86"/>
    </row>
    <row r="998" spans="6:26" ht="12.75">
      <c r="F998" s="86"/>
      <c r="G998" s="86"/>
      <c r="H998" s="86"/>
      <c r="I998" s="86"/>
      <c r="J998" s="86"/>
      <c r="K998" s="86"/>
      <c r="L998" s="86"/>
      <c r="M998" s="86"/>
      <c r="N998" s="86"/>
      <c r="O998" s="86"/>
      <c r="P998" s="86"/>
      <c r="Q998" s="86"/>
      <c r="R998" s="86"/>
      <c r="S998" s="86"/>
      <c r="T998" s="86"/>
      <c r="U998" s="86"/>
      <c r="V998" s="86"/>
      <c r="W998" s="86"/>
      <c r="X998" s="86"/>
      <c r="Y998" s="86"/>
      <c r="Z998" s="86"/>
    </row>
    <row r="999" spans="6:26" ht="12.75">
      <c r="F999" s="86"/>
      <c r="G999" s="86"/>
      <c r="H999" s="86"/>
      <c r="I999" s="86"/>
      <c r="J999" s="86"/>
      <c r="K999" s="86"/>
      <c r="L999" s="86"/>
      <c r="M999" s="86"/>
      <c r="N999" s="86"/>
      <c r="O999" s="86"/>
      <c r="P999" s="86"/>
      <c r="Q999" s="86"/>
      <c r="R999" s="86"/>
      <c r="S999" s="86"/>
      <c r="T999" s="86"/>
      <c r="U999" s="86"/>
      <c r="V999" s="86"/>
      <c r="W999" s="86"/>
      <c r="X999" s="86"/>
      <c r="Y999" s="86"/>
      <c r="Z999" s="86"/>
    </row>
    <row r="1000" spans="6:26" ht="12.75">
      <c r="F1000" s="86"/>
      <c r="G1000" s="86"/>
      <c r="H1000" s="86"/>
      <c r="I1000" s="86"/>
      <c r="J1000" s="86"/>
      <c r="K1000" s="86"/>
      <c r="L1000" s="86"/>
      <c r="M1000" s="86"/>
      <c r="N1000" s="86"/>
      <c r="O1000" s="86"/>
      <c r="P1000" s="86"/>
      <c r="Q1000" s="86"/>
      <c r="R1000" s="86"/>
      <c r="S1000" s="86"/>
      <c r="T1000" s="86"/>
      <c r="U1000" s="86"/>
      <c r="V1000" s="86"/>
      <c r="W1000" s="86"/>
      <c r="X1000" s="86"/>
      <c r="Y1000" s="86"/>
      <c r="Z1000" s="86"/>
    </row>
    <row r="1001" spans="6:26" ht="12.75">
      <c r="F1001" s="86"/>
      <c r="G1001" s="86"/>
      <c r="H1001" s="86"/>
      <c r="I1001" s="86"/>
      <c r="J1001" s="86"/>
      <c r="K1001" s="86"/>
      <c r="L1001" s="86"/>
      <c r="M1001" s="86"/>
      <c r="N1001" s="86"/>
      <c r="O1001" s="86"/>
      <c r="P1001" s="86"/>
      <c r="Q1001" s="86"/>
      <c r="R1001" s="86"/>
      <c r="S1001" s="86"/>
      <c r="T1001" s="86"/>
      <c r="U1001" s="86"/>
      <c r="V1001" s="86"/>
      <c r="W1001" s="86"/>
      <c r="X1001" s="86"/>
      <c r="Y1001" s="86"/>
      <c r="Z1001" s="86"/>
    </row>
    <row r="1002" spans="6:26" ht="12.75">
      <c r="F1002" s="86"/>
      <c r="G1002" s="86"/>
      <c r="H1002" s="86"/>
      <c r="I1002" s="86"/>
      <c r="J1002" s="86"/>
      <c r="K1002" s="86"/>
      <c r="L1002" s="86"/>
      <c r="M1002" s="86"/>
      <c r="N1002" s="86"/>
      <c r="O1002" s="86"/>
      <c r="P1002" s="86"/>
      <c r="Q1002" s="86"/>
      <c r="R1002" s="86"/>
      <c r="S1002" s="86"/>
      <c r="T1002" s="86"/>
      <c r="U1002" s="86"/>
      <c r="V1002" s="86"/>
      <c r="W1002" s="86"/>
      <c r="X1002" s="86"/>
      <c r="Y1002" s="86"/>
      <c r="Z1002" s="86"/>
    </row>
    <row r="1003" spans="6:26" ht="12.75">
      <c r="F1003" s="86"/>
      <c r="G1003" s="86"/>
      <c r="H1003" s="86"/>
      <c r="I1003" s="86"/>
      <c r="J1003" s="86"/>
      <c r="K1003" s="86"/>
      <c r="L1003" s="86"/>
      <c r="M1003" s="86"/>
      <c r="N1003" s="86"/>
      <c r="O1003" s="86"/>
      <c r="P1003" s="86"/>
      <c r="Q1003" s="86"/>
      <c r="R1003" s="86"/>
      <c r="S1003" s="86"/>
      <c r="T1003" s="86"/>
      <c r="U1003" s="86"/>
      <c r="V1003" s="86"/>
      <c r="W1003" s="86"/>
      <c r="X1003" s="86"/>
      <c r="Y1003" s="86"/>
      <c r="Z1003" s="86"/>
    </row>
    <row r="1004" spans="6:26" ht="12.75">
      <c r="F1004" s="86"/>
      <c r="G1004" s="86"/>
      <c r="H1004" s="86"/>
      <c r="I1004" s="86"/>
      <c r="J1004" s="86"/>
      <c r="K1004" s="86"/>
      <c r="L1004" s="86"/>
      <c r="M1004" s="86"/>
      <c r="N1004" s="86"/>
      <c r="O1004" s="86"/>
      <c r="P1004" s="86"/>
      <c r="Q1004" s="86"/>
      <c r="R1004" s="86"/>
      <c r="S1004" s="86"/>
      <c r="T1004" s="86"/>
      <c r="U1004" s="86"/>
      <c r="V1004" s="86"/>
      <c r="W1004" s="86"/>
      <c r="X1004" s="86"/>
      <c r="Y1004" s="86"/>
      <c r="Z1004" s="86"/>
    </row>
    <row r="1005" spans="6:26" ht="12.75">
      <c r="F1005" s="86"/>
      <c r="G1005" s="86"/>
      <c r="H1005" s="86"/>
      <c r="I1005" s="86"/>
      <c r="J1005" s="86"/>
      <c r="K1005" s="86"/>
      <c r="L1005" s="86"/>
      <c r="M1005" s="86"/>
      <c r="N1005" s="86"/>
      <c r="O1005" s="86"/>
      <c r="P1005" s="86"/>
      <c r="Q1005" s="86"/>
      <c r="R1005" s="86"/>
      <c r="S1005" s="86"/>
      <c r="T1005" s="86"/>
      <c r="U1005" s="86"/>
      <c r="V1005" s="86"/>
      <c r="W1005" s="86"/>
      <c r="X1005" s="86"/>
      <c r="Y1005" s="86"/>
      <c r="Z1005" s="86"/>
    </row>
    <row r="1006" spans="6:26" ht="12.75">
      <c r="F1006" s="86"/>
      <c r="G1006" s="86"/>
      <c r="H1006" s="86"/>
      <c r="I1006" s="86"/>
      <c r="J1006" s="86"/>
      <c r="K1006" s="86"/>
      <c r="L1006" s="86"/>
      <c r="M1006" s="86"/>
      <c r="N1006" s="86"/>
      <c r="O1006" s="86"/>
      <c r="P1006" s="86"/>
      <c r="Q1006" s="86"/>
      <c r="R1006" s="86"/>
      <c r="S1006" s="86"/>
      <c r="T1006" s="86"/>
      <c r="U1006" s="86"/>
      <c r="V1006" s="86"/>
      <c r="W1006" s="86"/>
      <c r="X1006" s="86"/>
      <c r="Y1006" s="86"/>
      <c r="Z1006" s="86"/>
    </row>
    <row r="1007" spans="6:26" ht="12.75">
      <c r="F1007" s="86"/>
      <c r="G1007" s="86"/>
      <c r="H1007" s="86"/>
      <c r="I1007" s="86"/>
      <c r="J1007" s="86"/>
      <c r="K1007" s="86"/>
      <c r="L1007" s="86"/>
      <c r="M1007" s="86"/>
      <c r="N1007" s="86"/>
      <c r="O1007" s="86"/>
      <c r="P1007" s="86"/>
      <c r="Q1007" s="86"/>
      <c r="R1007" s="86"/>
      <c r="S1007" s="86"/>
      <c r="T1007" s="86"/>
      <c r="U1007" s="86"/>
      <c r="V1007" s="86"/>
      <c r="W1007" s="86"/>
      <c r="X1007" s="86"/>
      <c r="Y1007" s="86"/>
      <c r="Z1007" s="86"/>
    </row>
    <row r="1008" spans="6:26" ht="12.75">
      <c r="F1008" s="86"/>
      <c r="G1008" s="86"/>
      <c r="H1008" s="86"/>
      <c r="I1008" s="86"/>
      <c r="J1008" s="86"/>
      <c r="K1008" s="86"/>
      <c r="L1008" s="86"/>
      <c r="M1008" s="86"/>
      <c r="N1008" s="86"/>
      <c r="O1008" s="86"/>
      <c r="P1008" s="86"/>
      <c r="Q1008" s="86"/>
      <c r="R1008" s="86"/>
      <c r="S1008" s="86"/>
      <c r="T1008" s="86"/>
      <c r="U1008" s="86"/>
      <c r="V1008" s="86"/>
      <c r="W1008" s="86"/>
      <c r="X1008" s="86"/>
      <c r="Y1008" s="86"/>
      <c r="Z1008" s="86"/>
    </row>
    <row r="1009" spans="6:26" ht="12.75">
      <c r="F1009" s="86"/>
      <c r="G1009" s="86"/>
      <c r="H1009" s="86"/>
      <c r="I1009" s="86"/>
      <c r="J1009" s="86"/>
      <c r="K1009" s="86"/>
      <c r="L1009" s="86"/>
      <c r="M1009" s="86"/>
      <c r="N1009" s="86"/>
      <c r="O1009" s="86"/>
      <c r="P1009" s="86"/>
      <c r="Q1009" s="86"/>
      <c r="R1009" s="86"/>
      <c r="S1009" s="86"/>
      <c r="T1009" s="86"/>
      <c r="U1009" s="86"/>
      <c r="V1009" s="86"/>
      <c r="W1009" s="86"/>
      <c r="X1009" s="86"/>
      <c r="Y1009" s="86"/>
      <c r="Z1009" s="86"/>
    </row>
    <row r="1010" spans="6:26" ht="12.75">
      <c r="F1010" s="86"/>
      <c r="G1010" s="86"/>
      <c r="H1010" s="86"/>
      <c r="I1010" s="86"/>
      <c r="J1010" s="86"/>
      <c r="K1010" s="86"/>
      <c r="L1010" s="86"/>
      <c r="M1010" s="86"/>
      <c r="N1010" s="86"/>
      <c r="O1010" s="86"/>
      <c r="P1010" s="86"/>
      <c r="Q1010" s="86"/>
      <c r="R1010" s="86"/>
      <c r="S1010" s="86"/>
      <c r="T1010" s="86"/>
      <c r="U1010" s="86"/>
      <c r="V1010" s="86"/>
      <c r="W1010" s="86"/>
      <c r="X1010" s="86"/>
      <c r="Y1010" s="86"/>
      <c r="Z1010" s="86"/>
    </row>
    <row r="1011" spans="6:26" ht="12.75">
      <c r="F1011" s="86"/>
      <c r="G1011" s="86"/>
      <c r="H1011" s="86"/>
      <c r="I1011" s="86"/>
      <c r="J1011" s="86"/>
      <c r="K1011" s="86"/>
      <c r="L1011" s="86"/>
      <c r="M1011" s="86"/>
      <c r="N1011" s="86"/>
      <c r="O1011" s="86"/>
      <c r="P1011" s="86"/>
      <c r="Q1011" s="86"/>
      <c r="R1011" s="86"/>
      <c r="S1011" s="86"/>
      <c r="T1011" s="86"/>
      <c r="U1011" s="86"/>
      <c r="V1011" s="86"/>
      <c r="W1011" s="86"/>
      <c r="X1011" s="86"/>
      <c r="Y1011" s="86"/>
      <c r="Z1011" s="86"/>
    </row>
    <row r="1012" spans="6:26" ht="12.75">
      <c r="F1012" s="86"/>
      <c r="G1012" s="86"/>
      <c r="H1012" s="86"/>
      <c r="I1012" s="86"/>
      <c r="J1012" s="86"/>
      <c r="K1012" s="86"/>
      <c r="L1012" s="86"/>
      <c r="M1012" s="86"/>
      <c r="N1012" s="86"/>
      <c r="O1012" s="86"/>
      <c r="P1012" s="86"/>
      <c r="Q1012" s="86"/>
      <c r="R1012" s="86"/>
      <c r="S1012" s="86"/>
      <c r="T1012" s="86"/>
      <c r="U1012" s="86"/>
      <c r="V1012" s="86"/>
      <c r="W1012" s="86"/>
      <c r="X1012" s="86"/>
      <c r="Y1012" s="86"/>
      <c r="Z1012" s="86"/>
    </row>
    <row r="1013" spans="6:26" ht="12.75">
      <c r="F1013" s="86"/>
      <c r="G1013" s="86"/>
      <c r="H1013" s="86"/>
      <c r="I1013" s="86"/>
      <c r="J1013" s="86"/>
      <c r="K1013" s="86"/>
      <c r="L1013" s="86"/>
      <c r="M1013" s="86"/>
      <c r="N1013" s="86"/>
      <c r="O1013" s="86"/>
      <c r="P1013" s="86"/>
      <c r="Q1013" s="86"/>
      <c r="R1013" s="86"/>
      <c r="S1013" s="86"/>
      <c r="T1013" s="86"/>
      <c r="U1013" s="86"/>
      <c r="V1013" s="86"/>
      <c r="W1013" s="86"/>
      <c r="X1013" s="86"/>
      <c r="Y1013" s="86"/>
      <c r="Z1013" s="86"/>
    </row>
    <row r="1014" spans="6:26" ht="12.75">
      <c r="F1014" s="86"/>
      <c r="G1014" s="86"/>
      <c r="H1014" s="86"/>
      <c r="I1014" s="86"/>
      <c r="J1014" s="86"/>
      <c r="K1014" s="86"/>
      <c r="L1014" s="86"/>
      <c r="M1014" s="86"/>
      <c r="N1014" s="86"/>
      <c r="O1014" s="86"/>
      <c r="P1014" s="86"/>
      <c r="Q1014" s="86"/>
      <c r="R1014" s="86"/>
      <c r="S1014" s="86"/>
      <c r="T1014" s="86"/>
      <c r="U1014" s="86"/>
      <c r="V1014" s="86"/>
      <c r="W1014" s="86"/>
      <c r="X1014" s="86"/>
      <c r="Y1014" s="86"/>
      <c r="Z1014" s="86"/>
    </row>
    <row r="1015" spans="6:26" ht="12.75">
      <c r="F1015" s="86"/>
      <c r="G1015" s="86"/>
      <c r="H1015" s="86"/>
      <c r="I1015" s="86"/>
      <c r="J1015" s="86"/>
      <c r="K1015" s="86"/>
      <c r="L1015" s="86"/>
      <c r="M1015" s="86"/>
      <c r="N1015" s="86"/>
      <c r="O1015" s="86"/>
      <c r="P1015" s="86"/>
      <c r="Q1015" s="86"/>
      <c r="R1015" s="86"/>
      <c r="S1015" s="86"/>
      <c r="T1015" s="86"/>
      <c r="U1015" s="86"/>
      <c r="V1015" s="86"/>
      <c r="W1015" s="86"/>
      <c r="X1015" s="86"/>
      <c r="Y1015" s="86"/>
      <c r="Z1015" s="86"/>
    </row>
    <row r="1016" spans="6:26" ht="12.75">
      <c r="F1016" s="86"/>
      <c r="G1016" s="86"/>
      <c r="H1016" s="86"/>
      <c r="I1016" s="86"/>
      <c r="J1016" s="86"/>
      <c r="K1016" s="86"/>
      <c r="L1016" s="86"/>
      <c r="M1016" s="86"/>
      <c r="N1016" s="86"/>
      <c r="O1016" s="86"/>
      <c r="P1016" s="86"/>
      <c r="Q1016" s="86"/>
      <c r="R1016" s="86"/>
      <c r="S1016" s="86"/>
      <c r="T1016" s="86"/>
      <c r="U1016" s="86"/>
      <c r="V1016" s="86"/>
      <c r="W1016" s="86"/>
      <c r="X1016" s="86"/>
      <c r="Y1016" s="86"/>
      <c r="Z1016" s="86"/>
    </row>
    <row r="1017" spans="6:26" ht="12.75">
      <c r="F1017" s="86"/>
      <c r="G1017" s="86"/>
      <c r="H1017" s="86"/>
      <c r="I1017" s="86"/>
      <c r="J1017" s="86"/>
      <c r="K1017" s="86"/>
      <c r="L1017" s="86"/>
      <c r="M1017" s="86"/>
      <c r="N1017" s="86"/>
      <c r="O1017" s="86"/>
      <c r="P1017" s="86"/>
      <c r="Q1017" s="86"/>
      <c r="R1017" s="86"/>
      <c r="S1017" s="86"/>
      <c r="T1017" s="86"/>
      <c r="U1017" s="86"/>
      <c r="V1017" s="86"/>
      <c r="W1017" s="86"/>
      <c r="X1017" s="86"/>
      <c r="Y1017" s="86"/>
      <c r="Z1017" s="86"/>
    </row>
    <row r="1018" spans="6:26" ht="12.75">
      <c r="F1018" s="86"/>
      <c r="G1018" s="86"/>
      <c r="H1018" s="86"/>
      <c r="I1018" s="86"/>
      <c r="J1018" s="86"/>
      <c r="K1018" s="86"/>
      <c r="L1018" s="86"/>
      <c r="M1018" s="86"/>
      <c r="N1018" s="86"/>
      <c r="O1018" s="86"/>
      <c r="P1018" s="86"/>
      <c r="Q1018" s="86"/>
      <c r="R1018" s="86"/>
      <c r="S1018" s="86"/>
      <c r="T1018" s="86"/>
      <c r="U1018" s="86"/>
      <c r="V1018" s="86"/>
      <c r="W1018" s="86"/>
      <c r="X1018" s="86"/>
      <c r="Y1018" s="86"/>
      <c r="Z1018" s="86"/>
    </row>
    <row r="1019" spans="6:26" ht="12.75">
      <c r="F1019" s="86"/>
      <c r="G1019" s="86"/>
      <c r="H1019" s="86"/>
      <c r="I1019" s="86"/>
      <c r="J1019" s="86"/>
      <c r="K1019" s="86"/>
      <c r="L1019" s="86"/>
      <c r="M1019" s="86"/>
      <c r="N1019" s="86"/>
      <c r="O1019" s="86"/>
      <c r="P1019" s="86"/>
      <c r="Q1019" s="86"/>
      <c r="R1019" s="86"/>
      <c r="S1019" s="86"/>
      <c r="T1019" s="86"/>
      <c r="U1019" s="86"/>
      <c r="V1019" s="86"/>
      <c r="W1019" s="86"/>
      <c r="X1019" s="86"/>
      <c r="Y1019" s="86"/>
      <c r="Z1019" s="86"/>
    </row>
    <row r="1020" spans="6:26" ht="12.75">
      <c r="F1020" s="86"/>
      <c r="G1020" s="86"/>
      <c r="H1020" s="86"/>
      <c r="I1020" s="86"/>
      <c r="J1020" s="86"/>
      <c r="K1020" s="86"/>
      <c r="L1020" s="86"/>
      <c r="M1020" s="86"/>
      <c r="N1020" s="86"/>
      <c r="O1020" s="86"/>
      <c r="P1020" s="86"/>
      <c r="Q1020" s="86"/>
      <c r="R1020" s="86"/>
      <c r="S1020" s="86"/>
      <c r="T1020" s="86"/>
      <c r="U1020" s="86"/>
      <c r="V1020" s="86"/>
      <c r="W1020" s="86"/>
      <c r="X1020" s="86"/>
      <c r="Y1020" s="86"/>
      <c r="Z1020" s="86"/>
    </row>
    <row r="1021" spans="6:26" ht="12.75">
      <c r="F1021" s="86"/>
      <c r="G1021" s="86"/>
      <c r="H1021" s="86"/>
      <c r="I1021" s="86"/>
      <c r="J1021" s="86"/>
      <c r="K1021" s="86"/>
      <c r="L1021" s="86"/>
      <c r="M1021" s="86"/>
      <c r="N1021" s="86"/>
      <c r="O1021" s="86"/>
      <c r="P1021" s="86"/>
      <c r="Q1021" s="86"/>
      <c r="R1021" s="86"/>
      <c r="S1021" s="86"/>
      <c r="T1021" s="86"/>
      <c r="U1021" s="86"/>
      <c r="V1021" s="86"/>
      <c r="W1021" s="86"/>
      <c r="X1021" s="86"/>
      <c r="Y1021" s="86"/>
      <c r="Z1021" s="86"/>
    </row>
    <row r="1022" spans="6:26" ht="12.75">
      <c r="F1022" s="86"/>
      <c r="G1022" s="86"/>
      <c r="H1022" s="86"/>
      <c r="I1022" s="86"/>
      <c r="J1022" s="86"/>
      <c r="K1022" s="86"/>
      <c r="L1022" s="86"/>
      <c r="M1022" s="86"/>
      <c r="N1022" s="86"/>
      <c r="O1022" s="86"/>
      <c r="P1022" s="86"/>
      <c r="Q1022" s="86"/>
      <c r="R1022" s="86"/>
      <c r="S1022" s="86"/>
      <c r="T1022" s="86"/>
      <c r="U1022" s="86"/>
      <c r="V1022" s="86"/>
      <c r="W1022" s="86"/>
      <c r="X1022" s="86"/>
      <c r="Y1022" s="86"/>
      <c r="Z1022" s="86"/>
    </row>
    <row r="1023" spans="6:26" ht="12.75">
      <c r="F1023" s="86"/>
      <c r="G1023" s="86"/>
      <c r="H1023" s="86"/>
      <c r="I1023" s="86"/>
      <c r="J1023" s="86"/>
      <c r="K1023" s="86"/>
      <c r="L1023" s="86"/>
      <c r="M1023" s="86"/>
      <c r="N1023" s="86"/>
      <c r="O1023" s="86"/>
      <c r="P1023" s="86"/>
      <c r="Q1023" s="86"/>
      <c r="R1023" s="86"/>
      <c r="S1023" s="86"/>
      <c r="T1023" s="86"/>
      <c r="U1023" s="86"/>
      <c r="V1023" s="86"/>
      <c r="W1023" s="86"/>
      <c r="X1023" s="86"/>
      <c r="Y1023" s="86"/>
      <c r="Z1023" s="86"/>
    </row>
    <row r="1024" spans="6:26" ht="12.75">
      <c r="F1024" s="86"/>
      <c r="G1024" s="86"/>
      <c r="H1024" s="86"/>
      <c r="I1024" s="86"/>
      <c r="J1024" s="86"/>
      <c r="K1024" s="86"/>
      <c r="L1024" s="86"/>
      <c r="M1024" s="86"/>
      <c r="N1024" s="86"/>
      <c r="O1024" s="86"/>
      <c r="P1024" s="86"/>
      <c r="Q1024" s="86"/>
      <c r="R1024" s="86"/>
      <c r="S1024" s="86"/>
      <c r="T1024" s="86"/>
      <c r="U1024" s="86"/>
      <c r="V1024" s="86"/>
      <c r="W1024" s="86"/>
      <c r="X1024" s="86"/>
      <c r="Y1024" s="86"/>
      <c r="Z1024" s="86"/>
    </row>
    <row r="1025" spans="6:26" ht="12.75">
      <c r="F1025" s="86"/>
      <c r="G1025" s="86"/>
      <c r="H1025" s="86"/>
      <c r="I1025" s="86"/>
      <c r="J1025" s="86"/>
      <c r="K1025" s="86"/>
      <c r="L1025" s="86"/>
      <c r="M1025" s="86"/>
      <c r="N1025" s="86"/>
      <c r="O1025" s="86"/>
      <c r="P1025" s="86"/>
      <c r="Q1025" s="86"/>
      <c r="R1025" s="86"/>
      <c r="S1025" s="86"/>
      <c r="T1025" s="86"/>
      <c r="U1025" s="86"/>
      <c r="V1025" s="86"/>
      <c r="W1025" s="86"/>
      <c r="X1025" s="86"/>
      <c r="Y1025" s="86"/>
      <c r="Z1025" s="86"/>
    </row>
    <row r="1026" spans="6:26" ht="12.75">
      <c r="F1026" s="86"/>
      <c r="G1026" s="86"/>
      <c r="H1026" s="86"/>
      <c r="I1026" s="86"/>
      <c r="J1026" s="86"/>
      <c r="K1026" s="86"/>
      <c r="L1026" s="86"/>
      <c r="M1026" s="86"/>
      <c r="N1026" s="86"/>
      <c r="O1026" s="86"/>
      <c r="P1026" s="86"/>
      <c r="Q1026" s="86"/>
      <c r="R1026" s="86"/>
      <c r="S1026" s="86"/>
      <c r="T1026" s="86"/>
      <c r="U1026" s="86"/>
      <c r="V1026" s="86"/>
      <c r="W1026" s="86"/>
      <c r="X1026" s="86"/>
      <c r="Y1026" s="86"/>
      <c r="Z1026" s="86"/>
    </row>
    <row r="1027" spans="6:26" ht="12.75">
      <c r="F1027" s="86"/>
      <c r="G1027" s="86"/>
      <c r="H1027" s="86"/>
      <c r="I1027" s="86"/>
      <c r="J1027" s="86"/>
      <c r="K1027" s="86"/>
      <c r="L1027" s="86"/>
      <c r="M1027" s="86"/>
      <c r="N1027" s="86"/>
      <c r="O1027" s="86"/>
      <c r="P1027" s="86"/>
      <c r="Q1027" s="86"/>
      <c r="R1027" s="86"/>
      <c r="S1027" s="86"/>
      <c r="T1027" s="86"/>
      <c r="U1027" s="86"/>
      <c r="V1027" s="86"/>
      <c r="W1027" s="86"/>
      <c r="X1027" s="86"/>
      <c r="Y1027" s="86"/>
      <c r="Z1027" s="86"/>
    </row>
    <row r="1028" spans="6:26" ht="12.75">
      <c r="F1028" s="86"/>
      <c r="G1028" s="86"/>
      <c r="H1028" s="86"/>
      <c r="I1028" s="86"/>
      <c r="J1028" s="86"/>
      <c r="K1028" s="86"/>
      <c r="L1028" s="86"/>
      <c r="M1028" s="86"/>
      <c r="N1028" s="86"/>
      <c r="O1028" s="86"/>
      <c r="P1028" s="86"/>
      <c r="Q1028" s="86"/>
      <c r="R1028" s="86"/>
      <c r="S1028" s="86"/>
      <c r="T1028" s="86"/>
      <c r="U1028" s="86"/>
      <c r="V1028" s="86"/>
      <c r="W1028" s="86"/>
      <c r="X1028" s="86"/>
      <c r="Y1028" s="86"/>
      <c r="Z1028" s="86"/>
    </row>
    <row r="1029" spans="6:26" ht="12.75">
      <c r="F1029" s="86"/>
      <c r="G1029" s="86"/>
      <c r="H1029" s="86"/>
      <c r="I1029" s="86"/>
      <c r="J1029" s="86"/>
      <c r="K1029" s="86"/>
      <c r="L1029" s="86"/>
      <c r="M1029" s="86"/>
      <c r="N1029" s="86"/>
      <c r="O1029" s="86"/>
      <c r="P1029" s="86"/>
      <c r="Q1029" s="86"/>
      <c r="R1029" s="86"/>
      <c r="S1029" s="86"/>
      <c r="T1029" s="86"/>
      <c r="U1029" s="86"/>
      <c r="V1029" s="86"/>
      <c r="W1029" s="86"/>
      <c r="X1029" s="86"/>
      <c r="Y1029" s="86"/>
      <c r="Z1029" s="86"/>
    </row>
    <row r="1030" spans="6:26" ht="12.75">
      <c r="F1030" s="86"/>
      <c r="G1030" s="86"/>
      <c r="H1030" s="86"/>
      <c r="I1030" s="86"/>
      <c r="J1030" s="86"/>
      <c r="K1030" s="86"/>
      <c r="L1030" s="86"/>
      <c r="M1030" s="86"/>
      <c r="N1030" s="86"/>
      <c r="O1030" s="86"/>
      <c r="P1030" s="86"/>
      <c r="Q1030" s="86"/>
      <c r="R1030" s="86"/>
      <c r="S1030" s="86"/>
      <c r="T1030" s="86"/>
      <c r="U1030" s="86"/>
      <c r="V1030" s="86"/>
      <c r="W1030" s="86"/>
      <c r="X1030" s="86"/>
      <c r="Y1030" s="86"/>
      <c r="Z1030" s="86"/>
    </row>
    <row r="1031" spans="6:26" ht="12.75">
      <c r="F1031" s="86"/>
      <c r="G1031" s="86"/>
      <c r="H1031" s="86"/>
      <c r="I1031" s="86"/>
      <c r="J1031" s="86"/>
      <c r="K1031" s="86"/>
      <c r="L1031" s="86"/>
      <c r="M1031" s="86"/>
      <c r="N1031" s="86"/>
      <c r="O1031" s="86"/>
      <c r="P1031" s="86"/>
      <c r="Q1031" s="86"/>
      <c r="R1031" s="86"/>
      <c r="S1031" s="86"/>
      <c r="T1031" s="86"/>
      <c r="U1031" s="86"/>
      <c r="V1031" s="86"/>
      <c r="W1031" s="86"/>
      <c r="X1031" s="86"/>
      <c r="Y1031" s="86"/>
      <c r="Z1031" s="86"/>
    </row>
    <row r="1032" spans="6:26" ht="12.75">
      <c r="F1032" s="86"/>
      <c r="G1032" s="86"/>
      <c r="H1032" s="86"/>
      <c r="I1032" s="86"/>
      <c r="J1032" s="86"/>
      <c r="K1032" s="86"/>
      <c r="L1032" s="86"/>
      <c r="M1032" s="86"/>
      <c r="N1032" s="86"/>
      <c r="O1032" s="86"/>
      <c r="P1032" s="86"/>
      <c r="Q1032" s="86"/>
      <c r="R1032" s="86"/>
      <c r="S1032" s="86"/>
      <c r="T1032" s="86"/>
      <c r="U1032" s="86"/>
      <c r="V1032" s="86"/>
      <c r="W1032" s="86"/>
      <c r="X1032" s="86"/>
      <c r="Y1032" s="86"/>
      <c r="Z1032" s="86"/>
    </row>
    <row r="1033" spans="6:26" ht="12.75">
      <c r="F1033" s="86"/>
      <c r="G1033" s="86"/>
      <c r="H1033" s="86"/>
      <c r="I1033" s="86"/>
      <c r="J1033" s="86"/>
      <c r="K1033" s="86"/>
      <c r="L1033" s="86"/>
      <c r="M1033" s="86"/>
      <c r="N1033" s="86"/>
      <c r="O1033" s="86"/>
      <c r="P1033" s="86"/>
      <c r="Q1033" s="86"/>
      <c r="R1033" s="86"/>
      <c r="S1033" s="86"/>
      <c r="T1033" s="86"/>
      <c r="U1033" s="86"/>
      <c r="V1033" s="86"/>
      <c r="W1033" s="86"/>
      <c r="X1033" s="86"/>
      <c r="Y1033" s="86"/>
      <c r="Z1033" s="86"/>
    </row>
    <row r="1034" spans="6:26" ht="12.75">
      <c r="F1034" s="86"/>
      <c r="G1034" s="86"/>
      <c r="H1034" s="86"/>
      <c r="I1034" s="86"/>
      <c r="J1034" s="86"/>
      <c r="K1034" s="86"/>
      <c r="L1034" s="86"/>
      <c r="M1034" s="86"/>
      <c r="N1034" s="86"/>
      <c r="O1034" s="86"/>
      <c r="P1034" s="86"/>
      <c r="Q1034" s="86"/>
      <c r="R1034" s="86"/>
      <c r="S1034" s="86"/>
      <c r="T1034" s="86"/>
      <c r="U1034" s="86"/>
      <c r="V1034" s="86"/>
      <c r="W1034" s="86"/>
      <c r="X1034" s="86"/>
      <c r="Y1034" s="86"/>
      <c r="Z1034" s="86"/>
    </row>
    <row r="1035" spans="6:26" ht="12.75">
      <c r="F1035" s="86"/>
      <c r="G1035" s="86"/>
      <c r="H1035" s="86"/>
      <c r="I1035" s="86"/>
      <c r="J1035" s="86"/>
      <c r="K1035" s="86"/>
      <c r="L1035" s="86"/>
      <c r="M1035" s="86"/>
      <c r="N1035" s="86"/>
      <c r="O1035" s="86"/>
      <c r="P1035" s="86"/>
      <c r="Q1035" s="86"/>
      <c r="R1035" s="86"/>
      <c r="S1035" s="86"/>
      <c r="T1035" s="86"/>
      <c r="U1035" s="86"/>
      <c r="V1035" s="86"/>
      <c r="W1035" s="86"/>
      <c r="X1035" s="86"/>
      <c r="Y1035" s="86"/>
      <c r="Z1035" s="86"/>
    </row>
    <row r="1036" spans="6:26" ht="12.75">
      <c r="F1036" s="86"/>
      <c r="G1036" s="86"/>
      <c r="H1036" s="86"/>
      <c r="I1036" s="86"/>
      <c r="J1036" s="86"/>
      <c r="K1036" s="86"/>
      <c r="L1036" s="86"/>
      <c r="M1036" s="86"/>
      <c r="N1036" s="86"/>
      <c r="O1036" s="86"/>
      <c r="P1036" s="86"/>
      <c r="Q1036" s="86"/>
      <c r="R1036" s="86"/>
      <c r="S1036" s="86"/>
      <c r="T1036" s="86"/>
      <c r="U1036" s="86"/>
      <c r="V1036" s="86"/>
      <c r="W1036" s="86"/>
      <c r="X1036" s="86"/>
      <c r="Y1036" s="86"/>
      <c r="Z1036" s="86"/>
    </row>
    <row r="1037" spans="6:26" ht="12.75">
      <c r="F1037" s="86"/>
      <c r="G1037" s="86"/>
      <c r="H1037" s="86"/>
      <c r="I1037" s="86"/>
      <c r="J1037" s="86"/>
      <c r="K1037" s="86"/>
      <c r="L1037" s="86"/>
      <c r="M1037" s="86"/>
      <c r="N1037" s="86"/>
      <c r="O1037" s="86"/>
      <c r="P1037" s="86"/>
      <c r="Q1037" s="86"/>
      <c r="R1037" s="86"/>
      <c r="S1037" s="86"/>
      <c r="T1037" s="86"/>
      <c r="U1037" s="86"/>
      <c r="V1037" s="86"/>
      <c r="W1037" s="86"/>
      <c r="X1037" s="86"/>
      <c r="Y1037" s="86"/>
      <c r="Z1037" s="86"/>
    </row>
    <row r="1038" spans="6:26" ht="12.75">
      <c r="F1038" s="86"/>
      <c r="G1038" s="86"/>
      <c r="H1038" s="86"/>
      <c r="I1038" s="86"/>
      <c r="J1038" s="86"/>
      <c r="K1038" s="86"/>
      <c r="L1038" s="86"/>
      <c r="M1038" s="86"/>
      <c r="N1038" s="86"/>
      <c r="O1038" s="86"/>
      <c r="P1038" s="86"/>
      <c r="Q1038" s="86"/>
      <c r="R1038" s="86"/>
      <c r="S1038" s="86"/>
      <c r="T1038" s="86"/>
      <c r="U1038" s="86"/>
      <c r="V1038" s="86"/>
      <c r="W1038" s="86"/>
      <c r="X1038" s="86"/>
      <c r="Y1038" s="86"/>
      <c r="Z1038" s="86"/>
    </row>
    <row r="1039" spans="6:26" ht="12.75">
      <c r="F1039" s="86"/>
      <c r="G1039" s="86"/>
      <c r="H1039" s="86"/>
      <c r="I1039" s="86"/>
      <c r="J1039" s="86"/>
      <c r="K1039" s="86"/>
      <c r="L1039" s="86"/>
      <c r="M1039" s="86"/>
      <c r="N1039" s="86"/>
      <c r="O1039" s="86"/>
      <c r="P1039" s="86"/>
      <c r="Q1039" s="86"/>
      <c r="R1039" s="86"/>
      <c r="S1039" s="86"/>
      <c r="T1039" s="86"/>
      <c r="U1039" s="86"/>
      <c r="V1039" s="86"/>
      <c r="W1039" s="86"/>
      <c r="X1039" s="86"/>
      <c r="Y1039" s="86"/>
      <c r="Z1039" s="86"/>
    </row>
    <row r="1040" spans="6:26" ht="12.75">
      <c r="F1040" s="86"/>
      <c r="G1040" s="86"/>
      <c r="H1040" s="86"/>
      <c r="I1040" s="86"/>
      <c r="J1040" s="86"/>
      <c r="K1040" s="86"/>
      <c r="L1040" s="86"/>
      <c r="M1040" s="86"/>
      <c r="N1040" s="86"/>
      <c r="O1040" s="86"/>
      <c r="P1040" s="86"/>
      <c r="Q1040" s="86"/>
      <c r="R1040" s="86"/>
      <c r="S1040" s="86"/>
      <c r="T1040" s="86"/>
      <c r="U1040" s="86"/>
      <c r="V1040" s="86"/>
      <c r="W1040" s="86"/>
      <c r="X1040" s="86"/>
      <c r="Y1040" s="86"/>
      <c r="Z1040" s="86"/>
    </row>
    <row r="1041" spans="6:26" ht="12.75">
      <c r="F1041" s="86"/>
      <c r="G1041" s="86"/>
      <c r="H1041" s="86"/>
      <c r="I1041" s="86"/>
      <c r="J1041" s="86"/>
      <c r="K1041" s="86"/>
      <c r="L1041" s="86"/>
      <c r="M1041" s="86"/>
      <c r="N1041" s="86"/>
      <c r="O1041" s="86"/>
      <c r="P1041" s="86"/>
      <c r="Q1041" s="86"/>
      <c r="R1041" s="86"/>
      <c r="S1041" s="86"/>
      <c r="T1041" s="86"/>
      <c r="U1041" s="86"/>
      <c r="V1041" s="86"/>
      <c r="W1041" s="86"/>
      <c r="X1041" s="86"/>
      <c r="Y1041" s="86"/>
      <c r="Z1041" s="86"/>
    </row>
    <row r="1042" spans="6:26" ht="12.75">
      <c r="F1042" s="86"/>
      <c r="G1042" s="86"/>
      <c r="H1042" s="86"/>
      <c r="I1042" s="86"/>
      <c r="J1042" s="86"/>
      <c r="K1042" s="86"/>
      <c r="L1042" s="86"/>
      <c r="M1042" s="86"/>
      <c r="N1042" s="86"/>
      <c r="O1042" s="86"/>
      <c r="P1042" s="86"/>
      <c r="Q1042" s="86"/>
      <c r="R1042" s="86"/>
      <c r="S1042" s="86"/>
      <c r="T1042" s="86"/>
      <c r="U1042" s="86"/>
      <c r="V1042" s="86"/>
      <c r="W1042" s="86"/>
      <c r="X1042" s="86"/>
      <c r="Y1042" s="86"/>
      <c r="Z1042" s="86"/>
    </row>
    <row r="1043" spans="6:26" ht="12.75">
      <c r="F1043" s="86"/>
      <c r="G1043" s="86"/>
      <c r="H1043" s="86"/>
      <c r="I1043" s="86"/>
      <c r="J1043" s="86"/>
      <c r="K1043" s="86"/>
      <c r="L1043" s="86"/>
      <c r="M1043" s="86"/>
      <c r="N1043" s="86"/>
      <c r="O1043" s="86"/>
      <c r="P1043" s="86"/>
      <c r="Q1043" s="86"/>
      <c r="R1043" s="86"/>
      <c r="S1043" s="86"/>
      <c r="T1043" s="86"/>
      <c r="U1043" s="86"/>
      <c r="V1043" s="86"/>
      <c r="W1043" s="86"/>
      <c r="X1043" s="86"/>
      <c r="Y1043" s="86"/>
      <c r="Z1043" s="86"/>
    </row>
    <row r="1044" spans="6:26" ht="12.75">
      <c r="F1044" s="86"/>
      <c r="G1044" s="86"/>
      <c r="H1044" s="86"/>
      <c r="I1044" s="86"/>
      <c r="J1044" s="86"/>
      <c r="K1044" s="86"/>
      <c r="L1044" s="86"/>
      <c r="M1044" s="86"/>
      <c r="N1044" s="86"/>
      <c r="O1044" s="86"/>
      <c r="P1044" s="86"/>
      <c r="Q1044" s="86"/>
      <c r="R1044" s="86"/>
      <c r="S1044" s="86"/>
      <c r="T1044" s="86"/>
      <c r="U1044" s="86"/>
      <c r="V1044" s="86"/>
      <c r="W1044" s="86"/>
      <c r="X1044" s="86"/>
      <c r="Y1044" s="86"/>
      <c r="Z1044" s="86"/>
    </row>
    <row r="1045" spans="6:26" ht="12.75">
      <c r="F1045" s="86"/>
      <c r="G1045" s="86"/>
      <c r="H1045" s="86"/>
      <c r="I1045" s="86"/>
      <c r="J1045" s="86"/>
      <c r="K1045" s="86"/>
      <c r="L1045" s="86"/>
      <c r="M1045" s="86"/>
      <c r="N1045" s="86"/>
      <c r="O1045" s="86"/>
      <c r="P1045" s="86"/>
      <c r="Q1045" s="86"/>
      <c r="R1045" s="86"/>
      <c r="S1045" s="86"/>
      <c r="T1045" s="86"/>
      <c r="U1045" s="86"/>
      <c r="V1045" s="86"/>
      <c r="W1045" s="86"/>
      <c r="X1045" s="86"/>
      <c r="Y1045" s="86"/>
      <c r="Z1045" s="86"/>
    </row>
    <row r="1046" spans="6:26" ht="12.75">
      <c r="F1046" s="86"/>
      <c r="G1046" s="86"/>
      <c r="H1046" s="86"/>
      <c r="I1046" s="86"/>
      <c r="J1046" s="86"/>
      <c r="K1046" s="86"/>
      <c r="L1046" s="86"/>
      <c r="M1046" s="86"/>
      <c r="N1046" s="86"/>
      <c r="O1046" s="86"/>
      <c r="P1046" s="86"/>
      <c r="Q1046" s="86"/>
      <c r="R1046" s="86"/>
      <c r="S1046" s="86"/>
      <c r="T1046" s="86"/>
      <c r="U1046" s="86"/>
      <c r="V1046" s="86"/>
      <c r="W1046" s="86"/>
      <c r="X1046" s="86"/>
      <c r="Y1046" s="86"/>
      <c r="Z1046" s="86"/>
    </row>
    <row r="1047" spans="6:26" ht="12.75">
      <c r="F1047" s="86"/>
      <c r="G1047" s="86"/>
      <c r="H1047" s="86"/>
      <c r="I1047" s="86"/>
      <c r="J1047" s="86"/>
      <c r="K1047" s="86"/>
      <c r="L1047" s="86"/>
      <c r="M1047" s="86"/>
      <c r="N1047" s="86"/>
      <c r="O1047" s="86"/>
      <c r="P1047" s="86"/>
      <c r="Q1047" s="86"/>
      <c r="R1047" s="86"/>
      <c r="S1047" s="86"/>
      <c r="T1047" s="86"/>
      <c r="U1047" s="86"/>
      <c r="V1047" s="86"/>
      <c r="W1047" s="86"/>
      <c r="X1047" s="86"/>
      <c r="Y1047" s="86"/>
      <c r="Z1047" s="86"/>
    </row>
    <row r="1048" spans="6:26" ht="12.75">
      <c r="F1048" s="86"/>
      <c r="G1048" s="86"/>
      <c r="H1048" s="86"/>
      <c r="I1048" s="86"/>
      <c r="J1048" s="86"/>
      <c r="K1048" s="86"/>
      <c r="L1048" s="86"/>
      <c r="M1048" s="86"/>
      <c r="N1048" s="86"/>
      <c r="O1048" s="86"/>
      <c r="P1048" s="86"/>
      <c r="Q1048" s="86"/>
      <c r="R1048" s="86"/>
      <c r="S1048" s="86"/>
      <c r="T1048" s="86"/>
      <c r="U1048" s="86"/>
      <c r="V1048" s="86"/>
      <c r="W1048" s="86"/>
      <c r="X1048" s="86"/>
      <c r="Y1048" s="86"/>
      <c r="Z1048" s="86"/>
    </row>
    <row r="1049" spans="6:26" ht="12.75">
      <c r="F1049" s="86"/>
      <c r="G1049" s="86"/>
      <c r="H1049" s="86"/>
      <c r="I1049" s="86"/>
      <c r="J1049" s="86"/>
      <c r="K1049" s="86"/>
      <c r="L1049" s="86"/>
      <c r="M1049" s="86"/>
      <c r="N1049" s="86"/>
      <c r="O1049" s="86"/>
      <c r="P1049" s="86"/>
      <c r="Q1049" s="86"/>
      <c r="R1049" s="86"/>
      <c r="S1049" s="86"/>
      <c r="T1049" s="86"/>
      <c r="U1049" s="86"/>
      <c r="V1049" s="86"/>
      <c r="W1049" s="86"/>
      <c r="X1049" s="86"/>
      <c r="Y1049" s="86"/>
      <c r="Z1049" s="86"/>
    </row>
    <row r="1050" spans="6:26" ht="12.75">
      <c r="F1050" s="86"/>
      <c r="G1050" s="86"/>
      <c r="H1050" s="86"/>
      <c r="I1050" s="86"/>
      <c r="J1050" s="86"/>
      <c r="K1050" s="86"/>
      <c r="L1050" s="86"/>
      <c r="M1050" s="86"/>
      <c r="N1050" s="86"/>
      <c r="O1050" s="86"/>
      <c r="P1050" s="86"/>
      <c r="Q1050" s="86"/>
      <c r="R1050" s="86"/>
      <c r="S1050" s="86"/>
      <c r="T1050" s="86"/>
      <c r="U1050" s="86"/>
      <c r="V1050" s="86"/>
      <c r="W1050" s="86"/>
      <c r="X1050" s="86"/>
      <c r="Y1050" s="86"/>
      <c r="Z1050" s="86"/>
    </row>
    <row r="1051" spans="6:26" ht="12.75">
      <c r="F1051" s="86"/>
      <c r="G1051" s="86"/>
      <c r="H1051" s="86"/>
      <c r="I1051" s="86"/>
      <c r="J1051" s="86"/>
      <c r="K1051" s="86"/>
      <c r="L1051" s="86"/>
      <c r="M1051" s="86"/>
      <c r="N1051" s="86"/>
      <c r="O1051" s="86"/>
      <c r="P1051" s="86"/>
      <c r="Q1051" s="86"/>
      <c r="R1051" s="86"/>
      <c r="S1051" s="86"/>
      <c r="T1051" s="86"/>
      <c r="U1051" s="86"/>
      <c r="V1051" s="86"/>
      <c r="W1051" s="86"/>
      <c r="X1051" s="86"/>
      <c r="Y1051" s="86"/>
      <c r="Z1051" s="86"/>
    </row>
    <row r="1052" spans="6:26" ht="12.75">
      <c r="F1052" s="86"/>
      <c r="G1052" s="86"/>
      <c r="H1052" s="86"/>
      <c r="I1052" s="86"/>
      <c r="J1052" s="86"/>
      <c r="K1052" s="86"/>
      <c r="L1052" s="86"/>
      <c r="M1052" s="86"/>
      <c r="N1052" s="86"/>
      <c r="O1052" s="86"/>
      <c r="P1052" s="86"/>
      <c r="Q1052" s="86"/>
      <c r="R1052" s="86"/>
      <c r="S1052" s="86"/>
      <c r="T1052" s="86"/>
      <c r="U1052" s="86"/>
      <c r="V1052" s="86"/>
      <c r="W1052" s="86"/>
      <c r="X1052" s="86"/>
      <c r="Y1052" s="86"/>
      <c r="Z1052" s="86"/>
    </row>
    <row r="1053" spans="6:26" ht="12.75">
      <c r="F1053" s="86"/>
      <c r="G1053" s="86"/>
      <c r="H1053" s="86"/>
      <c r="I1053" s="86"/>
      <c r="J1053" s="86"/>
      <c r="K1053" s="86"/>
      <c r="L1053" s="86"/>
      <c r="M1053" s="86"/>
      <c r="N1053" s="86"/>
      <c r="O1053" s="86"/>
      <c r="P1053" s="86"/>
      <c r="Q1053" s="86"/>
      <c r="R1053" s="86"/>
      <c r="S1053" s="86"/>
      <c r="T1053" s="86"/>
      <c r="U1053" s="86"/>
      <c r="V1053" s="86"/>
      <c r="W1053" s="86"/>
      <c r="X1053" s="86"/>
      <c r="Y1053" s="86"/>
      <c r="Z1053" s="86"/>
    </row>
    <row r="1054" spans="6:26" ht="12.75">
      <c r="F1054" s="86"/>
      <c r="G1054" s="86"/>
      <c r="H1054" s="86"/>
      <c r="I1054" s="86"/>
      <c r="J1054" s="86"/>
      <c r="K1054" s="86"/>
      <c r="L1054" s="86"/>
      <c r="M1054" s="86"/>
      <c r="N1054" s="86"/>
      <c r="O1054" s="86"/>
      <c r="P1054" s="86"/>
      <c r="Q1054" s="86"/>
      <c r="R1054" s="86"/>
      <c r="S1054" s="86"/>
      <c r="T1054" s="86"/>
      <c r="U1054" s="86"/>
      <c r="V1054" s="86"/>
      <c r="W1054" s="86"/>
      <c r="X1054" s="86"/>
      <c r="Y1054" s="86"/>
      <c r="Z1054" s="86"/>
    </row>
    <row r="1055" spans="6:26" ht="12.75">
      <c r="F1055" s="86"/>
      <c r="G1055" s="86"/>
      <c r="H1055" s="86"/>
      <c r="I1055" s="86"/>
      <c r="J1055" s="86"/>
      <c r="K1055" s="86"/>
      <c r="L1055" s="86"/>
      <c r="M1055" s="86"/>
      <c r="N1055" s="86"/>
      <c r="O1055" s="86"/>
      <c r="P1055" s="86"/>
      <c r="Q1055" s="86"/>
      <c r="R1055" s="86"/>
      <c r="S1055" s="86"/>
      <c r="T1055" s="86"/>
      <c r="U1055" s="86"/>
      <c r="V1055" s="86"/>
      <c r="W1055" s="86"/>
      <c r="X1055" s="86"/>
      <c r="Y1055" s="86"/>
      <c r="Z1055" s="86"/>
    </row>
    <row r="1056" spans="6:26" ht="12.75">
      <c r="F1056" s="86"/>
      <c r="G1056" s="86"/>
      <c r="H1056" s="86"/>
      <c r="I1056" s="86"/>
      <c r="J1056" s="86"/>
      <c r="K1056" s="86"/>
      <c r="L1056" s="86"/>
      <c r="M1056" s="86"/>
      <c r="N1056" s="86"/>
      <c r="O1056" s="86"/>
      <c r="P1056" s="86"/>
      <c r="Q1056" s="86"/>
      <c r="R1056" s="86"/>
      <c r="S1056" s="86"/>
      <c r="T1056" s="86"/>
      <c r="U1056" s="86"/>
      <c r="V1056" s="86"/>
      <c r="W1056" s="86"/>
      <c r="X1056" s="86"/>
      <c r="Y1056" s="86"/>
      <c r="Z1056" s="86"/>
    </row>
    <row r="1057" spans="6:26" ht="12.75">
      <c r="F1057" s="86"/>
      <c r="G1057" s="86"/>
      <c r="H1057" s="86"/>
      <c r="I1057" s="86"/>
      <c r="J1057" s="86"/>
      <c r="K1057" s="86"/>
      <c r="L1057" s="86"/>
      <c r="M1057" s="86"/>
      <c r="N1057" s="86"/>
      <c r="O1057" s="86"/>
      <c r="P1057" s="86"/>
      <c r="Q1057" s="86"/>
      <c r="R1057" s="86"/>
      <c r="S1057" s="86"/>
      <c r="T1057" s="86"/>
      <c r="U1057" s="86"/>
      <c r="V1057" s="86"/>
      <c r="W1057" s="86"/>
      <c r="X1057" s="86"/>
      <c r="Y1057" s="86"/>
      <c r="Z1057" s="86"/>
    </row>
    <row r="1058" spans="6:26" ht="12.75">
      <c r="F1058" s="86"/>
      <c r="G1058" s="86"/>
      <c r="H1058" s="86"/>
      <c r="I1058" s="86"/>
      <c r="J1058" s="86"/>
      <c r="K1058" s="86"/>
      <c r="L1058" s="86"/>
      <c r="M1058" s="86"/>
      <c r="N1058" s="86"/>
      <c r="O1058" s="86"/>
      <c r="P1058" s="86"/>
      <c r="Q1058" s="86"/>
      <c r="R1058" s="86"/>
      <c r="S1058" s="86"/>
      <c r="T1058" s="86"/>
      <c r="U1058" s="86"/>
      <c r="V1058" s="86"/>
      <c r="W1058" s="86"/>
      <c r="X1058" s="86"/>
      <c r="Y1058" s="86"/>
      <c r="Z1058" s="86"/>
    </row>
    <row r="1059" spans="6:26" ht="12.75">
      <c r="F1059" s="86"/>
      <c r="G1059" s="86"/>
      <c r="H1059" s="86"/>
      <c r="I1059" s="86"/>
      <c r="J1059" s="86"/>
      <c r="K1059" s="86"/>
      <c r="L1059" s="86"/>
      <c r="M1059" s="86"/>
      <c r="N1059" s="86"/>
      <c r="O1059" s="86"/>
      <c r="P1059" s="86"/>
      <c r="Q1059" s="86"/>
      <c r="R1059" s="86"/>
      <c r="S1059" s="86"/>
      <c r="T1059" s="86"/>
      <c r="U1059" s="86"/>
      <c r="V1059" s="86"/>
      <c r="W1059" s="86"/>
      <c r="X1059" s="86"/>
      <c r="Y1059" s="86"/>
      <c r="Z1059" s="86"/>
    </row>
    <row r="1060" spans="6:26" ht="12.75">
      <c r="F1060" s="86"/>
      <c r="G1060" s="86"/>
      <c r="H1060" s="86"/>
      <c r="I1060" s="86"/>
      <c r="J1060" s="86"/>
      <c r="K1060" s="86"/>
      <c r="L1060" s="86"/>
      <c r="M1060" s="86"/>
      <c r="N1060" s="86"/>
      <c r="O1060" s="86"/>
      <c r="P1060" s="86"/>
      <c r="Q1060" s="86"/>
      <c r="R1060" s="86"/>
      <c r="S1060" s="86"/>
      <c r="T1060" s="86"/>
      <c r="U1060" s="86"/>
      <c r="V1060" s="86"/>
      <c r="W1060" s="86"/>
      <c r="X1060" s="86"/>
      <c r="Y1060" s="86"/>
      <c r="Z1060" s="86"/>
    </row>
    <row r="1061" spans="6:26" ht="12.75">
      <c r="F1061" s="86"/>
      <c r="G1061" s="86"/>
      <c r="H1061" s="86"/>
      <c r="I1061" s="86"/>
      <c r="J1061" s="86"/>
      <c r="K1061" s="86"/>
      <c r="L1061" s="86"/>
      <c r="M1061" s="86"/>
      <c r="N1061" s="86"/>
      <c r="O1061" s="86"/>
      <c r="P1061" s="86"/>
      <c r="Q1061" s="86"/>
      <c r="R1061" s="86"/>
      <c r="S1061" s="86"/>
      <c r="T1061" s="86"/>
      <c r="U1061" s="86"/>
      <c r="V1061" s="86"/>
      <c r="W1061" s="86"/>
      <c r="X1061" s="86"/>
      <c r="Y1061" s="86"/>
      <c r="Z1061" s="86"/>
    </row>
    <row r="1062" spans="6:26" ht="12.75">
      <c r="F1062" s="86"/>
      <c r="G1062" s="86"/>
      <c r="H1062" s="86"/>
      <c r="I1062" s="86"/>
      <c r="J1062" s="86"/>
      <c r="K1062" s="86"/>
      <c r="L1062" s="86"/>
      <c r="M1062" s="86"/>
      <c r="N1062" s="86"/>
      <c r="O1062" s="86"/>
      <c r="P1062" s="86"/>
      <c r="Q1062" s="86"/>
      <c r="R1062" s="86"/>
      <c r="S1062" s="86"/>
      <c r="T1062" s="86"/>
      <c r="U1062" s="86"/>
      <c r="V1062" s="86"/>
      <c r="W1062" s="86"/>
      <c r="X1062" s="86"/>
      <c r="Y1062" s="86"/>
      <c r="Z1062" s="86"/>
    </row>
    <row r="1063" spans="6:26" ht="12.75">
      <c r="F1063" s="86"/>
      <c r="G1063" s="86"/>
      <c r="H1063" s="86"/>
      <c r="I1063" s="86"/>
      <c r="J1063" s="86"/>
      <c r="K1063" s="86"/>
      <c r="L1063" s="86"/>
      <c r="M1063" s="86"/>
      <c r="N1063" s="86"/>
      <c r="O1063" s="86"/>
      <c r="P1063" s="86"/>
      <c r="Q1063" s="86"/>
      <c r="R1063" s="86"/>
      <c r="S1063" s="86"/>
      <c r="T1063" s="86"/>
      <c r="U1063" s="86"/>
      <c r="V1063" s="86"/>
      <c r="W1063" s="86"/>
      <c r="X1063" s="86"/>
      <c r="Y1063" s="86"/>
      <c r="Z1063" s="86"/>
    </row>
    <row r="1064" spans="6:26" ht="12.75">
      <c r="F1064" s="86"/>
      <c r="G1064" s="86"/>
      <c r="H1064" s="86"/>
      <c r="I1064" s="86"/>
      <c r="J1064" s="86"/>
      <c r="K1064" s="86"/>
      <c r="L1064" s="86"/>
      <c r="M1064" s="86"/>
      <c r="N1064" s="86"/>
      <c r="O1064" s="86"/>
      <c r="P1064" s="86"/>
      <c r="Q1064" s="86"/>
      <c r="R1064" s="86"/>
      <c r="S1064" s="86"/>
      <c r="T1064" s="86"/>
      <c r="U1064" s="86"/>
      <c r="V1064" s="86"/>
      <c r="W1064" s="86"/>
      <c r="X1064" s="86"/>
      <c r="Y1064" s="86"/>
      <c r="Z1064" s="86"/>
    </row>
    <row r="1065" spans="6:26" ht="12.75">
      <c r="F1065" s="86"/>
      <c r="G1065" s="86"/>
      <c r="H1065" s="86"/>
      <c r="I1065" s="86"/>
      <c r="J1065" s="86"/>
      <c r="K1065" s="86"/>
      <c r="L1065" s="86"/>
      <c r="M1065" s="86"/>
      <c r="N1065" s="86"/>
      <c r="O1065" s="86"/>
      <c r="P1065" s="86"/>
      <c r="Q1065" s="86"/>
      <c r="R1065" s="86"/>
      <c r="S1065" s="86"/>
      <c r="T1065" s="86"/>
      <c r="U1065" s="86"/>
      <c r="V1065" s="86"/>
      <c r="W1065" s="86"/>
      <c r="X1065" s="86"/>
      <c r="Y1065" s="86"/>
      <c r="Z1065" s="86"/>
    </row>
    <row r="1066" spans="6:26" ht="12.75">
      <c r="F1066" s="86"/>
      <c r="G1066" s="86"/>
      <c r="H1066" s="86"/>
      <c r="I1066" s="86"/>
      <c r="J1066" s="86"/>
      <c r="K1066" s="86"/>
      <c r="L1066" s="86"/>
      <c r="M1066" s="86"/>
      <c r="N1066" s="86"/>
      <c r="O1066" s="86"/>
      <c r="P1066" s="86"/>
      <c r="Q1066" s="86"/>
      <c r="R1066" s="86"/>
      <c r="S1066" s="86"/>
      <c r="T1066" s="86"/>
      <c r="U1066" s="86"/>
      <c r="V1066" s="86"/>
      <c r="W1066" s="86"/>
      <c r="X1066" s="86"/>
      <c r="Y1066" s="86"/>
      <c r="Z1066" s="86"/>
    </row>
    <row r="1067" spans="6:26" ht="12.75">
      <c r="F1067" s="86"/>
      <c r="G1067" s="86"/>
      <c r="H1067" s="86"/>
      <c r="I1067" s="86"/>
      <c r="J1067" s="86"/>
      <c r="K1067" s="86"/>
      <c r="L1067" s="86"/>
      <c r="M1067" s="86"/>
      <c r="N1067" s="86"/>
      <c r="O1067" s="86"/>
      <c r="P1067" s="86"/>
      <c r="Q1067" s="86"/>
      <c r="R1067" s="86"/>
      <c r="S1067" s="86"/>
      <c r="T1067" s="86"/>
      <c r="U1067" s="86"/>
      <c r="V1067" s="86"/>
      <c r="W1067" s="86"/>
      <c r="X1067" s="86"/>
      <c r="Y1067" s="86"/>
      <c r="Z1067" s="86"/>
    </row>
    <row r="1068" spans="6:26" ht="12.75">
      <c r="F1068" s="86"/>
      <c r="G1068" s="86"/>
      <c r="H1068" s="86"/>
      <c r="I1068" s="86"/>
      <c r="J1068" s="86"/>
      <c r="K1068" s="86"/>
      <c r="L1068" s="86"/>
      <c r="M1068" s="86"/>
      <c r="N1068" s="86"/>
      <c r="O1068" s="86"/>
      <c r="P1068" s="86"/>
      <c r="Q1068" s="86"/>
      <c r="R1068" s="86"/>
      <c r="S1068" s="86"/>
      <c r="T1068" s="86"/>
      <c r="U1068" s="86"/>
      <c r="V1068" s="86"/>
      <c r="W1068" s="86"/>
      <c r="X1068" s="86"/>
      <c r="Y1068" s="86"/>
      <c r="Z1068" s="86"/>
    </row>
  </sheetData>
  <mergeCells count="4">
    <mergeCell ref="G5:L5"/>
    <mergeCell ref="C5:E5"/>
    <mergeCell ref="O5:T5"/>
    <mergeCell ref="G2:L2"/>
  </mergeCells>
  <conditionalFormatting sqref="U164:U176 M164:N175 V164:W175 F164:F175 M159:N161 U159:W161 M112:N114 F112:F114 F159:F161 U112:W114 F8:F107 M8:N107 V8:W107 U8:U111">
    <cfRule type="cellIs" priority="1" dxfId="0" operator="equal" stopIfTrue="1">
      <formula>0</formula>
    </cfRule>
  </conditionalFormatting>
  <printOptions gridLines="1"/>
  <pageMargins left="0.23" right="0.19" top="0.17" bottom="0.51" header="0.36" footer="0.17"/>
  <pageSetup fitToHeight="2" fitToWidth="1" horizontalDpi="600" verticalDpi="600" orientation="landscape" scale="37" r:id="rId1"/>
</worksheet>
</file>

<file path=xl/worksheets/sheet4.xml><?xml version="1.0" encoding="utf-8"?>
<worksheet xmlns="http://schemas.openxmlformats.org/spreadsheetml/2006/main" xmlns:r="http://schemas.openxmlformats.org/officeDocument/2006/relationships">
  <sheetPr>
    <pageSetUpPr fitToPage="1"/>
  </sheetPr>
  <dimension ref="A1:AI234"/>
  <sheetViews>
    <sheetView workbookViewId="0" topLeftCell="A1">
      <pane xSplit="2" ySplit="7" topLeftCell="C8" activePane="bottomRight" state="frozen"/>
      <selection pane="topLeft" activeCell="A1" sqref="A1"/>
      <selection pane="topRight" activeCell="C1" sqref="C1"/>
      <selection pane="bottomLeft" activeCell="A8" sqref="A8"/>
      <selection pane="bottomRight" activeCell="F21" sqref="F21"/>
    </sheetView>
  </sheetViews>
  <sheetFormatPr defaultColWidth="9.140625" defaultRowHeight="12.75"/>
  <cols>
    <col min="1" max="1" width="11.28125" style="0" customWidth="1"/>
    <col min="2" max="2" width="31.140625" style="0" customWidth="1"/>
    <col min="3" max="3" width="9.7109375" style="0" bestFit="1" customWidth="1"/>
    <col min="4" max="4" width="10.28125" style="0" customWidth="1"/>
    <col min="5" max="5" width="9.8515625" style="0" customWidth="1"/>
    <col min="6" max="6" width="11.57421875" style="0" customWidth="1"/>
    <col min="7" max="7" width="11.140625" style="0" bestFit="1" customWidth="1"/>
    <col min="9" max="10" width="11.28125" style="0" customWidth="1"/>
    <col min="11" max="12" width="10.00390625" style="0" customWidth="1"/>
    <col min="13" max="14" width="11.7109375" style="0" customWidth="1"/>
    <col min="15" max="15" width="5.28125" style="0" customWidth="1"/>
    <col min="16" max="16" width="4.00390625" style="0" customWidth="1"/>
    <col min="17" max="17" width="6.8515625" style="0" customWidth="1"/>
    <col min="18" max="18" width="5.140625" style="0" customWidth="1"/>
    <col min="19" max="19" width="3.8515625" style="0" customWidth="1"/>
    <col min="20" max="20" width="6.7109375" style="0" customWidth="1"/>
    <col min="21" max="21" width="5.28125" style="0" customWidth="1"/>
    <col min="22" max="22" width="11.00390625" style="0" customWidth="1"/>
    <col min="23" max="23" width="12.00390625" style="0" customWidth="1"/>
    <col min="24" max="24" width="16.7109375" style="0" customWidth="1"/>
    <col min="25" max="25" width="58.57421875" style="0" hidden="1" customWidth="1"/>
    <col min="26" max="29" width="0" style="0" hidden="1" customWidth="1"/>
    <col min="30" max="30" width="10.140625" style="0" bestFit="1" customWidth="1"/>
    <col min="34" max="34" width="14.28125" style="0" customWidth="1"/>
    <col min="35" max="35" width="27.00390625" style="0" customWidth="1"/>
  </cols>
  <sheetData>
    <row r="1" ht="18">
      <c r="A1" s="36" t="s">
        <v>617</v>
      </c>
    </row>
    <row r="2" spans="1:12" ht="12.75">
      <c r="A2" t="s">
        <v>520</v>
      </c>
      <c r="G2" s="339" t="s">
        <v>815</v>
      </c>
      <c r="H2" s="339"/>
      <c r="I2" s="339"/>
      <c r="J2" s="339"/>
      <c r="K2" s="339"/>
      <c r="L2" s="339"/>
    </row>
    <row r="3" spans="1:12" ht="12.75">
      <c r="A3" s="223" t="s">
        <v>1494</v>
      </c>
      <c r="G3" s="41">
        <f>'Labor and Indirect Rates (NSF)'!$C$130</f>
        <v>67.15</v>
      </c>
      <c r="H3" s="41">
        <f>'Labor and Indirect Rates (NSF)'!$C$132</f>
        <v>89.65</v>
      </c>
      <c r="I3" s="41">
        <f>'Labor and Indirect Rates (NSF)'!$C$131</f>
        <v>56.25</v>
      </c>
      <c r="J3" s="41">
        <f>'Labor and Indirect Rates (NSF)'!$C$129</f>
        <v>52.5</v>
      </c>
      <c r="K3" s="41">
        <f>'Labor and Indirect Rates (NSF)'!$C$141</f>
        <v>67.05</v>
      </c>
      <c r="L3" s="41">
        <f>'Labor and Indirect Rates (NSF)'!$C$140</f>
        <v>101</v>
      </c>
    </row>
    <row r="4" spans="1:25" ht="12.75">
      <c r="A4" s="42"/>
      <c r="B4" s="42"/>
      <c r="C4" s="42"/>
      <c r="D4" s="42"/>
      <c r="E4" s="42"/>
      <c r="F4" s="42"/>
      <c r="G4" s="42"/>
      <c r="H4" s="42"/>
      <c r="I4" s="43"/>
      <c r="J4" s="43"/>
      <c r="K4" s="43"/>
      <c r="L4" s="43"/>
      <c r="M4" s="44" t="s">
        <v>643</v>
      </c>
      <c r="N4" s="44"/>
      <c r="O4" s="42"/>
      <c r="P4" s="42"/>
      <c r="Q4" s="42"/>
      <c r="R4" s="42"/>
      <c r="S4" s="42"/>
      <c r="T4" s="42"/>
      <c r="U4" s="42"/>
      <c r="V4" s="42"/>
      <c r="W4" s="43"/>
      <c r="X4" s="45"/>
      <c r="Y4" s="45"/>
    </row>
    <row r="5" spans="1:25" ht="12.75">
      <c r="A5" s="44" t="s">
        <v>816</v>
      </c>
      <c r="B5" s="42"/>
      <c r="C5" s="338" t="s">
        <v>647</v>
      </c>
      <c r="D5" s="338"/>
      <c r="E5" s="338"/>
      <c r="F5" s="44" t="s">
        <v>643</v>
      </c>
      <c r="G5" s="338" t="s">
        <v>666</v>
      </c>
      <c r="H5" s="338"/>
      <c r="I5" s="338"/>
      <c r="J5" s="338"/>
      <c r="K5" s="338"/>
      <c r="L5" s="338"/>
      <c r="M5" s="44" t="s">
        <v>642</v>
      </c>
      <c r="N5" s="44" t="s">
        <v>643</v>
      </c>
      <c r="O5" s="338" t="s">
        <v>817</v>
      </c>
      <c r="P5" s="338"/>
      <c r="Q5" s="338"/>
      <c r="R5" s="338"/>
      <c r="S5" s="338"/>
      <c r="T5" s="338"/>
      <c r="U5" s="42"/>
      <c r="V5" s="42"/>
      <c r="W5" s="44" t="s">
        <v>643</v>
      </c>
      <c r="X5" s="44" t="s">
        <v>498</v>
      </c>
      <c r="Y5" s="45"/>
    </row>
    <row r="6" spans="1:25" ht="12.75">
      <c r="A6" s="44" t="s">
        <v>818</v>
      </c>
      <c r="B6" s="42" t="s">
        <v>819</v>
      </c>
      <c r="C6" s="44" t="s">
        <v>912</v>
      </c>
      <c r="D6" s="44" t="s">
        <v>913</v>
      </c>
      <c r="E6" s="44" t="s">
        <v>914</v>
      </c>
      <c r="F6" s="44" t="s">
        <v>823</v>
      </c>
      <c r="G6" s="42" t="s">
        <v>824</v>
      </c>
      <c r="H6" s="42" t="s">
        <v>825</v>
      </c>
      <c r="I6" s="43" t="s">
        <v>826</v>
      </c>
      <c r="J6" s="43" t="s">
        <v>667</v>
      </c>
      <c r="K6" s="43" t="s">
        <v>827</v>
      </c>
      <c r="L6" s="43" t="s">
        <v>702</v>
      </c>
      <c r="M6" s="44" t="s">
        <v>697</v>
      </c>
      <c r="N6" s="44" t="s">
        <v>876</v>
      </c>
      <c r="O6" s="42" t="s">
        <v>667</v>
      </c>
      <c r="P6" s="42" t="s">
        <v>828</v>
      </c>
      <c r="Q6" s="42" t="s">
        <v>826</v>
      </c>
      <c r="R6" s="42" t="s">
        <v>697</v>
      </c>
      <c r="S6" s="42" t="s">
        <v>828</v>
      </c>
      <c r="T6" s="42" t="s">
        <v>829</v>
      </c>
      <c r="U6" s="42" t="s">
        <v>830</v>
      </c>
      <c r="V6" s="44" t="s">
        <v>831</v>
      </c>
      <c r="W6" s="46" t="s">
        <v>832</v>
      </c>
      <c r="X6" s="44" t="s">
        <v>499</v>
      </c>
      <c r="Y6" s="44" t="s">
        <v>517</v>
      </c>
    </row>
    <row r="7" spans="1:23" ht="12.75">
      <c r="A7" s="37"/>
      <c r="B7" s="38"/>
      <c r="C7" s="39"/>
      <c r="D7" s="39"/>
      <c r="E7" s="39"/>
      <c r="F7" s="39"/>
      <c r="G7" s="39"/>
      <c r="H7" s="39"/>
      <c r="I7" s="39"/>
      <c r="J7" s="39"/>
      <c r="K7" s="39"/>
      <c r="L7" s="39"/>
      <c r="M7" s="39"/>
      <c r="N7" s="39"/>
      <c r="O7" s="39"/>
      <c r="P7" s="39"/>
      <c r="Q7" s="39"/>
      <c r="R7" s="39"/>
      <c r="S7" s="39"/>
      <c r="T7" s="39"/>
      <c r="U7" s="39"/>
      <c r="V7" s="39"/>
      <c r="W7" s="39"/>
    </row>
    <row r="8" spans="1:23" ht="12.75">
      <c r="A8" s="37" t="s">
        <v>1061</v>
      </c>
      <c r="B8" s="8" t="s">
        <v>834</v>
      </c>
      <c r="C8" s="35"/>
      <c r="D8" s="35"/>
      <c r="E8" s="35"/>
      <c r="F8" s="47">
        <f aca="true" t="shared" si="0" ref="F8:F17">SUM(C8:E8)</f>
        <v>0</v>
      </c>
      <c r="G8" s="40"/>
      <c r="H8" s="40"/>
      <c r="I8" s="40"/>
      <c r="J8" s="40"/>
      <c r="K8" s="40"/>
      <c r="L8" s="40"/>
      <c r="M8" s="47">
        <f aca="true" t="shared" si="1" ref="M8:M23">$G$3*G8+$H$3*H8+$I$3*I8+$J$3*J8+$K$3*K8+$L$3*L8</f>
        <v>0</v>
      </c>
      <c r="N8" s="47"/>
      <c r="U8" s="48">
        <f aca="true" t="shared" si="2" ref="U8:U23">((O8*P8)+Q8+(R8*S8)+T8)/100</f>
        <v>0</v>
      </c>
      <c r="V8" s="47">
        <f aca="true" t="shared" si="3" ref="V8:V17">+(F8+M8)*U8</f>
        <v>0</v>
      </c>
      <c r="W8" s="47">
        <f aca="true" t="shared" si="4" ref="W8:W17">+F8+M8+V8</f>
        <v>0</v>
      </c>
    </row>
    <row r="9" spans="1:25" ht="12.75">
      <c r="A9" s="37" t="s">
        <v>1065</v>
      </c>
      <c r="B9" s="8" t="s">
        <v>1187</v>
      </c>
      <c r="C9" s="35"/>
      <c r="D9" s="35"/>
      <c r="E9" s="35"/>
      <c r="F9" s="47">
        <f t="shared" si="0"/>
        <v>0</v>
      </c>
      <c r="G9" s="40">
        <v>900</v>
      </c>
      <c r="H9" s="40">
        <v>450</v>
      </c>
      <c r="I9" s="40">
        <v>450</v>
      </c>
      <c r="J9" s="40"/>
      <c r="K9" s="40"/>
      <c r="L9" s="40"/>
      <c r="M9" s="47">
        <f>$G$3*G9+$H$3*H9+$I$3*I9+$J$3*J9+$K$3*K9+$L$3*L9</f>
        <v>126090</v>
      </c>
      <c r="N9" s="47">
        <f>M9+F9</f>
        <v>126090</v>
      </c>
      <c r="O9">
        <v>3</v>
      </c>
      <c r="P9">
        <v>2</v>
      </c>
      <c r="Q9">
        <v>8</v>
      </c>
      <c r="R9">
        <v>1</v>
      </c>
      <c r="S9">
        <v>1</v>
      </c>
      <c r="T9">
        <v>2</v>
      </c>
      <c r="U9" s="48">
        <f t="shared" si="2"/>
        <v>0.17</v>
      </c>
      <c r="V9" s="47">
        <f t="shared" si="3"/>
        <v>21435.300000000003</v>
      </c>
      <c r="W9" s="47">
        <f t="shared" si="4"/>
        <v>147525.3</v>
      </c>
      <c r="X9" s="132">
        <f>SUM(W9:W11)</f>
        <v>208950.3</v>
      </c>
      <c r="Y9" t="s">
        <v>879</v>
      </c>
    </row>
    <row r="10" spans="1:25" ht="12.75">
      <c r="A10" s="37" t="s">
        <v>1066</v>
      </c>
      <c r="B10" s="10" t="s">
        <v>836</v>
      </c>
      <c r="C10" s="35"/>
      <c r="D10" s="35"/>
      <c r="E10" s="35"/>
      <c r="F10" s="47">
        <f t="shared" si="0"/>
        <v>0</v>
      </c>
      <c r="G10" s="40"/>
      <c r="H10" s="40"/>
      <c r="I10" s="40"/>
      <c r="J10" s="40">
        <v>1000</v>
      </c>
      <c r="K10" s="40"/>
      <c r="L10" s="40"/>
      <c r="M10" s="47">
        <f>$G$3*G10+$H$3*H10+$I$3*I10+$J$3*J10+$K$3*K10+$L$3*L10</f>
        <v>52500</v>
      </c>
      <c r="N10" s="47">
        <f>M10+F10</f>
        <v>52500</v>
      </c>
      <c r="O10">
        <v>3</v>
      </c>
      <c r="P10">
        <v>2</v>
      </c>
      <c r="Q10">
        <v>8</v>
      </c>
      <c r="R10">
        <v>1</v>
      </c>
      <c r="S10">
        <v>1</v>
      </c>
      <c r="T10">
        <v>2</v>
      </c>
      <c r="U10" s="48">
        <f t="shared" si="2"/>
        <v>0.17</v>
      </c>
      <c r="V10" s="47">
        <f t="shared" si="3"/>
        <v>8925</v>
      </c>
      <c r="W10" s="47">
        <f t="shared" si="4"/>
        <v>61425</v>
      </c>
      <c r="Y10" t="s">
        <v>1750</v>
      </c>
    </row>
    <row r="11" spans="1:23" ht="12.75">
      <c r="A11" s="37"/>
      <c r="B11" s="8"/>
      <c r="C11" s="35"/>
      <c r="D11" s="35"/>
      <c r="E11" s="35"/>
      <c r="F11" s="47">
        <f t="shared" si="0"/>
        <v>0</v>
      </c>
      <c r="G11" s="40"/>
      <c r="H11" s="40"/>
      <c r="I11" s="40"/>
      <c r="J11" s="40"/>
      <c r="K11" s="40"/>
      <c r="L11" s="40"/>
      <c r="M11" s="47">
        <f t="shared" si="1"/>
        <v>0</v>
      </c>
      <c r="N11" s="47"/>
      <c r="U11" s="48">
        <f t="shared" si="2"/>
        <v>0</v>
      </c>
      <c r="V11" s="47">
        <f t="shared" si="3"/>
        <v>0</v>
      </c>
      <c r="W11" s="47">
        <f t="shared" si="4"/>
        <v>0</v>
      </c>
    </row>
    <row r="12" spans="1:24" ht="12.75">
      <c r="A12" s="37" t="s">
        <v>1067</v>
      </c>
      <c r="B12" s="8" t="s">
        <v>837</v>
      </c>
      <c r="C12" s="35"/>
      <c r="D12" s="35"/>
      <c r="E12" s="35"/>
      <c r="F12" s="47">
        <f t="shared" si="0"/>
        <v>0</v>
      </c>
      <c r="G12" s="40"/>
      <c r="H12" s="40"/>
      <c r="I12" s="40"/>
      <c r="J12" s="40"/>
      <c r="K12" s="40"/>
      <c r="L12" s="40"/>
      <c r="M12" s="47">
        <f t="shared" si="1"/>
        <v>0</v>
      </c>
      <c r="N12" s="47"/>
      <c r="U12" s="48">
        <f t="shared" si="2"/>
        <v>0</v>
      </c>
      <c r="V12" s="47">
        <f t="shared" si="3"/>
        <v>0</v>
      </c>
      <c r="W12" s="47">
        <f t="shared" si="4"/>
        <v>0</v>
      </c>
      <c r="X12" s="132">
        <f>SUM(W12:W14)</f>
        <v>53451.6</v>
      </c>
    </row>
    <row r="13" spans="1:25" ht="12.75">
      <c r="A13" s="85" t="s">
        <v>518</v>
      </c>
      <c r="B13" s="10" t="s">
        <v>838</v>
      </c>
      <c r="C13" s="35">
        <v>2000</v>
      </c>
      <c r="D13" s="35"/>
      <c r="E13" s="35"/>
      <c r="F13" s="47">
        <f t="shared" si="0"/>
        <v>2000</v>
      </c>
      <c r="G13" s="40"/>
      <c r="H13" s="40"/>
      <c r="I13" s="40">
        <v>10</v>
      </c>
      <c r="J13" s="40">
        <v>40</v>
      </c>
      <c r="K13" s="40">
        <v>200</v>
      </c>
      <c r="L13" s="40">
        <v>40</v>
      </c>
      <c r="M13" s="47">
        <f t="shared" si="1"/>
        <v>20112.5</v>
      </c>
      <c r="N13" s="47">
        <f>M13+F13</f>
        <v>22112.5</v>
      </c>
      <c r="O13">
        <v>2</v>
      </c>
      <c r="P13">
        <v>2</v>
      </c>
      <c r="Q13">
        <v>8</v>
      </c>
      <c r="R13">
        <v>2</v>
      </c>
      <c r="S13">
        <v>2</v>
      </c>
      <c r="T13">
        <v>4</v>
      </c>
      <c r="U13" s="48">
        <f t="shared" si="2"/>
        <v>0.2</v>
      </c>
      <c r="V13" s="47">
        <f t="shared" si="3"/>
        <v>4422.5</v>
      </c>
      <c r="W13" s="47">
        <f t="shared" si="4"/>
        <v>26535</v>
      </c>
      <c r="Y13" t="s">
        <v>1751</v>
      </c>
    </row>
    <row r="14" spans="1:25" ht="12.75">
      <c r="A14" s="85" t="s">
        <v>519</v>
      </c>
      <c r="B14" s="10" t="s">
        <v>839</v>
      </c>
      <c r="C14" s="35">
        <v>5000</v>
      </c>
      <c r="D14" s="35"/>
      <c r="E14" s="35"/>
      <c r="F14" s="47">
        <f t="shared" si="0"/>
        <v>5000</v>
      </c>
      <c r="G14" s="40"/>
      <c r="H14" s="40"/>
      <c r="I14" s="40">
        <v>10</v>
      </c>
      <c r="J14" s="40">
        <v>40</v>
      </c>
      <c r="K14" s="40">
        <v>160</v>
      </c>
      <c r="L14" s="40">
        <v>40</v>
      </c>
      <c r="M14" s="47">
        <f t="shared" si="1"/>
        <v>17430.5</v>
      </c>
      <c r="N14" s="47">
        <f>M14+F14</f>
        <v>22430.5</v>
      </c>
      <c r="O14">
        <v>2</v>
      </c>
      <c r="P14">
        <v>2</v>
      </c>
      <c r="Q14">
        <v>8</v>
      </c>
      <c r="R14">
        <v>2</v>
      </c>
      <c r="S14">
        <v>2</v>
      </c>
      <c r="T14">
        <v>4</v>
      </c>
      <c r="U14" s="48">
        <f t="shared" si="2"/>
        <v>0.2</v>
      </c>
      <c r="V14" s="47">
        <f t="shared" si="3"/>
        <v>4486.1</v>
      </c>
      <c r="W14" s="47">
        <f t="shared" si="4"/>
        <v>26916.6</v>
      </c>
      <c r="Y14" t="s">
        <v>1752</v>
      </c>
    </row>
    <row r="15" spans="1:23" ht="12.75">
      <c r="A15" s="37"/>
      <c r="B15" s="8"/>
      <c r="C15" s="35"/>
      <c r="D15" s="35"/>
      <c r="E15" s="35"/>
      <c r="F15" s="47">
        <f t="shared" si="0"/>
        <v>0</v>
      </c>
      <c r="G15" s="40"/>
      <c r="H15" s="40"/>
      <c r="I15" s="40"/>
      <c r="J15" s="40"/>
      <c r="K15" s="40"/>
      <c r="L15" s="40"/>
      <c r="M15" s="47">
        <f t="shared" si="1"/>
        <v>0</v>
      </c>
      <c r="N15" s="47"/>
      <c r="U15" s="48">
        <f t="shared" si="2"/>
        <v>0</v>
      </c>
      <c r="V15" s="47">
        <f t="shared" si="3"/>
        <v>0</v>
      </c>
      <c r="W15" s="47">
        <f t="shared" si="4"/>
        <v>0</v>
      </c>
    </row>
    <row r="16" spans="1:24" ht="12.75">
      <c r="A16" s="37" t="s">
        <v>1068</v>
      </c>
      <c r="B16" s="8" t="s">
        <v>840</v>
      </c>
      <c r="C16" s="35"/>
      <c r="D16" s="35"/>
      <c r="E16" s="35"/>
      <c r="F16" s="47">
        <f t="shared" si="0"/>
        <v>0</v>
      </c>
      <c r="G16" s="40"/>
      <c r="H16" s="40"/>
      <c r="I16" s="40"/>
      <c r="J16" s="40"/>
      <c r="K16" s="40"/>
      <c r="L16" s="40"/>
      <c r="M16" s="47">
        <f t="shared" si="1"/>
        <v>0</v>
      </c>
      <c r="N16" s="47"/>
      <c r="U16" s="48">
        <f t="shared" si="2"/>
        <v>0</v>
      </c>
      <c r="V16" s="47">
        <f t="shared" si="3"/>
        <v>0</v>
      </c>
      <c r="W16" s="47">
        <f t="shared" si="4"/>
        <v>0</v>
      </c>
      <c r="X16" s="132">
        <f>SUM(W16:W23)</f>
        <v>628160.51</v>
      </c>
    </row>
    <row r="17" spans="1:25" ht="12.75">
      <c r="A17" s="37" t="s">
        <v>1070</v>
      </c>
      <c r="B17" s="10" t="s">
        <v>841</v>
      </c>
      <c r="C17" s="35"/>
      <c r="D17" s="35">
        <v>135000</v>
      </c>
      <c r="E17" s="35"/>
      <c r="F17" s="47">
        <f t="shared" si="0"/>
        <v>135000</v>
      </c>
      <c r="G17" s="40">
        <v>10</v>
      </c>
      <c r="H17" s="40"/>
      <c r="I17" s="40"/>
      <c r="J17" s="40">
        <v>40</v>
      </c>
      <c r="K17" s="40">
        <v>160</v>
      </c>
      <c r="L17" s="40"/>
      <c r="M17" s="47">
        <f t="shared" si="1"/>
        <v>13499.5</v>
      </c>
      <c r="N17" s="47">
        <f>M17+F17</f>
        <v>148499.5</v>
      </c>
      <c r="O17">
        <v>3</v>
      </c>
      <c r="P17">
        <v>2</v>
      </c>
      <c r="Q17">
        <v>8</v>
      </c>
      <c r="R17">
        <v>2</v>
      </c>
      <c r="S17">
        <v>2</v>
      </c>
      <c r="T17">
        <v>4</v>
      </c>
      <c r="U17" s="48">
        <f t="shared" si="2"/>
        <v>0.22</v>
      </c>
      <c r="V17" s="47">
        <f t="shared" si="3"/>
        <v>32669.89</v>
      </c>
      <c r="W17" s="47">
        <f t="shared" si="4"/>
        <v>181169.39</v>
      </c>
      <c r="Y17" t="s">
        <v>1753</v>
      </c>
    </row>
    <row r="18" spans="1:25" ht="12.75">
      <c r="A18" s="37" t="s">
        <v>1071</v>
      </c>
      <c r="B18" s="10" t="s">
        <v>842</v>
      </c>
      <c r="C18" s="35"/>
      <c r="D18" s="35"/>
      <c r="E18" s="35"/>
      <c r="F18" s="47"/>
      <c r="G18" s="40"/>
      <c r="H18" s="40"/>
      <c r="I18" s="40"/>
      <c r="J18" s="40"/>
      <c r="K18" s="40">
        <v>80</v>
      </c>
      <c r="L18" s="40"/>
      <c r="M18" s="47">
        <f t="shared" si="1"/>
        <v>5364</v>
      </c>
      <c r="N18" s="47">
        <f>M18+F18</f>
        <v>5364</v>
      </c>
      <c r="O18">
        <v>1</v>
      </c>
      <c r="P18" s="40">
        <v>2</v>
      </c>
      <c r="Q18">
        <v>8</v>
      </c>
      <c r="R18" s="40">
        <v>1</v>
      </c>
      <c r="S18" s="40">
        <v>1</v>
      </c>
      <c r="T18" s="40">
        <v>4</v>
      </c>
      <c r="U18" s="48">
        <f t="shared" si="2"/>
        <v>0.15</v>
      </c>
      <c r="V18" s="47"/>
      <c r="W18" s="47"/>
      <c r="Y18" t="s">
        <v>1754</v>
      </c>
    </row>
    <row r="19" spans="1:25" ht="12.75">
      <c r="A19" s="37" t="s">
        <v>1072</v>
      </c>
      <c r="B19" s="10" t="s">
        <v>843</v>
      </c>
      <c r="C19" s="35">
        <v>5000</v>
      </c>
      <c r="D19" s="35"/>
      <c r="E19" s="35"/>
      <c r="F19" s="47">
        <f>SUM(C19:E19)</f>
        <v>5000</v>
      </c>
      <c r="G19" s="40"/>
      <c r="H19" s="40"/>
      <c r="I19" s="40">
        <v>4</v>
      </c>
      <c r="J19" s="40"/>
      <c r="K19" s="40">
        <v>160</v>
      </c>
      <c r="L19" s="40"/>
      <c r="M19" s="47">
        <f t="shared" si="1"/>
        <v>10953</v>
      </c>
      <c r="N19" s="47">
        <f>M19+F19</f>
        <v>15953</v>
      </c>
      <c r="O19">
        <v>2</v>
      </c>
      <c r="P19" s="40">
        <v>2</v>
      </c>
      <c r="Q19">
        <v>8</v>
      </c>
      <c r="R19" s="40">
        <v>1</v>
      </c>
      <c r="S19" s="40">
        <v>1</v>
      </c>
      <c r="T19" s="40">
        <v>4</v>
      </c>
      <c r="U19" s="48">
        <f t="shared" si="2"/>
        <v>0.17</v>
      </c>
      <c r="V19" s="47">
        <f>+(F19+M19)*U19</f>
        <v>2712.01</v>
      </c>
      <c r="W19" s="47">
        <f>+F19+M19+V19</f>
        <v>18665.010000000002</v>
      </c>
      <c r="Y19" t="s">
        <v>1755</v>
      </c>
    </row>
    <row r="20" spans="1:25" ht="12.75">
      <c r="A20" s="37" t="s">
        <v>1073</v>
      </c>
      <c r="B20" s="10" t="s">
        <v>844</v>
      </c>
      <c r="C20" s="35">
        <v>5000</v>
      </c>
      <c r="D20" s="35"/>
      <c r="E20" s="35"/>
      <c r="F20" s="47">
        <f>SUM(C20:E20)</f>
        <v>5000</v>
      </c>
      <c r="G20" s="40"/>
      <c r="H20" s="40"/>
      <c r="I20" s="40">
        <v>4</v>
      </c>
      <c r="J20" s="40"/>
      <c r="K20" s="40">
        <v>160</v>
      </c>
      <c r="L20" s="40"/>
      <c r="M20" s="47">
        <f t="shared" si="1"/>
        <v>10953</v>
      </c>
      <c r="N20" s="47">
        <f>M20+F20</f>
        <v>15953</v>
      </c>
      <c r="O20">
        <v>2</v>
      </c>
      <c r="P20" s="40">
        <v>2</v>
      </c>
      <c r="Q20">
        <v>8</v>
      </c>
      <c r="R20" s="40">
        <v>1</v>
      </c>
      <c r="S20" s="40">
        <v>1</v>
      </c>
      <c r="T20" s="40">
        <v>4</v>
      </c>
      <c r="U20" s="48">
        <f t="shared" si="2"/>
        <v>0.17</v>
      </c>
      <c r="V20" s="47">
        <f>+(F20+M20)*U20</f>
        <v>2712.01</v>
      </c>
      <c r="W20" s="47">
        <f>+F20+M20+V20</f>
        <v>18665.010000000002</v>
      </c>
      <c r="Y20" t="s">
        <v>1756</v>
      </c>
    </row>
    <row r="21" spans="1:25" ht="12.75">
      <c r="A21" s="37" t="s">
        <v>1074</v>
      </c>
      <c r="B21" s="10" t="s">
        <v>845</v>
      </c>
      <c r="C21" s="35">
        <v>34500</v>
      </c>
      <c r="D21" s="35">
        <v>43400</v>
      </c>
      <c r="E21" s="35"/>
      <c r="F21" s="47">
        <f>SUM(C21:E21)</f>
        <v>77900</v>
      </c>
      <c r="G21" s="40">
        <v>200</v>
      </c>
      <c r="H21" s="40"/>
      <c r="I21" s="40">
        <v>160</v>
      </c>
      <c r="J21" s="40">
        <v>4160</v>
      </c>
      <c r="K21" s="40">
        <v>60</v>
      </c>
      <c r="L21" s="40">
        <v>100</v>
      </c>
      <c r="M21" s="47">
        <f t="shared" si="1"/>
        <v>254953</v>
      </c>
      <c r="N21" s="47">
        <f>M21+F21</f>
        <v>332853</v>
      </c>
      <c r="O21">
        <v>3</v>
      </c>
      <c r="P21" s="40">
        <v>2</v>
      </c>
      <c r="Q21">
        <v>8</v>
      </c>
      <c r="R21" s="40">
        <v>1</v>
      </c>
      <c r="S21" s="40">
        <v>2</v>
      </c>
      <c r="T21" s="40">
        <v>4</v>
      </c>
      <c r="U21" s="48">
        <f t="shared" si="2"/>
        <v>0.2</v>
      </c>
      <c r="V21" s="47">
        <f>+(F21+M21)*U21</f>
        <v>66570.6</v>
      </c>
      <c r="W21" s="47">
        <f>+F21+M21+V21</f>
        <v>399423.6</v>
      </c>
      <c r="Y21" t="s">
        <v>1757</v>
      </c>
    </row>
    <row r="22" spans="1:25" ht="12.75">
      <c r="A22" s="37" t="s">
        <v>1075</v>
      </c>
      <c r="B22" s="10" t="s">
        <v>846</v>
      </c>
      <c r="C22" s="35"/>
      <c r="D22" s="35"/>
      <c r="E22" s="35"/>
      <c r="F22" s="47">
        <f>SUM(C22:E22)</f>
        <v>0</v>
      </c>
      <c r="G22" s="40"/>
      <c r="H22" s="40"/>
      <c r="I22" s="40"/>
      <c r="J22" s="40"/>
      <c r="K22" s="40"/>
      <c r="L22" s="40"/>
      <c r="M22" s="47">
        <f t="shared" si="1"/>
        <v>0</v>
      </c>
      <c r="N22" s="47"/>
      <c r="U22" s="48">
        <f t="shared" si="2"/>
        <v>0</v>
      </c>
      <c r="V22" s="47">
        <f>+(F22+M22)*U22</f>
        <v>0</v>
      </c>
      <c r="W22" s="47">
        <f>+F22+M22+V22</f>
        <v>0</v>
      </c>
      <c r="Y22" t="s">
        <v>881</v>
      </c>
    </row>
    <row r="23" spans="1:25" ht="12.75">
      <c r="A23" s="37" t="s">
        <v>1076</v>
      </c>
      <c r="B23" s="10" t="s">
        <v>847</v>
      </c>
      <c r="C23" s="35">
        <v>2000</v>
      </c>
      <c r="D23" s="35"/>
      <c r="E23" s="35"/>
      <c r="F23" s="47">
        <f>SUM(C23:E23)</f>
        <v>2000</v>
      </c>
      <c r="G23" s="40"/>
      <c r="H23" s="40"/>
      <c r="I23" s="40">
        <v>8</v>
      </c>
      <c r="J23" s="40">
        <v>120</v>
      </c>
      <c r="K23" s="40"/>
      <c r="L23" s="40"/>
      <c r="M23" s="47">
        <f t="shared" si="1"/>
        <v>6750</v>
      </c>
      <c r="N23" s="47">
        <f>M23+F23</f>
        <v>8750</v>
      </c>
      <c r="O23">
        <v>2</v>
      </c>
      <c r="P23" s="40">
        <v>2</v>
      </c>
      <c r="Q23">
        <v>8</v>
      </c>
      <c r="R23" s="40">
        <v>1</v>
      </c>
      <c r="S23" s="40">
        <v>1</v>
      </c>
      <c r="T23" s="40">
        <v>4</v>
      </c>
      <c r="U23" s="48">
        <f t="shared" si="2"/>
        <v>0.17</v>
      </c>
      <c r="V23" s="47">
        <f>+(F23+M23)*U23</f>
        <v>1487.5</v>
      </c>
      <c r="W23" s="47">
        <f>+F23+M23+V23</f>
        <v>10237.5</v>
      </c>
      <c r="Y23" t="s">
        <v>1758</v>
      </c>
    </row>
    <row r="24" spans="1:23" ht="12.75">
      <c r="A24" s="37"/>
      <c r="B24" s="8"/>
      <c r="C24" s="35"/>
      <c r="D24" s="35"/>
      <c r="E24" s="35"/>
      <c r="F24" s="47"/>
      <c r="G24" s="40"/>
      <c r="H24" s="40"/>
      <c r="I24" s="40"/>
      <c r="J24" s="40"/>
      <c r="K24" s="40"/>
      <c r="L24" s="40"/>
      <c r="M24" s="47"/>
      <c r="N24" s="47"/>
      <c r="U24" s="48"/>
      <c r="V24" s="47"/>
      <c r="W24" s="47"/>
    </row>
    <row r="25" spans="1:24" ht="12.75">
      <c r="A25" s="37" t="s">
        <v>1069</v>
      </c>
      <c r="B25" s="8" t="s">
        <v>848</v>
      </c>
      <c r="C25" s="35"/>
      <c r="D25" s="35"/>
      <c r="E25" s="35"/>
      <c r="F25" s="47">
        <f aca="true" t="shared" si="5" ref="F25:F30">SUM(C25:E25)</f>
        <v>0</v>
      </c>
      <c r="G25" s="40"/>
      <c r="H25" s="40"/>
      <c r="I25" s="40"/>
      <c r="J25" s="40"/>
      <c r="K25" s="40"/>
      <c r="L25" s="40"/>
      <c r="M25" s="47">
        <f aca="true" t="shared" si="6" ref="M25:M30">$G$3*G25+$H$3*H25+$I$3*I25+$J$3*J25+$K$3*K25+$L$3*L25</f>
        <v>0</v>
      </c>
      <c r="N25" s="47"/>
      <c r="U25" s="48">
        <f aca="true" t="shared" si="7" ref="U25:U30">((O25*P25)+Q25+(R25*S25)+T25)/100</f>
        <v>0</v>
      </c>
      <c r="V25" s="47">
        <f aca="true" t="shared" si="8" ref="V25:V30">+(F25+M25)*U25</f>
        <v>0</v>
      </c>
      <c r="W25" s="47">
        <f aca="true" t="shared" si="9" ref="W25:W30">+F25+M25+V25</f>
        <v>0</v>
      </c>
      <c r="X25" s="132">
        <f>SUM(W25:W29)</f>
        <v>275688.86000000004</v>
      </c>
    </row>
    <row r="26" spans="1:25" ht="12.75">
      <c r="A26" s="37" t="s">
        <v>1094</v>
      </c>
      <c r="B26" s="10" t="s">
        <v>849</v>
      </c>
      <c r="C26" s="35">
        <v>48500</v>
      </c>
      <c r="D26" s="35"/>
      <c r="E26" s="35"/>
      <c r="F26" s="47">
        <f t="shared" si="5"/>
        <v>48500</v>
      </c>
      <c r="G26" s="40">
        <v>40</v>
      </c>
      <c r="H26" s="40"/>
      <c r="I26" s="40"/>
      <c r="J26" s="40">
        <v>300</v>
      </c>
      <c r="K26" s="40"/>
      <c r="L26" s="40">
        <v>900</v>
      </c>
      <c r="M26" s="47">
        <f t="shared" si="6"/>
        <v>109336</v>
      </c>
      <c r="N26" s="47">
        <f>M26+F26</f>
        <v>157836</v>
      </c>
      <c r="O26">
        <v>2</v>
      </c>
      <c r="P26">
        <v>2</v>
      </c>
      <c r="Q26">
        <v>8</v>
      </c>
      <c r="R26">
        <v>2</v>
      </c>
      <c r="S26">
        <v>2</v>
      </c>
      <c r="T26">
        <v>4</v>
      </c>
      <c r="U26" s="48">
        <f t="shared" si="7"/>
        <v>0.2</v>
      </c>
      <c r="V26" s="47">
        <f t="shared" si="8"/>
        <v>31567.2</v>
      </c>
      <c r="W26" s="47">
        <f t="shared" si="9"/>
        <v>189403.2</v>
      </c>
      <c r="Y26" t="s">
        <v>1759</v>
      </c>
    </row>
    <row r="27" spans="1:25" ht="12.75">
      <c r="A27" s="37" t="s">
        <v>1095</v>
      </c>
      <c r="B27" s="10" t="s">
        <v>850</v>
      </c>
      <c r="C27" s="35">
        <v>5000</v>
      </c>
      <c r="D27" s="35"/>
      <c r="E27" s="35"/>
      <c r="F27" s="47">
        <f t="shared" si="5"/>
        <v>5000</v>
      </c>
      <c r="G27" s="40">
        <v>16</v>
      </c>
      <c r="H27" s="40"/>
      <c r="I27" s="40">
        <v>16</v>
      </c>
      <c r="J27" s="40">
        <v>160</v>
      </c>
      <c r="K27" s="40"/>
      <c r="L27" s="40"/>
      <c r="M27" s="47">
        <f t="shared" si="6"/>
        <v>10374.4</v>
      </c>
      <c r="N27" s="47">
        <f>M27+F27</f>
        <v>15374.4</v>
      </c>
      <c r="O27">
        <v>2</v>
      </c>
      <c r="P27" s="40">
        <v>2</v>
      </c>
      <c r="Q27">
        <v>8</v>
      </c>
      <c r="R27" s="40">
        <v>1</v>
      </c>
      <c r="S27" s="40">
        <v>1</v>
      </c>
      <c r="T27" s="40">
        <v>4</v>
      </c>
      <c r="U27" s="48">
        <f t="shared" si="7"/>
        <v>0.17</v>
      </c>
      <c r="V27" s="47">
        <f t="shared" si="8"/>
        <v>2613.648</v>
      </c>
      <c r="W27" s="47">
        <f t="shared" si="9"/>
        <v>17988.048</v>
      </c>
      <c r="Y27" t="s">
        <v>1760</v>
      </c>
    </row>
    <row r="28" spans="1:25" ht="12.75">
      <c r="A28" s="37" t="s">
        <v>1096</v>
      </c>
      <c r="B28" s="10" t="s">
        <v>851</v>
      </c>
      <c r="C28" s="35">
        <v>4000</v>
      </c>
      <c r="D28" s="35"/>
      <c r="E28" s="35"/>
      <c r="F28" s="47">
        <f t="shared" si="5"/>
        <v>4000</v>
      </c>
      <c r="G28" s="40">
        <v>16</v>
      </c>
      <c r="H28" s="40"/>
      <c r="I28" s="40"/>
      <c r="J28" s="40">
        <v>320</v>
      </c>
      <c r="K28" s="40"/>
      <c r="L28" s="40">
        <v>10</v>
      </c>
      <c r="M28" s="47">
        <f t="shared" si="6"/>
        <v>18884.4</v>
      </c>
      <c r="N28" s="47">
        <f>M28+F28</f>
        <v>22884.4</v>
      </c>
      <c r="O28">
        <v>2</v>
      </c>
      <c r="P28" s="40">
        <v>2</v>
      </c>
      <c r="Q28">
        <v>8</v>
      </c>
      <c r="R28" s="40">
        <v>1</v>
      </c>
      <c r="S28" s="40">
        <v>1</v>
      </c>
      <c r="T28" s="40">
        <v>8</v>
      </c>
      <c r="U28" s="48">
        <f t="shared" si="7"/>
        <v>0.21</v>
      </c>
      <c r="V28" s="47">
        <f t="shared" si="8"/>
        <v>4805.724</v>
      </c>
      <c r="W28" s="47">
        <f t="shared" si="9"/>
        <v>27690.124000000003</v>
      </c>
      <c r="Y28" t="s">
        <v>1761</v>
      </c>
    </row>
    <row r="29" spans="1:25" ht="12.75">
      <c r="A29" s="37" t="s">
        <v>1097</v>
      </c>
      <c r="B29" s="10" t="s">
        <v>882</v>
      </c>
      <c r="C29" s="35"/>
      <c r="D29" s="35">
        <v>30000</v>
      </c>
      <c r="E29" s="35"/>
      <c r="F29" s="47">
        <f t="shared" si="5"/>
        <v>30000</v>
      </c>
      <c r="G29" s="40">
        <v>16</v>
      </c>
      <c r="H29" s="40"/>
      <c r="I29" s="40">
        <v>16</v>
      </c>
      <c r="J29" s="40"/>
      <c r="K29" s="40"/>
      <c r="L29" s="40"/>
      <c r="M29" s="47">
        <f t="shared" si="6"/>
        <v>1974.4</v>
      </c>
      <c r="N29" s="47">
        <f>M29+F29</f>
        <v>31974.4</v>
      </c>
      <c r="O29">
        <v>2</v>
      </c>
      <c r="P29" s="40">
        <v>2</v>
      </c>
      <c r="Q29">
        <v>15</v>
      </c>
      <c r="R29" s="40">
        <v>2</v>
      </c>
      <c r="S29" s="40">
        <v>2</v>
      </c>
      <c r="T29" s="40">
        <v>4</v>
      </c>
      <c r="U29" s="48">
        <f t="shared" si="7"/>
        <v>0.27</v>
      </c>
      <c r="V29" s="47">
        <f t="shared" si="8"/>
        <v>8633.088000000002</v>
      </c>
      <c r="W29" s="47">
        <f t="shared" si="9"/>
        <v>40607.488000000005</v>
      </c>
      <c r="Y29" t="s">
        <v>1762</v>
      </c>
    </row>
    <row r="30" spans="1:23" ht="12.75">
      <c r="A30" s="37"/>
      <c r="B30" s="8"/>
      <c r="C30" s="35"/>
      <c r="D30" s="35"/>
      <c r="E30" s="35"/>
      <c r="F30" s="47">
        <f t="shared" si="5"/>
        <v>0</v>
      </c>
      <c r="G30" s="40"/>
      <c r="H30" s="40"/>
      <c r="I30" s="40"/>
      <c r="J30" s="40"/>
      <c r="K30" s="40"/>
      <c r="L30" s="40"/>
      <c r="M30" s="47">
        <f t="shared" si="6"/>
        <v>0</v>
      </c>
      <c r="N30" s="47"/>
      <c r="U30" s="48">
        <f t="shared" si="7"/>
        <v>0</v>
      </c>
      <c r="V30" s="47">
        <f t="shared" si="8"/>
        <v>0</v>
      </c>
      <c r="W30" s="47">
        <f t="shared" si="9"/>
        <v>0</v>
      </c>
    </row>
    <row r="31" spans="1:24" ht="13.5" thickBot="1">
      <c r="A31" s="37" t="s">
        <v>1077</v>
      </c>
      <c r="B31" s="8" t="s">
        <v>852</v>
      </c>
      <c r="C31" s="35"/>
      <c r="D31" s="35"/>
      <c r="E31" s="35"/>
      <c r="F31" s="47"/>
      <c r="G31" s="40"/>
      <c r="H31" s="40"/>
      <c r="I31" s="40"/>
      <c r="J31" s="40"/>
      <c r="K31" s="40"/>
      <c r="L31" s="40"/>
      <c r="M31" s="47"/>
      <c r="N31" s="47"/>
      <c r="U31" s="48"/>
      <c r="V31" s="47"/>
      <c r="W31" s="47"/>
      <c r="X31" s="132">
        <f>SUM(W31:W41)</f>
        <v>715445.4839999999</v>
      </c>
    </row>
    <row r="32" spans="1:35" ht="15.75">
      <c r="A32" s="37" t="s">
        <v>1098</v>
      </c>
      <c r="B32" s="10" t="s">
        <v>853</v>
      </c>
      <c r="C32" s="35"/>
      <c r="D32" s="35"/>
      <c r="E32" s="35"/>
      <c r="F32" s="47">
        <f aca="true" t="shared" si="10" ref="F32:F47">SUM(C32:E32)</f>
        <v>0</v>
      </c>
      <c r="G32" s="40"/>
      <c r="H32" s="40"/>
      <c r="I32" s="40"/>
      <c r="J32" s="40">
        <v>460</v>
      </c>
      <c r="K32" s="40">
        <v>256</v>
      </c>
      <c r="L32" s="40"/>
      <c r="M32" s="47">
        <f aca="true" t="shared" si="11" ref="M32:M58">$G$3*G32+$H$3*H32+$I$3*I32+$J$3*J32+$K$3*K32+$L$3*L32</f>
        <v>41314.8</v>
      </c>
      <c r="N32" s="47">
        <f aca="true" t="shared" si="12" ref="N32:N41">M32+F32</f>
        <v>41314.8</v>
      </c>
      <c r="O32">
        <v>1</v>
      </c>
      <c r="P32">
        <v>2</v>
      </c>
      <c r="Q32">
        <v>8</v>
      </c>
      <c r="R32">
        <v>4</v>
      </c>
      <c r="S32">
        <v>1</v>
      </c>
      <c r="T32">
        <v>4</v>
      </c>
      <c r="U32" s="48">
        <f aca="true" t="shared" si="13" ref="U32:U58">((O32*P32)+Q32+(R32*S32)+T32)/100</f>
        <v>0.18</v>
      </c>
      <c r="V32" s="47">
        <f aca="true" t="shared" si="14" ref="V32:V38">+(F32+M32)*U32</f>
        <v>7436.664000000001</v>
      </c>
      <c r="W32" s="47">
        <f aca="true" t="shared" si="15" ref="W32:W58">+F32+M32+V32</f>
        <v>48751.46400000001</v>
      </c>
      <c r="Y32" t="s">
        <v>1763</v>
      </c>
      <c r="AE32" s="318" t="s">
        <v>834</v>
      </c>
      <c r="AF32" s="322"/>
      <c r="AG32" s="322"/>
      <c r="AH32" s="322"/>
      <c r="AI32" s="320" t="s">
        <v>996</v>
      </c>
    </row>
    <row r="33" spans="1:35" ht="15">
      <c r="A33" s="37" t="s">
        <v>1099</v>
      </c>
      <c r="B33" s="10" t="s">
        <v>854</v>
      </c>
      <c r="C33" s="35"/>
      <c r="D33" s="35"/>
      <c r="E33" s="35"/>
      <c r="F33" s="47">
        <f t="shared" si="10"/>
        <v>0</v>
      </c>
      <c r="G33" s="40"/>
      <c r="H33" s="40"/>
      <c r="I33" s="40"/>
      <c r="J33" s="40">
        <v>1200</v>
      </c>
      <c r="K33" s="40">
        <v>840</v>
      </c>
      <c r="L33" s="40"/>
      <c r="M33" s="47">
        <f t="shared" si="11"/>
        <v>119322</v>
      </c>
      <c r="N33" s="47">
        <f t="shared" si="12"/>
        <v>119322</v>
      </c>
      <c r="O33">
        <v>1</v>
      </c>
      <c r="P33">
        <v>2</v>
      </c>
      <c r="Q33">
        <v>8</v>
      </c>
      <c r="R33">
        <v>4</v>
      </c>
      <c r="S33">
        <v>1</v>
      </c>
      <c r="T33">
        <v>4</v>
      </c>
      <c r="U33" s="48">
        <f t="shared" si="13"/>
        <v>0.18</v>
      </c>
      <c r="V33" s="47">
        <f t="shared" si="14"/>
        <v>21477.96</v>
      </c>
      <c r="W33" s="47">
        <f t="shared" si="15"/>
        <v>140799.96</v>
      </c>
      <c r="Y33" t="s">
        <v>1764</v>
      </c>
      <c r="AE33" s="310"/>
      <c r="AF33" s="307"/>
      <c r="AG33" s="307"/>
      <c r="AH33" s="307"/>
      <c r="AI33" s="321"/>
    </row>
    <row r="34" spans="1:35" ht="15.75">
      <c r="A34" s="37" t="s">
        <v>1100</v>
      </c>
      <c r="B34" s="10" t="s">
        <v>855</v>
      </c>
      <c r="C34" s="35"/>
      <c r="D34" s="35"/>
      <c r="E34" s="35"/>
      <c r="F34" s="47">
        <f t="shared" si="10"/>
        <v>0</v>
      </c>
      <c r="G34" s="40"/>
      <c r="H34" s="40"/>
      <c r="I34" s="40"/>
      <c r="J34" s="40">
        <v>720</v>
      </c>
      <c r="K34" s="40">
        <v>620</v>
      </c>
      <c r="L34" s="40"/>
      <c r="M34" s="47">
        <f t="shared" si="11"/>
        <v>79371</v>
      </c>
      <c r="N34" s="47">
        <f t="shared" si="12"/>
        <v>79371</v>
      </c>
      <c r="O34">
        <v>1</v>
      </c>
      <c r="P34">
        <v>2</v>
      </c>
      <c r="Q34">
        <v>8</v>
      </c>
      <c r="R34">
        <v>4</v>
      </c>
      <c r="S34">
        <v>1</v>
      </c>
      <c r="T34">
        <v>4</v>
      </c>
      <c r="U34" s="48">
        <f t="shared" si="13"/>
        <v>0.18</v>
      </c>
      <c r="V34" s="47">
        <f t="shared" si="14"/>
        <v>14286.779999999999</v>
      </c>
      <c r="W34" s="47">
        <f t="shared" si="15"/>
        <v>93657.78</v>
      </c>
      <c r="Y34" t="s">
        <v>1765</v>
      </c>
      <c r="AE34" s="309" t="s">
        <v>840</v>
      </c>
      <c r="AF34" s="307"/>
      <c r="AG34" s="307"/>
      <c r="AH34" s="307"/>
      <c r="AI34" s="308">
        <f>X16-SUM(V17:V23)</f>
        <v>522008.5</v>
      </c>
    </row>
    <row r="35" spans="1:35" ht="15.75">
      <c r="A35" s="37" t="s">
        <v>1101</v>
      </c>
      <c r="B35" s="10" t="s">
        <v>856</v>
      </c>
      <c r="C35" s="35"/>
      <c r="D35" s="35">
        <v>40000</v>
      </c>
      <c r="E35" s="35"/>
      <c r="F35" s="47">
        <f t="shared" si="10"/>
        <v>40000</v>
      </c>
      <c r="G35" s="40"/>
      <c r="H35" s="40"/>
      <c r="I35" s="40"/>
      <c r="J35" s="40">
        <v>200</v>
      </c>
      <c r="K35" s="40">
        <v>60</v>
      </c>
      <c r="L35" s="40"/>
      <c r="M35" s="47">
        <f t="shared" si="11"/>
        <v>14523</v>
      </c>
      <c r="N35" s="47">
        <f t="shared" si="12"/>
        <v>54523</v>
      </c>
      <c r="O35">
        <v>1</v>
      </c>
      <c r="P35">
        <v>2</v>
      </c>
      <c r="Q35">
        <v>8</v>
      </c>
      <c r="R35">
        <v>4</v>
      </c>
      <c r="S35">
        <v>2</v>
      </c>
      <c r="T35">
        <v>2</v>
      </c>
      <c r="U35" s="48">
        <f t="shared" si="13"/>
        <v>0.2</v>
      </c>
      <c r="V35" s="47">
        <f t="shared" si="14"/>
        <v>10904.6</v>
      </c>
      <c r="W35" s="47">
        <f t="shared" si="15"/>
        <v>65427.6</v>
      </c>
      <c r="Y35" t="s">
        <v>1766</v>
      </c>
      <c r="AE35" s="309" t="s">
        <v>769</v>
      </c>
      <c r="AF35" s="307"/>
      <c r="AG35" s="307"/>
      <c r="AH35" s="307"/>
      <c r="AI35" s="308">
        <f>X54-SUM(V55:V107)</f>
        <v>799173.0000000001</v>
      </c>
    </row>
    <row r="36" spans="1:35" ht="15.75">
      <c r="A36" s="37" t="s">
        <v>1102</v>
      </c>
      <c r="B36" s="10" t="s">
        <v>857</v>
      </c>
      <c r="C36" s="35">
        <v>4000</v>
      </c>
      <c r="D36" s="35"/>
      <c r="E36" s="35"/>
      <c r="F36" s="47">
        <f t="shared" si="10"/>
        <v>4000</v>
      </c>
      <c r="G36" s="40"/>
      <c r="H36" s="40"/>
      <c r="I36" s="40"/>
      <c r="J36" s="40">
        <v>400</v>
      </c>
      <c r="K36" s="40">
        <v>112</v>
      </c>
      <c r="L36" s="40"/>
      <c r="M36" s="47">
        <f t="shared" si="11"/>
        <v>28509.6</v>
      </c>
      <c r="N36" s="47">
        <f t="shared" si="12"/>
        <v>32509.6</v>
      </c>
      <c r="O36">
        <v>2</v>
      </c>
      <c r="P36">
        <v>2</v>
      </c>
      <c r="Q36">
        <v>8</v>
      </c>
      <c r="R36">
        <v>4</v>
      </c>
      <c r="S36">
        <v>1</v>
      </c>
      <c r="T36">
        <v>4</v>
      </c>
      <c r="U36" s="48">
        <f t="shared" si="13"/>
        <v>0.2</v>
      </c>
      <c r="V36" s="47">
        <f t="shared" si="14"/>
        <v>6501.92</v>
      </c>
      <c r="W36" s="47">
        <f t="shared" si="15"/>
        <v>39011.52</v>
      </c>
      <c r="Y36" t="s">
        <v>1767</v>
      </c>
      <c r="AE36" s="309" t="s">
        <v>852</v>
      </c>
      <c r="AF36" s="307"/>
      <c r="AG36" s="307"/>
      <c r="AH36" s="307"/>
      <c r="AI36" s="308">
        <f>X31-SUM(V32:V41)</f>
        <v>604028.2</v>
      </c>
    </row>
    <row r="37" spans="1:35" ht="15.75">
      <c r="A37" s="37" t="s">
        <v>1103</v>
      </c>
      <c r="B37" s="10" t="s">
        <v>858</v>
      </c>
      <c r="C37" s="35">
        <v>20000</v>
      </c>
      <c r="D37" s="35"/>
      <c r="E37" s="35"/>
      <c r="F37" s="47">
        <f t="shared" si="10"/>
        <v>20000</v>
      </c>
      <c r="G37" s="40"/>
      <c r="H37" s="40"/>
      <c r="I37" s="40"/>
      <c r="J37" s="40">
        <v>1360</v>
      </c>
      <c r="K37" s="40">
        <v>560</v>
      </c>
      <c r="L37" s="40"/>
      <c r="M37" s="47">
        <f t="shared" si="11"/>
        <v>108948</v>
      </c>
      <c r="N37" s="47">
        <f t="shared" si="12"/>
        <v>128948</v>
      </c>
      <c r="O37">
        <v>2</v>
      </c>
      <c r="P37">
        <v>2</v>
      </c>
      <c r="Q37">
        <v>8</v>
      </c>
      <c r="R37">
        <v>4</v>
      </c>
      <c r="S37">
        <v>1</v>
      </c>
      <c r="T37">
        <v>4</v>
      </c>
      <c r="U37" s="48">
        <f t="shared" si="13"/>
        <v>0.2</v>
      </c>
      <c r="V37" s="47">
        <f t="shared" si="14"/>
        <v>25789.600000000002</v>
      </c>
      <c r="W37" s="47">
        <f t="shared" si="15"/>
        <v>154737.6</v>
      </c>
      <c r="Y37" t="s">
        <v>375</v>
      </c>
      <c r="AE37" s="309" t="s">
        <v>635</v>
      </c>
      <c r="AF37" s="307"/>
      <c r="AG37" s="307"/>
      <c r="AH37" s="307"/>
      <c r="AI37" s="308">
        <f>X43-SUM(V44:V47)</f>
        <v>352072</v>
      </c>
    </row>
    <row r="38" spans="1:35" ht="15.75">
      <c r="A38" s="37" t="s">
        <v>1104</v>
      </c>
      <c r="B38" s="10" t="s">
        <v>859</v>
      </c>
      <c r="C38" s="35">
        <v>12000</v>
      </c>
      <c r="D38" s="35"/>
      <c r="E38" s="35"/>
      <c r="F38" s="47">
        <f t="shared" si="10"/>
        <v>12000</v>
      </c>
      <c r="G38" s="40"/>
      <c r="H38" s="40"/>
      <c r="I38" s="40"/>
      <c r="J38" s="40">
        <v>816</v>
      </c>
      <c r="K38" s="40">
        <v>336</v>
      </c>
      <c r="L38" s="40"/>
      <c r="M38" s="47">
        <f t="shared" si="11"/>
        <v>65368.8</v>
      </c>
      <c r="N38" s="47">
        <f t="shared" si="12"/>
        <v>77368.8</v>
      </c>
      <c r="O38">
        <v>2</v>
      </c>
      <c r="P38">
        <v>2</v>
      </c>
      <c r="Q38">
        <v>8</v>
      </c>
      <c r="R38">
        <v>4</v>
      </c>
      <c r="S38">
        <v>1</v>
      </c>
      <c r="T38">
        <v>4</v>
      </c>
      <c r="U38" s="48">
        <f t="shared" si="13"/>
        <v>0.2</v>
      </c>
      <c r="V38" s="47">
        <f t="shared" si="14"/>
        <v>15473.760000000002</v>
      </c>
      <c r="W38" s="47">
        <f t="shared" si="15"/>
        <v>92842.56</v>
      </c>
      <c r="Y38" t="s">
        <v>376</v>
      </c>
      <c r="AE38" s="309" t="s">
        <v>848</v>
      </c>
      <c r="AF38" s="307"/>
      <c r="AG38" s="307"/>
      <c r="AH38" s="307"/>
      <c r="AI38" s="308">
        <f>X25-SUM(V26:V29)</f>
        <v>228069.20000000004</v>
      </c>
    </row>
    <row r="39" spans="1:35" ht="15.75">
      <c r="A39" s="37" t="s">
        <v>1105</v>
      </c>
      <c r="B39" s="10" t="s">
        <v>860</v>
      </c>
      <c r="C39" s="35">
        <v>5000</v>
      </c>
      <c r="D39" s="35"/>
      <c r="E39" s="35"/>
      <c r="F39" s="47">
        <f t="shared" si="10"/>
        <v>5000</v>
      </c>
      <c r="G39" s="40"/>
      <c r="H39" s="40"/>
      <c r="I39" s="40"/>
      <c r="J39" s="40">
        <v>340</v>
      </c>
      <c r="K39" s="40">
        <v>40</v>
      </c>
      <c r="L39" s="40"/>
      <c r="M39" s="47">
        <f t="shared" si="11"/>
        <v>20532</v>
      </c>
      <c r="N39" s="47">
        <f t="shared" si="12"/>
        <v>25532</v>
      </c>
      <c r="O39">
        <v>2</v>
      </c>
      <c r="P39">
        <v>2</v>
      </c>
      <c r="Q39">
        <v>8</v>
      </c>
      <c r="R39">
        <v>4</v>
      </c>
      <c r="S39">
        <v>1</v>
      </c>
      <c r="T39">
        <v>4</v>
      </c>
      <c r="U39" s="48">
        <f t="shared" si="13"/>
        <v>0.2</v>
      </c>
      <c r="V39" s="47"/>
      <c r="W39" s="47">
        <f t="shared" si="15"/>
        <v>25532</v>
      </c>
      <c r="Y39" t="s">
        <v>377</v>
      </c>
      <c r="AE39" s="309" t="s">
        <v>547</v>
      </c>
      <c r="AF39" s="307"/>
      <c r="AG39" s="307"/>
      <c r="AH39" s="307"/>
      <c r="AI39" s="308">
        <f>X109-SUM(V110:V152)</f>
        <v>210729.59999999995</v>
      </c>
    </row>
    <row r="40" spans="1:35" ht="15.75">
      <c r="A40" s="37" t="s">
        <v>1106</v>
      </c>
      <c r="B40" s="10" t="s">
        <v>861</v>
      </c>
      <c r="C40" s="35">
        <v>1000</v>
      </c>
      <c r="D40" s="35"/>
      <c r="E40" s="35"/>
      <c r="F40" s="47">
        <f t="shared" si="10"/>
        <v>1000</v>
      </c>
      <c r="G40" s="40"/>
      <c r="H40" s="40"/>
      <c r="I40" s="40"/>
      <c r="J40" s="40">
        <v>100</v>
      </c>
      <c r="K40" s="40">
        <v>100</v>
      </c>
      <c r="L40" s="40"/>
      <c r="M40" s="47">
        <f t="shared" si="11"/>
        <v>11955</v>
      </c>
      <c r="N40" s="47">
        <f t="shared" si="12"/>
        <v>12955</v>
      </c>
      <c r="O40">
        <v>2</v>
      </c>
      <c r="P40">
        <v>2</v>
      </c>
      <c r="Q40">
        <v>8</v>
      </c>
      <c r="R40">
        <v>4</v>
      </c>
      <c r="S40">
        <v>2</v>
      </c>
      <c r="T40">
        <v>4</v>
      </c>
      <c r="U40" s="48">
        <f t="shared" si="13"/>
        <v>0.24</v>
      </c>
      <c r="V40" s="47">
        <f aca="true" t="shared" si="16" ref="V40:V66">+(F40+M40)*U40</f>
        <v>3109.2</v>
      </c>
      <c r="W40" s="47">
        <f t="shared" si="15"/>
        <v>16064.2</v>
      </c>
      <c r="Y40" t="s">
        <v>378</v>
      </c>
      <c r="AE40" s="309" t="s">
        <v>1458</v>
      </c>
      <c r="AF40" s="307"/>
      <c r="AG40" s="307"/>
      <c r="AH40" s="307"/>
      <c r="AI40" s="308">
        <f>X154-SUM(V155:V158)</f>
        <v>190335.30000000002</v>
      </c>
    </row>
    <row r="41" spans="1:35" ht="15.75">
      <c r="A41" s="37" t="s">
        <v>1107</v>
      </c>
      <c r="B41" s="10" t="s">
        <v>862</v>
      </c>
      <c r="C41" s="35"/>
      <c r="D41" s="35"/>
      <c r="E41" s="35"/>
      <c r="F41" s="47">
        <f t="shared" si="10"/>
        <v>0</v>
      </c>
      <c r="G41" s="40"/>
      <c r="H41" s="40"/>
      <c r="I41" s="40"/>
      <c r="J41" s="40"/>
      <c r="K41" s="40">
        <v>480</v>
      </c>
      <c r="L41" s="40"/>
      <c r="M41" s="47">
        <f t="shared" si="11"/>
        <v>32184</v>
      </c>
      <c r="N41" s="47">
        <f t="shared" si="12"/>
        <v>32184</v>
      </c>
      <c r="O41">
        <v>2</v>
      </c>
      <c r="P41">
        <v>2</v>
      </c>
      <c r="Q41">
        <v>8</v>
      </c>
      <c r="R41">
        <v>4</v>
      </c>
      <c r="S41">
        <v>1</v>
      </c>
      <c r="T41">
        <v>4</v>
      </c>
      <c r="U41" s="48">
        <f t="shared" si="13"/>
        <v>0.2</v>
      </c>
      <c r="V41" s="47">
        <f t="shared" si="16"/>
        <v>6436.8</v>
      </c>
      <c r="W41" s="47">
        <f t="shared" si="15"/>
        <v>38620.8</v>
      </c>
      <c r="Y41" t="s">
        <v>506</v>
      </c>
      <c r="AE41" s="309" t="s">
        <v>1187</v>
      </c>
      <c r="AF41" s="307"/>
      <c r="AG41" s="307"/>
      <c r="AH41" s="307"/>
      <c r="AI41" s="308">
        <f>X9-V9-V10</f>
        <v>178590</v>
      </c>
    </row>
    <row r="42" spans="1:35" ht="15.75">
      <c r="A42" s="37"/>
      <c r="B42" s="8"/>
      <c r="C42" s="35"/>
      <c r="D42" s="35"/>
      <c r="E42" s="35"/>
      <c r="F42" s="47">
        <f t="shared" si="10"/>
        <v>0</v>
      </c>
      <c r="G42" s="40"/>
      <c r="H42" s="40"/>
      <c r="I42" s="40"/>
      <c r="J42" s="40"/>
      <c r="K42" s="40"/>
      <c r="L42" s="40"/>
      <c r="M42" s="47">
        <f t="shared" si="11"/>
        <v>0</v>
      </c>
      <c r="N42" s="47"/>
      <c r="U42" s="48">
        <f t="shared" si="13"/>
        <v>0</v>
      </c>
      <c r="V42" s="47">
        <f t="shared" si="16"/>
        <v>0</v>
      </c>
      <c r="W42" s="47">
        <f t="shared" si="15"/>
        <v>0</v>
      </c>
      <c r="AE42" s="309" t="s">
        <v>867</v>
      </c>
      <c r="AF42" s="307"/>
      <c r="AG42" s="307"/>
      <c r="AH42" s="307"/>
      <c r="AI42" s="308">
        <f>X49-SUM(V50:V52)</f>
        <v>76450.5</v>
      </c>
    </row>
    <row r="43" spans="1:35" ht="15.75">
      <c r="A43" s="37" t="s">
        <v>1078</v>
      </c>
      <c r="B43" s="8" t="s">
        <v>635</v>
      </c>
      <c r="C43" s="35"/>
      <c r="D43" s="35"/>
      <c r="E43" s="35"/>
      <c r="F43" s="47">
        <f t="shared" si="10"/>
        <v>0</v>
      </c>
      <c r="G43" s="40"/>
      <c r="H43" s="40"/>
      <c r="I43" s="40"/>
      <c r="J43" s="40"/>
      <c r="K43" s="40"/>
      <c r="L43" s="40"/>
      <c r="M43" s="47">
        <f t="shared" si="11"/>
        <v>0</v>
      </c>
      <c r="N43" s="47"/>
      <c r="U43" s="48">
        <f t="shared" si="13"/>
        <v>0</v>
      </c>
      <c r="V43" s="47">
        <f t="shared" si="16"/>
        <v>0</v>
      </c>
      <c r="W43" s="47">
        <f t="shared" si="15"/>
        <v>0</v>
      </c>
      <c r="X43" s="132">
        <f>SUM(W43:W47)</f>
        <v>436569.28</v>
      </c>
      <c r="AE43" s="309" t="s">
        <v>837</v>
      </c>
      <c r="AF43" s="307"/>
      <c r="AG43" s="307"/>
      <c r="AH43" s="307"/>
      <c r="AI43" s="308">
        <f>X12-SUM(V13:V14)</f>
        <v>44543</v>
      </c>
    </row>
    <row r="44" spans="1:35" ht="15.75">
      <c r="A44" s="37" t="s">
        <v>1111</v>
      </c>
      <c r="B44" s="10" t="s">
        <v>863</v>
      </c>
      <c r="C44">
        <v>8500</v>
      </c>
      <c r="D44">
        <v>25000</v>
      </c>
      <c r="F44" s="47">
        <f t="shared" si="10"/>
        <v>33500</v>
      </c>
      <c r="G44">
        <v>40</v>
      </c>
      <c r="I44">
        <v>40</v>
      </c>
      <c r="J44">
        <v>100</v>
      </c>
      <c r="K44" s="40"/>
      <c r="L44">
        <v>140</v>
      </c>
      <c r="M44" s="47">
        <f t="shared" si="11"/>
        <v>24326</v>
      </c>
      <c r="N44" s="47">
        <f aca="true" t="shared" si="17" ref="N44:N52">M44+F44</f>
        <v>57826</v>
      </c>
      <c r="O44">
        <v>2</v>
      </c>
      <c r="P44">
        <v>2</v>
      </c>
      <c r="Q44">
        <v>8</v>
      </c>
      <c r="R44">
        <v>4</v>
      </c>
      <c r="S44">
        <v>2</v>
      </c>
      <c r="T44">
        <v>4</v>
      </c>
      <c r="U44" s="48">
        <f t="shared" si="13"/>
        <v>0.24</v>
      </c>
      <c r="V44" s="47">
        <f t="shared" si="16"/>
        <v>13878.24</v>
      </c>
      <c r="W44" s="47">
        <f t="shared" si="15"/>
        <v>71704.24</v>
      </c>
      <c r="Y44" t="s">
        <v>507</v>
      </c>
      <c r="AE44" s="309" t="s">
        <v>870</v>
      </c>
      <c r="AF44" s="307"/>
      <c r="AG44" s="307"/>
      <c r="AH44" s="307"/>
      <c r="AI44" s="308">
        <f>X160-SUM(V161:V163)</f>
        <v>38073.49999999999</v>
      </c>
    </row>
    <row r="45" spans="1:35" ht="16.5" thickBot="1">
      <c r="A45" s="37" t="s">
        <v>1112</v>
      </c>
      <c r="B45" s="10" t="s">
        <v>864</v>
      </c>
      <c r="C45">
        <v>14000</v>
      </c>
      <c r="D45">
        <v>50000</v>
      </c>
      <c r="F45" s="47">
        <f t="shared" si="10"/>
        <v>64000</v>
      </c>
      <c r="G45">
        <v>80</v>
      </c>
      <c r="I45">
        <v>120</v>
      </c>
      <c r="J45">
        <v>160</v>
      </c>
      <c r="L45">
        <v>440</v>
      </c>
      <c r="M45" s="47">
        <f t="shared" si="11"/>
        <v>64962</v>
      </c>
      <c r="N45" s="47">
        <f t="shared" si="17"/>
        <v>128962</v>
      </c>
      <c r="O45">
        <v>2</v>
      </c>
      <c r="P45">
        <v>2</v>
      </c>
      <c r="Q45">
        <v>8</v>
      </c>
      <c r="R45">
        <v>4</v>
      </c>
      <c r="S45">
        <v>2</v>
      </c>
      <c r="T45">
        <v>4</v>
      </c>
      <c r="U45" s="48">
        <f t="shared" si="13"/>
        <v>0.24</v>
      </c>
      <c r="V45" s="47">
        <f t="shared" si="16"/>
        <v>30950.879999999997</v>
      </c>
      <c r="W45" s="47">
        <f t="shared" si="15"/>
        <v>159912.88</v>
      </c>
      <c r="Y45" t="s">
        <v>508</v>
      </c>
      <c r="AE45" s="312"/>
      <c r="AF45" s="307"/>
      <c r="AG45" s="307"/>
      <c r="AH45" s="307"/>
      <c r="AI45" s="321"/>
    </row>
    <row r="46" spans="1:35" ht="16.5" thickBot="1">
      <c r="A46" s="37" t="s">
        <v>1113</v>
      </c>
      <c r="B46" s="10" t="s">
        <v>865</v>
      </c>
      <c r="C46">
        <v>20000</v>
      </c>
      <c r="D46">
        <v>50000</v>
      </c>
      <c r="F46" s="47">
        <f t="shared" si="10"/>
        <v>70000</v>
      </c>
      <c r="G46">
        <v>80</v>
      </c>
      <c r="I46">
        <v>120</v>
      </c>
      <c r="J46">
        <v>240</v>
      </c>
      <c r="L46">
        <v>540</v>
      </c>
      <c r="M46" s="47">
        <f t="shared" si="11"/>
        <v>79262</v>
      </c>
      <c r="N46" s="47">
        <f t="shared" si="17"/>
        <v>149262</v>
      </c>
      <c r="O46">
        <v>2</v>
      </c>
      <c r="P46">
        <v>2</v>
      </c>
      <c r="Q46">
        <v>8</v>
      </c>
      <c r="R46">
        <v>4</v>
      </c>
      <c r="S46">
        <v>2</v>
      </c>
      <c r="T46">
        <v>4</v>
      </c>
      <c r="U46" s="48">
        <f t="shared" si="13"/>
        <v>0.24</v>
      </c>
      <c r="V46" s="47">
        <f t="shared" si="16"/>
        <v>35822.88</v>
      </c>
      <c r="W46" s="47">
        <f t="shared" si="15"/>
        <v>185084.88</v>
      </c>
      <c r="Y46" t="s">
        <v>509</v>
      </c>
      <c r="AE46" s="315" t="s">
        <v>887</v>
      </c>
      <c r="AF46" s="323"/>
      <c r="AG46" s="323"/>
      <c r="AH46" s="323"/>
      <c r="AI46" s="317">
        <f>SUM(AI34:AI45)</f>
        <v>3244072.8000000003</v>
      </c>
    </row>
    <row r="47" spans="1:35" ht="12.75">
      <c r="A47" s="37" t="s">
        <v>1114</v>
      </c>
      <c r="B47" s="10" t="s">
        <v>866</v>
      </c>
      <c r="F47" s="47">
        <f t="shared" si="10"/>
        <v>0</v>
      </c>
      <c r="G47">
        <v>80</v>
      </c>
      <c r="I47">
        <v>40</v>
      </c>
      <c r="J47">
        <v>160</v>
      </c>
      <c r="M47" s="47">
        <f t="shared" si="11"/>
        <v>16022</v>
      </c>
      <c r="N47" s="47">
        <f t="shared" si="17"/>
        <v>16022</v>
      </c>
      <c r="O47">
        <v>2</v>
      </c>
      <c r="P47">
        <v>2</v>
      </c>
      <c r="Q47">
        <v>8</v>
      </c>
      <c r="R47">
        <v>4</v>
      </c>
      <c r="S47">
        <v>2</v>
      </c>
      <c r="T47">
        <v>4</v>
      </c>
      <c r="U47" s="48">
        <f t="shared" si="13"/>
        <v>0.24</v>
      </c>
      <c r="V47" s="47">
        <f t="shared" si="16"/>
        <v>3845.2799999999997</v>
      </c>
      <c r="W47" s="47">
        <f t="shared" si="15"/>
        <v>19867.28</v>
      </c>
      <c r="Y47" t="s">
        <v>510</v>
      </c>
      <c r="AI47" s="35"/>
    </row>
    <row r="48" spans="2:23" ht="12.75">
      <c r="B48" s="8"/>
      <c r="F48" s="47"/>
      <c r="M48" s="47">
        <f t="shared" si="11"/>
        <v>0</v>
      </c>
      <c r="N48" s="47">
        <f t="shared" si="17"/>
        <v>0</v>
      </c>
      <c r="U48" s="48">
        <f t="shared" si="13"/>
        <v>0</v>
      </c>
      <c r="V48" s="47">
        <f t="shared" si="16"/>
        <v>0</v>
      </c>
      <c r="W48" s="47">
        <f t="shared" si="15"/>
        <v>0</v>
      </c>
    </row>
    <row r="49" spans="1:24" ht="12.75">
      <c r="A49" s="37" t="s">
        <v>1079</v>
      </c>
      <c r="B49" s="8" t="s">
        <v>867</v>
      </c>
      <c r="F49" s="47">
        <f aca="true" t="shared" si="18" ref="F49:F93">SUM(C49:E49)</f>
        <v>0</v>
      </c>
      <c r="M49" s="47">
        <f t="shared" si="11"/>
        <v>0</v>
      </c>
      <c r="N49" s="47">
        <f t="shared" si="17"/>
        <v>0</v>
      </c>
      <c r="U49" s="48">
        <f t="shared" si="13"/>
        <v>0</v>
      </c>
      <c r="V49" s="47">
        <f t="shared" si="16"/>
        <v>0</v>
      </c>
      <c r="W49" s="47">
        <f t="shared" si="15"/>
        <v>0</v>
      </c>
      <c r="X49" s="132">
        <f>SUM(W49:W53)</f>
        <v>93090.03</v>
      </c>
    </row>
    <row r="50" spans="1:25" ht="12.75">
      <c r="A50" s="37" t="s">
        <v>1115</v>
      </c>
      <c r="B50" s="10" t="s">
        <v>868</v>
      </c>
      <c r="C50">
        <v>5000</v>
      </c>
      <c r="F50" s="47">
        <f t="shared" si="18"/>
        <v>5000</v>
      </c>
      <c r="J50">
        <v>80</v>
      </c>
      <c r="M50" s="47">
        <f t="shared" si="11"/>
        <v>4200</v>
      </c>
      <c r="N50" s="47">
        <f t="shared" si="17"/>
        <v>9200</v>
      </c>
      <c r="O50">
        <v>2</v>
      </c>
      <c r="P50">
        <v>2</v>
      </c>
      <c r="Q50">
        <v>8</v>
      </c>
      <c r="R50">
        <v>4</v>
      </c>
      <c r="S50">
        <v>2</v>
      </c>
      <c r="T50">
        <v>4</v>
      </c>
      <c r="U50" s="48">
        <f t="shared" si="13"/>
        <v>0.24</v>
      </c>
      <c r="V50" s="47">
        <f t="shared" si="16"/>
        <v>2208</v>
      </c>
      <c r="W50" s="47">
        <f t="shared" si="15"/>
        <v>11408</v>
      </c>
      <c r="Y50" t="s">
        <v>511</v>
      </c>
    </row>
    <row r="51" spans="1:25" ht="12.75">
      <c r="A51" s="37" t="s">
        <v>1116</v>
      </c>
      <c r="B51" s="10" t="s">
        <v>869</v>
      </c>
      <c r="C51">
        <v>20000</v>
      </c>
      <c r="F51" s="47">
        <f t="shared" si="18"/>
        <v>20000</v>
      </c>
      <c r="K51">
        <v>280</v>
      </c>
      <c r="M51" s="47">
        <f t="shared" si="11"/>
        <v>18774</v>
      </c>
      <c r="N51" s="47">
        <f t="shared" si="17"/>
        <v>38774</v>
      </c>
      <c r="O51">
        <v>2</v>
      </c>
      <c r="P51">
        <v>2</v>
      </c>
      <c r="Q51">
        <v>8</v>
      </c>
      <c r="R51">
        <v>4</v>
      </c>
      <c r="S51">
        <v>2</v>
      </c>
      <c r="T51">
        <v>4</v>
      </c>
      <c r="U51" s="48">
        <f t="shared" si="13"/>
        <v>0.24</v>
      </c>
      <c r="V51" s="47">
        <f t="shared" si="16"/>
        <v>9305.76</v>
      </c>
      <c r="W51" s="47">
        <f t="shared" si="15"/>
        <v>48079.76</v>
      </c>
      <c r="Y51" t="s">
        <v>512</v>
      </c>
    </row>
    <row r="52" spans="1:25" ht="12.75">
      <c r="A52" s="37" t="s">
        <v>1117</v>
      </c>
      <c r="B52" s="10" t="s">
        <v>883</v>
      </c>
      <c r="C52" s="4">
        <v>18000</v>
      </c>
      <c r="F52" s="47">
        <f t="shared" si="18"/>
        <v>18000</v>
      </c>
      <c r="G52">
        <v>20</v>
      </c>
      <c r="I52">
        <v>10</v>
      </c>
      <c r="J52">
        <v>10</v>
      </c>
      <c r="K52">
        <v>120</v>
      </c>
      <c r="M52" s="47">
        <f t="shared" si="11"/>
        <v>10476.5</v>
      </c>
      <c r="N52" s="47">
        <f t="shared" si="17"/>
        <v>28476.5</v>
      </c>
      <c r="O52">
        <v>2</v>
      </c>
      <c r="P52">
        <v>2</v>
      </c>
      <c r="Q52">
        <v>8</v>
      </c>
      <c r="R52">
        <v>2</v>
      </c>
      <c r="S52">
        <v>2</v>
      </c>
      <c r="T52">
        <v>2</v>
      </c>
      <c r="U52" s="48">
        <f t="shared" si="13"/>
        <v>0.18</v>
      </c>
      <c r="V52" s="47">
        <f t="shared" si="16"/>
        <v>5125.7699999999995</v>
      </c>
      <c r="W52" s="47">
        <f t="shared" si="15"/>
        <v>33602.27</v>
      </c>
      <c r="Y52" t="s">
        <v>513</v>
      </c>
    </row>
    <row r="53" spans="1:23" ht="12.75">
      <c r="A53" s="37"/>
      <c r="B53" s="8"/>
      <c r="C53" s="35"/>
      <c r="D53" s="35"/>
      <c r="E53" s="35"/>
      <c r="F53" s="47">
        <f t="shared" si="18"/>
        <v>0</v>
      </c>
      <c r="G53" s="40"/>
      <c r="H53" s="40"/>
      <c r="I53" s="40"/>
      <c r="J53" s="40"/>
      <c r="K53" s="40"/>
      <c r="L53" s="40"/>
      <c r="M53" s="47">
        <f t="shared" si="11"/>
        <v>0</v>
      </c>
      <c r="N53" s="47"/>
      <c r="U53" s="48">
        <f t="shared" si="13"/>
        <v>0</v>
      </c>
      <c r="V53" s="47">
        <f t="shared" si="16"/>
        <v>0</v>
      </c>
      <c r="W53" s="47">
        <f t="shared" si="15"/>
        <v>0</v>
      </c>
    </row>
    <row r="54" spans="1:24" ht="12.75">
      <c r="A54" s="37" t="s">
        <v>1080</v>
      </c>
      <c r="B54" s="8" t="s">
        <v>769</v>
      </c>
      <c r="C54" s="35"/>
      <c r="D54" s="35"/>
      <c r="E54" s="35"/>
      <c r="F54" s="47">
        <f t="shared" si="18"/>
        <v>0</v>
      </c>
      <c r="G54" s="40"/>
      <c r="H54" s="40"/>
      <c r="I54" s="40"/>
      <c r="J54" s="40"/>
      <c r="K54" s="40"/>
      <c r="L54" s="40"/>
      <c r="M54" s="47">
        <f t="shared" si="11"/>
        <v>0</v>
      </c>
      <c r="N54" s="47"/>
      <c r="U54" s="48">
        <f t="shared" si="13"/>
        <v>0</v>
      </c>
      <c r="V54" s="47">
        <f t="shared" si="16"/>
        <v>0</v>
      </c>
      <c r="W54" s="47">
        <f t="shared" si="15"/>
        <v>0</v>
      </c>
      <c r="X54" s="132">
        <f>SUM(W54:W107)</f>
        <v>951145.8000000002</v>
      </c>
    </row>
    <row r="55" spans="1:23" ht="12.75">
      <c r="A55" s="37" t="s">
        <v>1082</v>
      </c>
      <c r="B55" s="8" t="s">
        <v>835</v>
      </c>
      <c r="C55" s="35"/>
      <c r="D55" s="35"/>
      <c r="E55" s="35"/>
      <c r="F55" s="47">
        <f t="shared" si="18"/>
        <v>0</v>
      </c>
      <c r="G55" s="40">
        <v>220</v>
      </c>
      <c r="H55" s="40"/>
      <c r="I55" s="40">
        <v>120</v>
      </c>
      <c r="J55" s="40"/>
      <c r="K55" s="40"/>
      <c r="L55" s="40"/>
      <c r="M55" s="47">
        <f t="shared" si="11"/>
        <v>21523</v>
      </c>
      <c r="N55" s="47">
        <f>M55+F55</f>
        <v>21523</v>
      </c>
      <c r="O55">
        <v>1</v>
      </c>
      <c r="P55">
        <v>2</v>
      </c>
      <c r="Q55">
        <v>8</v>
      </c>
      <c r="R55">
        <v>1</v>
      </c>
      <c r="S55">
        <v>2</v>
      </c>
      <c r="T55">
        <v>8</v>
      </c>
      <c r="U55" s="48">
        <f t="shared" si="13"/>
        <v>0.2</v>
      </c>
      <c r="V55" s="47">
        <f t="shared" si="16"/>
        <v>4304.6</v>
      </c>
      <c r="W55" s="47">
        <f t="shared" si="15"/>
        <v>25827.6</v>
      </c>
    </row>
    <row r="56" spans="1:23" ht="12.75">
      <c r="A56" s="37" t="s">
        <v>1118</v>
      </c>
      <c r="B56" s="10" t="s">
        <v>836</v>
      </c>
      <c r="C56" s="35"/>
      <c r="D56" s="35"/>
      <c r="E56" s="35"/>
      <c r="F56" s="47">
        <f t="shared" si="18"/>
        <v>0</v>
      </c>
      <c r="G56" s="40"/>
      <c r="H56" s="40"/>
      <c r="I56" s="40"/>
      <c r="J56" s="40">
        <v>440</v>
      </c>
      <c r="K56" s="40"/>
      <c r="L56" s="40"/>
      <c r="M56" s="47">
        <f t="shared" si="11"/>
        <v>23100</v>
      </c>
      <c r="N56" s="47">
        <f>M56+F56</f>
        <v>23100</v>
      </c>
      <c r="O56">
        <v>1</v>
      </c>
      <c r="P56">
        <v>2</v>
      </c>
      <c r="Q56">
        <v>8</v>
      </c>
      <c r="R56">
        <v>1</v>
      </c>
      <c r="S56">
        <v>2</v>
      </c>
      <c r="T56">
        <v>8</v>
      </c>
      <c r="U56" s="48">
        <f t="shared" si="13"/>
        <v>0.2</v>
      </c>
      <c r="V56" s="47">
        <f t="shared" si="16"/>
        <v>4620</v>
      </c>
      <c r="W56" s="47">
        <f t="shared" si="15"/>
        <v>27720</v>
      </c>
    </row>
    <row r="57" spans="1:23" ht="12.75">
      <c r="A57" s="37"/>
      <c r="B57" s="8"/>
      <c r="C57" s="35"/>
      <c r="D57" s="35"/>
      <c r="E57" s="35"/>
      <c r="F57" s="47">
        <f t="shared" si="18"/>
        <v>0</v>
      </c>
      <c r="G57" s="40"/>
      <c r="H57" s="40"/>
      <c r="I57" s="40"/>
      <c r="J57" s="40"/>
      <c r="K57" s="40"/>
      <c r="L57" s="40"/>
      <c r="M57" s="47">
        <f t="shared" si="11"/>
        <v>0</v>
      </c>
      <c r="N57" s="47"/>
      <c r="U57" s="48">
        <f t="shared" si="13"/>
        <v>0</v>
      </c>
      <c r="V57" s="47">
        <f t="shared" si="16"/>
        <v>0</v>
      </c>
      <c r="W57" s="47">
        <f t="shared" si="15"/>
        <v>0</v>
      </c>
    </row>
    <row r="58" spans="1:25" ht="12.75">
      <c r="A58" s="37" t="s">
        <v>1083</v>
      </c>
      <c r="B58" s="8" t="s">
        <v>915</v>
      </c>
      <c r="C58" s="35"/>
      <c r="D58" s="35"/>
      <c r="E58" s="35"/>
      <c r="F58" s="47">
        <f t="shared" si="18"/>
        <v>0</v>
      </c>
      <c r="G58" s="40"/>
      <c r="H58" s="40"/>
      <c r="I58" s="40">
        <v>80</v>
      </c>
      <c r="J58" s="40"/>
      <c r="K58" s="40"/>
      <c r="L58" s="40"/>
      <c r="M58" s="47">
        <f t="shared" si="11"/>
        <v>4500</v>
      </c>
      <c r="N58" s="47">
        <f aca="true" t="shared" si="19" ref="N58:N80">M58+F58</f>
        <v>4500</v>
      </c>
      <c r="O58">
        <v>1</v>
      </c>
      <c r="P58">
        <v>2</v>
      </c>
      <c r="Q58">
        <v>8</v>
      </c>
      <c r="R58">
        <v>1</v>
      </c>
      <c r="S58">
        <v>2</v>
      </c>
      <c r="T58">
        <v>8</v>
      </c>
      <c r="U58" s="48">
        <f t="shared" si="13"/>
        <v>0.2</v>
      </c>
      <c r="V58" s="47">
        <f t="shared" si="16"/>
        <v>900</v>
      </c>
      <c r="W58" s="47">
        <f t="shared" si="15"/>
        <v>5400</v>
      </c>
      <c r="Y58" t="s">
        <v>916</v>
      </c>
    </row>
    <row r="59" spans="1:25" ht="12.75">
      <c r="A59" s="37" t="s">
        <v>1182</v>
      </c>
      <c r="B59" s="10" t="s">
        <v>652</v>
      </c>
      <c r="C59" s="61">
        <v>1000</v>
      </c>
      <c r="D59" s="35"/>
      <c r="E59" s="35"/>
      <c r="F59" s="47">
        <f t="shared" si="18"/>
        <v>1000</v>
      </c>
      <c r="G59" s="37">
        <v>20</v>
      </c>
      <c r="H59" s="62"/>
      <c r="I59" s="62"/>
      <c r="J59" s="37">
        <v>80</v>
      </c>
      <c r="K59" s="40"/>
      <c r="L59" s="40"/>
      <c r="M59" s="47">
        <f aca="true" t="shared" si="20" ref="M59:M85">$G$3*G59+$H$3*H59+$I$3*I59+$J$3*J59+$K$3*K59+$L$3*L59</f>
        <v>5543</v>
      </c>
      <c r="N59" s="47">
        <f t="shared" si="19"/>
        <v>6543</v>
      </c>
      <c r="O59">
        <v>1</v>
      </c>
      <c r="P59">
        <v>2</v>
      </c>
      <c r="Q59">
        <v>2</v>
      </c>
      <c r="R59">
        <v>1</v>
      </c>
      <c r="S59">
        <v>2</v>
      </c>
      <c r="T59">
        <v>8</v>
      </c>
      <c r="U59" s="48">
        <f aca="true" t="shared" si="21" ref="U59:U85">((O59*P59)+Q59+(R59*S59)+T59)/100</f>
        <v>0.14</v>
      </c>
      <c r="V59" s="47">
        <f t="shared" si="16"/>
        <v>916.0200000000001</v>
      </c>
      <c r="W59" s="47">
        <f aca="true" t="shared" si="22" ref="W59:W85">+F59+M59+V59</f>
        <v>7459.02</v>
      </c>
      <c r="Y59" t="s">
        <v>917</v>
      </c>
    </row>
    <row r="60" spans="1:25" ht="12.75">
      <c r="A60" s="37" t="s">
        <v>1183</v>
      </c>
      <c r="B60" s="10" t="s">
        <v>918</v>
      </c>
      <c r="C60" s="61">
        <v>5000</v>
      </c>
      <c r="D60" s="35"/>
      <c r="E60" s="35"/>
      <c r="F60" s="47">
        <f t="shared" si="18"/>
        <v>5000</v>
      </c>
      <c r="G60" s="37">
        <v>20</v>
      </c>
      <c r="H60" s="62"/>
      <c r="I60" s="62"/>
      <c r="J60" s="37">
        <v>100</v>
      </c>
      <c r="K60" s="40"/>
      <c r="L60" s="40"/>
      <c r="M60" s="47">
        <f t="shared" si="20"/>
        <v>6593</v>
      </c>
      <c r="N60" s="47">
        <f t="shared" si="19"/>
        <v>11593</v>
      </c>
      <c r="O60">
        <v>1</v>
      </c>
      <c r="P60">
        <v>2</v>
      </c>
      <c r="Q60">
        <v>8</v>
      </c>
      <c r="R60">
        <v>1</v>
      </c>
      <c r="S60">
        <v>2</v>
      </c>
      <c r="T60">
        <v>8</v>
      </c>
      <c r="U60" s="48">
        <f t="shared" si="21"/>
        <v>0.2</v>
      </c>
      <c r="V60" s="47">
        <f t="shared" si="16"/>
        <v>2318.6</v>
      </c>
      <c r="W60" s="47">
        <f t="shared" si="22"/>
        <v>13911.6</v>
      </c>
      <c r="Y60" t="s">
        <v>919</v>
      </c>
    </row>
    <row r="61" spans="1:25" ht="12.75">
      <c r="A61" s="37" t="s">
        <v>1184</v>
      </c>
      <c r="B61" s="10" t="s">
        <v>920</v>
      </c>
      <c r="C61" s="61">
        <v>5000</v>
      </c>
      <c r="D61" s="35"/>
      <c r="E61" s="35"/>
      <c r="F61" s="47">
        <f t="shared" si="18"/>
        <v>5000</v>
      </c>
      <c r="G61" s="37">
        <v>40</v>
      </c>
      <c r="H61" s="62"/>
      <c r="I61" s="62"/>
      <c r="J61" s="37">
        <v>80</v>
      </c>
      <c r="K61" s="40"/>
      <c r="L61" s="40"/>
      <c r="M61" s="47">
        <f t="shared" si="20"/>
        <v>6886</v>
      </c>
      <c r="N61" s="47">
        <f t="shared" si="19"/>
        <v>11886</v>
      </c>
      <c r="O61">
        <v>1</v>
      </c>
      <c r="P61">
        <v>2</v>
      </c>
      <c r="Q61">
        <v>8</v>
      </c>
      <c r="R61">
        <v>1</v>
      </c>
      <c r="S61">
        <v>2</v>
      </c>
      <c r="T61">
        <v>8</v>
      </c>
      <c r="U61" s="48">
        <f t="shared" si="21"/>
        <v>0.2</v>
      </c>
      <c r="V61" s="47">
        <f t="shared" si="16"/>
        <v>2377.2000000000003</v>
      </c>
      <c r="W61" s="47">
        <f t="shared" si="22"/>
        <v>14263.2</v>
      </c>
      <c r="Y61" t="s">
        <v>921</v>
      </c>
    </row>
    <row r="62" spans="1:23" ht="12.75">
      <c r="A62" s="37"/>
      <c r="B62" s="8"/>
      <c r="C62" s="63"/>
      <c r="D62" s="35"/>
      <c r="E62" s="35"/>
      <c r="F62" s="47">
        <f t="shared" si="18"/>
        <v>0</v>
      </c>
      <c r="G62" s="40"/>
      <c r="H62" s="40"/>
      <c r="I62" s="40"/>
      <c r="J62" s="40"/>
      <c r="K62" s="40"/>
      <c r="L62" s="40"/>
      <c r="M62" s="47">
        <f t="shared" si="20"/>
        <v>0</v>
      </c>
      <c r="N62" s="47">
        <f t="shared" si="19"/>
        <v>0</v>
      </c>
      <c r="P62" s="40"/>
      <c r="R62" s="40"/>
      <c r="S62" s="40"/>
      <c r="T62" s="40"/>
      <c r="U62" s="48">
        <f t="shared" si="21"/>
        <v>0</v>
      </c>
      <c r="V62" s="47">
        <f t="shared" si="16"/>
        <v>0</v>
      </c>
      <c r="W62" s="47">
        <f t="shared" si="22"/>
        <v>0</v>
      </c>
    </row>
    <row r="63" spans="1:23" ht="12.75">
      <c r="A63" s="37" t="s">
        <v>1084</v>
      </c>
      <c r="B63" s="8" t="s">
        <v>922</v>
      </c>
      <c r="C63" s="63"/>
      <c r="D63" s="35"/>
      <c r="E63" s="35"/>
      <c r="F63" s="47">
        <f t="shared" si="18"/>
        <v>0</v>
      </c>
      <c r="G63" s="40"/>
      <c r="H63" s="40"/>
      <c r="I63" s="40"/>
      <c r="J63" s="40"/>
      <c r="K63" s="40"/>
      <c r="L63" s="40"/>
      <c r="M63" s="47">
        <f t="shared" si="20"/>
        <v>0</v>
      </c>
      <c r="N63" s="47">
        <f t="shared" si="19"/>
        <v>0</v>
      </c>
      <c r="P63" s="40"/>
      <c r="R63" s="40"/>
      <c r="S63" s="40"/>
      <c r="T63" s="40"/>
      <c r="U63" s="48">
        <f t="shared" si="21"/>
        <v>0</v>
      </c>
      <c r="V63" s="47">
        <f t="shared" si="16"/>
        <v>0</v>
      </c>
      <c r="W63" s="47">
        <f t="shared" si="22"/>
        <v>0</v>
      </c>
    </row>
    <row r="64" spans="1:23" ht="12.75">
      <c r="A64" s="37" t="s">
        <v>1120</v>
      </c>
      <c r="B64" s="8" t="s">
        <v>653</v>
      </c>
      <c r="C64" s="63"/>
      <c r="D64" s="35"/>
      <c r="E64" s="35"/>
      <c r="F64" s="47">
        <f t="shared" si="18"/>
        <v>0</v>
      </c>
      <c r="G64" s="40"/>
      <c r="H64" s="40"/>
      <c r="I64" s="40"/>
      <c r="J64" s="40"/>
      <c r="K64" s="40"/>
      <c r="L64" s="40"/>
      <c r="M64" s="47">
        <f t="shared" si="20"/>
        <v>0</v>
      </c>
      <c r="N64" s="47">
        <f t="shared" si="19"/>
        <v>0</v>
      </c>
      <c r="P64" s="40"/>
      <c r="R64" s="40"/>
      <c r="S64" s="40"/>
      <c r="T64" s="40"/>
      <c r="U64" s="48">
        <f t="shared" si="21"/>
        <v>0</v>
      </c>
      <c r="V64" s="47">
        <f t="shared" si="16"/>
        <v>0</v>
      </c>
      <c r="W64" s="47">
        <f t="shared" si="22"/>
        <v>0</v>
      </c>
    </row>
    <row r="65" spans="1:23" ht="12.75">
      <c r="A65" s="37" t="s">
        <v>1123</v>
      </c>
      <c r="B65" t="s">
        <v>923</v>
      </c>
      <c r="C65" s="63">
        <v>30000</v>
      </c>
      <c r="D65" s="35"/>
      <c r="E65" s="35"/>
      <c r="F65" s="47">
        <f t="shared" si="18"/>
        <v>30000</v>
      </c>
      <c r="G65" s="5">
        <v>80</v>
      </c>
      <c r="H65" s="5">
        <v>40</v>
      </c>
      <c r="I65" s="40">
        <v>20</v>
      </c>
      <c r="J65" s="5">
        <v>160</v>
      </c>
      <c r="K65" s="40">
        <v>40</v>
      </c>
      <c r="L65" s="40"/>
      <c r="M65" s="47">
        <f t="shared" si="20"/>
        <v>21165</v>
      </c>
      <c r="N65" s="47">
        <f t="shared" si="19"/>
        <v>51165</v>
      </c>
      <c r="O65">
        <v>1</v>
      </c>
      <c r="P65">
        <v>2</v>
      </c>
      <c r="Q65">
        <v>12</v>
      </c>
      <c r="R65">
        <v>1</v>
      </c>
      <c r="S65">
        <v>4</v>
      </c>
      <c r="T65">
        <v>8</v>
      </c>
      <c r="U65" s="48">
        <f t="shared" si="21"/>
        <v>0.26</v>
      </c>
      <c r="V65" s="47">
        <f t="shared" si="16"/>
        <v>13302.9</v>
      </c>
      <c r="W65" s="47">
        <f t="shared" si="22"/>
        <v>64467.9</v>
      </c>
    </row>
    <row r="66" spans="1:23" ht="12.75">
      <c r="A66" s="37"/>
      <c r="B66" t="s">
        <v>924</v>
      </c>
      <c r="C66" s="63">
        <v>50000</v>
      </c>
      <c r="D66" s="35"/>
      <c r="E66" s="35"/>
      <c r="F66" s="47">
        <f t="shared" si="18"/>
        <v>50000</v>
      </c>
      <c r="G66" s="5">
        <v>80</v>
      </c>
      <c r="H66" s="5"/>
      <c r="I66" s="40">
        <v>20</v>
      </c>
      <c r="J66" s="5">
        <v>160</v>
      </c>
      <c r="K66" s="40"/>
      <c r="L66" s="40"/>
      <c r="M66" s="47">
        <f t="shared" si="20"/>
        <v>14897</v>
      </c>
      <c r="N66" s="47">
        <f t="shared" si="19"/>
        <v>64897</v>
      </c>
      <c r="O66">
        <v>1</v>
      </c>
      <c r="P66">
        <v>2</v>
      </c>
      <c r="Q66">
        <v>8</v>
      </c>
      <c r="R66">
        <v>1</v>
      </c>
      <c r="S66">
        <v>2</v>
      </c>
      <c r="T66">
        <v>8</v>
      </c>
      <c r="U66" s="48">
        <f t="shared" si="21"/>
        <v>0.2</v>
      </c>
      <c r="V66" s="47">
        <f t="shared" si="16"/>
        <v>12979.400000000001</v>
      </c>
      <c r="W66" s="47">
        <f t="shared" si="22"/>
        <v>77876.4</v>
      </c>
    </row>
    <row r="67" spans="1:23" ht="12.75">
      <c r="A67" s="37" t="s">
        <v>1124</v>
      </c>
      <c r="B67" t="s">
        <v>925</v>
      </c>
      <c r="C67" s="63">
        <v>30000</v>
      </c>
      <c r="D67" s="35"/>
      <c r="E67" s="35"/>
      <c r="F67" s="47">
        <f t="shared" si="18"/>
        <v>30000</v>
      </c>
      <c r="G67" s="5">
        <v>80</v>
      </c>
      <c r="H67" s="5">
        <v>40</v>
      </c>
      <c r="I67" s="40">
        <v>20</v>
      </c>
      <c r="J67" s="5">
        <v>160</v>
      </c>
      <c r="K67" s="40">
        <v>40</v>
      </c>
      <c r="L67" s="40"/>
      <c r="M67" s="47">
        <f t="shared" si="20"/>
        <v>21165</v>
      </c>
      <c r="N67" s="47">
        <f t="shared" si="19"/>
        <v>51165</v>
      </c>
      <c r="O67">
        <v>1</v>
      </c>
      <c r="P67">
        <v>2</v>
      </c>
      <c r="Q67">
        <v>12</v>
      </c>
      <c r="R67">
        <v>1</v>
      </c>
      <c r="S67">
        <v>4</v>
      </c>
      <c r="T67">
        <v>8</v>
      </c>
      <c r="U67" s="48">
        <f t="shared" si="21"/>
        <v>0.26</v>
      </c>
      <c r="V67" s="47">
        <f aca="true" t="shared" si="23" ref="V67:V85">+(F67+M67)*U67</f>
        <v>13302.9</v>
      </c>
      <c r="W67" s="47">
        <f t="shared" si="22"/>
        <v>64467.9</v>
      </c>
    </row>
    <row r="68" spans="1:23" ht="12.75">
      <c r="A68" s="37"/>
      <c r="B68" t="s">
        <v>924</v>
      </c>
      <c r="C68" s="63">
        <v>50000</v>
      </c>
      <c r="D68" s="35"/>
      <c r="E68" s="35"/>
      <c r="F68" s="47">
        <f t="shared" si="18"/>
        <v>50000</v>
      </c>
      <c r="G68" s="5">
        <v>80</v>
      </c>
      <c r="H68" s="5"/>
      <c r="I68" s="40">
        <v>20</v>
      </c>
      <c r="J68" s="5">
        <v>160</v>
      </c>
      <c r="K68" s="40"/>
      <c r="L68" s="40"/>
      <c r="M68" s="47">
        <f t="shared" si="20"/>
        <v>14897</v>
      </c>
      <c r="N68" s="47">
        <f t="shared" si="19"/>
        <v>64897</v>
      </c>
      <c r="O68">
        <v>1</v>
      </c>
      <c r="P68">
        <v>2</v>
      </c>
      <c r="Q68">
        <v>8</v>
      </c>
      <c r="R68">
        <v>1</v>
      </c>
      <c r="S68">
        <v>2</v>
      </c>
      <c r="T68">
        <v>8</v>
      </c>
      <c r="U68" s="48">
        <f t="shared" si="21"/>
        <v>0.2</v>
      </c>
      <c r="V68" s="47">
        <f t="shared" si="23"/>
        <v>12979.400000000001</v>
      </c>
      <c r="W68" s="47">
        <f t="shared" si="22"/>
        <v>77876.4</v>
      </c>
    </row>
    <row r="69" spans="1:23" ht="12.75">
      <c r="A69" s="37" t="s">
        <v>1125</v>
      </c>
      <c r="B69" t="s">
        <v>926</v>
      </c>
      <c r="C69" s="63">
        <v>30000</v>
      </c>
      <c r="D69" s="35"/>
      <c r="E69" s="35"/>
      <c r="F69" s="47">
        <f t="shared" si="18"/>
        <v>30000</v>
      </c>
      <c r="G69" s="5">
        <v>80</v>
      </c>
      <c r="H69" s="5">
        <v>40</v>
      </c>
      <c r="I69" s="40">
        <v>20</v>
      </c>
      <c r="J69" s="5">
        <v>160</v>
      </c>
      <c r="K69" s="40">
        <v>40</v>
      </c>
      <c r="L69" s="40"/>
      <c r="M69" s="47">
        <f t="shared" si="20"/>
        <v>21165</v>
      </c>
      <c r="N69" s="47">
        <f t="shared" si="19"/>
        <v>51165</v>
      </c>
      <c r="O69">
        <v>1</v>
      </c>
      <c r="P69">
        <v>2</v>
      </c>
      <c r="Q69">
        <v>12</v>
      </c>
      <c r="R69">
        <v>1</v>
      </c>
      <c r="S69">
        <v>4</v>
      </c>
      <c r="T69">
        <v>8</v>
      </c>
      <c r="U69" s="48">
        <f t="shared" si="21"/>
        <v>0.26</v>
      </c>
      <c r="V69" s="47">
        <f t="shared" si="23"/>
        <v>13302.9</v>
      </c>
      <c r="W69" s="47">
        <f t="shared" si="22"/>
        <v>64467.9</v>
      </c>
    </row>
    <row r="70" spans="1:23" ht="12.75">
      <c r="A70" s="37"/>
      <c r="B70" t="s">
        <v>924</v>
      </c>
      <c r="C70" s="63">
        <v>50000</v>
      </c>
      <c r="D70" s="35"/>
      <c r="E70" s="35"/>
      <c r="F70" s="47">
        <f t="shared" si="18"/>
        <v>50000</v>
      </c>
      <c r="G70" s="5">
        <v>80</v>
      </c>
      <c r="H70" s="40"/>
      <c r="I70" s="40">
        <v>20</v>
      </c>
      <c r="J70" s="5">
        <v>160</v>
      </c>
      <c r="K70" s="40"/>
      <c r="L70" s="40"/>
      <c r="M70" s="47">
        <f t="shared" si="20"/>
        <v>14897</v>
      </c>
      <c r="N70" s="47">
        <f t="shared" si="19"/>
        <v>64897</v>
      </c>
      <c r="O70">
        <v>1</v>
      </c>
      <c r="P70">
        <v>2</v>
      </c>
      <c r="Q70">
        <v>8</v>
      </c>
      <c r="R70">
        <v>1</v>
      </c>
      <c r="S70">
        <v>2</v>
      </c>
      <c r="T70">
        <v>8</v>
      </c>
      <c r="U70" s="48">
        <f t="shared" si="21"/>
        <v>0.2</v>
      </c>
      <c r="V70" s="47">
        <f t="shared" si="23"/>
        <v>12979.400000000001</v>
      </c>
      <c r="W70" s="47">
        <f t="shared" si="22"/>
        <v>77876.4</v>
      </c>
    </row>
    <row r="71" spans="1:23" ht="12.75">
      <c r="A71" s="37" t="s">
        <v>1126</v>
      </c>
      <c r="B71" t="s">
        <v>654</v>
      </c>
      <c r="C71" s="63">
        <v>12000</v>
      </c>
      <c r="D71" s="35"/>
      <c r="E71" s="35"/>
      <c r="F71" s="47">
        <f t="shared" si="18"/>
        <v>12000</v>
      </c>
      <c r="G71" s="5">
        <v>20</v>
      </c>
      <c r="H71" s="40"/>
      <c r="I71" s="40"/>
      <c r="J71" s="5">
        <v>40</v>
      </c>
      <c r="K71" s="40"/>
      <c r="L71" s="40"/>
      <c r="M71" s="47">
        <f t="shared" si="20"/>
        <v>3443</v>
      </c>
      <c r="N71" s="47">
        <f t="shared" si="19"/>
        <v>15443</v>
      </c>
      <c r="O71">
        <v>1</v>
      </c>
      <c r="P71">
        <v>2</v>
      </c>
      <c r="Q71">
        <v>4</v>
      </c>
      <c r="R71">
        <v>1</v>
      </c>
      <c r="S71">
        <v>2</v>
      </c>
      <c r="T71">
        <v>4</v>
      </c>
      <c r="U71" s="48">
        <f t="shared" si="21"/>
        <v>0.12</v>
      </c>
      <c r="V71" s="47">
        <f t="shared" si="23"/>
        <v>1853.1599999999999</v>
      </c>
      <c r="W71" s="47">
        <f t="shared" si="22"/>
        <v>17296.16</v>
      </c>
    </row>
    <row r="72" spans="1:23" ht="12.75">
      <c r="A72" s="37" t="s">
        <v>1127</v>
      </c>
      <c r="B72" t="s">
        <v>655</v>
      </c>
      <c r="C72" s="63">
        <v>6000</v>
      </c>
      <c r="D72" s="35"/>
      <c r="E72" s="35"/>
      <c r="F72" s="47">
        <f t="shared" si="18"/>
        <v>6000</v>
      </c>
      <c r="G72" s="5">
        <v>40</v>
      </c>
      <c r="H72" s="40"/>
      <c r="I72" s="40"/>
      <c r="J72" s="5">
        <v>160</v>
      </c>
      <c r="K72" s="40"/>
      <c r="L72" s="40"/>
      <c r="M72" s="47">
        <f t="shared" si="20"/>
        <v>11086</v>
      </c>
      <c r="N72" s="47">
        <f t="shared" si="19"/>
        <v>17086</v>
      </c>
      <c r="O72">
        <v>1</v>
      </c>
      <c r="P72">
        <v>2</v>
      </c>
      <c r="Q72">
        <v>2</v>
      </c>
      <c r="R72">
        <v>1</v>
      </c>
      <c r="S72">
        <v>2</v>
      </c>
      <c r="T72">
        <v>8</v>
      </c>
      <c r="U72" s="48">
        <f t="shared" si="21"/>
        <v>0.14</v>
      </c>
      <c r="V72" s="47">
        <f t="shared" si="23"/>
        <v>2392.0400000000004</v>
      </c>
      <c r="W72" s="47">
        <f t="shared" si="22"/>
        <v>19478.04</v>
      </c>
    </row>
    <row r="73" spans="1:23" ht="12.75">
      <c r="A73" s="37"/>
      <c r="B73" s="8"/>
      <c r="C73" s="63"/>
      <c r="D73" s="35"/>
      <c r="E73" s="35"/>
      <c r="F73" s="47">
        <f t="shared" si="18"/>
        <v>0</v>
      </c>
      <c r="G73" s="40"/>
      <c r="H73" s="40"/>
      <c r="I73" s="40"/>
      <c r="J73" s="40"/>
      <c r="K73" s="40"/>
      <c r="L73" s="40"/>
      <c r="M73" s="47">
        <f t="shared" si="20"/>
        <v>0</v>
      </c>
      <c r="N73" s="47">
        <f t="shared" si="19"/>
        <v>0</v>
      </c>
      <c r="P73" s="40"/>
      <c r="R73" s="40"/>
      <c r="S73" s="40"/>
      <c r="T73" s="40"/>
      <c r="U73" s="48">
        <f t="shared" si="21"/>
        <v>0</v>
      </c>
      <c r="V73" s="47">
        <f t="shared" si="23"/>
        <v>0</v>
      </c>
      <c r="W73" s="47">
        <f t="shared" si="22"/>
        <v>0</v>
      </c>
    </row>
    <row r="74" spans="1:23" ht="12.75">
      <c r="A74" s="37" t="s">
        <v>1121</v>
      </c>
      <c r="B74" s="8" t="s">
        <v>927</v>
      </c>
      <c r="C74" s="63"/>
      <c r="D74" s="35"/>
      <c r="E74" s="35"/>
      <c r="F74" s="47">
        <f t="shared" si="18"/>
        <v>0</v>
      </c>
      <c r="G74" s="40"/>
      <c r="H74" s="40"/>
      <c r="I74" s="40"/>
      <c r="J74" s="40"/>
      <c r="K74" s="40"/>
      <c r="L74" s="40"/>
      <c r="M74" s="47">
        <f t="shared" si="20"/>
        <v>0</v>
      </c>
      <c r="N74" s="47">
        <f t="shared" si="19"/>
        <v>0</v>
      </c>
      <c r="P74" s="40"/>
      <c r="R74" s="40"/>
      <c r="S74" s="40"/>
      <c r="T74" s="40"/>
      <c r="U74" s="48">
        <f t="shared" si="21"/>
        <v>0</v>
      </c>
      <c r="V74" s="47">
        <f t="shared" si="23"/>
        <v>0</v>
      </c>
      <c r="W74" s="47">
        <f t="shared" si="22"/>
        <v>0</v>
      </c>
    </row>
    <row r="75" spans="1:23" ht="12.75">
      <c r="A75" s="37" t="s">
        <v>1128</v>
      </c>
      <c r="B75" t="s">
        <v>691</v>
      </c>
      <c r="C75" s="63">
        <v>1000</v>
      </c>
      <c r="D75" s="35"/>
      <c r="E75" s="35"/>
      <c r="F75" s="47">
        <f t="shared" si="18"/>
        <v>1000</v>
      </c>
      <c r="G75" s="5">
        <v>40</v>
      </c>
      <c r="H75" s="40"/>
      <c r="I75" s="40"/>
      <c r="J75" s="5">
        <v>80</v>
      </c>
      <c r="K75" s="40"/>
      <c r="L75" s="40"/>
      <c r="M75" s="47">
        <f t="shared" si="20"/>
        <v>6886</v>
      </c>
      <c r="N75" s="47">
        <f t="shared" si="19"/>
        <v>7886</v>
      </c>
      <c r="O75">
        <v>1</v>
      </c>
      <c r="P75">
        <v>2</v>
      </c>
      <c r="Q75">
        <v>6</v>
      </c>
      <c r="R75">
        <v>1</v>
      </c>
      <c r="S75">
        <v>2</v>
      </c>
      <c r="T75">
        <v>6</v>
      </c>
      <c r="U75" s="48">
        <f t="shared" si="21"/>
        <v>0.16</v>
      </c>
      <c r="V75" s="47">
        <f t="shared" si="23"/>
        <v>1261.76</v>
      </c>
      <c r="W75" s="47">
        <f t="shared" si="22"/>
        <v>9147.76</v>
      </c>
    </row>
    <row r="76" spans="1:23" ht="12.75">
      <c r="A76" s="37" t="s">
        <v>1129</v>
      </c>
      <c r="B76" t="s">
        <v>648</v>
      </c>
      <c r="C76" s="63">
        <v>1000</v>
      </c>
      <c r="D76" s="35"/>
      <c r="E76" s="35"/>
      <c r="F76" s="47">
        <f t="shared" si="18"/>
        <v>1000</v>
      </c>
      <c r="G76" s="5">
        <v>20</v>
      </c>
      <c r="H76" s="40"/>
      <c r="I76" s="40"/>
      <c r="J76" s="5">
        <v>40</v>
      </c>
      <c r="K76" s="40"/>
      <c r="L76" s="40"/>
      <c r="M76" s="47">
        <f t="shared" si="20"/>
        <v>3443</v>
      </c>
      <c r="N76" s="47">
        <f t="shared" si="19"/>
        <v>4443</v>
      </c>
      <c r="O76">
        <v>1</v>
      </c>
      <c r="P76">
        <v>2</v>
      </c>
      <c r="Q76">
        <v>8</v>
      </c>
      <c r="R76">
        <v>1</v>
      </c>
      <c r="S76">
        <v>2</v>
      </c>
      <c r="T76">
        <v>8</v>
      </c>
      <c r="U76" s="48">
        <f t="shared" si="21"/>
        <v>0.2</v>
      </c>
      <c r="V76" s="47">
        <f t="shared" si="23"/>
        <v>888.6</v>
      </c>
      <c r="W76" s="47">
        <f t="shared" si="22"/>
        <v>5331.6</v>
      </c>
    </row>
    <row r="77" spans="1:23" ht="12.75">
      <c r="A77" s="37" t="s">
        <v>1130</v>
      </c>
      <c r="B77" t="s">
        <v>928</v>
      </c>
      <c r="C77" s="63">
        <v>0</v>
      </c>
      <c r="D77" s="35"/>
      <c r="E77" s="35"/>
      <c r="F77" s="47">
        <f t="shared" si="18"/>
        <v>0</v>
      </c>
      <c r="G77" s="5"/>
      <c r="H77" s="40"/>
      <c r="I77" s="40"/>
      <c r="J77" s="5">
        <v>20</v>
      </c>
      <c r="K77" s="40"/>
      <c r="L77" s="40"/>
      <c r="M77" s="47">
        <f t="shared" si="20"/>
        <v>1050</v>
      </c>
      <c r="N77" s="47">
        <f t="shared" si="19"/>
        <v>1050</v>
      </c>
      <c r="O77">
        <v>1</v>
      </c>
      <c r="P77">
        <v>2</v>
      </c>
      <c r="Q77">
        <v>2</v>
      </c>
      <c r="R77">
        <v>1</v>
      </c>
      <c r="S77">
        <v>2</v>
      </c>
      <c r="T77">
        <v>8</v>
      </c>
      <c r="U77" s="48">
        <f t="shared" si="21"/>
        <v>0.14</v>
      </c>
      <c r="V77" s="47">
        <f t="shared" si="23"/>
        <v>147</v>
      </c>
      <c r="W77" s="47">
        <f t="shared" si="22"/>
        <v>1197</v>
      </c>
    </row>
    <row r="78" spans="1:23" ht="12.75">
      <c r="A78" s="37" t="s">
        <v>1131</v>
      </c>
      <c r="B78" t="s">
        <v>929</v>
      </c>
      <c r="C78" s="63">
        <v>0</v>
      </c>
      <c r="D78" s="35"/>
      <c r="E78" s="35"/>
      <c r="F78" s="47">
        <f t="shared" si="18"/>
        <v>0</v>
      </c>
      <c r="G78" s="5"/>
      <c r="H78" s="40"/>
      <c r="I78" s="40"/>
      <c r="J78" s="5"/>
      <c r="K78" s="40"/>
      <c r="L78" s="40"/>
      <c r="M78" s="47">
        <f t="shared" si="20"/>
        <v>0</v>
      </c>
      <c r="N78" s="47">
        <f t="shared" si="19"/>
        <v>0</v>
      </c>
      <c r="P78" s="40"/>
      <c r="R78" s="40"/>
      <c r="S78" s="40"/>
      <c r="T78" s="40"/>
      <c r="U78" s="48">
        <f t="shared" si="21"/>
        <v>0</v>
      </c>
      <c r="V78" s="47">
        <f t="shared" si="23"/>
        <v>0</v>
      </c>
      <c r="W78" s="47">
        <f t="shared" si="22"/>
        <v>0</v>
      </c>
    </row>
    <row r="79" spans="1:23" ht="12.75">
      <c r="A79" s="37" t="s">
        <v>1132</v>
      </c>
      <c r="B79" t="s">
        <v>930</v>
      </c>
      <c r="C79" s="63">
        <v>10000</v>
      </c>
      <c r="D79" s="35"/>
      <c r="E79" s="35"/>
      <c r="F79" s="47">
        <f t="shared" si="18"/>
        <v>10000</v>
      </c>
      <c r="G79" s="5">
        <v>20</v>
      </c>
      <c r="H79" s="40"/>
      <c r="I79" s="40"/>
      <c r="J79" s="5">
        <v>40</v>
      </c>
      <c r="K79" s="40"/>
      <c r="L79" s="40"/>
      <c r="M79" s="47">
        <f t="shared" si="20"/>
        <v>3443</v>
      </c>
      <c r="N79" s="47">
        <f t="shared" si="19"/>
        <v>13443</v>
      </c>
      <c r="O79">
        <v>1</v>
      </c>
      <c r="P79">
        <v>2</v>
      </c>
      <c r="Q79">
        <v>8</v>
      </c>
      <c r="R79">
        <v>1</v>
      </c>
      <c r="S79">
        <v>2</v>
      </c>
      <c r="T79">
        <v>8</v>
      </c>
      <c r="U79" s="48">
        <f t="shared" si="21"/>
        <v>0.2</v>
      </c>
      <c r="V79" s="47">
        <f t="shared" si="23"/>
        <v>2688.6000000000004</v>
      </c>
      <c r="W79" s="47">
        <f t="shared" si="22"/>
        <v>16131.6</v>
      </c>
    </row>
    <row r="80" spans="1:23" ht="12.75">
      <c r="A80" s="37" t="s">
        <v>1133</v>
      </c>
      <c r="B80" t="s">
        <v>660</v>
      </c>
      <c r="C80" s="63">
        <v>2000</v>
      </c>
      <c r="D80" s="35"/>
      <c r="E80" s="35"/>
      <c r="F80" s="47">
        <f t="shared" si="18"/>
        <v>2000</v>
      </c>
      <c r="G80" s="5">
        <v>40</v>
      </c>
      <c r="H80" s="40"/>
      <c r="I80" s="40"/>
      <c r="J80" s="5">
        <v>40</v>
      </c>
      <c r="K80" s="40"/>
      <c r="L80" s="40"/>
      <c r="M80" s="47">
        <f t="shared" si="20"/>
        <v>4786</v>
      </c>
      <c r="N80" s="47">
        <f t="shared" si="19"/>
        <v>6786</v>
      </c>
      <c r="O80">
        <v>1</v>
      </c>
      <c r="P80">
        <v>2</v>
      </c>
      <c r="Q80">
        <v>10</v>
      </c>
      <c r="R80">
        <v>1</v>
      </c>
      <c r="S80">
        <v>4</v>
      </c>
      <c r="T80">
        <v>8</v>
      </c>
      <c r="U80" s="48">
        <f t="shared" si="21"/>
        <v>0.24</v>
      </c>
      <c r="V80" s="47">
        <f t="shared" si="23"/>
        <v>1628.6399999999999</v>
      </c>
      <c r="W80" s="47">
        <f t="shared" si="22"/>
        <v>8414.64</v>
      </c>
    </row>
    <row r="81" spans="1:23" ht="12.75">
      <c r="A81" s="37"/>
      <c r="B81" s="8"/>
      <c r="C81" s="35"/>
      <c r="D81" s="35"/>
      <c r="E81" s="35"/>
      <c r="F81" s="47">
        <f t="shared" si="18"/>
        <v>0</v>
      </c>
      <c r="G81" s="40"/>
      <c r="H81" s="40"/>
      <c r="I81" s="40"/>
      <c r="J81" s="40"/>
      <c r="K81" s="40"/>
      <c r="L81" s="40"/>
      <c r="M81" s="47">
        <f t="shared" si="20"/>
        <v>0</v>
      </c>
      <c r="N81" s="47"/>
      <c r="U81" s="48">
        <f t="shared" si="21"/>
        <v>0</v>
      </c>
      <c r="V81" s="47">
        <f t="shared" si="23"/>
        <v>0</v>
      </c>
      <c r="W81" s="47">
        <f t="shared" si="22"/>
        <v>0</v>
      </c>
    </row>
    <row r="82" spans="1:23" ht="12.75">
      <c r="A82" s="37" t="s">
        <v>1122</v>
      </c>
      <c r="B82" s="8" t="s">
        <v>931</v>
      </c>
      <c r="C82" s="35"/>
      <c r="D82" s="35"/>
      <c r="E82" s="35"/>
      <c r="F82" s="47">
        <f t="shared" si="18"/>
        <v>0</v>
      </c>
      <c r="G82" s="40"/>
      <c r="H82" s="40"/>
      <c r="I82" s="40"/>
      <c r="J82" s="40"/>
      <c r="K82" s="40"/>
      <c r="L82" s="40"/>
      <c r="M82" s="47">
        <f t="shared" si="20"/>
        <v>0</v>
      </c>
      <c r="N82" s="47"/>
      <c r="U82" s="48">
        <f t="shared" si="21"/>
        <v>0</v>
      </c>
      <c r="V82" s="47">
        <f t="shared" si="23"/>
        <v>0</v>
      </c>
      <c r="W82" s="47">
        <f t="shared" si="22"/>
        <v>0</v>
      </c>
    </row>
    <row r="83" spans="1:23" ht="12.75">
      <c r="A83" s="37" t="s">
        <v>1134</v>
      </c>
      <c r="B83" s="10" t="s">
        <v>932</v>
      </c>
      <c r="C83" s="35">
        <v>15000</v>
      </c>
      <c r="D83" s="35"/>
      <c r="E83" s="35"/>
      <c r="F83" s="47">
        <f t="shared" si="18"/>
        <v>15000</v>
      </c>
      <c r="G83" s="40">
        <v>40</v>
      </c>
      <c r="H83" s="40"/>
      <c r="I83" s="40"/>
      <c r="J83" s="40">
        <v>80</v>
      </c>
      <c r="K83" s="40"/>
      <c r="L83" s="40"/>
      <c r="M83" s="47">
        <f t="shared" si="20"/>
        <v>6886</v>
      </c>
      <c r="N83" s="47">
        <f>M83+F83</f>
        <v>21886</v>
      </c>
      <c r="O83">
        <v>1</v>
      </c>
      <c r="P83">
        <v>2</v>
      </c>
      <c r="Q83">
        <v>8</v>
      </c>
      <c r="R83">
        <v>1</v>
      </c>
      <c r="S83">
        <v>2</v>
      </c>
      <c r="T83">
        <v>8</v>
      </c>
      <c r="U83" s="48">
        <f t="shared" si="21"/>
        <v>0.2</v>
      </c>
      <c r="V83" s="47">
        <f t="shared" si="23"/>
        <v>4377.2</v>
      </c>
      <c r="W83" s="47">
        <f t="shared" si="22"/>
        <v>26263.2</v>
      </c>
    </row>
    <row r="84" spans="1:23" ht="12.75">
      <c r="A84" s="37" t="s">
        <v>1142</v>
      </c>
      <c r="B84" s="10" t="s">
        <v>933</v>
      </c>
      <c r="C84" s="35">
        <v>5000</v>
      </c>
      <c r="D84" s="35"/>
      <c r="E84" s="35"/>
      <c r="F84" s="47">
        <f t="shared" si="18"/>
        <v>5000</v>
      </c>
      <c r="G84" s="40">
        <v>20</v>
      </c>
      <c r="H84" s="40"/>
      <c r="I84" s="40"/>
      <c r="J84" s="40">
        <v>40</v>
      </c>
      <c r="K84" s="40"/>
      <c r="L84" s="40"/>
      <c r="M84" s="47">
        <f t="shared" si="20"/>
        <v>3443</v>
      </c>
      <c r="N84" s="47">
        <f>M84+F84</f>
        <v>8443</v>
      </c>
      <c r="O84">
        <v>1</v>
      </c>
      <c r="P84">
        <v>2</v>
      </c>
      <c r="Q84">
        <v>4</v>
      </c>
      <c r="R84">
        <v>1</v>
      </c>
      <c r="S84">
        <v>2</v>
      </c>
      <c r="T84">
        <v>4</v>
      </c>
      <c r="U84" s="48">
        <f t="shared" si="21"/>
        <v>0.12</v>
      </c>
      <c r="V84" s="47">
        <f t="shared" si="23"/>
        <v>1013.16</v>
      </c>
      <c r="W84" s="47">
        <f t="shared" si="22"/>
        <v>9456.16</v>
      </c>
    </row>
    <row r="85" spans="1:25" ht="12.75">
      <c r="A85" s="37" t="s">
        <v>1143</v>
      </c>
      <c r="B85" t="s">
        <v>649</v>
      </c>
      <c r="C85" s="63">
        <v>1000</v>
      </c>
      <c r="D85" s="35"/>
      <c r="E85" s="35"/>
      <c r="F85" s="47">
        <f t="shared" si="18"/>
        <v>1000</v>
      </c>
      <c r="G85" s="5">
        <v>80</v>
      </c>
      <c r="H85" s="5"/>
      <c r="I85" s="40">
        <v>20</v>
      </c>
      <c r="J85" s="5">
        <v>160</v>
      </c>
      <c r="K85" s="40"/>
      <c r="L85" s="40"/>
      <c r="M85" s="47">
        <f t="shared" si="20"/>
        <v>14897</v>
      </c>
      <c r="N85" s="47">
        <f>M85+F85</f>
        <v>15897</v>
      </c>
      <c r="O85">
        <v>1</v>
      </c>
      <c r="P85">
        <v>2</v>
      </c>
      <c r="Q85">
        <v>8</v>
      </c>
      <c r="R85">
        <v>1</v>
      </c>
      <c r="S85">
        <v>2</v>
      </c>
      <c r="T85">
        <v>8</v>
      </c>
      <c r="U85" s="48">
        <f t="shared" si="21"/>
        <v>0.2</v>
      </c>
      <c r="V85" s="47">
        <f t="shared" si="23"/>
        <v>3179.4</v>
      </c>
      <c r="W85" s="47">
        <f t="shared" si="22"/>
        <v>19076.4</v>
      </c>
      <c r="Y85" t="s">
        <v>934</v>
      </c>
    </row>
    <row r="86" spans="1:23" ht="12.75">
      <c r="A86" s="37"/>
      <c r="C86" s="63"/>
      <c r="D86" s="35"/>
      <c r="E86" s="35"/>
      <c r="F86" s="47"/>
      <c r="G86" s="5"/>
      <c r="H86" s="5"/>
      <c r="I86" s="40"/>
      <c r="J86" s="5"/>
      <c r="K86" s="40"/>
      <c r="L86" s="40"/>
      <c r="M86" s="47"/>
      <c r="N86" s="47"/>
      <c r="U86" s="48"/>
      <c r="V86" s="47"/>
      <c r="W86" s="47"/>
    </row>
    <row r="87" spans="1:23" ht="12.75">
      <c r="A87" s="37" t="s">
        <v>1085</v>
      </c>
      <c r="B87" s="8" t="s">
        <v>935</v>
      </c>
      <c r="C87" s="35"/>
      <c r="D87" s="35"/>
      <c r="E87" s="35"/>
      <c r="F87" s="47">
        <f t="shared" si="18"/>
        <v>0</v>
      </c>
      <c r="G87" s="40"/>
      <c r="H87" s="40"/>
      <c r="I87" s="40"/>
      <c r="J87" s="40"/>
      <c r="K87" s="40"/>
      <c r="L87" s="40"/>
      <c r="M87" s="47"/>
      <c r="N87" s="47"/>
      <c r="U87" s="48"/>
      <c r="V87" s="47"/>
      <c r="W87" s="47"/>
    </row>
    <row r="88" spans="1:25" ht="12.75">
      <c r="A88" s="37" t="s">
        <v>1135</v>
      </c>
      <c r="B88" s="10" t="s">
        <v>936</v>
      </c>
      <c r="C88" s="35">
        <v>9000</v>
      </c>
      <c r="D88" s="35"/>
      <c r="E88" s="35"/>
      <c r="F88" s="47">
        <f t="shared" si="18"/>
        <v>9000</v>
      </c>
      <c r="G88" s="40">
        <v>80</v>
      </c>
      <c r="H88" s="40"/>
      <c r="I88" s="40"/>
      <c r="J88" s="40">
        <v>160</v>
      </c>
      <c r="K88" s="40"/>
      <c r="L88" s="40"/>
      <c r="M88" s="47">
        <f>$G$3*G88+$H$3*H88+$I$3*I88+$J$3*J88+$K$3*K88+$L$3*L88</f>
        <v>13772</v>
      </c>
      <c r="N88" s="47">
        <f>M88+F88</f>
        <v>22772</v>
      </c>
      <c r="O88">
        <v>1</v>
      </c>
      <c r="P88">
        <v>2</v>
      </c>
      <c r="Q88">
        <v>4</v>
      </c>
      <c r="R88">
        <v>1</v>
      </c>
      <c r="S88">
        <v>2</v>
      </c>
      <c r="T88">
        <v>8</v>
      </c>
      <c r="U88" s="48">
        <f>((O88*P88)+Q88+(R88*S88)+T88)/100</f>
        <v>0.16</v>
      </c>
      <c r="V88" s="47">
        <f>+(F88+M88)*U88</f>
        <v>3643.52</v>
      </c>
      <c r="W88" s="47">
        <f>+F88+M88+V88</f>
        <v>26415.52</v>
      </c>
      <c r="Y88" t="s">
        <v>937</v>
      </c>
    </row>
    <row r="89" spans="1:23" ht="12.75">
      <c r="A89" s="37" t="s">
        <v>1139</v>
      </c>
      <c r="B89" s="10" t="s">
        <v>539</v>
      </c>
      <c r="C89" s="35">
        <v>12000</v>
      </c>
      <c r="D89" s="35"/>
      <c r="E89" s="35"/>
      <c r="F89" s="47">
        <f t="shared" si="18"/>
        <v>12000</v>
      </c>
      <c r="G89" s="40">
        <v>80</v>
      </c>
      <c r="H89" s="40"/>
      <c r="I89" s="40"/>
      <c r="J89" s="40">
        <v>160</v>
      </c>
      <c r="K89" s="40"/>
      <c r="L89" s="40"/>
      <c r="M89" s="47">
        <f>$G$3*G89+$H$3*H89+$I$3*I89+$J$3*J89+$K$3*K89+$L$3*L89</f>
        <v>13772</v>
      </c>
      <c r="N89" s="47">
        <f>M89+F89</f>
        <v>25772</v>
      </c>
      <c r="U89" s="48">
        <f>((O89*P89)+Q89+(R89*S89)+T89)/100</f>
        <v>0</v>
      </c>
      <c r="V89" s="47">
        <f>+(F89+M89)*U89</f>
        <v>0</v>
      </c>
      <c r="W89" s="47">
        <f>+F89+M89+V89</f>
        <v>25772</v>
      </c>
    </row>
    <row r="90" spans="1:23" ht="12.75">
      <c r="A90" s="37"/>
      <c r="B90" s="10"/>
      <c r="C90" s="35"/>
      <c r="D90" s="35"/>
      <c r="E90" s="35"/>
      <c r="F90" s="47"/>
      <c r="G90" s="40"/>
      <c r="H90" s="40"/>
      <c r="I90" s="40"/>
      <c r="J90" s="40"/>
      <c r="K90" s="40"/>
      <c r="L90" s="40"/>
      <c r="M90" s="47"/>
      <c r="N90" s="47"/>
      <c r="U90" s="48"/>
      <c r="V90" s="47"/>
      <c r="W90" s="47"/>
    </row>
    <row r="91" spans="1:23" ht="12.75">
      <c r="A91" s="37" t="s">
        <v>1086</v>
      </c>
      <c r="B91" s="8" t="s">
        <v>540</v>
      </c>
      <c r="C91" s="35"/>
      <c r="D91" s="35"/>
      <c r="E91" s="35"/>
      <c r="F91" s="47">
        <f t="shared" si="18"/>
        <v>0</v>
      </c>
      <c r="G91" s="40"/>
      <c r="H91" s="40"/>
      <c r="I91" s="40"/>
      <c r="J91" s="40"/>
      <c r="K91" s="40"/>
      <c r="L91" s="40"/>
      <c r="M91" s="47">
        <f>$G$3*G91+$H$3*H91+$I$3*I91+$J$3*J91+$K$3*K91+$L$3*L91</f>
        <v>0</v>
      </c>
      <c r="N91" s="47">
        <f>M91+F91</f>
        <v>0</v>
      </c>
      <c r="U91" s="48">
        <f>((O91*P91)+Q91+(R91*S91)+T91)/100</f>
        <v>0</v>
      </c>
      <c r="V91" s="47">
        <f>+(F91+M91)*U91</f>
        <v>0</v>
      </c>
      <c r="W91" s="47">
        <f>+F91+M91+V91</f>
        <v>0</v>
      </c>
    </row>
    <row r="92" spans="1:23" ht="12.75">
      <c r="A92" s="37" t="s">
        <v>1136</v>
      </c>
      <c r="B92" t="s">
        <v>541</v>
      </c>
      <c r="C92" s="63">
        <v>10000</v>
      </c>
      <c r="D92" s="35"/>
      <c r="E92" s="35"/>
      <c r="F92" s="47">
        <f t="shared" si="18"/>
        <v>10000</v>
      </c>
      <c r="G92" s="40">
        <v>80</v>
      </c>
      <c r="H92" s="40">
        <v>40</v>
      </c>
      <c r="I92" s="40">
        <v>20</v>
      </c>
      <c r="J92" s="40">
        <v>160</v>
      </c>
      <c r="K92" s="40"/>
      <c r="L92" s="40"/>
      <c r="M92" s="47">
        <f>$G$3*G92+$H$3*H92+$I$3*I92+$J$3*J92+$K$3*K92+$L$3*L92</f>
        <v>18483</v>
      </c>
      <c r="N92" s="47">
        <f>M92+F92</f>
        <v>28483</v>
      </c>
      <c r="O92">
        <v>1</v>
      </c>
      <c r="P92">
        <v>2</v>
      </c>
      <c r="Q92">
        <v>4</v>
      </c>
      <c r="R92">
        <v>1</v>
      </c>
      <c r="S92">
        <v>2</v>
      </c>
      <c r="T92">
        <v>4</v>
      </c>
      <c r="U92" s="48">
        <f>((O92*P92)+Q92+(R92*S92)+T92)/100</f>
        <v>0.12</v>
      </c>
      <c r="V92" s="47">
        <f>+(F92+M92)*U92</f>
        <v>3417.96</v>
      </c>
      <c r="W92" s="47">
        <f>+F92+M92+V92</f>
        <v>31900.96</v>
      </c>
    </row>
    <row r="93" spans="1:23" ht="12.75">
      <c r="A93" s="37" t="s">
        <v>1140</v>
      </c>
      <c r="B93" t="s">
        <v>649</v>
      </c>
      <c r="C93" s="63">
        <v>25000</v>
      </c>
      <c r="D93" s="35"/>
      <c r="E93" s="35"/>
      <c r="F93" s="47">
        <f t="shared" si="18"/>
        <v>25000</v>
      </c>
      <c r="G93" s="40">
        <v>80</v>
      </c>
      <c r="H93" s="40"/>
      <c r="I93" s="40"/>
      <c r="J93" s="40">
        <v>120</v>
      </c>
      <c r="K93" s="40"/>
      <c r="L93" s="40"/>
      <c r="M93" s="47">
        <f>$G$3*G93+$H$3*H93+$I$3*I93+$J$3*J93+$K$3*K93+$L$3*L93</f>
        <v>11672</v>
      </c>
      <c r="N93" s="47">
        <f>M93+F93</f>
        <v>36672</v>
      </c>
      <c r="O93">
        <v>1</v>
      </c>
      <c r="P93">
        <v>2</v>
      </c>
      <c r="Q93">
        <v>12</v>
      </c>
      <c r="R93">
        <v>1</v>
      </c>
      <c r="S93">
        <v>2</v>
      </c>
      <c r="T93">
        <v>8</v>
      </c>
      <c r="U93" s="48">
        <f>((O93*P93)+Q93+(R93*S93)+T93)/100</f>
        <v>0.24</v>
      </c>
      <c r="V93" s="47">
        <f>+(F93+M93)*U93</f>
        <v>8801.279999999999</v>
      </c>
      <c r="W93" s="47">
        <f>+F93+M93+V93</f>
        <v>45473.28</v>
      </c>
    </row>
    <row r="94" spans="1:23" ht="12.75">
      <c r="A94" s="37" t="s">
        <v>1141</v>
      </c>
      <c r="B94" t="s">
        <v>696</v>
      </c>
      <c r="C94" s="63">
        <v>4000</v>
      </c>
      <c r="D94" s="35"/>
      <c r="E94" s="35"/>
      <c r="F94" s="47">
        <f aca="true" t="shared" si="24" ref="F94:F107">SUM(C94:E94)</f>
        <v>4000</v>
      </c>
      <c r="G94" s="40"/>
      <c r="H94" s="40"/>
      <c r="I94" s="40"/>
      <c r="J94" s="40"/>
      <c r="K94" s="40"/>
      <c r="L94" s="40"/>
      <c r="M94" s="47"/>
      <c r="N94" s="47"/>
      <c r="U94" s="48"/>
      <c r="V94" s="47"/>
      <c r="W94" s="47"/>
    </row>
    <row r="95" spans="1:23" ht="12.75">
      <c r="A95" s="37"/>
      <c r="B95" s="8"/>
      <c r="C95" s="35"/>
      <c r="D95" s="35"/>
      <c r="E95" s="35"/>
      <c r="F95" s="47">
        <f t="shared" si="24"/>
        <v>0</v>
      </c>
      <c r="G95" s="40"/>
      <c r="H95" s="40"/>
      <c r="I95" s="40"/>
      <c r="J95" s="40"/>
      <c r="K95" s="40"/>
      <c r="L95" s="40"/>
      <c r="M95" s="47">
        <f aca="true" t="shared" si="25" ref="M95:M107">$G$3*G95+$H$3*H95+$I$3*I95+$J$3*J95+$K$3*K95+$L$3*L95</f>
        <v>0</v>
      </c>
      <c r="N95" s="47">
        <f aca="true" t="shared" si="26" ref="N95:N107">M95+F95</f>
        <v>0</v>
      </c>
      <c r="U95" s="48">
        <f aca="true" t="shared" si="27" ref="U95:U107">((O95*P95)+Q95+(R95*S95)+T95)/100</f>
        <v>0</v>
      </c>
      <c r="V95" s="47">
        <f aca="true" t="shared" si="28" ref="V95:V103">+(F95+M95)*U95</f>
        <v>0</v>
      </c>
      <c r="W95" s="47">
        <f aca="true" t="shared" si="29" ref="W95:W107">+F95+M95+V95</f>
        <v>0</v>
      </c>
    </row>
    <row r="96" spans="1:23" ht="12.75">
      <c r="A96" s="37" t="s">
        <v>1088</v>
      </c>
      <c r="B96" s="8" t="s">
        <v>542</v>
      </c>
      <c r="C96" s="35"/>
      <c r="D96" s="35"/>
      <c r="E96" s="35"/>
      <c r="F96" s="47">
        <f t="shared" si="24"/>
        <v>0</v>
      </c>
      <c r="G96" s="40"/>
      <c r="H96" s="40"/>
      <c r="I96" s="40"/>
      <c r="J96" s="40"/>
      <c r="K96" s="40"/>
      <c r="L96" s="40"/>
      <c r="M96" s="47">
        <f t="shared" si="25"/>
        <v>0</v>
      </c>
      <c r="N96" s="47">
        <f t="shared" si="26"/>
        <v>0</v>
      </c>
      <c r="U96" s="48">
        <f t="shared" si="27"/>
        <v>0</v>
      </c>
      <c r="V96" s="47">
        <f t="shared" si="28"/>
        <v>0</v>
      </c>
      <c r="W96" s="47">
        <f t="shared" si="29"/>
        <v>0</v>
      </c>
    </row>
    <row r="97" spans="1:23" ht="12.75">
      <c r="A97" s="37" t="s">
        <v>1137</v>
      </c>
      <c r="B97" s="10" t="s">
        <v>543</v>
      </c>
      <c r="C97" s="35"/>
      <c r="D97" s="35"/>
      <c r="E97" s="35"/>
      <c r="F97" s="47">
        <f>SUM(C97:E97)</f>
        <v>0</v>
      </c>
      <c r="G97" s="40"/>
      <c r="H97" s="40"/>
      <c r="I97" s="40"/>
      <c r="J97" s="40"/>
      <c r="K97" s="40"/>
      <c r="L97" s="40"/>
      <c r="M97" s="47">
        <f>$G$3*G97+$H$3*H97+$I$3*I97+$J$3*J97+$K$3*K97+$L$3*L97</f>
        <v>0</v>
      </c>
      <c r="N97" s="47">
        <f>M97+F97</f>
        <v>0</v>
      </c>
      <c r="U97" s="48">
        <f>((O97*P97)+Q97+(R97*S97)+T97)/100</f>
        <v>0</v>
      </c>
      <c r="V97" s="47">
        <f>+(F97+M97)*U97</f>
        <v>0</v>
      </c>
      <c r="W97" s="47">
        <f>+F97+M97+V97</f>
        <v>0</v>
      </c>
    </row>
    <row r="98" spans="1:23" ht="12.75">
      <c r="A98" s="37" t="s">
        <v>1138</v>
      </c>
      <c r="B98" t="s">
        <v>656</v>
      </c>
      <c r="C98" s="63">
        <v>30000</v>
      </c>
      <c r="D98" s="35"/>
      <c r="E98" s="35"/>
      <c r="F98" s="47">
        <f>SUM(C98:E98)</f>
        <v>30000</v>
      </c>
      <c r="G98" s="5">
        <v>80</v>
      </c>
      <c r="H98" s="40"/>
      <c r="I98" s="40"/>
      <c r="J98" s="5">
        <v>160</v>
      </c>
      <c r="K98" s="40"/>
      <c r="L98" s="40"/>
      <c r="M98" s="47">
        <f>$G$3*G98+$H$3*H98+$I$3*I98+$J$3*J98+$K$3*K98+$L$3*L98</f>
        <v>13772</v>
      </c>
      <c r="N98" s="47">
        <f>M98+F98</f>
        <v>43772</v>
      </c>
      <c r="O98">
        <v>1</v>
      </c>
      <c r="P98">
        <v>2</v>
      </c>
      <c r="Q98">
        <v>4</v>
      </c>
      <c r="R98">
        <v>1</v>
      </c>
      <c r="S98">
        <v>2</v>
      </c>
      <c r="T98">
        <v>8</v>
      </c>
      <c r="U98" s="48">
        <f>((O98*P98)+Q98+(R98*S98)+T98)/100</f>
        <v>0.16</v>
      </c>
      <c r="V98" s="47">
        <f>+(F98+M98)*U98</f>
        <v>7003.52</v>
      </c>
      <c r="W98" s="47">
        <f>+F98+M98+V98</f>
        <v>50775.520000000004</v>
      </c>
    </row>
    <row r="99" spans="1:23" ht="12.75">
      <c r="A99" s="37" t="s">
        <v>1144</v>
      </c>
      <c r="B99" t="s">
        <v>657</v>
      </c>
      <c r="C99" s="63"/>
      <c r="D99" s="35"/>
      <c r="E99" s="35"/>
      <c r="F99" s="47">
        <f>SUM(C99:E99)</f>
        <v>0</v>
      </c>
      <c r="G99" s="5"/>
      <c r="H99" s="40"/>
      <c r="I99" s="40"/>
      <c r="J99" s="5"/>
      <c r="K99" s="40"/>
      <c r="L99" s="40"/>
      <c r="M99" s="47">
        <f>$G$3*G99+$H$3*H99+$I$3*I99+$J$3*J99+$K$3*K99+$L$3*L99</f>
        <v>0</v>
      </c>
      <c r="N99" s="47">
        <f>M99+F99</f>
        <v>0</v>
      </c>
      <c r="U99" s="48">
        <f>((O99*P99)+Q99+(R99*S99)+T99)/100</f>
        <v>0</v>
      </c>
      <c r="V99" s="47">
        <f>+(F99+M99)*U99</f>
        <v>0</v>
      </c>
      <c r="W99" s="47">
        <f>+F99+M99+V99</f>
        <v>0</v>
      </c>
    </row>
    <row r="100" spans="1:23" ht="12.75">
      <c r="A100" s="37" t="s">
        <v>1145</v>
      </c>
      <c r="B100" t="s">
        <v>649</v>
      </c>
      <c r="C100" s="63">
        <v>5000</v>
      </c>
      <c r="D100" s="35"/>
      <c r="E100" s="35"/>
      <c r="F100" s="47">
        <f>SUM(C100:E100)</f>
        <v>5000</v>
      </c>
      <c r="G100" s="5">
        <v>40</v>
      </c>
      <c r="H100" s="40"/>
      <c r="I100" s="40">
        <v>20</v>
      </c>
      <c r="J100" s="5">
        <v>100</v>
      </c>
      <c r="K100" s="40"/>
      <c r="L100" s="40"/>
      <c r="M100" s="47">
        <f>$G$3*G100+$H$3*H100+$I$3*I100+$J$3*J100+$K$3*K100+$L$3*L100</f>
        <v>9061</v>
      </c>
      <c r="N100" s="47">
        <f>M100+F100</f>
        <v>14061</v>
      </c>
      <c r="O100">
        <v>1</v>
      </c>
      <c r="P100">
        <v>2</v>
      </c>
      <c r="Q100">
        <v>8</v>
      </c>
      <c r="R100">
        <v>1</v>
      </c>
      <c r="S100">
        <v>2</v>
      </c>
      <c r="T100">
        <v>8</v>
      </c>
      <c r="U100" s="48">
        <f>((O100*P100)+Q100+(R100*S100)+T100)/100</f>
        <v>0.2</v>
      </c>
      <c r="V100" s="47">
        <f>+(F100+M100)*U100</f>
        <v>2812.2000000000003</v>
      </c>
      <c r="W100" s="47">
        <f>+F100+M100+V100</f>
        <v>16873.2</v>
      </c>
    </row>
    <row r="101" spans="1:23" ht="12.75">
      <c r="A101" s="37" t="s">
        <v>1146</v>
      </c>
      <c r="B101" t="s">
        <v>695</v>
      </c>
      <c r="C101" s="63">
        <v>10000</v>
      </c>
      <c r="D101" s="35"/>
      <c r="E101" s="35"/>
      <c r="F101" s="47">
        <f>SUM(C101:E101)</f>
        <v>10000</v>
      </c>
      <c r="G101" s="5">
        <v>20</v>
      </c>
      <c r="H101" s="40"/>
      <c r="I101" s="40"/>
      <c r="J101" s="5">
        <v>40</v>
      </c>
      <c r="K101" s="40"/>
      <c r="L101" s="40"/>
      <c r="M101" s="47">
        <f>$G$3*G101+$H$3*H101+$I$3*I101+$J$3*J101+$K$3*K101+$L$3*L101</f>
        <v>3443</v>
      </c>
      <c r="N101" s="47">
        <f>M101+F101</f>
        <v>13443</v>
      </c>
      <c r="O101">
        <v>1</v>
      </c>
      <c r="P101">
        <v>2</v>
      </c>
      <c r="Q101">
        <v>4</v>
      </c>
      <c r="R101">
        <v>1</v>
      </c>
      <c r="S101">
        <v>2</v>
      </c>
      <c r="T101">
        <v>8</v>
      </c>
      <c r="U101" s="48">
        <f>((O101*P101)+Q101+(R101*S101)+T101)/100</f>
        <v>0.16</v>
      </c>
      <c r="V101" s="47">
        <f>+(F101+M101)*U101</f>
        <v>2150.88</v>
      </c>
      <c r="W101" s="47">
        <f>+F101+M101+V101</f>
        <v>15593.880000000001</v>
      </c>
    </row>
    <row r="102" spans="1:23" ht="12.75">
      <c r="A102" s="37" t="s">
        <v>1147</v>
      </c>
      <c r="B102" t="s">
        <v>658</v>
      </c>
      <c r="C102" s="63">
        <v>500</v>
      </c>
      <c r="D102" s="35"/>
      <c r="E102" s="35"/>
      <c r="F102" s="47">
        <f t="shared" si="24"/>
        <v>500</v>
      </c>
      <c r="G102" s="5"/>
      <c r="H102" s="40"/>
      <c r="I102" s="40"/>
      <c r="J102" s="5">
        <v>20</v>
      </c>
      <c r="K102" s="40"/>
      <c r="L102" s="40"/>
      <c r="M102" s="47">
        <f t="shared" si="25"/>
        <v>1050</v>
      </c>
      <c r="N102" s="47">
        <f t="shared" si="26"/>
        <v>1550</v>
      </c>
      <c r="O102">
        <v>1</v>
      </c>
      <c r="P102">
        <v>2</v>
      </c>
      <c r="Q102">
        <v>2</v>
      </c>
      <c r="R102">
        <v>1</v>
      </c>
      <c r="S102">
        <v>2</v>
      </c>
      <c r="T102">
        <v>8</v>
      </c>
      <c r="U102" s="48">
        <f t="shared" si="27"/>
        <v>0.14</v>
      </c>
      <c r="V102" s="47">
        <f t="shared" si="28"/>
        <v>217.00000000000003</v>
      </c>
      <c r="W102" s="47">
        <f t="shared" si="29"/>
        <v>1767</v>
      </c>
    </row>
    <row r="103" spans="1:23" ht="12.75">
      <c r="A103" s="37"/>
      <c r="B103" s="8"/>
      <c r="C103" s="35"/>
      <c r="D103" s="35"/>
      <c r="E103" s="35"/>
      <c r="F103" s="47">
        <f t="shared" si="24"/>
        <v>0</v>
      </c>
      <c r="G103" s="40"/>
      <c r="H103" s="40"/>
      <c r="I103" s="40"/>
      <c r="J103" s="40"/>
      <c r="K103" s="40"/>
      <c r="L103" s="40"/>
      <c r="M103" s="47">
        <f t="shared" si="25"/>
        <v>0</v>
      </c>
      <c r="N103" s="47">
        <f t="shared" si="26"/>
        <v>0</v>
      </c>
      <c r="U103" s="48">
        <f t="shared" si="27"/>
        <v>0</v>
      </c>
      <c r="V103" s="47">
        <f t="shared" si="28"/>
        <v>0</v>
      </c>
      <c r="W103" s="47">
        <f t="shared" si="29"/>
        <v>0</v>
      </c>
    </row>
    <row r="104" spans="1:23" ht="12.75">
      <c r="A104" s="37"/>
      <c r="B104" s="8"/>
      <c r="C104" s="35"/>
      <c r="D104" s="35"/>
      <c r="E104" s="35"/>
      <c r="F104" s="47">
        <f t="shared" si="24"/>
        <v>0</v>
      </c>
      <c r="G104" s="40"/>
      <c r="H104" s="40"/>
      <c r="I104" s="40"/>
      <c r="J104" s="40"/>
      <c r="K104" s="40"/>
      <c r="L104" s="40"/>
      <c r="M104" s="47">
        <f t="shared" si="25"/>
        <v>0</v>
      </c>
      <c r="N104" s="47">
        <f t="shared" si="26"/>
        <v>0</v>
      </c>
      <c r="U104" s="48">
        <f t="shared" si="27"/>
        <v>0</v>
      </c>
      <c r="V104" s="47"/>
      <c r="W104" s="47">
        <f t="shared" si="29"/>
        <v>0</v>
      </c>
    </row>
    <row r="105" spans="1:23" ht="12.75">
      <c r="A105" s="37" t="s">
        <v>1087</v>
      </c>
      <c r="B105" s="8" t="s">
        <v>544</v>
      </c>
      <c r="D105" s="35"/>
      <c r="E105" s="35"/>
      <c r="F105" s="47">
        <f t="shared" si="24"/>
        <v>0</v>
      </c>
      <c r="K105" s="40"/>
      <c r="L105" s="40"/>
      <c r="M105" s="47">
        <f t="shared" si="25"/>
        <v>0</v>
      </c>
      <c r="N105" s="47">
        <f t="shared" si="26"/>
        <v>0</v>
      </c>
      <c r="U105" s="48">
        <f t="shared" si="27"/>
        <v>0</v>
      </c>
      <c r="V105" s="47">
        <f>+(F105+M105)*U105</f>
        <v>0</v>
      </c>
      <c r="W105" s="47">
        <f t="shared" si="29"/>
        <v>0</v>
      </c>
    </row>
    <row r="106" spans="1:23" ht="12.75">
      <c r="A106" s="37" t="s">
        <v>1148</v>
      </c>
      <c r="B106" s="10" t="s">
        <v>545</v>
      </c>
      <c r="C106" s="35">
        <v>15000</v>
      </c>
      <c r="D106" s="35"/>
      <c r="E106" s="35"/>
      <c r="F106" s="47">
        <f>SUM(C106:E106)</f>
        <v>15000</v>
      </c>
      <c r="G106" s="40">
        <v>40</v>
      </c>
      <c r="H106" s="40"/>
      <c r="I106" s="40"/>
      <c r="J106" s="40">
        <v>600</v>
      </c>
      <c r="K106" s="40"/>
      <c r="L106" s="40"/>
      <c r="M106" s="47">
        <f t="shared" si="25"/>
        <v>34186</v>
      </c>
      <c r="N106" s="47">
        <f t="shared" si="26"/>
        <v>49186</v>
      </c>
      <c r="O106">
        <v>1</v>
      </c>
      <c r="P106">
        <v>2</v>
      </c>
      <c r="Q106">
        <v>2</v>
      </c>
      <c r="R106">
        <v>1</v>
      </c>
      <c r="S106">
        <v>2</v>
      </c>
      <c r="T106">
        <v>8</v>
      </c>
      <c r="U106" s="48">
        <f t="shared" si="27"/>
        <v>0.14</v>
      </c>
      <c r="V106" s="47">
        <f>+(F106+M106)*U106</f>
        <v>6886.040000000001</v>
      </c>
      <c r="W106" s="47">
        <f t="shared" si="29"/>
        <v>56072.04</v>
      </c>
    </row>
    <row r="107" spans="1:23" ht="12.75">
      <c r="A107" s="37" t="s">
        <v>1149</v>
      </c>
      <c r="B107" s="10" t="s">
        <v>546</v>
      </c>
      <c r="C107" s="35">
        <v>10000</v>
      </c>
      <c r="D107" s="35"/>
      <c r="E107" s="35"/>
      <c r="F107" s="47">
        <f t="shared" si="24"/>
        <v>10000</v>
      </c>
      <c r="G107" s="40">
        <v>40</v>
      </c>
      <c r="H107" s="40"/>
      <c r="I107" s="40"/>
      <c r="J107" s="40">
        <v>160</v>
      </c>
      <c r="K107" s="40">
        <v>40</v>
      </c>
      <c r="L107" s="40"/>
      <c r="M107" s="47">
        <f t="shared" si="25"/>
        <v>13768</v>
      </c>
      <c r="N107" s="47">
        <f t="shared" si="26"/>
        <v>23768</v>
      </c>
      <c r="O107">
        <v>1</v>
      </c>
      <c r="P107">
        <v>2</v>
      </c>
      <c r="Q107">
        <v>2</v>
      </c>
      <c r="R107">
        <v>1</v>
      </c>
      <c r="S107">
        <v>2</v>
      </c>
      <c r="T107">
        <v>8</v>
      </c>
      <c r="U107" s="48">
        <f t="shared" si="27"/>
        <v>0.14</v>
      </c>
      <c r="V107" s="47">
        <f>+(F107+M107)*U107</f>
        <v>3327.5200000000004</v>
      </c>
      <c r="W107" s="47">
        <f t="shared" si="29"/>
        <v>27095.52</v>
      </c>
    </row>
    <row r="108" spans="1:23" ht="12.75">
      <c r="A108" s="37"/>
      <c r="B108" s="10"/>
      <c r="C108" s="35"/>
      <c r="D108" s="35"/>
      <c r="E108" s="35"/>
      <c r="F108" s="47"/>
      <c r="G108" s="40"/>
      <c r="H108" s="40"/>
      <c r="I108" s="40"/>
      <c r="J108" s="40"/>
      <c r="K108" s="40"/>
      <c r="L108" s="40"/>
      <c r="M108" s="47"/>
      <c r="N108" s="47"/>
      <c r="U108" s="48"/>
      <c r="V108" s="47"/>
      <c r="W108" s="47"/>
    </row>
    <row r="109" spans="1:24" ht="12.75">
      <c r="A109" s="37" t="s">
        <v>1081</v>
      </c>
      <c r="B109" s="8" t="s">
        <v>547</v>
      </c>
      <c r="C109" s="35"/>
      <c r="D109" s="35"/>
      <c r="E109" s="35"/>
      <c r="F109" s="47">
        <f aca="true" t="shared" si="30" ref="F109:F122">SUM(C109:E109)</f>
        <v>0</v>
      </c>
      <c r="G109" s="40"/>
      <c r="H109" s="40"/>
      <c r="I109" s="40"/>
      <c r="J109" s="40"/>
      <c r="K109" s="40"/>
      <c r="L109" s="40"/>
      <c r="M109" s="47">
        <f aca="true" t="shared" si="31" ref="M109:M127">$G$3*G109+$H$3*H109+$I$3*I109+$J$3*J109+$K$3*K109+$L$3*L109</f>
        <v>0</v>
      </c>
      <c r="N109" s="47"/>
      <c r="U109" s="48">
        <f aca="true" t="shared" si="32" ref="U109:U127">((O109*P109)+Q109+(R109*S109)+T109)/100</f>
        <v>0</v>
      </c>
      <c r="V109" s="47">
        <f aca="true" t="shared" si="33" ref="V109:V122">+(F109+M109)*U109</f>
        <v>0</v>
      </c>
      <c r="W109" s="47">
        <f aca="true" t="shared" si="34" ref="W109:W122">+F109+M109+V109</f>
        <v>0</v>
      </c>
      <c r="X109" s="132">
        <f>SUM(W109:W152)</f>
        <v>239159.29199999996</v>
      </c>
    </row>
    <row r="110" spans="1:23" ht="12.75">
      <c r="A110" s="37" t="s">
        <v>1089</v>
      </c>
      <c r="B110" s="8" t="s">
        <v>835</v>
      </c>
      <c r="C110" s="35"/>
      <c r="D110" s="35"/>
      <c r="E110" s="35"/>
      <c r="F110" s="47">
        <f t="shared" si="30"/>
        <v>0</v>
      </c>
      <c r="G110" s="40">
        <v>0</v>
      </c>
      <c r="H110" s="40">
        <v>0</v>
      </c>
      <c r="I110" s="40">
        <v>0</v>
      </c>
      <c r="J110" s="40">
        <v>0</v>
      </c>
      <c r="K110" s="40"/>
      <c r="L110" s="40"/>
      <c r="M110" s="47">
        <f t="shared" si="31"/>
        <v>0</v>
      </c>
      <c r="N110" s="47">
        <f>M110+F110</f>
        <v>0</v>
      </c>
      <c r="O110">
        <v>2</v>
      </c>
      <c r="P110">
        <v>2</v>
      </c>
      <c r="Q110">
        <v>3</v>
      </c>
      <c r="R110">
        <v>1</v>
      </c>
      <c r="S110">
        <v>1</v>
      </c>
      <c r="T110">
        <v>2</v>
      </c>
      <c r="U110" s="48">
        <f t="shared" si="32"/>
        <v>0.1</v>
      </c>
      <c r="V110" s="47">
        <f t="shared" si="33"/>
        <v>0</v>
      </c>
      <c r="W110" s="47">
        <f t="shared" si="34"/>
        <v>0</v>
      </c>
    </row>
    <row r="111" spans="1:23" ht="12.75">
      <c r="A111" s="37" t="s">
        <v>1119</v>
      </c>
      <c r="B111" s="10" t="s">
        <v>836</v>
      </c>
      <c r="C111" s="35"/>
      <c r="D111" s="35"/>
      <c r="E111" s="35"/>
      <c r="F111" s="47">
        <f t="shared" si="30"/>
        <v>0</v>
      </c>
      <c r="G111" s="40"/>
      <c r="H111" s="40"/>
      <c r="I111" s="40"/>
      <c r="J111" s="40">
        <v>600</v>
      </c>
      <c r="K111" s="40"/>
      <c r="L111" s="40"/>
      <c r="M111" s="47">
        <f t="shared" si="31"/>
        <v>31500</v>
      </c>
      <c r="N111" s="47">
        <f>M111+F111</f>
        <v>31500</v>
      </c>
      <c r="O111">
        <v>2</v>
      </c>
      <c r="P111">
        <v>2</v>
      </c>
      <c r="Q111">
        <v>3</v>
      </c>
      <c r="R111">
        <v>1</v>
      </c>
      <c r="S111">
        <v>1</v>
      </c>
      <c r="T111">
        <v>2</v>
      </c>
      <c r="U111" s="48">
        <f t="shared" si="32"/>
        <v>0.1</v>
      </c>
      <c r="V111" s="47">
        <f t="shared" si="33"/>
        <v>3150</v>
      </c>
      <c r="W111" s="47">
        <f t="shared" si="34"/>
        <v>34650</v>
      </c>
    </row>
    <row r="112" spans="1:23" ht="12.75">
      <c r="A112" s="37"/>
      <c r="B112" s="8"/>
      <c r="C112" s="35"/>
      <c r="D112" s="35"/>
      <c r="E112" s="35"/>
      <c r="F112" s="47">
        <f t="shared" si="30"/>
        <v>0</v>
      </c>
      <c r="G112" s="40"/>
      <c r="H112" s="40"/>
      <c r="I112" s="40"/>
      <c r="J112" s="40"/>
      <c r="K112" s="40"/>
      <c r="L112" s="40"/>
      <c r="M112" s="47">
        <f t="shared" si="31"/>
        <v>0</v>
      </c>
      <c r="N112" s="47"/>
      <c r="U112" s="48">
        <f t="shared" si="32"/>
        <v>0</v>
      </c>
      <c r="V112" s="47">
        <f t="shared" si="33"/>
        <v>0</v>
      </c>
      <c r="W112" s="47">
        <f t="shared" si="34"/>
        <v>0</v>
      </c>
    </row>
    <row r="113" spans="1:25" ht="12.75">
      <c r="A113" s="37" t="s">
        <v>1090</v>
      </c>
      <c r="B113" s="8" t="s">
        <v>548</v>
      </c>
      <c r="C113" s="35"/>
      <c r="D113" s="35"/>
      <c r="E113" s="35"/>
      <c r="F113" s="47">
        <f t="shared" si="30"/>
        <v>0</v>
      </c>
      <c r="G113" s="40"/>
      <c r="H113" s="40"/>
      <c r="I113" s="40"/>
      <c r="J113" s="40"/>
      <c r="K113" s="40"/>
      <c r="L113" s="40"/>
      <c r="M113" s="47">
        <f t="shared" si="31"/>
        <v>0</v>
      </c>
      <c r="N113" s="47"/>
      <c r="U113" s="48">
        <f t="shared" si="32"/>
        <v>0</v>
      </c>
      <c r="V113" s="47">
        <f t="shared" si="33"/>
        <v>0</v>
      </c>
      <c r="W113" s="47">
        <f t="shared" si="34"/>
        <v>0</v>
      </c>
      <c r="Y113" t="s">
        <v>549</v>
      </c>
    </row>
    <row r="114" spans="1:23" ht="12.75">
      <c r="A114" s="37" t="s">
        <v>1150</v>
      </c>
      <c r="B114" s="10" t="s">
        <v>550</v>
      </c>
      <c r="C114" s="35">
        <v>0</v>
      </c>
      <c r="D114" s="35"/>
      <c r="E114" s="35"/>
      <c r="F114" s="47">
        <f t="shared" si="30"/>
        <v>0</v>
      </c>
      <c r="G114" s="40">
        <v>320</v>
      </c>
      <c r="H114" s="40"/>
      <c r="I114" s="40">
        <v>0</v>
      </c>
      <c r="J114" s="40">
        <v>0</v>
      </c>
      <c r="K114" s="40">
        <v>0</v>
      </c>
      <c r="L114" s="40">
        <v>0</v>
      </c>
      <c r="M114" s="47">
        <f t="shared" si="31"/>
        <v>21488</v>
      </c>
      <c r="N114" s="47">
        <f aca="true" t="shared" si="35" ref="N114:N119">M114+F114</f>
        <v>21488</v>
      </c>
      <c r="O114">
        <v>2</v>
      </c>
      <c r="P114">
        <v>2</v>
      </c>
      <c r="Q114">
        <v>3</v>
      </c>
      <c r="R114">
        <v>2</v>
      </c>
      <c r="S114">
        <v>2</v>
      </c>
      <c r="T114">
        <v>8</v>
      </c>
      <c r="U114" s="48">
        <f t="shared" si="32"/>
        <v>0.19</v>
      </c>
      <c r="V114" s="47">
        <f t="shared" si="33"/>
        <v>4082.7200000000003</v>
      </c>
      <c r="W114" s="47">
        <f t="shared" si="34"/>
        <v>25570.72</v>
      </c>
    </row>
    <row r="115" spans="1:23" ht="12.75">
      <c r="A115" s="37" t="s">
        <v>1151</v>
      </c>
      <c r="B115" s="10" t="s">
        <v>551</v>
      </c>
      <c r="C115" s="35">
        <v>17000</v>
      </c>
      <c r="D115" s="35"/>
      <c r="E115" s="35"/>
      <c r="F115" s="47">
        <f>SUM(C115:E115)</f>
        <v>17000</v>
      </c>
      <c r="G115" s="40">
        <v>32</v>
      </c>
      <c r="H115" s="40"/>
      <c r="I115" s="40">
        <v>40</v>
      </c>
      <c r="J115" s="40">
        <v>240</v>
      </c>
      <c r="K115" s="40">
        <v>16</v>
      </c>
      <c r="L115" s="40">
        <v>0</v>
      </c>
      <c r="M115" s="47">
        <f>$G$3*G115+$H$3*H115+$I$3*I115+$J$3*J115+$K$3*K115+$L$3*L115</f>
        <v>18071.6</v>
      </c>
      <c r="N115" s="47">
        <f t="shared" si="35"/>
        <v>35071.6</v>
      </c>
      <c r="O115">
        <v>2</v>
      </c>
      <c r="P115">
        <v>2</v>
      </c>
      <c r="Q115">
        <v>3</v>
      </c>
      <c r="R115">
        <v>2</v>
      </c>
      <c r="S115">
        <v>2</v>
      </c>
      <c r="T115">
        <v>4</v>
      </c>
      <c r="U115" s="48">
        <f>((O115*P115)+Q115+(R115*S115)+T115)/100</f>
        <v>0.15</v>
      </c>
      <c r="V115" s="47">
        <f>+(F115+M115)*U115</f>
        <v>5260.74</v>
      </c>
      <c r="W115" s="47">
        <f>+F115+M115+V115</f>
        <v>40332.34</v>
      </c>
    </row>
    <row r="116" spans="1:23" ht="12.75">
      <c r="A116" s="37" t="s">
        <v>1152</v>
      </c>
      <c r="B116" s="10" t="s">
        <v>698</v>
      </c>
      <c r="C116" s="35">
        <v>11000</v>
      </c>
      <c r="D116" s="35"/>
      <c r="E116" s="35"/>
      <c r="F116" s="47">
        <f t="shared" si="30"/>
        <v>11000</v>
      </c>
      <c r="G116" s="40">
        <v>16</v>
      </c>
      <c r="H116" s="40"/>
      <c r="I116" s="40">
        <v>0</v>
      </c>
      <c r="J116" s="40">
        <v>40</v>
      </c>
      <c r="K116" s="40">
        <v>0</v>
      </c>
      <c r="L116" s="40">
        <v>0</v>
      </c>
      <c r="M116" s="47">
        <f t="shared" si="31"/>
        <v>3174.4</v>
      </c>
      <c r="N116" s="47">
        <f t="shared" si="35"/>
        <v>14174.4</v>
      </c>
      <c r="O116">
        <v>2</v>
      </c>
      <c r="P116">
        <v>2</v>
      </c>
      <c r="Q116">
        <v>3</v>
      </c>
      <c r="R116">
        <v>2</v>
      </c>
      <c r="S116">
        <v>2</v>
      </c>
      <c r="T116">
        <v>4</v>
      </c>
      <c r="U116" s="48">
        <f t="shared" si="32"/>
        <v>0.15</v>
      </c>
      <c r="V116" s="47">
        <f t="shared" si="33"/>
        <v>2126.16</v>
      </c>
      <c r="W116" s="47">
        <f t="shared" si="34"/>
        <v>16300.56</v>
      </c>
    </row>
    <row r="117" spans="1:23" ht="12.75">
      <c r="A117" s="37" t="s">
        <v>1153</v>
      </c>
      <c r="B117" s="10" t="s">
        <v>552</v>
      </c>
      <c r="C117" s="35">
        <v>10000</v>
      </c>
      <c r="D117" s="35"/>
      <c r="E117" s="35"/>
      <c r="F117" s="47">
        <f>SUM(C117:E117)</f>
        <v>10000</v>
      </c>
      <c r="G117" s="40"/>
      <c r="H117" s="40"/>
      <c r="I117" s="40">
        <v>0</v>
      </c>
      <c r="J117" s="40">
        <v>40</v>
      </c>
      <c r="K117" s="40">
        <v>0</v>
      </c>
      <c r="L117" s="40">
        <v>0</v>
      </c>
      <c r="M117" s="47">
        <f>$G$3*G117+$H$3*H117+$I$3*I117+$J$3*J117+$K$3*K117+$L$3*L117</f>
        <v>2100</v>
      </c>
      <c r="N117" s="47">
        <f t="shared" si="35"/>
        <v>12100</v>
      </c>
      <c r="O117">
        <v>2</v>
      </c>
      <c r="P117">
        <v>2</v>
      </c>
      <c r="Q117">
        <v>3</v>
      </c>
      <c r="R117">
        <v>2</v>
      </c>
      <c r="S117">
        <v>2</v>
      </c>
      <c r="T117">
        <v>4</v>
      </c>
      <c r="U117" s="48">
        <f>((O117*P117)+Q117+(R117*S117)+T117)/100</f>
        <v>0.15</v>
      </c>
      <c r="V117" s="47">
        <f>+(F117+M117)*U117</f>
        <v>1815</v>
      </c>
      <c r="W117" s="47">
        <f>+F117+M117+V117</f>
        <v>13915</v>
      </c>
    </row>
    <row r="118" spans="1:23" ht="12.75">
      <c r="A118" s="37" t="s">
        <v>1154</v>
      </c>
      <c r="B118" s="10" t="s">
        <v>553</v>
      </c>
      <c r="C118" s="35">
        <v>4000</v>
      </c>
      <c r="D118" s="35"/>
      <c r="E118" s="35"/>
      <c r="F118" s="47">
        <f>SUM(C118:E118)</f>
        <v>4000</v>
      </c>
      <c r="G118" s="40"/>
      <c r="H118" s="40"/>
      <c r="I118" s="40">
        <v>0</v>
      </c>
      <c r="J118" s="40">
        <v>40</v>
      </c>
      <c r="K118" s="40">
        <v>40</v>
      </c>
      <c r="L118" s="40">
        <v>0</v>
      </c>
      <c r="M118" s="47">
        <f>$G$3*G118+$H$3*H118+$I$3*I118+$J$3*J118+$K$3*K118+$L$3*L118</f>
        <v>4782</v>
      </c>
      <c r="N118" s="47">
        <f t="shared" si="35"/>
        <v>8782</v>
      </c>
      <c r="O118">
        <v>2</v>
      </c>
      <c r="P118">
        <v>2</v>
      </c>
      <c r="Q118">
        <v>3</v>
      </c>
      <c r="R118">
        <v>2</v>
      </c>
      <c r="S118">
        <v>2</v>
      </c>
      <c r="T118">
        <v>4</v>
      </c>
      <c r="U118" s="48">
        <f>((O118*P118)+Q118+(R118*S118)+T118)/100</f>
        <v>0.15</v>
      </c>
      <c r="V118" s="47">
        <f>+(F118+M118)*U118</f>
        <v>1317.3</v>
      </c>
      <c r="W118" s="47">
        <f>+F118+M118+V118</f>
        <v>10099.3</v>
      </c>
    </row>
    <row r="119" spans="1:23" ht="12.75">
      <c r="A119" s="37" t="s">
        <v>1155</v>
      </c>
      <c r="B119" s="10" t="s">
        <v>554</v>
      </c>
      <c r="C119" s="35">
        <v>7200</v>
      </c>
      <c r="D119" s="35"/>
      <c r="E119" s="35"/>
      <c r="F119" s="47">
        <f>SUM(C119:E119)</f>
        <v>7200</v>
      </c>
      <c r="G119" s="40">
        <v>16</v>
      </c>
      <c r="H119" s="40"/>
      <c r="I119" s="40">
        <v>0</v>
      </c>
      <c r="J119" s="40">
        <v>40</v>
      </c>
      <c r="K119" s="40">
        <v>0</v>
      </c>
      <c r="L119" s="40">
        <v>0</v>
      </c>
      <c r="M119" s="47">
        <f>$G$3*G119+$H$3*H119+$I$3*I119+$J$3*J119+$K$3*K119+$L$3*L119</f>
        <v>3174.4</v>
      </c>
      <c r="N119" s="47">
        <f t="shared" si="35"/>
        <v>10374.4</v>
      </c>
      <c r="O119">
        <v>2</v>
      </c>
      <c r="P119">
        <v>2</v>
      </c>
      <c r="Q119">
        <v>3</v>
      </c>
      <c r="R119">
        <v>2</v>
      </c>
      <c r="S119">
        <v>2</v>
      </c>
      <c r="T119">
        <v>4</v>
      </c>
      <c r="U119" s="48">
        <f>((O119*P119)+Q119+(R119*S119)+T119)/100</f>
        <v>0.15</v>
      </c>
      <c r="V119" s="47">
        <f>+(F119+M119)*U119</f>
        <v>1556.1599999999999</v>
      </c>
      <c r="W119" s="47">
        <f>+F119+M119+V119</f>
        <v>11930.56</v>
      </c>
    </row>
    <row r="120" spans="1:23" ht="12.75">
      <c r="A120" s="37"/>
      <c r="B120" s="8"/>
      <c r="C120" s="35"/>
      <c r="D120" s="35"/>
      <c r="E120" s="35"/>
      <c r="F120" s="47">
        <f t="shared" si="30"/>
        <v>0</v>
      </c>
      <c r="G120" s="40"/>
      <c r="H120" s="40"/>
      <c r="I120" s="40"/>
      <c r="J120" s="40"/>
      <c r="K120" s="40"/>
      <c r="L120" s="40"/>
      <c r="M120" s="47">
        <f t="shared" si="31"/>
        <v>0</v>
      </c>
      <c r="N120" s="47"/>
      <c r="U120" s="48">
        <f t="shared" si="32"/>
        <v>0</v>
      </c>
      <c r="V120" s="47">
        <f t="shared" si="33"/>
        <v>0</v>
      </c>
      <c r="W120" s="47">
        <f t="shared" si="34"/>
        <v>0</v>
      </c>
    </row>
    <row r="121" spans="1:23" ht="12.75">
      <c r="A121" s="37" t="s">
        <v>1091</v>
      </c>
      <c r="B121" s="8" t="s">
        <v>555</v>
      </c>
      <c r="C121" s="35"/>
      <c r="D121" s="35"/>
      <c r="E121" s="35"/>
      <c r="F121" s="47">
        <f t="shared" si="30"/>
        <v>0</v>
      </c>
      <c r="G121" s="40"/>
      <c r="H121" s="40"/>
      <c r="I121" s="40"/>
      <c r="J121" s="40"/>
      <c r="K121" s="40"/>
      <c r="L121" s="40"/>
      <c r="M121" s="47">
        <f t="shared" si="31"/>
        <v>0</v>
      </c>
      <c r="N121" s="47"/>
      <c r="U121" s="48">
        <f t="shared" si="32"/>
        <v>0</v>
      </c>
      <c r="V121" s="47">
        <f t="shared" si="33"/>
        <v>0</v>
      </c>
      <c r="W121" s="47">
        <f t="shared" si="34"/>
        <v>0</v>
      </c>
    </row>
    <row r="122" spans="1:25" ht="12.75">
      <c r="A122" s="37" t="s">
        <v>1156</v>
      </c>
      <c r="B122" s="10" t="s">
        <v>700</v>
      </c>
      <c r="C122" s="35">
        <v>0</v>
      </c>
      <c r="D122" s="35">
        <v>0</v>
      </c>
      <c r="E122" s="35"/>
      <c r="F122" s="47">
        <f t="shared" si="30"/>
        <v>0</v>
      </c>
      <c r="G122" s="40">
        <v>0</v>
      </c>
      <c r="H122" s="40"/>
      <c r="I122" s="40"/>
      <c r="J122" s="40">
        <v>0</v>
      </c>
      <c r="K122" s="40">
        <v>0</v>
      </c>
      <c r="L122" s="40"/>
      <c r="M122" s="47">
        <f t="shared" si="31"/>
        <v>0</v>
      </c>
      <c r="N122" s="47">
        <f>M122+F122</f>
        <v>0</v>
      </c>
      <c r="O122">
        <v>1</v>
      </c>
      <c r="P122">
        <v>2</v>
      </c>
      <c r="Q122">
        <v>3</v>
      </c>
      <c r="R122">
        <v>2</v>
      </c>
      <c r="S122">
        <v>1</v>
      </c>
      <c r="T122">
        <v>4</v>
      </c>
      <c r="U122" s="48">
        <f t="shared" si="32"/>
        <v>0.11</v>
      </c>
      <c r="V122" s="47">
        <f t="shared" si="33"/>
        <v>0</v>
      </c>
      <c r="W122" s="47">
        <f t="shared" si="34"/>
        <v>0</v>
      </c>
      <c r="Y122" t="s">
        <v>556</v>
      </c>
    </row>
    <row r="123" spans="1:23" ht="12.75">
      <c r="A123" s="37" t="s">
        <v>1157</v>
      </c>
      <c r="B123" s="10" t="s">
        <v>557</v>
      </c>
      <c r="C123" s="35">
        <v>1800</v>
      </c>
      <c r="D123" s="35"/>
      <c r="E123" s="35"/>
      <c r="F123" s="47"/>
      <c r="G123" s="40">
        <v>40</v>
      </c>
      <c r="H123" s="40"/>
      <c r="I123" s="40">
        <v>40</v>
      </c>
      <c r="J123" s="40">
        <v>240</v>
      </c>
      <c r="K123" s="40">
        <v>0</v>
      </c>
      <c r="L123" s="40"/>
      <c r="M123" s="47">
        <f t="shared" si="31"/>
        <v>17536</v>
      </c>
      <c r="N123" s="47">
        <f>M123+F123</f>
        <v>17536</v>
      </c>
      <c r="O123">
        <v>1</v>
      </c>
      <c r="P123" s="40">
        <v>2</v>
      </c>
      <c r="Q123">
        <v>3</v>
      </c>
      <c r="R123" s="40">
        <v>2</v>
      </c>
      <c r="S123" s="40">
        <v>1</v>
      </c>
      <c r="T123" s="40">
        <v>4</v>
      </c>
      <c r="U123" s="48">
        <f t="shared" si="32"/>
        <v>0.11</v>
      </c>
      <c r="V123" s="47"/>
      <c r="W123" s="47"/>
    </row>
    <row r="124" spans="1:23" ht="12.75">
      <c r="A124" s="37" t="s">
        <v>1158</v>
      </c>
      <c r="B124" s="10" t="s">
        <v>558</v>
      </c>
      <c r="C124" s="35">
        <v>600</v>
      </c>
      <c r="D124" s="35"/>
      <c r="E124" s="35"/>
      <c r="F124" s="47">
        <f>SUM(C124:E124)</f>
        <v>600</v>
      </c>
      <c r="G124" s="40"/>
      <c r="H124" s="40"/>
      <c r="I124" s="40">
        <v>0</v>
      </c>
      <c r="J124" s="40">
        <v>24</v>
      </c>
      <c r="K124" s="40">
        <v>0</v>
      </c>
      <c r="L124" s="40"/>
      <c r="M124" s="47">
        <f t="shared" si="31"/>
        <v>1260</v>
      </c>
      <c r="N124" s="47">
        <f>M124+F124</f>
        <v>1860</v>
      </c>
      <c r="O124">
        <v>1</v>
      </c>
      <c r="P124" s="40">
        <v>2</v>
      </c>
      <c r="Q124">
        <v>3</v>
      </c>
      <c r="R124" s="40">
        <v>2</v>
      </c>
      <c r="S124" s="40">
        <v>1</v>
      </c>
      <c r="T124" s="40">
        <v>4</v>
      </c>
      <c r="U124" s="48">
        <f t="shared" si="32"/>
        <v>0.11</v>
      </c>
      <c r="V124" s="47">
        <f>+(F124+M124)*U124</f>
        <v>204.6</v>
      </c>
      <c r="W124" s="47">
        <f>+F124+M124+V124</f>
        <v>2064.6</v>
      </c>
    </row>
    <row r="125" spans="1:23" ht="12.75">
      <c r="A125" s="37" t="s">
        <v>1159</v>
      </c>
      <c r="B125" s="10" t="s">
        <v>559</v>
      </c>
      <c r="C125" s="35">
        <v>240</v>
      </c>
      <c r="D125" s="35"/>
      <c r="E125" s="35"/>
      <c r="F125" s="47">
        <f>SUM(C125:E125)</f>
        <v>240</v>
      </c>
      <c r="G125" s="40"/>
      <c r="H125" s="40"/>
      <c r="I125" s="40">
        <v>0</v>
      </c>
      <c r="J125" s="40">
        <v>24</v>
      </c>
      <c r="K125" s="40">
        <v>0</v>
      </c>
      <c r="L125" s="40"/>
      <c r="M125" s="47">
        <f t="shared" si="31"/>
        <v>1260</v>
      </c>
      <c r="N125" s="47">
        <f>M125+F125</f>
        <v>1500</v>
      </c>
      <c r="O125">
        <v>1</v>
      </c>
      <c r="P125" s="40">
        <v>2</v>
      </c>
      <c r="Q125">
        <v>3</v>
      </c>
      <c r="R125" s="40">
        <v>2</v>
      </c>
      <c r="S125" s="40">
        <v>1</v>
      </c>
      <c r="T125" s="40">
        <v>4</v>
      </c>
      <c r="U125" s="48">
        <f t="shared" si="32"/>
        <v>0.11</v>
      </c>
      <c r="V125" s="47">
        <f>+(F125+M125)*U125</f>
        <v>165</v>
      </c>
      <c r="W125" s="47">
        <f>+F125+M125+V125</f>
        <v>1665</v>
      </c>
    </row>
    <row r="126" spans="1:23" ht="12.75">
      <c r="A126" s="37" t="s">
        <v>1160</v>
      </c>
      <c r="B126" s="10" t="s">
        <v>560</v>
      </c>
      <c r="C126" s="35">
        <v>400</v>
      </c>
      <c r="D126" s="35">
        <v>0</v>
      </c>
      <c r="E126" s="35"/>
      <c r="F126" s="47">
        <f>SUM(C126:E126)</f>
        <v>400</v>
      </c>
      <c r="G126" s="40">
        <v>8</v>
      </c>
      <c r="H126" s="40"/>
      <c r="I126" s="40">
        <v>0</v>
      </c>
      <c r="J126" s="40">
        <v>40</v>
      </c>
      <c r="K126" s="40">
        <v>0</v>
      </c>
      <c r="L126" s="40">
        <v>0</v>
      </c>
      <c r="M126" s="47">
        <f t="shared" si="31"/>
        <v>2637.2</v>
      </c>
      <c r="N126" s="47">
        <f>M126+F126</f>
        <v>3037.2</v>
      </c>
      <c r="O126">
        <v>1</v>
      </c>
      <c r="P126" s="40">
        <v>2</v>
      </c>
      <c r="Q126">
        <v>3</v>
      </c>
      <c r="R126" s="40">
        <v>2</v>
      </c>
      <c r="S126" s="40">
        <v>1</v>
      </c>
      <c r="T126" s="40">
        <v>4</v>
      </c>
      <c r="U126" s="48">
        <f t="shared" si="32"/>
        <v>0.11</v>
      </c>
      <c r="V126" s="47">
        <f>+(F126+M126)*U126</f>
        <v>334.092</v>
      </c>
      <c r="W126" s="47">
        <f>+F126+M126+V126</f>
        <v>3371.292</v>
      </c>
    </row>
    <row r="127" spans="1:23" ht="12.75">
      <c r="A127" s="37" t="s">
        <v>1161</v>
      </c>
      <c r="B127" s="10" t="s">
        <v>561</v>
      </c>
      <c r="C127" s="35">
        <v>9000</v>
      </c>
      <c r="D127" s="35"/>
      <c r="E127" s="35"/>
      <c r="F127" s="47">
        <f>SUM(C127:E127)</f>
        <v>9000</v>
      </c>
      <c r="G127" s="40"/>
      <c r="H127" s="40"/>
      <c r="I127" s="40"/>
      <c r="J127" s="40">
        <v>40</v>
      </c>
      <c r="K127" s="40">
        <v>40</v>
      </c>
      <c r="L127" s="40"/>
      <c r="M127" s="47">
        <f t="shared" si="31"/>
        <v>4782</v>
      </c>
      <c r="N127" s="47"/>
      <c r="O127">
        <v>1</v>
      </c>
      <c r="P127" s="40">
        <v>2</v>
      </c>
      <c r="Q127">
        <v>3</v>
      </c>
      <c r="R127" s="40">
        <v>2</v>
      </c>
      <c r="S127" s="40">
        <v>2</v>
      </c>
      <c r="T127" s="40">
        <v>4</v>
      </c>
      <c r="U127" s="48">
        <f t="shared" si="32"/>
        <v>0.13</v>
      </c>
      <c r="V127" s="47">
        <f>+(F127+M127)*U127</f>
        <v>1791.66</v>
      </c>
      <c r="W127" s="47">
        <f>+F127+M127+V127</f>
        <v>15573.66</v>
      </c>
    </row>
    <row r="128" spans="1:23" ht="12.75">
      <c r="A128" s="37"/>
      <c r="B128" s="8"/>
      <c r="C128" s="35"/>
      <c r="D128" s="35"/>
      <c r="E128" s="35"/>
      <c r="F128" s="47"/>
      <c r="G128" s="40"/>
      <c r="H128" s="40"/>
      <c r="I128" s="40"/>
      <c r="J128" s="40"/>
      <c r="K128" s="40"/>
      <c r="L128" s="40"/>
      <c r="M128" s="47"/>
      <c r="N128" s="47"/>
      <c r="U128" s="48"/>
      <c r="V128" s="47"/>
      <c r="W128" s="47"/>
    </row>
    <row r="129" spans="1:23" ht="12.75">
      <c r="A129" s="37" t="s">
        <v>1092</v>
      </c>
      <c r="B129" s="8" t="s">
        <v>650</v>
      </c>
      <c r="C129" s="35"/>
      <c r="D129" s="35"/>
      <c r="E129" s="35"/>
      <c r="F129" s="47">
        <f aca="true" t="shared" si="36" ref="F129:F136">SUM(C129:E129)</f>
        <v>0</v>
      </c>
      <c r="G129" s="40"/>
      <c r="H129" s="40"/>
      <c r="I129" s="40"/>
      <c r="J129" s="40">
        <v>80</v>
      </c>
      <c r="K129" s="40">
        <v>40</v>
      </c>
      <c r="L129" s="40">
        <v>0</v>
      </c>
      <c r="M129" s="47">
        <f aca="true" t="shared" si="37" ref="M129:M136">$G$3*G129+$H$3*H129+$I$3*I129+$J$3*J129+$K$3*K129+$L$3*L129</f>
        <v>6882</v>
      </c>
      <c r="N129" s="47"/>
      <c r="U129" s="48">
        <f aca="true" t="shared" si="38" ref="U129:U136">((O129*P129)+Q129+(R129*S129)+T129)/100</f>
        <v>0</v>
      </c>
      <c r="V129" s="47">
        <f aca="true" t="shared" si="39" ref="V129:V136">+(F129+M129)*U129</f>
        <v>0</v>
      </c>
      <c r="W129" s="47">
        <f aca="true" t="shared" si="40" ref="W129:W136">+F129+M129+V129</f>
        <v>6882</v>
      </c>
    </row>
    <row r="130" spans="1:23" ht="12.75">
      <c r="A130" s="37" t="s">
        <v>1162</v>
      </c>
      <c r="B130" s="10" t="s">
        <v>562</v>
      </c>
      <c r="C130" s="35">
        <v>1500</v>
      </c>
      <c r="D130" s="35"/>
      <c r="E130" s="35"/>
      <c r="F130" s="47">
        <f t="shared" si="36"/>
        <v>1500</v>
      </c>
      <c r="G130" s="40">
        <v>0</v>
      </c>
      <c r="H130" s="40"/>
      <c r="I130" s="40"/>
      <c r="J130" s="40">
        <v>0</v>
      </c>
      <c r="K130" s="40"/>
      <c r="L130" s="40">
        <v>0</v>
      </c>
      <c r="M130" s="47">
        <f t="shared" si="37"/>
        <v>0</v>
      </c>
      <c r="N130" s="47">
        <f aca="true" t="shared" si="41" ref="N130:N135">M130+F130</f>
        <v>1500</v>
      </c>
      <c r="O130">
        <v>0</v>
      </c>
      <c r="P130">
        <v>2</v>
      </c>
      <c r="Q130">
        <v>3</v>
      </c>
      <c r="R130">
        <v>2</v>
      </c>
      <c r="S130">
        <v>2</v>
      </c>
      <c r="T130">
        <v>4</v>
      </c>
      <c r="U130" s="48">
        <f t="shared" si="38"/>
        <v>0.11</v>
      </c>
      <c r="V130" s="47">
        <f t="shared" si="39"/>
        <v>165</v>
      </c>
      <c r="W130" s="47">
        <f t="shared" si="40"/>
        <v>1665</v>
      </c>
    </row>
    <row r="131" spans="1:23" ht="12.75">
      <c r="A131" s="37" t="s">
        <v>1163</v>
      </c>
      <c r="B131" s="10" t="s">
        <v>563</v>
      </c>
      <c r="C131" s="35">
        <v>1500</v>
      </c>
      <c r="D131" s="35"/>
      <c r="E131" s="35"/>
      <c r="F131" s="47">
        <f t="shared" si="36"/>
        <v>1500</v>
      </c>
      <c r="G131" s="40">
        <v>0</v>
      </c>
      <c r="H131" s="40"/>
      <c r="I131" s="40">
        <v>0</v>
      </c>
      <c r="J131" s="40">
        <v>0</v>
      </c>
      <c r="K131" s="40"/>
      <c r="L131" s="40"/>
      <c r="M131" s="47">
        <f t="shared" si="37"/>
        <v>0</v>
      </c>
      <c r="N131" s="47">
        <f t="shared" si="41"/>
        <v>1500</v>
      </c>
      <c r="O131">
        <v>0</v>
      </c>
      <c r="P131" s="40">
        <v>2</v>
      </c>
      <c r="Q131">
        <v>3</v>
      </c>
      <c r="R131" s="40">
        <v>2</v>
      </c>
      <c r="S131" s="40">
        <v>1</v>
      </c>
      <c r="T131" s="40">
        <v>4</v>
      </c>
      <c r="U131" s="48">
        <f t="shared" si="38"/>
        <v>0.09</v>
      </c>
      <c r="V131" s="47">
        <f t="shared" si="39"/>
        <v>135</v>
      </c>
      <c r="W131" s="47">
        <f t="shared" si="40"/>
        <v>1635</v>
      </c>
    </row>
    <row r="132" spans="1:23" ht="12.75">
      <c r="A132" s="37" t="s">
        <v>1164</v>
      </c>
      <c r="B132" s="10" t="s">
        <v>564</v>
      </c>
      <c r="C132" s="35">
        <v>1350</v>
      </c>
      <c r="D132" s="35"/>
      <c r="E132" s="35"/>
      <c r="F132" s="47">
        <f t="shared" si="36"/>
        <v>1350</v>
      </c>
      <c r="G132" s="40">
        <v>0</v>
      </c>
      <c r="H132" s="40"/>
      <c r="I132" s="40"/>
      <c r="J132" s="40">
        <v>0</v>
      </c>
      <c r="K132" s="40"/>
      <c r="L132" s="40">
        <v>0</v>
      </c>
      <c r="M132" s="47">
        <f t="shared" si="37"/>
        <v>0</v>
      </c>
      <c r="N132" s="47">
        <f t="shared" si="41"/>
        <v>1350</v>
      </c>
      <c r="O132">
        <v>0</v>
      </c>
      <c r="P132" s="40">
        <v>2</v>
      </c>
      <c r="Q132">
        <v>3</v>
      </c>
      <c r="R132" s="40">
        <v>2</v>
      </c>
      <c r="S132" s="40">
        <v>1</v>
      </c>
      <c r="T132" s="40">
        <v>4</v>
      </c>
      <c r="U132" s="48">
        <f t="shared" si="38"/>
        <v>0.09</v>
      </c>
      <c r="V132" s="47">
        <f t="shared" si="39"/>
        <v>121.5</v>
      </c>
      <c r="W132" s="47">
        <f t="shared" si="40"/>
        <v>1471.5</v>
      </c>
    </row>
    <row r="133" spans="1:23" ht="12.75">
      <c r="A133" s="37" t="s">
        <v>1165</v>
      </c>
      <c r="B133" s="10" t="s">
        <v>565</v>
      </c>
      <c r="C133" s="35">
        <v>1050</v>
      </c>
      <c r="D133" s="35">
        <v>0</v>
      </c>
      <c r="E133" s="35"/>
      <c r="F133" s="47">
        <f t="shared" si="36"/>
        <v>1050</v>
      </c>
      <c r="G133" s="40">
        <v>0</v>
      </c>
      <c r="H133" s="40"/>
      <c r="I133" s="40">
        <v>0</v>
      </c>
      <c r="J133" s="40"/>
      <c r="K133" s="40"/>
      <c r="L133" s="40"/>
      <c r="M133" s="47">
        <f t="shared" si="37"/>
        <v>0</v>
      </c>
      <c r="N133" s="47">
        <f t="shared" si="41"/>
        <v>1050</v>
      </c>
      <c r="O133">
        <v>0</v>
      </c>
      <c r="P133" s="40">
        <v>2</v>
      </c>
      <c r="Q133">
        <v>3</v>
      </c>
      <c r="R133" s="40">
        <v>2</v>
      </c>
      <c r="S133" s="40">
        <v>1</v>
      </c>
      <c r="T133" s="40">
        <v>4</v>
      </c>
      <c r="U133" s="48">
        <f t="shared" si="38"/>
        <v>0.09</v>
      </c>
      <c r="V133" s="47">
        <f t="shared" si="39"/>
        <v>94.5</v>
      </c>
      <c r="W133" s="47">
        <f t="shared" si="40"/>
        <v>1144.5</v>
      </c>
    </row>
    <row r="134" spans="1:23" ht="12.75">
      <c r="A134" s="37" t="s">
        <v>1166</v>
      </c>
      <c r="B134" s="10" t="s">
        <v>566</v>
      </c>
      <c r="C134" s="35">
        <v>750</v>
      </c>
      <c r="D134" s="35">
        <v>0</v>
      </c>
      <c r="E134" s="35"/>
      <c r="F134" s="47">
        <f>SUM(C134:E134)</f>
        <v>750</v>
      </c>
      <c r="G134" s="40">
        <v>0</v>
      </c>
      <c r="H134" s="40"/>
      <c r="I134" s="40">
        <v>0</v>
      </c>
      <c r="J134" s="40"/>
      <c r="K134" s="40"/>
      <c r="L134" s="40"/>
      <c r="M134" s="47">
        <f>$G$3*G134+$H$3*H134+$I$3*I134+$J$3*J134+$K$3*K134+$L$3*L134</f>
        <v>0</v>
      </c>
      <c r="N134" s="47">
        <f t="shared" si="41"/>
        <v>750</v>
      </c>
      <c r="O134">
        <v>0</v>
      </c>
      <c r="P134" s="40">
        <v>2</v>
      </c>
      <c r="Q134">
        <v>3</v>
      </c>
      <c r="R134" s="40">
        <v>2</v>
      </c>
      <c r="S134" s="40">
        <v>1</v>
      </c>
      <c r="T134" s="40">
        <v>4</v>
      </c>
      <c r="U134" s="48">
        <f>((O134*P134)+Q134+(R134*S134)+T134)/100</f>
        <v>0.09</v>
      </c>
      <c r="V134" s="47">
        <f>+(F134+M134)*U134</f>
        <v>67.5</v>
      </c>
      <c r="W134" s="47">
        <f>+F134+M134+V134</f>
        <v>817.5</v>
      </c>
    </row>
    <row r="135" spans="1:23" ht="12.75">
      <c r="A135" s="37" t="s">
        <v>1167</v>
      </c>
      <c r="B135" s="10" t="s">
        <v>567</v>
      </c>
      <c r="C135" s="35">
        <v>450</v>
      </c>
      <c r="D135" s="35">
        <v>0</v>
      </c>
      <c r="E135" s="35"/>
      <c r="F135" s="47">
        <f>SUM(C135:E135)</f>
        <v>450</v>
      </c>
      <c r="G135" s="40">
        <v>0</v>
      </c>
      <c r="H135" s="40"/>
      <c r="I135" s="40">
        <v>0</v>
      </c>
      <c r="J135" s="40"/>
      <c r="K135" s="40"/>
      <c r="L135" s="40"/>
      <c r="M135" s="47">
        <f>$G$3*G135+$H$3*H135+$I$3*I135+$J$3*J135+$K$3*K135+$L$3*L135</f>
        <v>0</v>
      </c>
      <c r="N135" s="47">
        <f t="shared" si="41"/>
        <v>450</v>
      </c>
      <c r="O135">
        <v>0</v>
      </c>
      <c r="P135" s="40">
        <v>2</v>
      </c>
      <c r="Q135">
        <v>3</v>
      </c>
      <c r="R135" s="40">
        <v>2</v>
      </c>
      <c r="S135" s="40">
        <v>1</v>
      </c>
      <c r="T135" s="40">
        <v>4</v>
      </c>
      <c r="U135" s="48">
        <f>((O135*P135)+Q135+(R135*S135)+T135)/100</f>
        <v>0.09</v>
      </c>
      <c r="V135" s="47">
        <f>+(F135+M135)*U135</f>
        <v>40.5</v>
      </c>
      <c r="W135" s="47">
        <f>+F135+M135+V135</f>
        <v>490.5</v>
      </c>
    </row>
    <row r="136" spans="1:23" ht="12.75">
      <c r="A136" s="37"/>
      <c r="B136" s="8"/>
      <c r="C136" s="35"/>
      <c r="D136" s="35"/>
      <c r="E136" s="35"/>
      <c r="F136" s="47">
        <f t="shared" si="36"/>
        <v>0</v>
      </c>
      <c r="G136" s="40"/>
      <c r="H136" s="40"/>
      <c r="I136" s="40"/>
      <c r="J136" s="40"/>
      <c r="K136" s="40"/>
      <c r="L136" s="40"/>
      <c r="M136" s="47">
        <f t="shared" si="37"/>
        <v>0</v>
      </c>
      <c r="N136" s="47"/>
      <c r="U136" s="48">
        <f t="shared" si="38"/>
        <v>0</v>
      </c>
      <c r="V136" s="47">
        <f t="shared" si="39"/>
        <v>0</v>
      </c>
      <c r="W136" s="47">
        <f t="shared" si="40"/>
        <v>0</v>
      </c>
    </row>
    <row r="137" spans="1:23" ht="12.75">
      <c r="A137" s="37" t="s">
        <v>1093</v>
      </c>
      <c r="B137" s="8" t="s">
        <v>568</v>
      </c>
      <c r="C137" s="35"/>
      <c r="D137" s="35"/>
      <c r="E137" s="35"/>
      <c r="F137" s="47"/>
      <c r="G137" s="40"/>
      <c r="H137" s="40"/>
      <c r="I137" s="40"/>
      <c r="J137" s="40"/>
      <c r="K137" s="40"/>
      <c r="L137" s="40"/>
      <c r="M137" s="47"/>
      <c r="N137" s="47"/>
      <c r="U137" s="48"/>
      <c r="V137" s="47"/>
      <c r="W137" s="47"/>
    </row>
    <row r="138" spans="1:23" ht="12.75">
      <c r="A138" s="37" t="s">
        <v>1168</v>
      </c>
      <c r="B138" s="10" t="s">
        <v>569</v>
      </c>
      <c r="C138" s="35">
        <v>1200</v>
      </c>
      <c r="D138" s="35"/>
      <c r="E138" s="35"/>
      <c r="F138" s="47">
        <f>SUM(C138:E138)</f>
        <v>1200</v>
      </c>
      <c r="G138" s="40">
        <v>40</v>
      </c>
      <c r="H138" s="40"/>
      <c r="I138" s="40">
        <v>24</v>
      </c>
      <c r="J138" s="40">
        <v>80</v>
      </c>
      <c r="K138" s="40">
        <v>0</v>
      </c>
      <c r="L138" s="40"/>
      <c r="M138" s="47">
        <f>$G$3*G138+$H$3*H138+$I$3*I138+$J$3*J138+$K$3*K138+$L$3*L138</f>
        <v>8236</v>
      </c>
      <c r="N138" s="47">
        <f>M138+F138</f>
        <v>9436</v>
      </c>
      <c r="O138">
        <v>2</v>
      </c>
      <c r="P138">
        <v>2</v>
      </c>
      <c r="Q138">
        <v>3</v>
      </c>
      <c r="R138">
        <v>2</v>
      </c>
      <c r="S138">
        <v>2</v>
      </c>
      <c r="T138">
        <v>4</v>
      </c>
      <c r="U138" s="48">
        <f>((O138*P138)+Q138+(R138*S138)+T138)/100</f>
        <v>0.15</v>
      </c>
      <c r="V138" s="47">
        <f>+(F138+M138)*U138</f>
        <v>1415.3999999999999</v>
      </c>
      <c r="W138" s="47">
        <f>+F138+M138+V138</f>
        <v>10851.4</v>
      </c>
    </row>
    <row r="139" spans="1:23" ht="12.75">
      <c r="A139" s="37" t="s">
        <v>1169</v>
      </c>
      <c r="B139" s="10" t="s">
        <v>570</v>
      </c>
      <c r="C139" s="35">
        <v>500</v>
      </c>
      <c r="D139" s="35"/>
      <c r="E139" s="35"/>
      <c r="F139" s="47">
        <f>SUM(C139:E139)</f>
        <v>500</v>
      </c>
      <c r="G139" s="40"/>
      <c r="H139" s="40"/>
      <c r="I139" s="40"/>
      <c r="J139" s="40">
        <v>24</v>
      </c>
      <c r="K139" s="40">
        <v>0</v>
      </c>
      <c r="L139" s="40"/>
      <c r="M139" s="47">
        <f>$G$3*G139+$H$3*H139+$I$3*I139+$J$3*J139+$K$3*K139+$L$3*L139</f>
        <v>1260</v>
      </c>
      <c r="N139" s="47">
        <f>M139+F139</f>
        <v>1760</v>
      </c>
      <c r="O139">
        <v>2</v>
      </c>
      <c r="P139">
        <v>2</v>
      </c>
      <c r="Q139">
        <v>3</v>
      </c>
      <c r="R139">
        <v>2</v>
      </c>
      <c r="S139">
        <v>2</v>
      </c>
      <c r="T139">
        <v>4</v>
      </c>
      <c r="U139" s="48">
        <f>((O139*P139)+Q139+(R139*S139)+T139)/100</f>
        <v>0.15</v>
      </c>
      <c r="V139" s="47">
        <f>+(F139+M139)*U139</f>
        <v>264</v>
      </c>
      <c r="W139" s="47">
        <f>+F139+M139+V139</f>
        <v>2024</v>
      </c>
    </row>
    <row r="140" spans="1:23" ht="12.75">
      <c r="A140" s="37" t="s">
        <v>1170</v>
      </c>
      <c r="B140" s="10" t="s">
        <v>571</v>
      </c>
      <c r="C140" s="35">
        <v>500</v>
      </c>
      <c r="D140" s="35"/>
      <c r="E140" s="35"/>
      <c r="F140" s="47">
        <f>SUM(C140:E140)</f>
        <v>500</v>
      </c>
      <c r="G140" s="40"/>
      <c r="H140" s="40"/>
      <c r="I140" s="40"/>
      <c r="J140" s="40">
        <v>24</v>
      </c>
      <c r="K140" s="40">
        <v>0</v>
      </c>
      <c r="L140" s="40"/>
      <c r="M140" s="47">
        <f>$G$3*G140+$H$3*H140+$I$3*I140+$J$3*J140+$K$3*K140+$L$3*L140</f>
        <v>1260</v>
      </c>
      <c r="N140" s="47">
        <f>M140+F140</f>
        <v>1760</v>
      </c>
      <c r="O140">
        <v>2</v>
      </c>
      <c r="P140">
        <v>2</v>
      </c>
      <c r="Q140">
        <v>3</v>
      </c>
      <c r="R140">
        <v>2</v>
      </c>
      <c r="S140">
        <v>2</v>
      </c>
      <c r="T140">
        <v>4</v>
      </c>
      <c r="U140" s="48">
        <f>((O140*P140)+Q140+(R140*S140)+T140)/100</f>
        <v>0.15</v>
      </c>
      <c r="V140" s="47">
        <f>+(F140+M140)*U140</f>
        <v>264</v>
      </c>
      <c r="W140" s="47">
        <f>+F140+M140+V140</f>
        <v>2024</v>
      </c>
    </row>
    <row r="141" spans="1:23" ht="12.75">
      <c r="A141" s="37" t="s">
        <v>1171</v>
      </c>
      <c r="B141" s="10" t="s">
        <v>572</v>
      </c>
      <c r="C141" s="35">
        <v>1800</v>
      </c>
      <c r="D141" s="35">
        <v>0</v>
      </c>
      <c r="E141" s="35"/>
      <c r="F141" s="47">
        <f>SUM(C141:E141)</f>
        <v>1800</v>
      </c>
      <c r="G141" s="40"/>
      <c r="H141" s="40"/>
      <c r="I141" s="40"/>
      <c r="J141" s="40">
        <v>40</v>
      </c>
      <c r="K141" s="40">
        <v>0</v>
      </c>
      <c r="L141" s="40"/>
      <c r="M141" s="47">
        <f>$G$3*G141+$H$3*H141+$I$3*I141+$J$3*J141+$K$3*K141+$L$3*L141</f>
        <v>2100</v>
      </c>
      <c r="N141" s="47">
        <f>M141+F141</f>
        <v>3900</v>
      </c>
      <c r="O141">
        <v>2</v>
      </c>
      <c r="P141">
        <v>2</v>
      </c>
      <c r="Q141">
        <v>3</v>
      </c>
      <c r="R141">
        <v>2</v>
      </c>
      <c r="S141">
        <v>2</v>
      </c>
      <c r="T141">
        <v>4</v>
      </c>
      <c r="U141" s="48">
        <f>((O141*P141)+Q141+(R141*S141)+T141)/100</f>
        <v>0.15</v>
      </c>
      <c r="V141" s="47">
        <f>+(F141+M141)*U141</f>
        <v>585</v>
      </c>
      <c r="W141" s="47">
        <f>+F141+M141+V141</f>
        <v>4485</v>
      </c>
    </row>
    <row r="142" spans="1:23" ht="12.75">
      <c r="A142" s="37"/>
      <c r="B142" s="8"/>
      <c r="C142" s="35"/>
      <c r="D142" s="35"/>
      <c r="E142" s="35"/>
      <c r="F142" s="47">
        <f>SUM(C142:E142)</f>
        <v>0</v>
      </c>
      <c r="G142" s="40"/>
      <c r="H142" s="40"/>
      <c r="I142" s="40"/>
      <c r="J142" s="40"/>
      <c r="K142" s="40"/>
      <c r="L142" s="40"/>
      <c r="M142" s="47">
        <f>$G$3*G142+$H$3*H142+$I$3*I142+$J$3*J142+$K$3*K142+$L$3*L142</f>
        <v>0</v>
      </c>
      <c r="N142" s="47"/>
      <c r="U142" s="48">
        <f>((O142*P142)+Q142+(R142*S142)+T142)/100</f>
        <v>0</v>
      </c>
      <c r="V142" s="47">
        <f>+(F142+M142)*U142</f>
        <v>0</v>
      </c>
      <c r="W142" s="47">
        <f>+F142+M142+V142</f>
        <v>0</v>
      </c>
    </row>
    <row r="143" spans="1:25" ht="12.75">
      <c r="A143" s="37" t="s">
        <v>1109</v>
      </c>
      <c r="B143" s="8" t="s">
        <v>701</v>
      </c>
      <c r="C143" s="35"/>
      <c r="D143" s="35"/>
      <c r="E143" s="35"/>
      <c r="F143" s="47"/>
      <c r="G143" s="40"/>
      <c r="H143" s="40"/>
      <c r="I143" s="40"/>
      <c r="J143" s="40"/>
      <c r="K143" s="40"/>
      <c r="L143" s="40"/>
      <c r="M143" s="47"/>
      <c r="N143" s="47"/>
      <c r="U143" s="48"/>
      <c r="V143" s="47"/>
      <c r="W143" s="47"/>
      <c r="Y143" t="s">
        <v>573</v>
      </c>
    </row>
    <row r="144" spans="1:23" ht="12.75">
      <c r="A144" s="37" t="s">
        <v>1172</v>
      </c>
      <c r="B144" s="10" t="s">
        <v>574</v>
      </c>
      <c r="C144" s="35">
        <v>0</v>
      </c>
      <c r="D144" s="35"/>
      <c r="E144" s="35"/>
      <c r="F144" s="47">
        <f>SUM(C144:E144)</f>
        <v>0</v>
      </c>
      <c r="G144" s="40"/>
      <c r="H144" s="40"/>
      <c r="I144" s="40"/>
      <c r="J144" s="40">
        <v>0</v>
      </c>
      <c r="K144" s="40">
        <v>0</v>
      </c>
      <c r="L144" s="40"/>
      <c r="M144" s="47">
        <f>$G$3*G144+$H$3*H144+$I$3*I144+$J$3*J144+$K$3*K144+$L$3*L144</f>
        <v>0</v>
      </c>
      <c r="N144" s="47">
        <f>M144+F144</f>
        <v>0</v>
      </c>
      <c r="O144">
        <v>1</v>
      </c>
      <c r="P144">
        <v>2</v>
      </c>
      <c r="Q144">
        <v>3</v>
      </c>
      <c r="R144">
        <v>2</v>
      </c>
      <c r="S144">
        <v>2</v>
      </c>
      <c r="T144">
        <v>4</v>
      </c>
      <c r="U144" s="48">
        <f>((O144*P144)+Q144+(R144*S144)+T144)/100</f>
        <v>0.13</v>
      </c>
      <c r="V144" s="47">
        <f>+(F144+M144)*U144</f>
        <v>0</v>
      </c>
      <c r="W144" s="47">
        <f>+F144+M144+V144</f>
        <v>0</v>
      </c>
    </row>
    <row r="145" spans="1:23" ht="12.75">
      <c r="A145" s="37" t="s">
        <v>1173</v>
      </c>
      <c r="B145" s="10" t="s">
        <v>575</v>
      </c>
      <c r="C145" s="35">
        <v>0</v>
      </c>
      <c r="D145" s="35"/>
      <c r="E145" s="35"/>
      <c r="F145" s="47">
        <f>SUM(C145:E145)</f>
        <v>0</v>
      </c>
      <c r="G145" s="40"/>
      <c r="H145" s="40"/>
      <c r="I145" s="40"/>
      <c r="J145" s="40">
        <v>0</v>
      </c>
      <c r="K145" s="40">
        <v>0</v>
      </c>
      <c r="L145" s="40"/>
      <c r="M145" s="47">
        <f>$G$3*G145+$H$3*H145+$I$3*I145+$J$3*J145+$K$3*K145+$L$3*L145</f>
        <v>0</v>
      </c>
      <c r="N145" s="47">
        <f>M145+F145</f>
        <v>0</v>
      </c>
      <c r="O145">
        <v>1</v>
      </c>
      <c r="P145">
        <v>2</v>
      </c>
      <c r="Q145">
        <v>3</v>
      </c>
      <c r="R145">
        <v>2</v>
      </c>
      <c r="S145">
        <v>2</v>
      </c>
      <c r="T145">
        <v>4</v>
      </c>
      <c r="U145" s="48">
        <f>((O145*P145)+Q145+(R145*S145)+T145)/100</f>
        <v>0.13</v>
      </c>
      <c r="V145" s="47">
        <f>+(F145+M145)*U145</f>
        <v>0</v>
      </c>
      <c r="W145" s="47">
        <f>+F145+M145+V145</f>
        <v>0</v>
      </c>
    </row>
    <row r="146" spans="1:23" ht="12.75">
      <c r="A146" s="37" t="s">
        <v>1174</v>
      </c>
      <c r="B146" s="10" t="s">
        <v>576</v>
      </c>
      <c r="C146" s="35">
        <v>0</v>
      </c>
      <c r="D146" s="35"/>
      <c r="E146" s="35"/>
      <c r="F146" s="47">
        <f>SUM(C146:E146)</f>
        <v>0</v>
      </c>
      <c r="G146" s="40"/>
      <c r="H146" s="40"/>
      <c r="I146" s="40"/>
      <c r="J146" s="40">
        <v>0</v>
      </c>
      <c r="K146" s="40">
        <v>0</v>
      </c>
      <c r="L146" s="40"/>
      <c r="M146" s="47">
        <f>$G$3*G146+$H$3*H146+$I$3*I146+$J$3*J146+$K$3*K146+$L$3*L146</f>
        <v>0</v>
      </c>
      <c r="N146" s="47">
        <f>M146+F146</f>
        <v>0</v>
      </c>
      <c r="O146">
        <v>1</v>
      </c>
      <c r="P146">
        <v>2</v>
      </c>
      <c r="Q146">
        <v>3</v>
      </c>
      <c r="R146">
        <v>2</v>
      </c>
      <c r="S146">
        <v>2</v>
      </c>
      <c r="T146">
        <v>4</v>
      </c>
      <c r="U146" s="48">
        <f>((O146*P146)+Q146+(R146*S146)+T146)/100</f>
        <v>0.13</v>
      </c>
      <c r="V146" s="47">
        <f>+(F146+M146)*U146</f>
        <v>0</v>
      </c>
      <c r="W146" s="47">
        <f>+F146+M146+V146</f>
        <v>0</v>
      </c>
    </row>
    <row r="147" spans="1:23" ht="12.75">
      <c r="A147" s="37" t="s">
        <v>1175</v>
      </c>
      <c r="B147" s="10" t="s">
        <v>577</v>
      </c>
      <c r="C147" s="35">
        <v>0</v>
      </c>
      <c r="D147" s="35">
        <v>0</v>
      </c>
      <c r="E147" s="35"/>
      <c r="F147" s="47">
        <f>SUM(C147:E147)</f>
        <v>0</v>
      </c>
      <c r="G147" s="40"/>
      <c r="H147" s="40"/>
      <c r="I147" s="40"/>
      <c r="J147" s="40">
        <v>0</v>
      </c>
      <c r="K147" s="40">
        <v>0</v>
      </c>
      <c r="L147" s="40"/>
      <c r="M147" s="47">
        <f>$G$3*G147+$H$3*H147+$I$3*I147+$J$3*J147+$K$3*K147+$L$3*L147</f>
        <v>0</v>
      </c>
      <c r="N147" s="47">
        <f>M147+F147</f>
        <v>0</v>
      </c>
      <c r="O147">
        <v>1</v>
      </c>
      <c r="P147">
        <v>2</v>
      </c>
      <c r="Q147">
        <v>3</v>
      </c>
      <c r="R147">
        <v>2</v>
      </c>
      <c r="S147">
        <v>2</v>
      </c>
      <c r="T147">
        <v>4</v>
      </c>
      <c r="U147" s="48">
        <f>((O147*P147)+Q147+(R147*S147)+T147)/100</f>
        <v>0.13</v>
      </c>
      <c r="V147" s="47">
        <f>+(F147+M147)*U147</f>
        <v>0</v>
      </c>
      <c r="W147" s="47">
        <f>+F147+M147+V147</f>
        <v>0</v>
      </c>
    </row>
    <row r="148" spans="1:23" ht="12.75">
      <c r="A148" s="37"/>
      <c r="B148" s="8"/>
      <c r="C148" s="35"/>
      <c r="D148" s="35"/>
      <c r="E148" s="35"/>
      <c r="F148" s="47">
        <f>SUM(C148:E148)</f>
        <v>0</v>
      </c>
      <c r="G148" s="40"/>
      <c r="H148" s="40"/>
      <c r="I148" s="40"/>
      <c r="J148" s="40"/>
      <c r="K148" s="40"/>
      <c r="L148" s="40"/>
      <c r="M148" s="47">
        <f>$G$3*G148+$H$3*H148+$I$3*I148+$J$3*J148+$K$3*K148+$L$3*L148</f>
        <v>0</v>
      </c>
      <c r="N148" s="47"/>
      <c r="U148" s="48">
        <f>((O148*P148)+Q148+(R148*S148)+T148)/100</f>
        <v>0</v>
      </c>
      <c r="V148" s="47">
        <f>+(F148+M148)*U148</f>
        <v>0</v>
      </c>
      <c r="W148" s="47">
        <f>+F148+M148+V148</f>
        <v>0</v>
      </c>
    </row>
    <row r="149" spans="1:23" ht="12.75">
      <c r="A149" s="37" t="s">
        <v>1110</v>
      </c>
      <c r="B149" s="8" t="s">
        <v>578</v>
      </c>
      <c r="C149" s="35"/>
      <c r="D149" s="35"/>
      <c r="E149" s="35"/>
      <c r="F149" s="47"/>
      <c r="G149" s="40"/>
      <c r="H149" s="40"/>
      <c r="I149" s="40"/>
      <c r="J149" s="40"/>
      <c r="K149" s="40"/>
      <c r="L149" s="40"/>
      <c r="M149" s="47"/>
      <c r="N149" s="47"/>
      <c r="U149" s="48"/>
      <c r="V149" s="47"/>
      <c r="W149" s="47"/>
    </row>
    <row r="150" spans="1:23" ht="12.75">
      <c r="A150" s="37" t="s">
        <v>1176</v>
      </c>
      <c r="B150" s="10" t="s">
        <v>579</v>
      </c>
      <c r="C150" s="35">
        <v>300</v>
      </c>
      <c r="D150" s="35"/>
      <c r="E150" s="35"/>
      <c r="F150" s="47">
        <f aca="true" t="shared" si="42" ref="F150:F165">SUM(C150:E150)</f>
        <v>300</v>
      </c>
      <c r="G150" s="40">
        <v>80</v>
      </c>
      <c r="H150" s="40"/>
      <c r="I150" s="40">
        <v>40</v>
      </c>
      <c r="J150" s="40">
        <v>80</v>
      </c>
      <c r="K150" s="40">
        <v>0</v>
      </c>
      <c r="L150" s="40"/>
      <c r="M150" s="47">
        <f aca="true" t="shared" si="43" ref="M150:M165">$G$3*G150+$H$3*H150+$I$3*I150+$J$3*J150+$K$3*K150+$L$3*L150</f>
        <v>11822</v>
      </c>
      <c r="N150" s="47">
        <f>M150+F150</f>
        <v>12122</v>
      </c>
      <c r="O150">
        <v>1</v>
      </c>
      <c r="P150">
        <v>2</v>
      </c>
      <c r="Q150">
        <v>3</v>
      </c>
      <c r="R150">
        <v>2</v>
      </c>
      <c r="S150">
        <v>2</v>
      </c>
      <c r="T150">
        <v>4</v>
      </c>
      <c r="U150" s="48">
        <f aca="true" t="shared" si="44" ref="U150:U166">((O150*P150)+Q150+(R150*S150)+T150)/100</f>
        <v>0.13</v>
      </c>
      <c r="V150" s="47">
        <f aca="true" t="shared" si="45" ref="V150:V165">+(F150+M150)*U150</f>
        <v>1575.8600000000001</v>
      </c>
      <c r="W150" s="47">
        <f aca="true" t="shared" si="46" ref="W150:W165">+F150+M150+V150</f>
        <v>13697.86</v>
      </c>
    </row>
    <row r="151" spans="1:23" ht="12.75">
      <c r="A151" s="37" t="s">
        <v>1177</v>
      </c>
      <c r="B151" s="10" t="s">
        <v>580</v>
      </c>
      <c r="C151" s="35">
        <v>500</v>
      </c>
      <c r="D151" s="35"/>
      <c r="E151" s="35"/>
      <c r="F151" s="47">
        <f t="shared" si="42"/>
        <v>500</v>
      </c>
      <c r="G151" s="40"/>
      <c r="H151" s="40"/>
      <c r="I151" s="40"/>
      <c r="J151" s="40">
        <v>80</v>
      </c>
      <c r="K151" s="40">
        <v>0</v>
      </c>
      <c r="L151" s="40"/>
      <c r="M151" s="47">
        <f t="shared" si="43"/>
        <v>4200</v>
      </c>
      <c r="N151" s="47">
        <f>M151+F151</f>
        <v>4700</v>
      </c>
      <c r="O151">
        <v>1</v>
      </c>
      <c r="P151">
        <v>2</v>
      </c>
      <c r="Q151">
        <v>3</v>
      </c>
      <c r="R151">
        <v>2</v>
      </c>
      <c r="S151">
        <v>2</v>
      </c>
      <c r="T151">
        <v>4</v>
      </c>
      <c r="U151" s="48">
        <f t="shared" si="44"/>
        <v>0.13</v>
      </c>
      <c r="V151" s="47">
        <f t="shared" si="45"/>
        <v>611</v>
      </c>
      <c r="W151" s="47">
        <f t="shared" si="46"/>
        <v>5311</v>
      </c>
    </row>
    <row r="152" spans="1:23" ht="12.75">
      <c r="A152" s="37" t="s">
        <v>1178</v>
      </c>
      <c r="B152" s="10" t="s">
        <v>581</v>
      </c>
      <c r="C152" s="35">
        <v>1500</v>
      </c>
      <c r="D152" s="35"/>
      <c r="E152" s="35"/>
      <c r="F152" s="47">
        <f t="shared" si="42"/>
        <v>1500</v>
      </c>
      <c r="G152" s="40"/>
      <c r="H152" s="40"/>
      <c r="I152" s="40"/>
      <c r="J152" s="40">
        <v>160</v>
      </c>
      <c r="K152" s="40">
        <v>0</v>
      </c>
      <c r="L152" s="40"/>
      <c r="M152" s="47">
        <f t="shared" si="43"/>
        <v>8400</v>
      </c>
      <c r="N152" s="47">
        <f>M152+F152</f>
        <v>9900</v>
      </c>
      <c r="O152">
        <v>1</v>
      </c>
      <c r="P152">
        <v>2</v>
      </c>
      <c r="Q152">
        <v>3</v>
      </c>
      <c r="R152">
        <v>2</v>
      </c>
      <c r="S152">
        <v>2</v>
      </c>
      <c r="T152">
        <v>4</v>
      </c>
      <c r="U152" s="48">
        <f t="shared" si="44"/>
        <v>0.13</v>
      </c>
      <c r="V152" s="47">
        <f t="shared" si="45"/>
        <v>1287</v>
      </c>
      <c r="W152" s="47">
        <f t="shared" si="46"/>
        <v>11187</v>
      </c>
    </row>
    <row r="153" spans="1:23" ht="12.75">
      <c r="A153" s="37"/>
      <c r="B153" s="10"/>
      <c r="C153" s="35"/>
      <c r="D153" s="35"/>
      <c r="E153" s="35"/>
      <c r="F153" s="47"/>
      <c r="G153" s="40"/>
      <c r="H153" s="40"/>
      <c r="I153" s="40"/>
      <c r="J153" s="40"/>
      <c r="K153" s="40"/>
      <c r="L153" s="40"/>
      <c r="M153" s="47"/>
      <c r="N153" s="47"/>
      <c r="U153" s="48"/>
      <c r="V153" s="47"/>
      <c r="W153" s="47"/>
    </row>
    <row r="154" spans="1:24" ht="12.75">
      <c r="A154" s="37" t="s">
        <v>1459</v>
      </c>
      <c r="B154" s="60" t="s">
        <v>1458</v>
      </c>
      <c r="C154" s="35"/>
      <c r="D154" s="35"/>
      <c r="E154" s="35"/>
      <c r="F154" s="47"/>
      <c r="G154" s="40"/>
      <c r="H154" s="40"/>
      <c r="I154" s="40"/>
      <c r="J154" s="40"/>
      <c r="K154" s="40"/>
      <c r="L154" s="40"/>
      <c r="M154" s="47"/>
      <c r="N154" s="47"/>
      <c r="U154" s="48"/>
      <c r="V154" s="47"/>
      <c r="W154" s="47"/>
      <c r="X154" s="132">
        <f>SUM(W154:W158)</f>
        <v>234934.09600000002</v>
      </c>
    </row>
    <row r="155" spans="1:25" ht="12.75">
      <c r="A155" s="37"/>
      <c r="B155" s="11" t="s">
        <v>1593</v>
      </c>
      <c r="C155" s="63">
        <v>19020</v>
      </c>
      <c r="D155" s="63">
        <v>56540</v>
      </c>
      <c r="E155" s="35"/>
      <c r="F155" s="47">
        <f t="shared" si="42"/>
        <v>75560</v>
      </c>
      <c r="G155" s="40">
        <v>150</v>
      </c>
      <c r="H155" s="40"/>
      <c r="I155" s="40"/>
      <c r="J155" s="40">
        <v>120</v>
      </c>
      <c r="K155" s="40">
        <v>0</v>
      </c>
      <c r="L155" s="40"/>
      <c r="M155" s="47">
        <f>$G$3*G155+$H$3*H155+$I$3*I155+$J$3*J155+$K$3*K155+$L$3*L155</f>
        <v>16372.5</v>
      </c>
      <c r="N155" s="47">
        <f>M155+F155</f>
        <v>91932.5</v>
      </c>
      <c r="O155">
        <v>2</v>
      </c>
      <c r="P155">
        <v>2</v>
      </c>
      <c r="Q155">
        <v>8</v>
      </c>
      <c r="R155">
        <v>4</v>
      </c>
      <c r="S155">
        <v>1</v>
      </c>
      <c r="T155">
        <v>8</v>
      </c>
      <c r="U155" s="48">
        <f>((O155*P155)+Q155+(R155*S155)+T155)/100</f>
        <v>0.24</v>
      </c>
      <c r="V155" s="47">
        <f>+(F155+M155)*U155</f>
        <v>22063.8</v>
      </c>
      <c r="W155" s="47">
        <f>+F155+M155+V155</f>
        <v>113996.3</v>
      </c>
      <c r="Y155" t="s">
        <v>1597</v>
      </c>
    </row>
    <row r="156" spans="1:23" ht="12.75">
      <c r="A156" s="37"/>
      <c r="B156" s="11" t="s">
        <v>1594</v>
      </c>
      <c r="C156" s="63"/>
      <c r="D156" s="35"/>
      <c r="E156" s="35"/>
      <c r="F156" s="47">
        <f t="shared" si="42"/>
        <v>0</v>
      </c>
      <c r="G156" s="40">
        <v>168</v>
      </c>
      <c r="H156" s="40"/>
      <c r="I156" s="40"/>
      <c r="J156" s="40"/>
      <c r="K156" s="40"/>
      <c r="L156" s="40"/>
      <c r="M156" s="47">
        <f>$G$3*G156+$H$3*H156+$I$3*I156+$J$3*J156+$K$3*K156+$L$3*L156</f>
        <v>11281.2</v>
      </c>
      <c r="N156" s="47">
        <f>M156+F156</f>
        <v>11281.2</v>
      </c>
      <c r="O156">
        <v>2</v>
      </c>
      <c r="P156">
        <v>2</v>
      </c>
      <c r="Q156">
        <v>15</v>
      </c>
      <c r="R156">
        <v>1</v>
      </c>
      <c r="S156">
        <v>1</v>
      </c>
      <c r="T156">
        <v>8</v>
      </c>
      <c r="U156" s="48">
        <f>((O156*P156)+Q156+(R156*S156)+T156)/100</f>
        <v>0.28</v>
      </c>
      <c r="V156" s="47">
        <f>+(F156+M156)*U156</f>
        <v>3158.7360000000003</v>
      </c>
      <c r="W156" s="47">
        <f>+F156+M156+V156</f>
        <v>14439.936000000002</v>
      </c>
    </row>
    <row r="157" spans="1:25" ht="12.75">
      <c r="A157" s="37"/>
      <c r="B157" s="11" t="s">
        <v>1595</v>
      </c>
      <c r="C157" s="35">
        <v>29000</v>
      </c>
      <c r="D157" s="35">
        <v>41360</v>
      </c>
      <c r="E157" s="35"/>
      <c r="F157" s="47">
        <f t="shared" si="42"/>
        <v>70360</v>
      </c>
      <c r="G157" s="40">
        <v>80</v>
      </c>
      <c r="H157" s="40"/>
      <c r="I157" s="40"/>
      <c r="J157" s="40">
        <v>130</v>
      </c>
      <c r="K157" s="40">
        <v>16</v>
      </c>
      <c r="L157" s="40"/>
      <c r="M157" s="47">
        <f>$G$3*G157+$H$3*H157+$I$3*I157+$J$3*J157+$K$3*K157+$L$3*L157</f>
        <v>13269.8</v>
      </c>
      <c r="N157" s="47">
        <f>M157+F157</f>
        <v>83629.8</v>
      </c>
      <c r="O157">
        <v>1</v>
      </c>
      <c r="P157">
        <v>2</v>
      </c>
      <c r="Q157">
        <v>8</v>
      </c>
      <c r="R157">
        <v>4</v>
      </c>
      <c r="S157">
        <v>1</v>
      </c>
      <c r="T157">
        <v>8</v>
      </c>
      <c r="U157" s="48">
        <f>((O157*P157)+Q157+(R157*S157)+T157)/100</f>
        <v>0.22</v>
      </c>
      <c r="V157" s="47">
        <f>+(F157+M157)*U157</f>
        <v>18398.556</v>
      </c>
      <c r="W157" s="47">
        <f>+F157+M157+V157</f>
        <v>102028.356</v>
      </c>
      <c r="Y157" t="s">
        <v>1598</v>
      </c>
    </row>
    <row r="158" spans="1:23" ht="12.75">
      <c r="A158" s="37"/>
      <c r="B158" s="11" t="s">
        <v>1596</v>
      </c>
      <c r="C158" s="35"/>
      <c r="D158" s="35"/>
      <c r="E158" s="35"/>
      <c r="F158" s="47">
        <f t="shared" si="42"/>
        <v>0</v>
      </c>
      <c r="G158" s="40">
        <v>52</v>
      </c>
      <c r="H158" s="40"/>
      <c r="I158" s="40"/>
      <c r="J158" s="40"/>
      <c r="K158" s="40"/>
      <c r="L158" s="40"/>
      <c r="M158" s="47">
        <f>$G$3*G158+$H$3*H158+$I$3*I158+$J$3*J158+$K$3*K158+$L$3*L158</f>
        <v>3491.8</v>
      </c>
      <c r="N158" s="47">
        <f>M158+F158</f>
        <v>3491.8</v>
      </c>
      <c r="O158">
        <v>2</v>
      </c>
      <c r="P158">
        <v>2</v>
      </c>
      <c r="Q158">
        <v>15</v>
      </c>
      <c r="R158">
        <v>1</v>
      </c>
      <c r="S158">
        <v>1</v>
      </c>
      <c r="T158">
        <v>8</v>
      </c>
      <c r="U158" s="48">
        <f>((O158*P158)+Q158+(R158*S158)+T158)/100</f>
        <v>0.28</v>
      </c>
      <c r="V158" s="47">
        <f>+(F158+M158)*U158</f>
        <v>977.7040000000002</v>
      </c>
      <c r="W158" s="47">
        <f>+F158+M158+V158</f>
        <v>4469.504000000001</v>
      </c>
    </row>
    <row r="159" spans="1:23" ht="12.75">
      <c r="A159" s="37"/>
      <c r="B159" s="10"/>
      <c r="C159" s="35"/>
      <c r="D159" s="35"/>
      <c r="E159" s="35"/>
      <c r="F159" s="47">
        <f t="shared" si="42"/>
        <v>0</v>
      </c>
      <c r="G159" s="40"/>
      <c r="H159" s="40"/>
      <c r="I159" s="40"/>
      <c r="J159" s="40"/>
      <c r="K159" s="40"/>
      <c r="L159" s="40"/>
      <c r="M159" s="47">
        <f t="shared" si="43"/>
        <v>0</v>
      </c>
      <c r="N159" s="47"/>
      <c r="U159" s="48">
        <f t="shared" si="44"/>
        <v>0</v>
      </c>
      <c r="V159" s="47">
        <f t="shared" si="45"/>
        <v>0</v>
      </c>
      <c r="W159" s="47">
        <f t="shared" si="46"/>
        <v>0</v>
      </c>
    </row>
    <row r="160" spans="1:25" ht="12.75">
      <c r="A160" s="37" t="s">
        <v>1108</v>
      </c>
      <c r="B160" s="8" t="s">
        <v>870</v>
      </c>
      <c r="C160" s="35"/>
      <c r="D160" s="35"/>
      <c r="E160" s="35"/>
      <c r="F160" s="47">
        <f t="shared" si="42"/>
        <v>0</v>
      </c>
      <c r="G160" s="40"/>
      <c r="H160" s="40"/>
      <c r="I160" s="40"/>
      <c r="J160" s="40"/>
      <c r="K160" s="40"/>
      <c r="L160" s="40"/>
      <c r="M160" s="47">
        <f t="shared" si="43"/>
        <v>0</v>
      </c>
      <c r="N160" s="47"/>
      <c r="U160" s="48">
        <f t="shared" si="44"/>
        <v>0</v>
      </c>
      <c r="V160" s="47">
        <f t="shared" si="45"/>
        <v>0</v>
      </c>
      <c r="W160" s="47">
        <f t="shared" si="46"/>
        <v>0</v>
      </c>
      <c r="X160" s="132">
        <f>SUM(W160:W164)</f>
        <v>46449.66999999999</v>
      </c>
      <c r="Y160" t="s">
        <v>884</v>
      </c>
    </row>
    <row r="161" spans="1:25" ht="12.75">
      <c r="A161" s="37" t="s">
        <v>1179</v>
      </c>
      <c r="B161" s="10" t="s">
        <v>871</v>
      </c>
      <c r="C161" s="35">
        <v>12000</v>
      </c>
      <c r="D161" s="35"/>
      <c r="E161" s="35"/>
      <c r="F161" s="47">
        <f t="shared" si="42"/>
        <v>12000</v>
      </c>
      <c r="G161" s="40">
        <v>10</v>
      </c>
      <c r="H161" s="40"/>
      <c r="I161" s="40">
        <v>8</v>
      </c>
      <c r="J161" s="40">
        <v>10</v>
      </c>
      <c r="K161" s="40"/>
      <c r="L161" s="40">
        <v>40</v>
      </c>
      <c r="M161" s="47">
        <f t="shared" si="43"/>
        <v>5686.5</v>
      </c>
      <c r="N161" s="47">
        <f>M161+F161</f>
        <v>17686.5</v>
      </c>
      <c r="O161">
        <v>2</v>
      </c>
      <c r="P161">
        <v>2</v>
      </c>
      <c r="Q161">
        <v>8</v>
      </c>
      <c r="R161">
        <v>4</v>
      </c>
      <c r="S161">
        <v>2</v>
      </c>
      <c r="T161">
        <v>2</v>
      </c>
      <c r="U161" s="48">
        <f t="shared" si="44"/>
        <v>0.22</v>
      </c>
      <c r="V161" s="47">
        <f t="shared" si="45"/>
        <v>3891.03</v>
      </c>
      <c r="W161" s="47">
        <f t="shared" si="46"/>
        <v>21577.53</v>
      </c>
      <c r="Y161" t="s">
        <v>514</v>
      </c>
    </row>
    <row r="162" spans="1:25" ht="12.75">
      <c r="A162" s="37" t="s">
        <v>1180</v>
      </c>
      <c r="B162" s="10" t="s">
        <v>872</v>
      </c>
      <c r="C162" s="35">
        <v>10000</v>
      </c>
      <c r="D162" s="35"/>
      <c r="E162" s="35"/>
      <c r="F162" s="47">
        <f t="shared" si="42"/>
        <v>10000</v>
      </c>
      <c r="G162" s="40"/>
      <c r="H162" s="40"/>
      <c r="I162" s="40"/>
      <c r="J162" s="40"/>
      <c r="K162" s="40">
        <v>120</v>
      </c>
      <c r="L162" s="40"/>
      <c r="M162" s="47">
        <f t="shared" si="43"/>
        <v>8046</v>
      </c>
      <c r="N162" s="47">
        <f>M162+F162</f>
        <v>18046</v>
      </c>
      <c r="O162">
        <v>2</v>
      </c>
      <c r="P162">
        <v>2</v>
      </c>
      <c r="Q162">
        <v>8</v>
      </c>
      <c r="R162">
        <v>4</v>
      </c>
      <c r="S162">
        <v>2</v>
      </c>
      <c r="T162">
        <v>2</v>
      </c>
      <c r="U162" s="48">
        <f t="shared" si="44"/>
        <v>0.22</v>
      </c>
      <c r="V162" s="47">
        <f t="shared" si="45"/>
        <v>3970.12</v>
      </c>
      <c r="W162" s="47">
        <f t="shared" si="46"/>
        <v>22016.12</v>
      </c>
      <c r="Y162" t="s">
        <v>515</v>
      </c>
    </row>
    <row r="163" spans="1:25" ht="12.75">
      <c r="A163" s="37" t="s">
        <v>1181</v>
      </c>
      <c r="B163" s="10" t="s">
        <v>873</v>
      </c>
      <c r="C163" s="35">
        <v>1000</v>
      </c>
      <c r="D163" s="35"/>
      <c r="E163" s="35"/>
      <c r="F163" s="47">
        <f t="shared" si="42"/>
        <v>1000</v>
      </c>
      <c r="G163" s="40"/>
      <c r="H163" s="40"/>
      <c r="I163" s="40"/>
      <c r="J163" s="40"/>
      <c r="K163" s="40">
        <v>20</v>
      </c>
      <c r="L163" s="40"/>
      <c r="M163" s="47">
        <f t="shared" si="43"/>
        <v>1341</v>
      </c>
      <c r="N163" s="47">
        <f>M163+F163</f>
        <v>2341</v>
      </c>
      <c r="O163">
        <v>2</v>
      </c>
      <c r="P163">
        <v>2</v>
      </c>
      <c r="Q163">
        <v>8</v>
      </c>
      <c r="R163">
        <v>4</v>
      </c>
      <c r="S163">
        <v>2</v>
      </c>
      <c r="T163">
        <v>2</v>
      </c>
      <c r="U163" s="48">
        <f t="shared" si="44"/>
        <v>0.22</v>
      </c>
      <c r="V163" s="47">
        <f t="shared" si="45"/>
        <v>515.02</v>
      </c>
      <c r="W163" s="47">
        <f t="shared" si="46"/>
        <v>2856.02</v>
      </c>
      <c r="Y163" t="s">
        <v>516</v>
      </c>
    </row>
    <row r="164" spans="1:23" ht="12.75">
      <c r="A164" s="37"/>
      <c r="B164" s="8"/>
      <c r="C164" s="35"/>
      <c r="D164" s="35"/>
      <c r="E164" s="35"/>
      <c r="F164" s="47">
        <f t="shared" si="42"/>
        <v>0</v>
      </c>
      <c r="G164" s="40"/>
      <c r="H164" s="40"/>
      <c r="I164" s="40"/>
      <c r="J164" s="40"/>
      <c r="K164" s="40"/>
      <c r="L164" s="40"/>
      <c r="M164" s="47">
        <f t="shared" si="43"/>
        <v>0</v>
      </c>
      <c r="N164" s="47"/>
      <c r="U164" s="48">
        <f t="shared" si="44"/>
        <v>0</v>
      </c>
      <c r="V164" s="47">
        <f t="shared" si="45"/>
        <v>0</v>
      </c>
      <c r="W164" s="47">
        <f t="shared" si="46"/>
        <v>0</v>
      </c>
    </row>
    <row r="165" spans="1:23" ht="12.75">
      <c r="A165" s="37"/>
      <c r="B165" s="8"/>
      <c r="C165" s="35"/>
      <c r="D165" s="35"/>
      <c r="E165" s="35"/>
      <c r="F165" s="47">
        <f t="shared" si="42"/>
        <v>0</v>
      </c>
      <c r="G165" s="40"/>
      <c r="H165" s="40"/>
      <c r="I165" s="40"/>
      <c r="J165" s="40"/>
      <c r="K165" s="40"/>
      <c r="L165" s="40"/>
      <c r="M165" s="47">
        <f t="shared" si="43"/>
        <v>0</v>
      </c>
      <c r="N165" s="47"/>
      <c r="U165" s="48">
        <f t="shared" si="44"/>
        <v>0</v>
      </c>
      <c r="V165" s="47">
        <f t="shared" si="45"/>
        <v>0</v>
      </c>
      <c r="W165" s="47">
        <f t="shared" si="46"/>
        <v>0</v>
      </c>
    </row>
    <row r="166" spans="2:23" ht="12.75">
      <c r="B166" s="8" t="s">
        <v>666</v>
      </c>
      <c r="F166" s="49"/>
      <c r="G166" s="50">
        <f aca="true" t="shared" si="47" ref="G166:L166">SUM(G7:G165)</f>
        <v>4150</v>
      </c>
      <c r="H166" s="50">
        <f t="shared" si="47"/>
        <v>610</v>
      </c>
      <c r="I166" s="50">
        <f t="shared" si="47"/>
        <v>1540</v>
      </c>
      <c r="J166" s="50">
        <f t="shared" si="47"/>
        <v>18762</v>
      </c>
      <c r="K166" s="50">
        <f t="shared" si="47"/>
        <v>5236</v>
      </c>
      <c r="L166" s="50">
        <f t="shared" si="47"/>
        <v>2250</v>
      </c>
      <c r="M166" s="49"/>
      <c r="N166" s="49"/>
      <c r="U166" s="48">
        <f t="shared" si="44"/>
        <v>0</v>
      </c>
      <c r="V166" s="49"/>
      <c r="W166" s="49"/>
    </row>
    <row r="167" spans="2:23" ht="12.75">
      <c r="B167" s="8" t="s">
        <v>877</v>
      </c>
      <c r="F167" s="49"/>
      <c r="G167" s="51">
        <f aca="true" t="shared" si="48" ref="G167:L167">G166/1755</f>
        <v>2.364672364672365</v>
      </c>
      <c r="H167" s="51">
        <f t="shared" si="48"/>
        <v>0.3475783475783476</v>
      </c>
      <c r="I167" s="51">
        <f t="shared" si="48"/>
        <v>0.8774928774928775</v>
      </c>
      <c r="J167" s="51">
        <f t="shared" si="48"/>
        <v>10.69059829059829</v>
      </c>
      <c r="K167" s="51">
        <f t="shared" si="48"/>
        <v>2.9834757834757837</v>
      </c>
      <c r="L167" s="51">
        <f t="shared" si="48"/>
        <v>1.2820512820512822</v>
      </c>
      <c r="M167" s="49"/>
      <c r="N167" s="49"/>
      <c r="U167" s="48"/>
      <c r="V167" s="49"/>
      <c r="W167" s="49"/>
    </row>
    <row r="168" spans="2:23" ht="12.75">
      <c r="B168" s="8"/>
      <c r="F168" s="49"/>
      <c r="G168" s="40"/>
      <c r="H168" s="40"/>
      <c r="I168" s="40"/>
      <c r="J168" s="40"/>
      <c r="K168" s="40"/>
      <c r="L168" s="40"/>
      <c r="M168" s="49"/>
      <c r="N168" s="49"/>
      <c r="U168" s="48"/>
      <c r="V168" s="49"/>
      <c r="W168" s="49"/>
    </row>
    <row r="169" spans="2:30" ht="12.75">
      <c r="B169" s="8" t="s">
        <v>885</v>
      </c>
      <c r="C169" s="47">
        <f>SUM(C7:C166)</f>
        <v>818160</v>
      </c>
      <c r="D169" s="47">
        <f>SUM(D7:D166)</f>
        <v>471300</v>
      </c>
      <c r="E169" s="47">
        <f>SUM(E7:E166)</f>
        <v>0</v>
      </c>
      <c r="F169" s="52">
        <f>SUM(F7:F165)</f>
        <v>1287660</v>
      </c>
      <c r="G169" s="47">
        <f aca="true" t="shared" si="49" ref="G169:L169">G166*G3</f>
        <v>278672.5</v>
      </c>
      <c r="H169" s="47">
        <f t="shared" si="49"/>
        <v>54686.5</v>
      </c>
      <c r="I169" s="47">
        <f t="shared" si="49"/>
        <v>86625</v>
      </c>
      <c r="J169" s="47">
        <f t="shared" si="49"/>
        <v>985005</v>
      </c>
      <c r="K169" s="47">
        <f t="shared" si="49"/>
        <v>351073.8</v>
      </c>
      <c r="L169" s="47">
        <f t="shared" si="49"/>
        <v>227250</v>
      </c>
      <c r="M169" s="52">
        <f>SUM(M9:M165)</f>
        <v>1983312.8</v>
      </c>
      <c r="N169" s="52">
        <f>SUM(N9:N165)</f>
        <v>3246308.8000000003</v>
      </c>
      <c r="O169" s="49"/>
      <c r="P169" s="49"/>
      <c r="Q169" s="49"/>
      <c r="R169" s="49"/>
      <c r="S169" s="49"/>
      <c r="T169" s="49"/>
      <c r="U169" s="53">
        <f>+V169/N169</f>
        <v>0.1968303576049205</v>
      </c>
      <c r="V169" s="52">
        <f>SUM(V7:V166)</f>
        <v>638972.1220000003</v>
      </c>
      <c r="W169" s="52">
        <f>SUM(W7:W166)</f>
        <v>3883044.922</v>
      </c>
      <c r="AD169" s="35"/>
    </row>
    <row r="170" spans="1:23" ht="12.75">
      <c r="A170" s="37"/>
      <c r="B170" s="8"/>
      <c r="C170" s="47"/>
      <c r="D170" s="47"/>
      <c r="E170" s="47"/>
      <c r="F170" s="47">
        <f>SUM(C170:E170)</f>
        <v>0</v>
      </c>
      <c r="G170" s="50"/>
      <c r="H170" s="50"/>
      <c r="I170" s="50"/>
      <c r="J170" s="50"/>
      <c r="K170" s="50"/>
      <c r="L170" s="50"/>
      <c r="M170" s="47">
        <f>$G$3*G170+$H$3*H170+$I$3*I170+$J$3*J170+$K$3*K170+$L$3*L170</f>
        <v>0</v>
      </c>
      <c r="N170" s="47"/>
      <c r="O170" s="49"/>
      <c r="P170" s="49"/>
      <c r="Q170" s="49"/>
      <c r="R170" s="49"/>
      <c r="S170" s="49"/>
      <c r="T170" s="49"/>
      <c r="U170" s="48"/>
      <c r="V170" s="47">
        <f>+(F170+M170)*U170</f>
        <v>0</v>
      </c>
      <c r="W170" s="47">
        <f>+F170+M170+V170</f>
        <v>0</v>
      </c>
    </row>
    <row r="171" spans="1:27" ht="12.75">
      <c r="A171" s="37"/>
      <c r="B171" s="8" t="s">
        <v>886</v>
      </c>
      <c r="C171" s="54">
        <f>'Labor and Indirect Rates (NSF)'!$F$73</f>
        <v>0.25725</v>
      </c>
      <c r="D171" s="54">
        <f>'Labor and Indirect Rates (NSF)'!$F$86</f>
        <v>0.1372500000000001</v>
      </c>
      <c r="E171" s="54"/>
      <c r="F171" s="54"/>
      <c r="G171" s="54">
        <f>'Labor and Indirect Rates (NSF)'!$F$36</f>
        <v>0.4022212700000001</v>
      </c>
      <c r="H171" s="54">
        <f>'Labor and Indirect Rates (NSF)'!$F$36</f>
        <v>0.4022212700000001</v>
      </c>
      <c r="I171" s="54">
        <f>'Labor and Indirect Rates (NSF)'!$F$36</f>
        <v>0.4022212700000001</v>
      </c>
      <c r="J171" s="54">
        <f>'Labor and Indirect Rates (NSF)'!$F$36</f>
        <v>0.4022212700000001</v>
      </c>
      <c r="K171" s="54">
        <f>'Labor and Indirect Rates (NSF)'!$F$59</f>
        <v>0.1200000000000001</v>
      </c>
      <c r="L171" s="54">
        <f>'Labor and Indirect Rates (NSF)'!$F$59</f>
        <v>0.1200000000000001</v>
      </c>
      <c r="M171" s="54"/>
      <c r="N171" s="54"/>
      <c r="O171" s="54"/>
      <c r="P171" s="54"/>
      <c r="Q171" s="54"/>
      <c r="R171" s="54"/>
      <c r="S171" s="54"/>
      <c r="T171" s="54"/>
      <c r="U171" s="54"/>
      <c r="V171" s="54">
        <f>+(F171+M171)*U171</f>
        <v>0</v>
      </c>
      <c r="W171" s="54">
        <f>+F171+M171+V171</f>
        <v>0</v>
      </c>
      <c r="X171" s="14"/>
      <c r="Y171" s="14"/>
      <c r="Z171" s="14"/>
      <c r="AA171" s="14"/>
    </row>
    <row r="172" spans="1:23" ht="12.75">
      <c r="A172" s="37"/>
      <c r="B172" s="8"/>
      <c r="C172" s="47"/>
      <c r="D172" s="47"/>
      <c r="E172" s="47"/>
      <c r="F172" s="47">
        <f>SUM(C172:E172)</f>
        <v>0</v>
      </c>
      <c r="G172" s="50"/>
      <c r="H172" s="50"/>
      <c r="I172" s="50"/>
      <c r="J172" s="50"/>
      <c r="K172" s="50"/>
      <c r="L172" s="50"/>
      <c r="M172" s="47">
        <f>$G$3*G172+$H$3*H172+$I$3*I172+$J$3*J172+$K$3*K172+$L$3*L172</f>
        <v>0</v>
      </c>
      <c r="N172" s="47"/>
      <c r="O172" s="49"/>
      <c r="P172" s="49"/>
      <c r="Q172" s="49"/>
      <c r="R172" s="49"/>
      <c r="S172" s="49"/>
      <c r="T172" s="49"/>
      <c r="U172" s="48"/>
      <c r="V172" s="47">
        <f>+(F172+M172)*U172</f>
        <v>0</v>
      </c>
      <c r="W172" s="47">
        <f>+F172+M172+V172</f>
        <v>0</v>
      </c>
    </row>
    <row r="173" spans="2:24" ht="12.75">
      <c r="B173" s="8" t="s">
        <v>887</v>
      </c>
      <c r="C173" s="55">
        <f>C169*(1+C171)</f>
        <v>1028631.66</v>
      </c>
      <c r="D173" s="55">
        <f>D169*(1+D171)</f>
        <v>535985.925</v>
      </c>
      <c r="E173" s="49"/>
      <c r="F173" s="56">
        <f>SUM(C173:E173)</f>
        <v>1564617.585</v>
      </c>
      <c r="G173" s="55">
        <f aca="true" t="shared" si="50" ref="G173:L173">G169*(1+G171)</f>
        <v>390760.506864075</v>
      </c>
      <c r="H173" s="55">
        <f t="shared" si="50"/>
        <v>76682.573481855</v>
      </c>
      <c r="I173" s="55">
        <f t="shared" si="50"/>
        <v>121467.41751375001</v>
      </c>
      <c r="J173" s="55">
        <f t="shared" si="50"/>
        <v>1381194.96205635</v>
      </c>
      <c r="K173" s="55">
        <f t="shared" si="50"/>
        <v>393202.656</v>
      </c>
      <c r="L173" s="55">
        <f t="shared" si="50"/>
        <v>254520.00000000003</v>
      </c>
      <c r="M173" s="56">
        <f>SUM(G173:L173)</f>
        <v>2617828.11591603</v>
      </c>
      <c r="N173" s="56">
        <f>M173+F173</f>
        <v>4182445.70091603</v>
      </c>
      <c r="O173" s="49"/>
      <c r="P173" s="49"/>
      <c r="Q173" s="49"/>
      <c r="R173" s="49"/>
      <c r="S173" s="49"/>
      <c r="T173" s="49"/>
      <c r="U173" s="48">
        <f>U169</f>
        <v>0.1968303576049205</v>
      </c>
      <c r="V173" s="56">
        <f>N173*U169</f>
        <v>823232.2829744645</v>
      </c>
      <c r="W173" s="52">
        <f>N173+V173</f>
        <v>5005677.983890494</v>
      </c>
      <c r="X173" s="35"/>
    </row>
    <row r="178" spans="7:12" ht="12.75">
      <c r="G178" s="40"/>
      <c r="H178" s="40"/>
      <c r="I178" s="40"/>
      <c r="J178" s="40"/>
      <c r="K178" s="40"/>
      <c r="L178" s="40"/>
    </row>
    <row r="217" spans="2:23" ht="12.75">
      <c r="B217" s="8"/>
      <c r="F217" s="35">
        <f>SUM(C217:E217)</f>
        <v>0</v>
      </c>
      <c r="M217" s="35">
        <f>$G$3*G217+$H$3*H217+$I$3*I217+$J$3*J217+$K$3*K217+$L$3*L217</f>
        <v>0</v>
      </c>
      <c r="N217" s="35"/>
      <c r="U217" s="19">
        <f>((O217*P217)+Q217+(R217*S217)+T217)/100</f>
        <v>0</v>
      </c>
      <c r="V217" s="35">
        <f>+(F217+M217)*U217</f>
        <v>0</v>
      </c>
      <c r="W217" s="35">
        <f>+F217+M217+V217</f>
        <v>0</v>
      </c>
    </row>
    <row r="218" spans="2:23" ht="12.75">
      <c r="B218" s="8"/>
      <c r="F218" s="35">
        <f>SUM(C218:E218)</f>
        <v>0</v>
      </c>
      <c r="M218" s="35">
        <f>$G$3*G218+$H$3*H218+$I$3*I218+$J$3*J218+$K$3*K218+$L$3*L218</f>
        <v>0</v>
      </c>
      <c r="N218" s="35"/>
      <c r="U218" s="19">
        <f>((O218*P218)+Q218+(R218*S218)+T218)/100</f>
        <v>0</v>
      </c>
      <c r="V218" s="35">
        <f>+(F218+M218)*U218</f>
        <v>0</v>
      </c>
      <c r="W218" s="35">
        <f>+F218+M218+V218</f>
        <v>0</v>
      </c>
    </row>
    <row r="219" spans="2:23" ht="12.75">
      <c r="B219" s="8"/>
      <c r="F219" s="35">
        <f>SUM(C219:E219)</f>
        <v>0</v>
      </c>
      <c r="M219" s="35">
        <f>$G$3*G219+$H$3*H219+$I$3*I219+$J$3*J219+$K$3*K219+$L$3*L219</f>
        <v>0</v>
      </c>
      <c r="N219" s="35"/>
      <c r="U219" s="19">
        <f>((O219*P219)+Q219+(R219*S219)+T219)/100</f>
        <v>0</v>
      </c>
      <c r="V219" s="35">
        <f>+(F219+M219)*U219</f>
        <v>0</v>
      </c>
      <c r="W219" s="35">
        <f>+F219+M219+V219</f>
        <v>0</v>
      </c>
    </row>
    <row r="222" spans="2:23" ht="12.75">
      <c r="B222" s="8"/>
      <c r="F222" s="35">
        <f aca="true" t="shared" si="51" ref="F222:F233">SUM(C222:E222)</f>
        <v>0</v>
      </c>
      <c r="M222" s="35">
        <f aca="true" t="shared" si="52" ref="M222:M233">$G$3*G222+$H$3*H222+$I$3*I222+$J$3*J222+$K$3*K222+$L$3*L222</f>
        <v>0</v>
      </c>
      <c r="N222" s="35"/>
      <c r="U222" s="19">
        <f aca="true" t="shared" si="53" ref="U222:U234">((O222*P222)+Q222+(R222*S222)+T222)/100</f>
        <v>0</v>
      </c>
      <c r="V222" s="35">
        <f aca="true" t="shared" si="54" ref="V222:V233">+(F222+M222)*U222</f>
        <v>0</v>
      </c>
      <c r="W222" s="35">
        <f aca="true" t="shared" si="55" ref="W222:W233">+F222+M222+V222</f>
        <v>0</v>
      </c>
    </row>
    <row r="223" spans="2:23" ht="12.75">
      <c r="B223" s="8"/>
      <c r="F223" s="35">
        <f t="shared" si="51"/>
        <v>0</v>
      </c>
      <c r="M223" s="35">
        <f t="shared" si="52"/>
        <v>0</v>
      </c>
      <c r="N223" s="35"/>
      <c r="U223" s="19">
        <f t="shared" si="53"/>
        <v>0</v>
      </c>
      <c r="V223" s="35">
        <f t="shared" si="54"/>
        <v>0</v>
      </c>
      <c r="W223" s="35">
        <f t="shared" si="55"/>
        <v>0</v>
      </c>
    </row>
    <row r="224" spans="2:23" ht="12.75">
      <c r="B224" s="8"/>
      <c r="F224" s="35">
        <f t="shared" si="51"/>
        <v>0</v>
      </c>
      <c r="M224" s="35">
        <f t="shared" si="52"/>
        <v>0</v>
      </c>
      <c r="N224" s="35"/>
      <c r="U224" s="19">
        <f t="shared" si="53"/>
        <v>0</v>
      </c>
      <c r="V224" s="35">
        <f t="shared" si="54"/>
        <v>0</v>
      </c>
      <c r="W224" s="35">
        <f t="shared" si="55"/>
        <v>0</v>
      </c>
    </row>
    <row r="225" spans="2:23" ht="12.75">
      <c r="B225" s="8"/>
      <c r="F225" s="35">
        <f t="shared" si="51"/>
        <v>0</v>
      </c>
      <c r="M225" s="35">
        <f t="shared" si="52"/>
        <v>0</v>
      </c>
      <c r="N225" s="35"/>
      <c r="U225" s="19">
        <f t="shared" si="53"/>
        <v>0</v>
      </c>
      <c r="V225" s="35">
        <f t="shared" si="54"/>
        <v>0</v>
      </c>
      <c r="W225" s="35">
        <f t="shared" si="55"/>
        <v>0</v>
      </c>
    </row>
    <row r="226" spans="2:23" ht="12.75">
      <c r="B226" s="8"/>
      <c r="F226" s="35">
        <f t="shared" si="51"/>
        <v>0</v>
      </c>
      <c r="M226" s="35">
        <f t="shared" si="52"/>
        <v>0</v>
      </c>
      <c r="N226" s="35"/>
      <c r="U226" s="19">
        <f t="shared" si="53"/>
        <v>0</v>
      </c>
      <c r="V226" s="35">
        <f t="shared" si="54"/>
        <v>0</v>
      </c>
      <c r="W226" s="35">
        <f t="shared" si="55"/>
        <v>0</v>
      </c>
    </row>
    <row r="227" spans="2:23" ht="12.75">
      <c r="B227" s="8"/>
      <c r="F227" s="35">
        <f t="shared" si="51"/>
        <v>0</v>
      </c>
      <c r="M227" s="35">
        <f t="shared" si="52"/>
        <v>0</v>
      </c>
      <c r="N227" s="35"/>
      <c r="U227" s="19">
        <f t="shared" si="53"/>
        <v>0</v>
      </c>
      <c r="V227" s="35">
        <f t="shared" si="54"/>
        <v>0</v>
      </c>
      <c r="W227" s="35">
        <f t="shared" si="55"/>
        <v>0</v>
      </c>
    </row>
    <row r="228" spans="2:23" ht="12.75">
      <c r="B228" s="8"/>
      <c r="F228" s="35">
        <f t="shared" si="51"/>
        <v>0</v>
      </c>
      <c r="M228" s="35">
        <f t="shared" si="52"/>
        <v>0</v>
      </c>
      <c r="N228" s="35"/>
      <c r="U228" s="19">
        <f t="shared" si="53"/>
        <v>0</v>
      </c>
      <c r="V228" s="35">
        <f t="shared" si="54"/>
        <v>0</v>
      </c>
      <c r="W228" s="35">
        <f t="shared" si="55"/>
        <v>0</v>
      </c>
    </row>
    <row r="229" spans="2:23" ht="12.75">
      <c r="B229" s="8"/>
      <c r="F229" s="35">
        <f t="shared" si="51"/>
        <v>0</v>
      </c>
      <c r="M229" s="35">
        <f t="shared" si="52"/>
        <v>0</v>
      </c>
      <c r="N229" s="35"/>
      <c r="U229" s="19">
        <f t="shared" si="53"/>
        <v>0</v>
      </c>
      <c r="V229" s="35">
        <f t="shared" si="54"/>
        <v>0</v>
      </c>
      <c r="W229" s="35">
        <f t="shared" si="55"/>
        <v>0</v>
      </c>
    </row>
    <row r="230" spans="2:23" ht="12.75">
      <c r="B230" s="8"/>
      <c r="F230" s="35">
        <f t="shared" si="51"/>
        <v>0</v>
      </c>
      <c r="M230" s="35">
        <f t="shared" si="52"/>
        <v>0</v>
      </c>
      <c r="N230" s="35"/>
      <c r="U230" s="19">
        <f t="shared" si="53"/>
        <v>0</v>
      </c>
      <c r="V230" s="35">
        <f t="shared" si="54"/>
        <v>0</v>
      </c>
      <c r="W230" s="35">
        <f t="shared" si="55"/>
        <v>0</v>
      </c>
    </row>
    <row r="231" spans="2:23" ht="12.75">
      <c r="B231" s="8"/>
      <c r="F231" s="35">
        <f t="shared" si="51"/>
        <v>0</v>
      </c>
      <c r="M231" s="35">
        <f t="shared" si="52"/>
        <v>0</v>
      </c>
      <c r="N231" s="35"/>
      <c r="U231" s="19">
        <f t="shared" si="53"/>
        <v>0</v>
      </c>
      <c r="V231" s="35">
        <f t="shared" si="54"/>
        <v>0</v>
      </c>
      <c r="W231" s="35">
        <f t="shared" si="55"/>
        <v>0</v>
      </c>
    </row>
    <row r="232" spans="2:23" ht="12.75">
      <c r="B232" s="8"/>
      <c r="F232" s="35">
        <f t="shared" si="51"/>
        <v>0</v>
      </c>
      <c r="M232" s="35">
        <f t="shared" si="52"/>
        <v>0</v>
      </c>
      <c r="N232" s="35"/>
      <c r="U232" s="19">
        <f t="shared" si="53"/>
        <v>0</v>
      </c>
      <c r="V232" s="35">
        <f t="shared" si="54"/>
        <v>0</v>
      </c>
      <c r="W232" s="35">
        <f t="shared" si="55"/>
        <v>0</v>
      </c>
    </row>
    <row r="233" spans="2:23" ht="12.75">
      <c r="B233" s="8"/>
      <c r="F233" s="35">
        <f t="shared" si="51"/>
        <v>0</v>
      </c>
      <c r="M233" s="35">
        <f t="shared" si="52"/>
        <v>0</v>
      </c>
      <c r="N233" s="35"/>
      <c r="U233" s="19">
        <f t="shared" si="53"/>
        <v>0</v>
      </c>
      <c r="V233" s="35">
        <f t="shared" si="54"/>
        <v>0</v>
      </c>
      <c r="W233" s="35">
        <f t="shared" si="55"/>
        <v>0</v>
      </c>
    </row>
    <row r="234" spans="2:21" ht="12.75">
      <c r="B234" s="8"/>
      <c r="U234" s="19">
        <f t="shared" si="53"/>
        <v>0</v>
      </c>
    </row>
  </sheetData>
  <mergeCells count="4">
    <mergeCell ref="G5:L5"/>
    <mergeCell ref="C5:E5"/>
    <mergeCell ref="O5:T5"/>
    <mergeCell ref="G2:L2"/>
  </mergeCells>
  <conditionalFormatting sqref="U222:U234 M222:N233 V222:W233 F222:F233 M217:N219 U217:W219 M170:N172 F170:F172 F217:F219 U170:W172 V164:W165 U164:U169 M8:N165 U8:W163 F8:F165">
    <cfRule type="cellIs" priority="1" dxfId="0" operator="equal" stopIfTrue="1">
      <formula>0</formula>
    </cfRule>
  </conditionalFormatting>
  <printOptions gridLines="1"/>
  <pageMargins left="0.75" right="0.6" top="0.35" bottom="0.51" header="0.5" footer="0.5"/>
  <pageSetup fitToHeight="2" fitToWidth="1" horizontalDpi="600" verticalDpi="600" orientation="landscape" paperSize="17" scale="65" r:id="rId1"/>
</worksheet>
</file>

<file path=xl/worksheets/sheet5.xml><?xml version="1.0" encoding="utf-8"?>
<worksheet xmlns="http://schemas.openxmlformats.org/spreadsheetml/2006/main" xmlns:r="http://schemas.openxmlformats.org/officeDocument/2006/relationships">
  <sheetPr>
    <pageSetUpPr fitToPage="1"/>
  </sheetPr>
  <dimension ref="A1:AE597"/>
  <sheetViews>
    <sheetView zoomScale="75" zoomScaleNormal="75" workbookViewId="0" topLeftCell="A1">
      <pane xSplit="2" ySplit="7" topLeftCell="C8" activePane="bottomRight" state="frozen"/>
      <selection pane="topLeft" activeCell="A1" sqref="A1"/>
      <selection pane="topRight" activeCell="C1" sqref="C1"/>
      <selection pane="bottomLeft" activeCell="A8" sqref="A8"/>
      <selection pane="bottomRight" activeCell="T32" sqref="T32"/>
    </sheetView>
  </sheetViews>
  <sheetFormatPr defaultColWidth="9.140625" defaultRowHeight="12.75"/>
  <cols>
    <col min="1" max="1" width="14.7109375" style="0" customWidth="1"/>
    <col min="2" max="2" width="38.140625" style="0" customWidth="1"/>
    <col min="3" max="3" width="12.421875" style="0" customWidth="1"/>
    <col min="4" max="4" width="12.57421875" style="0" customWidth="1"/>
    <col min="5" max="5" width="9.8515625" style="0" customWidth="1"/>
    <col min="6" max="6" width="14.421875" style="0" customWidth="1"/>
    <col min="7" max="7" width="11.140625" style="0" bestFit="1" customWidth="1"/>
    <col min="8" max="9" width="9.7109375" style="0" customWidth="1"/>
    <col min="10" max="10" width="11.28125" style="0" customWidth="1"/>
    <col min="11" max="11" width="10.00390625" style="0" customWidth="1"/>
    <col min="12" max="12" width="12.28125" style="0" customWidth="1"/>
    <col min="13" max="13" width="13.57421875" style="0" customWidth="1"/>
    <col min="14" max="14" width="14.00390625" style="0" customWidth="1"/>
    <col min="15" max="15" width="5.28125" style="0" customWidth="1"/>
    <col min="16" max="16" width="4.00390625" style="0" customWidth="1"/>
    <col min="17" max="17" width="6.8515625" style="0" customWidth="1"/>
    <col min="18" max="18" width="5.140625" style="0" customWidth="1"/>
    <col min="19" max="19" width="3.8515625" style="0" customWidth="1"/>
    <col min="20" max="20" width="6.7109375" style="0" customWidth="1"/>
    <col min="21" max="21" width="5.28125" style="0" customWidth="1"/>
    <col min="22" max="22" width="13.7109375" style="0" customWidth="1"/>
    <col min="23" max="23" width="13.57421875" style="0" customWidth="1"/>
    <col min="24" max="24" width="21.7109375" style="0" customWidth="1"/>
    <col min="25" max="25" width="18.57421875" style="0" customWidth="1"/>
    <col min="26" max="26" width="50.57421875" style="0" customWidth="1"/>
    <col min="31" max="31" width="26.140625" style="0" customWidth="1"/>
  </cols>
  <sheetData>
    <row r="1" ht="18">
      <c r="A1" s="36" t="s">
        <v>1951</v>
      </c>
    </row>
    <row r="2" spans="1:12" ht="12.75">
      <c r="A2" s="57">
        <v>38289</v>
      </c>
      <c r="B2" t="s">
        <v>1012</v>
      </c>
      <c r="G2" s="339" t="s">
        <v>815</v>
      </c>
      <c r="H2" s="339"/>
      <c r="I2" s="339"/>
      <c r="J2" s="339"/>
      <c r="K2" s="339"/>
      <c r="L2" s="339"/>
    </row>
    <row r="3" spans="7:12" ht="12.75">
      <c r="G3" s="41">
        <f>'Labor and Indirect Rates (NSF)'!$C$130</f>
        <v>67.15</v>
      </c>
      <c r="H3" s="41">
        <f>'Labor and Indirect Rates (NSF)'!$C$132</f>
        <v>89.65</v>
      </c>
      <c r="I3" s="41">
        <f>'Labor and Indirect Rates (NSF)'!$C$131</f>
        <v>56.25</v>
      </c>
      <c r="J3" s="41">
        <f>'Labor and Indirect Rates (NSF)'!$C$129</f>
        <v>52.5</v>
      </c>
      <c r="K3" s="41">
        <f>'Labor and Indirect Rates (NSF)'!$C$141</f>
        <v>67.05</v>
      </c>
      <c r="L3" s="41">
        <f>'Labor and Indirect Rates (NSF)'!$C$140</f>
        <v>101</v>
      </c>
    </row>
    <row r="4" spans="1:26" ht="12.75">
      <c r="A4" s="42"/>
      <c r="B4" s="42"/>
      <c r="C4" s="42"/>
      <c r="D4" s="42"/>
      <c r="E4" s="42"/>
      <c r="F4" s="42"/>
      <c r="G4" s="42"/>
      <c r="H4" s="42"/>
      <c r="I4" s="43"/>
      <c r="J4" s="43"/>
      <c r="K4" s="43"/>
      <c r="L4" s="43"/>
      <c r="M4" s="44" t="s">
        <v>643</v>
      </c>
      <c r="N4" s="44"/>
      <c r="O4" s="42"/>
      <c r="P4" s="42"/>
      <c r="Q4" s="42"/>
      <c r="R4" s="42"/>
      <c r="S4" s="42"/>
      <c r="T4" s="42"/>
      <c r="U4" s="42"/>
      <c r="V4" s="42"/>
      <c r="W4" s="43"/>
      <c r="X4" s="43"/>
      <c r="Y4" s="43"/>
      <c r="Z4" s="45"/>
    </row>
    <row r="5" spans="1:26" ht="12.75">
      <c r="A5" s="44" t="s">
        <v>816</v>
      </c>
      <c r="B5" s="42"/>
      <c r="C5" s="338" t="s">
        <v>647</v>
      </c>
      <c r="D5" s="338"/>
      <c r="E5" s="338"/>
      <c r="F5" s="44" t="s">
        <v>643</v>
      </c>
      <c r="G5" s="338" t="s">
        <v>666</v>
      </c>
      <c r="H5" s="338"/>
      <c r="I5" s="338"/>
      <c r="J5" s="338"/>
      <c r="K5" s="338"/>
      <c r="L5" s="338"/>
      <c r="M5" s="44" t="s">
        <v>642</v>
      </c>
      <c r="N5" s="44" t="s">
        <v>643</v>
      </c>
      <c r="O5" s="338" t="s">
        <v>817</v>
      </c>
      <c r="P5" s="338"/>
      <c r="Q5" s="338"/>
      <c r="R5" s="338"/>
      <c r="S5" s="338"/>
      <c r="T5" s="338"/>
      <c r="U5" s="42"/>
      <c r="V5" s="42"/>
      <c r="W5" s="44" t="s">
        <v>643</v>
      </c>
      <c r="X5" s="44" t="s">
        <v>498</v>
      </c>
      <c r="Y5" s="44" t="s">
        <v>498</v>
      </c>
      <c r="Z5" s="45"/>
    </row>
    <row r="6" spans="1:26" ht="12.75">
      <c r="A6" s="44" t="s">
        <v>818</v>
      </c>
      <c r="B6" s="42" t="s">
        <v>819</v>
      </c>
      <c r="C6" s="44" t="s">
        <v>820</v>
      </c>
      <c r="D6" s="44" t="s">
        <v>821</v>
      </c>
      <c r="E6" s="44" t="s">
        <v>822</v>
      </c>
      <c r="F6" s="44" t="s">
        <v>823</v>
      </c>
      <c r="G6" s="42" t="s">
        <v>824</v>
      </c>
      <c r="H6" s="42" t="s">
        <v>825</v>
      </c>
      <c r="I6" s="43" t="s">
        <v>826</v>
      </c>
      <c r="J6" s="43" t="s">
        <v>667</v>
      </c>
      <c r="K6" s="43" t="s">
        <v>827</v>
      </c>
      <c r="L6" s="43" t="s">
        <v>702</v>
      </c>
      <c r="M6" s="44" t="s">
        <v>697</v>
      </c>
      <c r="N6" s="44" t="s">
        <v>876</v>
      </c>
      <c r="O6" s="42" t="s">
        <v>667</v>
      </c>
      <c r="P6" s="42" t="s">
        <v>828</v>
      </c>
      <c r="Q6" s="42" t="s">
        <v>826</v>
      </c>
      <c r="R6" s="42" t="s">
        <v>697</v>
      </c>
      <c r="S6" s="42" t="s">
        <v>828</v>
      </c>
      <c r="T6" s="42" t="s">
        <v>829</v>
      </c>
      <c r="U6" s="42" t="s">
        <v>830</v>
      </c>
      <c r="V6" s="44" t="s">
        <v>831</v>
      </c>
      <c r="W6" s="46" t="s">
        <v>832</v>
      </c>
      <c r="X6" s="44" t="s">
        <v>121</v>
      </c>
      <c r="Y6" s="44" t="s">
        <v>499</v>
      </c>
      <c r="Z6" s="44" t="s">
        <v>833</v>
      </c>
    </row>
    <row r="7" spans="1:25" ht="12.75">
      <c r="A7" s="37"/>
      <c r="B7" s="38"/>
      <c r="C7" s="39"/>
      <c r="D7" s="39"/>
      <c r="E7" s="39"/>
      <c r="F7" s="39"/>
      <c r="G7" s="39"/>
      <c r="H7" s="39"/>
      <c r="I7" s="39"/>
      <c r="J7" s="39"/>
      <c r="K7" s="39"/>
      <c r="L7" s="39"/>
      <c r="M7" s="39"/>
      <c r="N7" s="39"/>
      <c r="O7" s="39"/>
      <c r="P7" s="39"/>
      <c r="Q7" s="39"/>
      <c r="R7" s="39"/>
      <c r="S7" s="39"/>
      <c r="T7" s="39"/>
      <c r="U7" s="39"/>
      <c r="V7" s="39"/>
      <c r="W7" s="39"/>
      <c r="X7" s="39"/>
      <c r="Y7" s="39"/>
    </row>
    <row r="8" spans="1:25" ht="15.75" customHeight="1">
      <c r="A8" s="37"/>
      <c r="B8" s="38"/>
      <c r="C8" s="39"/>
      <c r="D8" s="39"/>
      <c r="E8" s="39"/>
      <c r="F8" s="39"/>
      <c r="G8" s="39"/>
      <c r="H8" s="39"/>
      <c r="I8" s="39"/>
      <c r="J8" s="39"/>
      <c r="K8" s="39"/>
      <c r="L8" s="39"/>
      <c r="M8" s="39"/>
      <c r="N8" s="39"/>
      <c r="O8" s="39"/>
      <c r="P8" s="39"/>
      <c r="Q8" s="39"/>
      <c r="R8" s="39"/>
      <c r="S8" s="39"/>
      <c r="T8" s="39"/>
      <c r="U8" s="39"/>
      <c r="V8" s="39"/>
      <c r="W8" s="39"/>
      <c r="X8" s="39"/>
      <c r="Y8" s="39"/>
    </row>
    <row r="9" spans="1:25" ht="15.75" customHeight="1">
      <c r="A9" s="37"/>
      <c r="B9" s="38"/>
      <c r="C9" s="39"/>
      <c r="D9" s="39"/>
      <c r="E9" s="39"/>
      <c r="F9" s="39"/>
      <c r="G9" s="39"/>
      <c r="H9" s="39"/>
      <c r="I9" s="39"/>
      <c r="J9" s="39"/>
      <c r="K9" s="39"/>
      <c r="L9" s="39"/>
      <c r="M9" s="39"/>
      <c r="N9" s="39"/>
      <c r="O9" s="39"/>
      <c r="P9" s="39"/>
      <c r="Q9" s="39"/>
      <c r="R9" s="39"/>
      <c r="S9" s="39"/>
      <c r="T9" s="39"/>
      <c r="U9" s="39"/>
      <c r="V9" s="39"/>
      <c r="W9" s="39"/>
      <c r="X9" s="39"/>
      <c r="Y9" s="39"/>
    </row>
    <row r="10" spans="1:25" ht="15.75" customHeight="1" thickBot="1">
      <c r="A10" s="224" t="s">
        <v>1190</v>
      </c>
      <c r="B10" s="72" t="s">
        <v>1192</v>
      </c>
      <c r="C10" s="35"/>
      <c r="D10" s="35"/>
      <c r="E10" s="35"/>
      <c r="F10" s="47">
        <f aca="true" t="shared" si="0" ref="F10:F41">SUM(C10:E10)</f>
        <v>0</v>
      </c>
      <c r="G10" s="40"/>
      <c r="H10" s="40"/>
      <c r="I10" s="40"/>
      <c r="J10" s="40"/>
      <c r="K10" s="40"/>
      <c r="L10" s="40"/>
      <c r="M10" s="47">
        <f aca="true" t="shared" si="1" ref="M10:M41">$G$3*G10+$H$3*H10+$I$3*I10+$J$3*J10+$K$3*K10+$L$3*L10</f>
        <v>0</v>
      </c>
      <c r="N10" s="47">
        <f aca="true" t="shared" si="2" ref="N10:N41">M10+F10</f>
        <v>0</v>
      </c>
      <c r="U10" s="48">
        <f aca="true" t="shared" si="3" ref="U10:U41">((O10*P10)+Q10+(R10*S10)+T10)/100</f>
        <v>0</v>
      </c>
      <c r="V10" s="47">
        <f aca="true" t="shared" si="4" ref="V10:V42">+(F10+M10)*U10</f>
        <v>0</v>
      </c>
      <c r="W10" s="47">
        <f aca="true" t="shared" si="5" ref="W10:W41">+F10+M10+V10</f>
        <v>0</v>
      </c>
      <c r="X10" s="52">
        <f>SUM(N11:N14)</f>
        <v>1153994</v>
      </c>
      <c r="Y10" s="52">
        <f>SUM(W11:W14)</f>
        <v>1338633.04</v>
      </c>
    </row>
    <row r="11" spans="1:31" ht="15.75" customHeight="1">
      <c r="A11" s="58"/>
      <c r="B11" s="227" t="s">
        <v>1917</v>
      </c>
      <c r="C11" s="35"/>
      <c r="D11" s="35"/>
      <c r="E11" s="35"/>
      <c r="F11" s="47">
        <f t="shared" si="0"/>
        <v>0</v>
      </c>
      <c r="G11" s="40">
        <v>5830</v>
      </c>
      <c r="H11" s="40"/>
      <c r="I11" s="40"/>
      <c r="J11" s="40"/>
      <c r="K11" s="40"/>
      <c r="L11" s="40"/>
      <c r="M11" s="47">
        <f t="shared" si="1"/>
        <v>391484.50000000006</v>
      </c>
      <c r="N11" s="47">
        <f t="shared" si="2"/>
        <v>391484.50000000006</v>
      </c>
      <c r="O11">
        <v>3</v>
      </c>
      <c r="P11">
        <v>2</v>
      </c>
      <c r="Q11">
        <v>4</v>
      </c>
      <c r="R11">
        <v>4</v>
      </c>
      <c r="S11">
        <v>1</v>
      </c>
      <c r="T11">
        <v>2</v>
      </c>
      <c r="U11" s="48">
        <f t="shared" si="3"/>
        <v>0.16</v>
      </c>
      <c r="V11" s="47">
        <f t="shared" si="4"/>
        <v>62637.52000000001</v>
      </c>
      <c r="W11" s="47">
        <f t="shared" si="5"/>
        <v>454122.0200000001</v>
      </c>
      <c r="X11" s="47"/>
      <c r="Y11" s="47"/>
      <c r="AA11" s="318" t="s">
        <v>940</v>
      </c>
      <c r="AB11" s="319"/>
      <c r="AC11" s="319"/>
      <c r="AD11" s="319"/>
      <c r="AE11" s="320" t="s">
        <v>996</v>
      </c>
    </row>
    <row r="12" spans="1:31" ht="15.75" customHeight="1">
      <c r="A12" s="58"/>
      <c r="B12" s="227" t="s">
        <v>1918</v>
      </c>
      <c r="C12" s="35"/>
      <c r="D12" s="35"/>
      <c r="E12" s="35"/>
      <c r="F12" s="47">
        <f t="shared" si="0"/>
        <v>0</v>
      </c>
      <c r="G12" s="40"/>
      <c r="H12" s="40">
        <v>5830</v>
      </c>
      <c r="I12" s="40"/>
      <c r="J12" s="40"/>
      <c r="K12" s="40"/>
      <c r="L12" s="40"/>
      <c r="M12" s="47">
        <f t="shared" si="1"/>
        <v>522659.50000000006</v>
      </c>
      <c r="N12" s="47">
        <f t="shared" si="2"/>
        <v>522659.50000000006</v>
      </c>
      <c r="O12">
        <v>3</v>
      </c>
      <c r="P12">
        <v>2</v>
      </c>
      <c r="Q12">
        <v>4</v>
      </c>
      <c r="R12">
        <v>4</v>
      </c>
      <c r="S12">
        <v>1</v>
      </c>
      <c r="T12">
        <v>2</v>
      </c>
      <c r="U12" s="48">
        <f t="shared" si="3"/>
        <v>0.16</v>
      </c>
      <c r="V12" s="47">
        <f t="shared" si="4"/>
        <v>83625.52</v>
      </c>
      <c r="W12" s="47">
        <f t="shared" si="5"/>
        <v>606285.02</v>
      </c>
      <c r="X12" s="47"/>
      <c r="Y12" s="47"/>
      <c r="AA12" s="140"/>
      <c r="AB12" s="70"/>
      <c r="AC12" s="70"/>
      <c r="AD12" s="70"/>
      <c r="AE12" s="135"/>
    </row>
    <row r="13" spans="1:31" ht="15.75" customHeight="1">
      <c r="A13" s="58"/>
      <c r="B13" s="227" t="s">
        <v>826</v>
      </c>
      <c r="C13" s="35"/>
      <c r="D13" s="35"/>
      <c r="E13" s="35"/>
      <c r="F13" s="47">
        <f t="shared" si="0"/>
        <v>0</v>
      </c>
      <c r="G13" s="40"/>
      <c r="H13" s="40"/>
      <c r="I13" s="40">
        <v>1800</v>
      </c>
      <c r="J13" s="40"/>
      <c r="K13" s="40"/>
      <c r="L13" s="40"/>
      <c r="M13" s="47">
        <f t="shared" si="1"/>
        <v>101250</v>
      </c>
      <c r="N13" s="47">
        <f t="shared" si="2"/>
        <v>101250</v>
      </c>
      <c r="O13">
        <v>3</v>
      </c>
      <c r="P13">
        <v>2</v>
      </c>
      <c r="Q13">
        <v>4</v>
      </c>
      <c r="R13">
        <v>4</v>
      </c>
      <c r="S13">
        <v>1</v>
      </c>
      <c r="T13">
        <v>2</v>
      </c>
      <c r="U13" s="48">
        <f t="shared" si="3"/>
        <v>0.16</v>
      </c>
      <c r="V13" s="47">
        <f t="shared" si="4"/>
        <v>16200</v>
      </c>
      <c r="W13" s="47">
        <f t="shared" si="5"/>
        <v>117450</v>
      </c>
      <c r="X13" s="47"/>
      <c r="Y13" s="47"/>
      <c r="AA13" s="306" t="s">
        <v>910</v>
      </c>
      <c r="AB13" s="307"/>
      <c r="AC13" s="307"/>
      <c r="AD13" s="307"/>
      <c r="AE13" s="308">
        <f>Y16-SUM(V18:V109)</f>
        <v>2034107.4999999998</v>
      </c>
    </row>
    <row r="14" spans="1:31" ht="15.75" customHeight="1">
      <c r="A14" s="58"/>
      <c r="B14" s="227" t="s">
        <v>1919</v>
      </c>
      <c r="C14" s="35"/>
      <c r="D14" s="35"/>
      <c r="E14" s="35"/>
      <c r="F14" s="47">
        <f t="shared" si="0"/>
        <v>0</v>
      </c>
      <c r="G14" s="40"/>
      <c r="H14" s="40"/>
      <c r="I14" s="40"/>
      <c r="J14" s="40">
        <v>2640</v>
      </c>
      <c r="K14" s="40"/>
      <c r="L14" s="40"/>
      <c r="M14" s="47">
        <f t="shared" si="1"/>
        <v>138600</v>
      </c>
      <c r="N14" s="47">
        <f t="shared" si="2"/>
        <v>138600</v>
      </c>
      <c r="O14">
        <v>3</v>
      </c>
      <c r="P14">
        <v>2</v>
      </c>
      <c r="Q14">
        <v>4</v>
      </c>
      <c r="R14">
        <v>4</v>
      </c>
      <c r="S14">
        <v>1</v>
      </c>
      <c r="T14">
        <v>2</v>
      </c>
      <c r="U14" s="48">
        <f t="shared" si="3"/>
        <v>0.16</v>
      </c>
      <c r="V14" s="47">
        <f t="shared" si="4"/>
        <v>22176</v>
      </c>
      <c r="W14" s="47">
        <f t="shared" si="5"/>
        <v>160776</v>
      </c>
      <c r="X14" s="47"/>
      <c r="Y14" s="47"/>
      <c r="AA14" s="309" t="s">
        <v>997</v>
      </c>
      <c r="AB14" s="307"/>
      <c r="AC14" s="307"/>
      <c r="AD14" s="307"/>
      <c r="AE14" s="308">
        <f>Y167-SUM(V168:V189)</f>
        <v>2112664</v>
      </c>
    </row>
    <row r="15" spans="1:31" ht="15.75" customHeight="1">
      <c r="A15" s="58"/>
      <c r="B15" s="8"/>
      <c r="C15" s="35"/>
      <c r="D15" s="35"/>
      <c r="E15" s="35"/>
      <c r="F15" s="47">
        <f t="shared" si="0"/>
        <v>0</v>
      </c>
      <c r="G15" s="40"/>
      <c r="H15" s="40"/>
      <c r="I15" s="40"/>
      <c r="J15" s="40"/>
      <c r="K15" s="40"/>
      <c r="L15" s="40"/>
      <c r="M15" s="47">
        <f t="shared" si="1"/>
        <v>0</v>
      </c>
      <c r="N15" s="47">
        <f t="shared" si="2"/>
        <v>0</v>
      </c>
      <c r="U15" s="48">
        <f t="shared" si="3"/>
        <v>0</v>
      </c>
      <c r="V15" s="47">
        <f t="shared" si="4"/>
        <v>0</v>
      </c>
      <c r="W15" s="47">
        <f t="shared" si="5"/>
        <v>0</v>
      </c>
      <c r="X15" s="47"/>
      <c r="Y15" s="47"/>
      <c r="AA15" s="309" t="s">
        <v>998</v>
      </c>
      <c r="AB15" s="307"/>
      <c r="AC15" s="307"/>
      <c r="AD15" s="307"/>
      <c r="AE15" s="308">
        <f>Y10-SUM(V11:V14)</f>
        <v>1153994</v>
      </c>
    </row>
    <row r="16" spans="1:31" ht="15.75" customHeight="1">
      <c r="A16" s="224" t="s">
        <v>1191</v>
      </c>
      <c r="B16" s="72" t="s">
        <v>910</v>
      </c>
      <c r="C16" s="35"/>
      <c r="D16" s="35"/>
      <c r="E16" s="35"/>
      <c r="F16" s="47">
        <f t="shared" si="0"/>
        <v>0</v>
      </c>
      <c r="G16" s="40"/>
      <c r="H16" s="40"/>
      <c r="I16" s="40"/>
      <c r="J16" s="40"/>
      <c r="K16" s="40"/>
      <c r="L16" s="40"/>
      <c r="M16" s="47">
        <f t="shared" si="1"/>
        <v>0</v>
      </c>
      <c r="N16" s="47">
        <f t="shared" si="2"/>
        <v>0</v>
      </c>
      <c r="U16" s="48">
        <f t="shared" si="3"/>
        <v>0</v>
      </c>
      <c r="V16" s="47">
        <f t="shared" si="4"/>
        <v>0</v>
      </c>
      <c r="W16" s="47">
        <f t="shared" si="5"/>
        <v>0</v>
      </c>
      <c r="X16" s="52">
        <f>SUM(N17:N109)</f>
        <v>2034107.5</v>
      </c>
      <c r="Y16" s="52">
        <f>SUM(W18:W109)</f>
        <v>2449176.2939999998</v>
      </c>
      <c r="AA16" s="306" t="s">
        <v>999</v>
      </c>
      <c r="AB16" s="307"/>
      <c r="AC16" s="307"/>
      <c r="AD16" s="307"/>
      <c r="AE16" s="308">
        <f>Y191-SUM(V193:V207)</f>
        <v>1120716.45</v>
      </c>
    </row>
    <row r="17" spans="1:31" ht="15.75" customHeight="1">
      <c r="A17" s="11" t="s">
        <v>1193</v>
      </c>
      <c r="B17" s="227" t="s">
        <v>1920</v>
      </c>
      <c r="C17" s="35"/>
      <c r="D17" s="35"/>
      <c r="E17" s="35"/>
      <c r="F17" s="47">
        <f t="shared" si="0"/>
        <v>0</v>
      </c>
      <c r="G17" s="40"/>
      <c r="H17" s="40"/>
      <c r="I17" s="40"/>
      <c r="J17" s="40"/>
      <c r="K17" s="40"/>
      <c r="L17" s="40"/>
      <c r="M17" s="47">
        <f t="shared" si="1"/>
        <v>0</v>
      </c>
      <c r="N17" s="47">
        <f t="shared" si="2"/>
        <v>0</v>
      </c>
      <c r="U17" s="48">
        <f t="shared" si="3"/>
        <v>0</v>
      </c>
      <c r="V17" s="47">
        <f t="shared" si="4"/>
        <v>0</v>
      </c>
      <c r="W17" s="47">
        <f t="shared" si="5"/>
        <v>0</v>
      </c>
      <c r="X17" s="47"/>
      <c r="Y17" s="47"/>
      <c r="AA17" s="309" t="s">
        <v>1000</v>
      </c>
      <c r="AB17" s="307"/>
      <c r="AC17" s="307"/>
      <c r="AD17" s="307"/>
      <c r="AE17" s="308">
        <f>Y111-SUM(V112:V120)</f>
        <v>311576.3</v>
      </c>
    </row>
    <row r="18" spans="1:31" ht="15.75" customHeight="1">
      <c r="A18" s="74"/>
      <c r="B18" s="73" t="s">
        <v>1921</v>
      </c>
      <c r="C18" s="35"/>
      <c r="D18" s="35"/>
      <c r="E18" s="35"/>
      <c r="F18" s="47">
        <f t="shared" si="0"/>
        <v>0</v>
      </c>
      <c r="G18" s="40"/>
      <c r="H18" s="40"/>
      <c r="I18" s="40"/>
      <c r="J18" s="40">
        <v>760</v>
      </c>
      <c r="K18" s="40">
        <v>120</v>
      </c>
      <c r="L18" s="40"/>
      <c r="M18" s="47">
        <f t="shared" si="1"/>
        <v>47946</v>
      </c>
      <c r="N18" s="47">
        <f t="shared" si="2"/>
        <v>47946</v>
      </c>
      <c r="O18">
        <v>1</v>
      </c>
      <c r="P18">
        <v>2</v>
      </c>
      <c r="Q18">
        <v>4</v>
      </c>
      <c r="R18">
        <v>6</v>
      </c>
      <c r="S18">
        <v>1</v>
      </c>
      <c r="T18">
        <v>4</v>
      </c>
      <c r="U18" s="48">
        <f t="shared" si="3"/>
        <v>0.16</v>
      </c>
      <c r="V18" s="47">
        <f t="shared" si="4"/>
        <v>7671.360000000001</v>
      </c>
      <c r="W18" s="47">
        <f>+F18+M18+V18</f>
        <v>55617.36</v>
      </c>
      <c r="X18" s="47"/>
      <c r="Y18" s="47"/>
      <c r="AA18" s="306" t="s">
        <v>1003</v>
      </c>
      <c r="AB18" s="307"/>
      <c r="AC18" s="307"/>
      <c r="AD18" s="307"/>
      <c r="AE18" s="308">
        <f>Y122-SUM(V123:V165)</f>
        <v>227551.59999999998</v>
      </c>
    </row>
    <row r="19" spans="1:31" ht="15.75" customHeight="1">
      <c r="A19" s="74"/>
      <c r="B19" s="73" t="s">
        <v>1922</v>
      </c>
      <c r="C19" s="35"/>
      <c r="D19" s="35"/>
      <c r="E19" s="35"/>
      <c r="F19" s="47">
        <f t="shared" si="0"/>
        <v>0</v>
      </c>
      <c r="G19" s="40"/>
      <c r="H19" s="40"/>
      <c r="I19" s="40"/>
      <c r="J19" s="40"/>
      <c r="K19" s="40">
        <v>80</v>
      </c>
      <c r="L19" s="40"/>
      <c r="M19" s="47">
        <f t="shared" si="1"/>
        <v>5364</v>
      </c>
      <c r="N19" s="47">
        <f t="shared" si="2"/>
        <v>5364</v>
      </c>
      <c r="O19">
        <v>1</v>
      </c>
      <c r="P19">
        <v>2</v>
      </c>
      <c r="Q19">
        <v>4</v>
      </c>
      <c r="R19">
        <v>6</v>
      </c>
      <c r="S19">
        <v>1</v>
      </c>
      <c r="T19">
        <v>4</v>
      </c>
      <c r="U19" s="48">
        <f t="shared" si="3"/>
        <v>0.16</v>
      </c>
      <c r="V19" s="47">
        <f t="shared" si="4"/>
        <v>858.24</v>
      </c>
      <c r="W19" s="47">
        <f>+F19+M19+V19</f>
        <v>6222.24</v>
      </c>
      <c r="X19" s="47"/>
      <c r="Y19" s="47"/>
      <c r="AA19" s="309"/>
      <c r="AB19" s="307"/>
      <c r="AC19" s="307"/>
      <c r="AD19" s="307"/>
      <c r="AE19" s="308"/>
    </row>
    <row r="20" spans="1:31" ht="15.75" customHeight="1" thickBot="1">
      <c r="A20" s="74"/>
      <c r="B20" s="73" t="s">
        <v>1923</v>
      </c>
      <c r="C20" s="35"/>
      <c r="D20" s="35"/>
      <c r="E20" s="35"/>
      <c r="F20" s="47">
        <f t="shared" si="0"/>
        <v>0</v>
      </c>
      <c r="G20" s="40"/>
      <c r="H20" s="40"/>
      <c r="I20" s="40"/>
      <c r="J20" s="40"/>
      <c r="K20" s="40">
        <v>2160</v>
      </c>
      <c r="L20" s="40"/>
      <c r="M20" s="47">
        <f t="shared" si="1"/>
        <v>144828</v>
      </c>
      <c r="N20" s="47">
        <f t="shared" si="2"/>
        <v>144828</v>
      </c>
      <c r="O20">
        <v>1</v>
      </c>
      <c r="P20" s="40">
        <v>2</v>
      </c>
      <c r="Q20">
        <v>4</v>
      </c>
      <c r="R20" s="40">
        <v>6</v>
      </c>
      <c r="S20" s="40">
        <v>1</v>
      </c>
      <c r="T20" s="40">
        <v>4</v>
      </c>
      <c r="U20" s="48">
        <f t="shared" si="3"/>
        <v>0.16</v>
      </c>
      <c r="V20" s="47">
        <f t="shared" si="4"/>
        <v>23172.48</v>
      </c>
      <c r="W20" s="47">
        <f t="shared" si="5"/>
        <v>168000.48</v>
      </c>
      <c r="X20" s="47"/>
      <c r="Y20" s="47"/>
      <c r="AA20" s="310"/>
      <c r="AB20" s="307"/>
      <c r="AC20" s="307"/>
      <c r="AD20" s="307"/>
      <c r="AE20" s="311"/>
    </row>
    <row r="21" spans="1:31" ht="15.75" customHeight="1" thickBot="1">
      <c r="A21" s="74"/>
      <c r="B21" s="73" t="s">
        <v>1924</v>
      </c>
      <c r="C21" s="35">
        <v>60000</v>
      </c>
      <c r="D21" s="35"/>
      <c r="E21" s="35"/>
      <c r="F21" s="47">
        <f t="shared" si="0"/>
        <v>60000</v>
      </c>
      <c r="G21" s="40"/>
      <c r="H21" s="40"/>
      <c r="I21" s="40"/>
      <c r="J21" s="40">
        <v>300</v>
      </c>
      <c r="K21" s="40"/>
      <c r="L21" s="40"/>
      <c r="M21" s="47">
        <f t="shared" si="1"/>
        <v>15750</v>
      </c>
      <c r="N21" s="47">
        <f t="shared" si="2"/>
        <v>75750</v>
      </c>
      <c r="P21" s="40"/>
      <c r="R21" s="40"/>
      <c r="S21" s="40"/>
      <c r="T21" s="40"/>
      <c r="U21" s="48">
        <f t="shared" si="3"/>
        <v>0</v>
      </c>
      <c r="V21" s="47">
        <f t="shared" si="4"/>
        <v>0</v>
      </c>
      <c r="W21" s="47">
        <f t="shared" si="5"/>
        <v>75750</v>
      </c>
      <c r="X21" s="47"/>
      <c r="Y21" s="47"/>
      <c r="AA21" s="315" t="s">
        <v>1001</v>
      </c>
      <c r="AB21" s="316"/>
      <c r="AC21" s="316"/>
      <c r="AD21" s="316"/>
      <c r="AE21" s="317">
        <f>SUM(AE13:AE20)</f>
        <v>6960609.85</v>
      </c>
    </row>
    <row r="22" spans="1:25" ht="15.75" customHeight="1">
      <c r="A22" s="74"/>
      <c r="B22" s="225"/>
      <c r="C22" s="35"/>
      <c r="D22" s="35"/>
      <c r="E22" s="35"/>
      <c r="F22" s="47">
        <f t="shared" si="0"/>
        <v>0</v>
      </c>
      <c r="G22" s="40"/>
      <c r="H22" s="40"/>
      <c r="I22" s="40"/>
      <c r="J22" s="40"/>
      <c r="K22" s="40"/>
      <c r="L22" s="40"/>
      <c r="M22" s="47">
        <f t="shared" si="1"/>
        <v>0</v>
      </c>
      <c r="N22" s="47">
        <f t="shared" si="2"/>
        <v>0</v>
      </c>
      <c r="P22" s="40"/>
      <c r="R22" s="40"/>
      <c r="S22" s="40"/>
      <c r="T22" s="40"/>
      <c r="U22" s="48">
        <f t="shared" si="3"/>
        <v>0</v>
      </c>
      <c r="V22" s="47">
        <f t="shared" si="4"/>
        <v>0</v>
      </c>
      <c r="W22" s="47">
        <f t="shared" si="5"/>
        <v>0</v>
      </c>
      <c r="X22" s="47"/>
      <c r="Y22" s="47"/>
    </row>
    <row r="23" spans="1:25" ht="15.75" customHeight="1">
      <c r="A23" s="11" t="s">
        <v>1194</v>
      </c>
      <c r="B23" s="227" t="s">
        <v>1925</v>
      </c>
      <c r="C23" s="35"/>
      <c r="D23" s="35"/>
      <c r="E23" s="35"/>
      <c r="F23" s="47">
        <f t="shared" si="0"/>
        <v>0</v>
      </c>
      <c r="G23" s="40"/>
      <c r="H23" s="40"/>
      <c r="I23" s="40"/>
      <c r="J23" s="40"/>
      <c r="K23" s="40"/>
      <c r="L23" s="40"/>
      <c r="M23" s="47">
        <f t="shared" si="1"/>
        <v>0</v>
      </c>
      <c r="N23" s="47">
        <f t="shared" si="2"/>
        <v>0</v>
      </c>
      <c r="P23" s="40"/>
      <c r="R23" s="40"/>
      <c r="S23" s="40"/>
      <c r="T23" s="40"/>
      <c r="U23" s="48">
        <f t="shared" si="3"/>
        <v>0</v>
      </c>
      <c r="V23" s="47">
        <f t="shared" si="4"/>
        <v>0</v>
      </c>
      <c r="W23" s="47">
        <f t="shared" si="5"/>
        <v>0</v>
      </c>
      <c r="X23" s="47"/>
      <c r="Y23" s="47"/>
    </row>
    <row r="24" spans="1:25" ht="15.75" customHeight="1">
      <c r="A24" s="74"/>
      <c r="B24" s="73" t="s">
        <v>1921</v>
      </c>
      <c r="C24" s="35"/>
      <c r="D24" s="35"/>
      <c r="E24" s="35"/>
      <c r="F24" s="47">
        <f t="shared" si="0"/>
        <v>0</v>
      </c>
      <c r="G24" s="40"/>
      <c r="H24" s="40"/>
      <c r="I24" s="40"/>
      <c r="J24" s="40">
        <v>168</v>
      </c>
      <c r="K24" s="40"/>
      <c r="L24" s="40"/>
      <c r="M24" s="47">
        <f t="shared" si="1"/>
        <v>8820</v>
      </c>
      <c r="N24" s="47">
        <f t="shared" si="2"/>
        <v>8820</v>
      </c>
      <c r="O24">
        <v>1</v>
      </c>
      <c r="P24" s="40">
        <v>2</v>
      </c>
      <c r="Q24">
        <v>4</v>
      </c>
      <c r="R24" s="40">
        <v>4</v>
      </c>
      <c r="S24" s="40">
        <v>1</v>
      </c>
      <c r="T24" s="40">
        <v>4</v>
      </c>
      <c r="U24" s="48">
        <f t="shared" si="3"/>
        <v>0.14</v>
      </c>
      <c r="V24" s="47">
        <f t="shared" si="4"/>
        <v>1234.8000000000002</v>
      </c>
      <c r="W24" s="47">
        <f t="shared" si="5"/>
        <v>10054.8</v>
      </c>
      <c r="X24" s="47"/>
      <c r="Y24" s="47"/>
    </row>
    <row r="25" spans="1:25" ht="15.75" customHeight="1">
      <c r="A25" s="74"/>
      <c r="B25" s="73" t="s">
        <v>1922</v>
      </c>
      <c r="C25" s="35"/>
      <c r="D25" s="35"/>
      <c r="E25" s="35"/>
      <c r="F25" s="47">
        <f t="shared" si="0"/>
        <v>0</v>
      </c>
      <c r="G25" s="40"/>
      <c r="H25" s="40"/>
      <c r="I25" s="40"/>
      <c r="J25" s="40"/>
      <c r="K25" s="40">
        <v>80</v>
      </c>
      <c r="L25" s="40"/>
      <c r="M25" s="47">
        <f t="shared" si="1"/>
        <v>5364</v>
      </c>
      <c r="N25" s="47">
        <f t="shared" si="2"/>
        <v>5364</v>
      </c>
      <c r="O25">
        <v>1</v>
      </c>
      <c r="P25" s="40">
        <v>2</v>
      </c>
      <c r="Q25">
        <v>4</v>
      </c>
      <c r="R25" s="40">
        <v>4</v>
      </c>
      <c r="S25" s="40">
        <v>1</v>
      </c>
      <c r="T25" s="40">
        <v>4</v>
      </c>
      <c r="U25" s="48">
        <f t="shared" si="3"/>
        <v>0.14</v>
      </c>
      <c r="V25" s="47">
        <f t="shared" si="4"/>
        <v>750.96</v>
      </c>
      <c r="W25" s="47">
        <f t="shared" si="5"/>
        <v>6114.96</v>
      </c>
      <c r="X25" s="47"/>
      <c r="Y25" s="47"/>
    </row>
    <row r="26" spans="1:25" ht="15.75" customHeight="1">
      <c r="A26" s="74"/>
      <c r="B26" s="73" t="s">
        <v>1923</v>
      </c>
      <c r="C26" s="35"/>
      <c r="D26" s="35"/>
      <c r="E26" s="35"/>
      <c r="F26" s="47">
        <f t="shared" si="0"/>
        <v>0</v>
      </c>
      <c r="G26" s="40"/>
      <c r="H26" s="40"/>
      <c r="I26" s="40"/>
      <c r="J26" s="40"/>
      <c r="K26" s="40">
        <v>1440</v>
      </c>
      <c r="L26" s="40"/>
      <c r="M26" s="47">
        <f t="shared" si="1"/>
        <v>96552</v>
      </c>
      <c r="N26" s="47">
        <f t="shared" si="2"/>
        <v>96552</v>
      </c>
      <c r="O26">
        <v>1</v>
      </c>
      <c r="P26" s="40">
        <v>2</v>
      </c>
      <c r="Q26">
        <v>4</v>
      </c>
      <c r="R26" s="40">
        <v>4</v>
      </c>
      <c r="S26" s="40">
        <v>1</v>
      </c>
      <c r="T26" s="40">
        <v>4</v>
      </c>
      <c r="U26" s="48">
        <f t="shared" si="3"/>
        <v>0.14</v>
      </c>
      <c r="V26" s="47">
        <f t="shared" si="4"/>
        <v>13517.28</v>
      </c>
      <c r="W26" s="47">
        <f t="shared" si="5"/>
        <v>110069.28</v>
      </c>
      <c r="X26" s="47"/>
      <c r="Y26" s="47"/>
    </row>
    <row r="27" spans="1:25" ht="15.75" customHeight="1">
      <c r="A27" s="74"/>
      <c r="B27" s="73" t="s">
        <v>1924</v>
      </c>
      <c r="C27" s="35">
        <v>20000</v>
      </c>
      <c r="D27" s="35"/>
      <c r="E27" s="35"/>
      <c r="F27" s="47">
        <f t="shared" si="0"/>
        <v>20000</v>
      </c>
      <c r="G27" s="40"/>
      <c r="H27" s="40"/>
      <c r="I27" s="40"/>
      <c r="J27" s="40">
        <v>100</v>
      </c>
      <c r="K27" s="40"/>
      <c r="L27" s="40"/>
      <c r="M27" s="47">
        <f t="shared" si="1"/>
        <v>5250</v>
      </c>
      <c r="N27" s="47">
        <f t="shared" si="2"/>
        <v>25250</v>
      </c>
      <c r="P27" s="40"/>
      <c r="R27" s="40"/>
      <c r="S27" s="40"/>
      <c r="T27" s="40"/>
      <c r="U27" s="48">
        <f t="shared" si="3"/>
        <v>0</v>
      </c>
      <c r="V27" s="47">
        <f t="shared" si="4"/>
        <v>0</v>
      </c>
      <c r="W27" s="47">
        <f t="shared" si="5"/>
        <v>25250</v>
      </c>
      <c r="X27" s="47"/>
      <c r="Y27" s="47"/>
    </row>
    <row r="28" spans="1:25" ht="15.75" customHeight="1">
      <c r="A28" s="74"/>
      <c r="B28" s="225"/>
      <c r="C28" s="35"/>
      <c r="D28" s="35"/>
      <c r="E28" s="35"/>
      <c r="F28" s="47">
        <f t="shared" si="0"/>
        <v>0</v>
      </c>
      <c r="G28" s="40"/>
      <c r="H28" s="40"/>
      <c r="I28" s="40"/>
      <c r="J28" s="40"/>
      <c r="K28" s="40"/>
      <c r="L28" s="40"/>
      <c r="M28" s="47">
        <f t="shared" si="1"/>
        <v>0</v>
      </c>
      <c r="N28" s="47">
        <f t="shared" si="2"/>
        <v>0</v>
      </c>
      <c r="U28" s="48">
        <f t="shared" si="3"/>
        <v>0</v>
      </c>
      <c r="V28" s="47">
        <f t="shared" si="4"/>
        <v>0</v>
      </c>
      <c r="W28" s="47">
        <f t="shared" si="5"/>
        <v>0</v>
      </c>
      <c r="X28" s="47"/>
      <c r="Y28" s="47"/>
    </row>
    <row r="29" spans="1:25" ht="15.75" customHeight="1">
      <c r="A29" s="11" t="s">
        <v>1195</v>
      </c>
      <c r="B29" s="227" t="s">
        <v>1926</v>
      </c>
      <c r="C29" s="35"/>
      <c r="D29" s="35"/>
      <c r="E29" s="35"/>
      <c r="F29" s="47">
        <f t="shared" si="0"/>
        <v>0</v>
      </c>
      <c r="G29" s="40"/>
      <c r="H29" s="40"/>
      <c r="I29" s="40"/>
      <c r="J29" s="40"/>
      <c r="K29" s="40"/>
      <c r="L29" s="40"/>
      <c r="M29" s="47">
        <f t="shared" si="1"/>
        <v>0</v>
      </c>
      <c r="N29" s="47">
        <f t="shared" si="2"/>
        <v>0</v>
      </c>
      <c r="U29" s="48">
        <f t="shared" si="3"/>
        <v>0</v>
      </c>
      <c r="V29" s="47">
        <f t="shared" si="4"/>
        <v>0</v>
      </c>
      <c r="W29" s="47">
        <f t="shared" si="5"/>
        <v>0</v>
      </c>
      <c r="X29" s="47"/>
      <c r="Y29" s="47"/>
    </row>
    <row r="30" spans="1:25" ht="15.75" customHeight="1">
      <c r="A30" s="74"/>
      <c r="B30" s="73" t="s">
        <v>1927</v>
      </c>
      <c r="C30" s="35"/>
      <c r="D30" s="35">
        <v>30000</v>
      </c>
      <c r="E30" s="35"/>
      <c r="F30" s="47">
        <f t="shared" si="0"/>
        <v>30000</v>
      </c>
      <c r="G30" s="40">
        <v>60</v>
      </c>
      <c r="H30" s="40"/>
      <c r="I30" s="40"/>
      <c r="J30" s="40"/>
      <c r="K30" s="40"/>
      <c r="L30" s="40"/>
      <c r="M30" s="47">
        <f t="shared" si="1"/>
        <v>4029.0000000000005</v>
      </c>
      <c r="N30" s="47">
        <f t="shared" si="2"/>
        <v>34029</v>
      </c>
      <c r="O30">
        <v>2</v>
      </c>
      <c r="P30" s="40">
        <v>2</v>
      </c>
      <c r="Q30">
        <v>4</v>
      </c>
      <c r="R30" s="40">
        <v>4</v>
      </c>
      <c r="S30" s="40">
        <v>2</v>
      </c>
      <c r="T30" s="40">
        <v>2</v>
      </c>
      <c r="U30" s="48">
        <f t="shared" si="3"/>
        <v>0.18</v>
      </c>
      <c r="V30" s="47">
        <f t="shared" si="4"/>
        <v>6125.219999999999</v>
      </c>
      <c r="W30" s="47">
        <f t="shared" si="5"/>
        <v>40154.22</v>
      </c>
      <c r="X30" s="47"/>
      <c r="Y30" s="47"/>
    </row>
    <row r="31" spans="1:25" ht="15.75" customHeight="1">
      <c r="A31" s="74"/>
      <c r="B31" s="225"/>
      <c r="C31" s="35"/>
      <c r="D31" s="35"/>
      <c r="E31" s="35"/>
      <c r="F31" s="47">
        <f t="shared" si="0"/>
        <v>0</v>
      </c>
      <c r="G31" s="40"/>
      <c r="H31" s="40"/>
      <c r="I31" s="40"/>
      <c r="J31" s="40"/>
      <c r="K31" s="40"/>
      <c r="L31" s="40"/>
      <c r="M31" s="47">
        <f t="shared" si="1"/>
        <v>0</v>
      </c>
      <c r="N31" s="47">
        <f t="shared" si="2"/>
        <v>0</v>
      </c>
      <c r="P31" s="40"/>
      <c r="R31" s="40"/>
      <c r="S31" s="40"/>
      <c r="T31" s="40"/>
      <c r="U31" s="48">
        <f t="shared" si="3"/>
        <v>0</v>
      </c>
      <c r="V31" s="47">
        <f t="shared" si="4"/>
        <v>0</v>
      </c>
      <c r="W31" s="47">
        <f t="shared" si="5"/>
        <v>0</v>
      </c>
      <c r="X31" s="47"/>
      <c r="Y31" s="47"/>
    </row>
    <row r="32" spans="1:25" ht="15.75" customHeight="1">
      <c r="A32" s="11" t="s">
        <v>1196</v>
      </c>
      <c r="B32" s="227" t="s">
        <v>1928</v>
      </c>
      <c r="C32" s="35"/>
      <c r="D32" s="35"/>
      <c r="E32" s="35"/>
      <c r="F32" s="47">
        <f t="shared" si="0"/>
        <v>0</v>
      </c>
      <c r="G32" s="40"/>
      <c r="H32" s="40"/>
      <c r="I32" s="40"/>
      <c r="J32" s="40"/>
      <c r="K32" s="40"/>
      <c r="L32" s="40"/>
      <c r="M32" s="47">
        <f t="shared" si="1"/>
        <v>0</v>
      </c>
      <c r="N32" s="47">
        <f t="shared" si="2"/>
        <v>0</v>
      </c>
      <c r="P32" s="40"/>
      <c r="R32" s="40"/>
      <c r="S32" s="40"/>
      <c r="T32" s="40"/>
      <c r="U32" s="48">
        <f t="shared" si="3"/>
        <v>0</v>
      </c>
      <c r="V32" s="47">
        <f t="shared" si="4"/>
        <v>0</v>
      </c>
      <c r="W32" s="47">
        <f t="shared" si="5"/>
        <v>0</v>
      </c>
      <c r="X32" s="47"/>
      <c r="Y32" s="47"/>
    </row>
    <row r="33" spans="1:25" ht="15.75" customHeight="1">
      <c r="A33" s="74"/>
      <c r="B33" s="73" t="s">
        <v>1929</v>
      </c>
      <c r="C33" s="35">
        <v>1000</v>
      </c>
      <c r="D33" s="35"/>
      <c r="E33" s="35"/>
      <c r="F33" s="47">
        <f t="shared" si="0"/>
        <v>1000</v>
      </c>
      <c r="G33" s="40">
        <v>10</v>
      </c>
      <c r="H33" s="40"/>
      <c r="I33" s="40"/>
      <c r="J33" s="40">
        <v>160</v>
      </c>
      <c r="K33" s="40">
        <v>12</v>
      </c>
      <c r="L33" s="40">
        <v>10</v>
      </c>
      <c r="M33" s="47">
        <f t="shared" si="1"/>
        <v>10886.1</v>
      </c>
      <c r="N33" s="47">
        <f t="shared" si="2"/>
        <v>11886.1</v>
      </c>
      <c r="O33" s="40">
        <v>2</v>
      </c>
      <c r="P33" s="40">
        <v>2</v>
      </c>
      <c r="Q33" s="40">
        <v>4</v>
      </c>
      <c r="R33" s="40">
        <v>4</v>
      </c>
      <c r="S33" s="40">
        <v>2</v>
      </c>
      <c r="T33" s="40">
        <v>2</v>
      </c>
      <c r="U33" s="48">
        <f t="shared" si="3"/>
        <v>0.18</v>
      </c>
      <c r="V33" s="47">
        <f t="shared" si="4"/>
        <v>2139.498</v>
      </c>
      <c r="W33" s="47">
        <f t="shared" si="5"/>
        <v>14025.598</v>
      </c>
      <c r="X33" s="47"/>
      <c r="Y33" s="47"/>
    </row>
    <row r="34" spans="1:25" ht="15.75" customHeight="1">
      <c r="A34" s="74"/>
      <c r="B34" s="73" t="s">
        <v>1930</v>
      </c>
      <c r="C34" s="35">
        <v>3000</v>
      </c>
      <c r="D34" s="35"/>
      <c r="E34" s="35"/>
      <c r="F34" s="47">
        <f t="shared" si="0"/>
        <v>3000</v>
      </c>
      <c r="G34" s="40">
        <v>30</v>
      </c>
      <c r="H34" s="40"/>
      <c r="I34" s="40"/>
      <c r="J34" s="40">
        <v>480</v>
      </c>
      <c r="K34" s="40">
        <v>24</v>
      </c>
      <c r="L34" s="40">
        <v>30</v>
      </c>
      <c r="M34" s="47">
        <f t="shared" si="1"/>
        <v>31853.7</v>
      </c>
      <c r="N34" s="47">
        <f t="shared" si="2"/>
        <v>34853.7</v>
      </c>
      <c r="O34" s="40">
        <v>2</v>
      </c>
      <c r="P34" s="40">
        <v>2</v>
      </c>
      <c r="Q34" s="40">
        <v>4</v>
      </c>
      <c r="R34" s="40">
        <v>4</v>
      </c>
      <c r="S34" s="40">
        <v>2</v>
      </c>
      <c r="T34" s="40">
        <v>2</v>
      </c>
      <c r="U34" s="48">
        <f t="shared" si="3"/>
        <v>0.18</v>
      </c>
      <c r="V34" s="47">
        <f t="shared" si="4"/>
        <v>6273.665999999999</v>
      </c>
      <c r="W34" s="47">
        <f t="shared" si="5"/>
        <v>41127.365999999995</v>
      </c>
      <c r="X34" s="47"/>
      <c r="Y34" s="47"/>
    </row>
    <row r="35" spans="1:25" ht="15.75" customHeight="1">
      <c r="A35" s="74"/>
      <c r="B35" s="73" t="s">
        <v>1931</v>
      </c>
      <c r="C35" s="35">
        <v>2000</v>
      </c>
      <c r="D35" s="35"/>
      <c r="E35" s="35"/>
      <c r="F35" s="47">
        <f t="shared" si="0"/>
        <v>2000</v>
      </c>
      <c r="G35" s="40">
        <v>20</v>
      </c>
      <c r="H35" s="40"/>
      <c r="I35" s="40"/>
      <c r="J35" s="40">
        <v>320</v>
      </c>
      <c r="K35" s="40">
        <v>12</v>
      </c>
      <c r="L35" s="40">
        <v>20</v>
      </c>
      <c r="M35" s="47">
        <f t="shared" si="1"/>
        <v>20967.6</v>
      </c>
      <c r="N35" s="47">
        <f t="shared" si="2"/>
        <v>22967.6</v>
      </c>
      <c r="O35" s="40">
        <v>2</v>
      </c>
      <c r="P35" s="40">
        <v>2</v>
      </c>
      <c r="Q35" s="40">
        <v>4</v>
      </c>
      <c r="R35" s="40">
        <v>4</v>
      </c>
      <c r="S35" s="40">
        <v>2</v>
      </c>
      <c r="T35" s="40">
        <v>2</v>
      </c>
      <c r="U35" s="48">
        <f t="shared" si="3"/>
        <v>0.18</v>
      </c>
      <c r="V35" s="47">
        <f t="shared" si="4"/>
        <v>4134.168</v>
      </c>
      <c r="W35" s="47">
        <f t="shared" si="5"/>
        <v>27101.767999999996</v>
      </c>
      <c r="X35" s="47"/>
      <c r="Y35" s="47"/>
    </row>
    <row r="36" spans="1:25" ht="15.75" customHeight="1">
      <c r="A36" s="74"/>
      <c r="B36" s="73" t="s">
        <v>1932</v>
      </c>
      <c r="C36" s="35">
        <v>1000</v>
      </c>
      <c r="D36" s="35"/>
      <c r="E36" s="35"/>
      <c r="F36" s="47">
        <f t="shared" si="0"/>
        <v>1000</v>
      </c>
      <c r="G36" s="40">
        <v>10</v>
      </c>
      <c r="H36" s="40"/>
      <c r="I36" s="40"/>
      <c r="J36" s="40">
        <v>160</v>
      </c>
      <c r="K36" s="40">
        <v>12</v>
      </c>
      <c r="L36" s="40">
        <v>10</v>
      </c>
      <c r="M36" s="47">
        <f t="shared" si="1"/>
        <v>10886.1</v>
      </c>
      <c r="N36" s="47">
        <f t="shared" si="2"/>
        <v>11886.1</v>
      </c>
      <c r="O36" s="40">
        <v>2</v>
      </c>
      <c r="P36" s="40">
        <v>2</v>
      </c>
      <c r="Q36" s="40">
        <v>4</v>
      </c>
      <c r="R36" s="40">
        <v>4</v>
      </c>
      <c r="S36" s="40">
        <v>2</v>
      </c>
      <c r="T36" s="40">
        <v>2</v>
      </c>
      <c r="U36" s="48">
        <f t="shared" si="3"/>
        <v>0.18</v>
      </c>
      <c r="V36" s="47">
        <f t="shared" si="4"/>
        <v>2139.498</v>
      </c>
      <c r="W36" s="47">
        <f t="shared" si="5"/>
        <v>14025.598</v>
      </c>
      <c r="X36" s="47"/>
      <c r="Y36" s="47"/>
    </row>
    <row r="37" spans="1:25" ht="15.75" customHeight="1">
      <c r="A37" s="74"/>
      <c r="B37" s="225"/>
      <c r="C37" s="35"/>
      <c r="D37" s="35"/>
      <c r="E37" s="35"/>
      <c r="F37" s="47">
        <f t="shared" si="0"/>
        <v>0</v>
      </c>
      <c r="G37" s="40"/>
      <c r="H37" s="40"/>
      <c r="I37" s="40"/>
      <c r="J37" s="40"/>
      <c r="K37" s="40"/>
      <c r="L37" s="40"/>
      <c r="M37" s="47">
        <f t="shared" si="1"/>
        <v>0</v>
      </c>
      <c r="N37" s="47">
        <f t="shared" si="2"/>
        <v>0</v>
      </c>
      <c r="U37" s="48">
        <f t="shared" si="3"/>
        <v>0</v>
      </c>
      <c r="V37" s="47">
        <f t="shared" si="4"/>
        <v>0</v>
      </c>
      <c r="W37" s="47">
        <f t="shared" si="5"/>
        <v>0</v>
      </c>
      <c r="X37" s="47"/>
      <c r="Y37" s="47"/>
    </row>
    <row r="38" spans="1:25" ht="15.75" customHeight="1">
      <c r="A38" s="11" t="s">
        <v>1197</v>
      </c>
      <c r="B38" s="227" t="s">
        <v>895</v>
      </c>
      <c r="C38" s="35"/>
      <c r="D38" s="35"/>
      <c r="E38" s="35"/>
      <c r="F38" s="47">
        <f t="shared" si="0"/>
        <v>0</v>
      </c>
      <c r="G38" s="40"/>
      <c r="H38" s="40"/>
      <c r="I38" s="40"/>
      <c r="J38" s="40"/>
      <c r="K38" s="40"/>
      <c r="L38" s="40"/>
      <c r="M38" s="47">
        <f t="shared" si="1"/>
        <v>0</v>
      </c>
      <c r="N38" s="47">
        <f t="shared" si="2"/>
        <v>0</v>
      </c>
      <c r="U38" s="48">
        <f t="shared" si="3"/>
        <v>0</v>
      </c>
      <c r="V38" s="47">
        <f t="shared" si="4"/>
        <v>0</v>
      </c>
      <c r="W38" s="47">
        <f t="shared" si="5"/>
        <v>0</v>
      </c>
      <c r="X38" s="47"/>
      <c r="Y38" s="47"/>
    </row>
    <row r="39" spans="1:25" ht="15.75" customHeight="1">
      <c r="A39" s="74"/>
      <c r="B39" s="73" t="s">
        <v>1933</v>
      </c>
      <c r="C39" s="35">
        <v>17250</v>
      </c>
      <c r="D39" s="35">
        <v>21700</v>
      </c>
      <c r="E39" s="35"/>
      <c r="F39" s="47">
        <f t="shared" si="0"/>
        <v>38950</v>
      </c>
      <c r="G39" s="40">
        <v>100</v>
      </c>
      <c r="H39" s="40"/>
      <c r="I39" s="40">
        <v>80</v>
      </c>
      <c r="J39" s="40">
        <v>2080</v>
      </c>
      <c r="K39" s="40">
        <v>30</v>
      </c>
      <c r="L39" s="40">
        <v>50</v>
      </c>
      <c r="M39" s="47">
        <f t="shared" si="1"/>
        <v>127476.5</v>
      </c>
      <c r="N39" s="47">
        <f t="shared" si="2"/>
        <v>166426.5</v>
      </c>
      <c r="O39" s="40">
        <v>3</v>
      </c>
      <c r="P39" s="40">
        <v>2</v>
      </c>
      <c r="Q39" s="40">
        <v>8</v>
      </c>
      <c r="R39" s="40">
        <v>1</v>
      </c>
      <c r="S39" s="40">
        <v>2</v>
      </c>
      <c r="T39" s="40">
        <v>4</v>
      </c>
      <c r="U39" s="48">
        <f t="shared" si="3"/>
        <v>0.2</v>
      </c>
      <c r="V39" s="47">
        <f t="shared" si="4"/>
        <v>33285.3</v>
      </c>
      <c r="W39" s="47">
        <f t="shared" si="5"/>
        <v>199711.8</v>
      </c>
      <c r="X39" s="47"/>
      <c r="Y39" s="47"/>
    </row>
    <row r="40" spans="1:25" ht="15.75" customHeight="1">
      <c r="A40" s="74"/>
      <c r="B40" s="225"/>
      <c r="C40" s="35"/>
      <c r="D40" s="35"/>
      <c r="E40" s="35"/>
      <c r="F40" s="47">
        <f t="shared" si="0"/>
        <v>0</v>
      </c>
      <c r="G40" s="40"/>
      <c r="H40" s="40"/>
      <c r="I40" s="40"/>
      <c r="J40" s="40"/>
      <c r="K40" s="40"/>
      <c r="L40" s="40"/>
      <c r="M40" s="47">
        <f t="shared" si="1"/>
        <v>0</v>
      </c>
      <c r="N40" s="47">
        <f t="shared" si="2"/>
        <v>0</v>
      </c>
      <c r="U40" s="48">
        <f t="shared" si="3"/>
        <v>0</v>
      </c>
      <c r="V40" s="47">
        <f t="shared" si="4"/>
        <v>0</v>
      </c>
      <c r="W40" s="47">
        <f t="shared" si="5"/>
        <v>0</v>
      </c>
      <c r="X40" s="47"/>
      <c r="Y40" s="47"/>
    </row>
    <row r="41" spans="1:25" ht="15.75" customHeight="1">
      <c r="A41" s="11" t="s">
        <v>1198</v>
      </c>
      <c r="B41" s="227" t="s">
        <v>1934</v>
      </c>
      <c r="C41" s="35"/>
      <c r="D41" s="35"/>
      <c r="E41" s="35"/>
      <c r="F41" s="47">
        <f t="shared" si="0"/>
        <v>0</v>
      </c>
      <c r="G41" s="40"/>
      <c r="H41" s="40"/>
      <c r="I41" s="40"/>
      <c r="J41" s="40"/>
      <c r="K41" s="40"/>
      <c r="L41" s="40"/>
      <c r="M41" s="47">
        <f t="shared" si="1"/>
        <v>0</v>
      </c>
      <c r="N41" s="47">
        <f t="shared" si="2"/>
        <v>0</v>
      </c>
      <c r="U41" s="48">
        <f t="shared" si="3"/>
        <v>0</v>
      </c>
      <c r="V41" s="47">
        <f t="shared" si="4"/>
        <v>0</v>
      </c>
      <c r="W41" s="47">
        <f t="shared" si="5"/>
        <v>0</v>
      </c>
      <c r="X41" s="47"/>
      <c r="Y41" s="47"/>
    </row>
    <row r="42" spans="1:25" ht="15.75" customHeight="1">
      <c r="A42" s="74"/>
      <c r="B42" s="73" t="s">
        <v>1935</v>
      </c>
      <c r="C42" s="35"/>
      <c r="D42" s="35">
        <v>60000</v>
      </c>
      <c r="E42" s="35"/>
      <c r="F42" s="47">
        <f aca="true" t="shared" si="6" ref="F42:F48">SUM(C42:E42)</f>
        <v>60000</v>
      </c>
      <c r="G42" s="40"/>
      <c r="H42" s="40"/>
      <c r="I42" s="40"/>
      <c r="J42" s="40"/>
      <c r="K42" s="40">
        <v>80</v>
      </c>
      <c r="L42" s="40"/>
      <c r="M42" s="47">
        <f aca="true" t="shared" si="7" ref="M42:M50">$G$3*G42+$H$3*H42+$I$3*I42+$J$3*J42+$K$3*K42+$L$3*L42</f>
        <v>5364</v>
      </c>
      <c r="N42" s="47">
        <f>M42+F42</f>
        <v>65364</v>
      </c>
      <c r="O42">
        <v>4</v>
      </c>
      <c r="P42">
        <v>2</v>
      </c>
      <c r="Q42">
        <v>8</v>
      </c>
      <c r="R42">
        <v>6</v>
      </c>
      <c r="S42">
        <v>2</v>
      </c>
      <c r="T42">
        <v>2</v>
      </c>
      <c r="U42" s="48">
        <f aca="true" t="shared" si="8" ref="U42:U50">((O42*P42)+Q42+(R42*S42)+T42)/100</f>
        <v>0.3</v>
      </c>
      <c r="V42" s="47">
        <f t="shared" si="4"/>
        <v>19609.2</v>
      </c>
      <c r="W42" s="47">
        <f aca="true" t="shared" si="9" ref="W42:W50">+F42+M42+V42</f>
        <v>84973.2</v>
      </c>
      <c r="X42" s="47"/>
      <c r="Y42" s="47"/>
    </row>
    <row r="43" spans="1:25" ht="15.75" customHeight="1">
      <c r="A43" s="58"/>
      <c r="B43" s="225"/>
      <c r="C43" s="35"/>
      <c r="D43" s="35"/>
      <c r="E43" s="35"/>
      <c r="F43" s="47">
        <f t="shared" si="6"/>
        <v>0</v>
      </c>
      <c r="G43" s="40"/>
      <c r="H43" s="40"/>
      <c r="I43" s="40"/>
      <c r="J43" s="40"/>
      <c r="K43" s="40"/>
      <c r="L43" s="40"/>
      <c r="M43" s="47">
        <f t="shared" si="7"/>
        <v>0</v>
      </c>
      <c r="N43" s="47">
        <f>M43+F43</f>
        <v>0</v>
      </c>
      <c r="U43" s="48">
        <f t="shared" si="8"/>
        <v>0</v>
      </c>
      <c r="V43" s="47"/>
      <c r="W43" s="47">
        <f t="shared" si="9"/>
        <v>0</v>
      </c>
      <c r="X43" s="47"/>
      <c r="Y43" s="47"/>
    </row>
    <row r="44" spans="1:25" ht="15.75" customHeight="1">
      <c r="A44" s="58" t="s">
        <v>1199</v>
      </c>
      <c r="B44" s="227" t="s">
        <v>1916</v>
      </c>
      <c r="C44" s="35"/>
      <c r="D44" s="35"/>
      <c r="E44" s="35"/>
      <c r="F44" s="47">
        <f t="shared" si="6"/>
        <v>0</v>
      </c>
      <c r="G44" s="40"/>
      <c r="H44" s="40"/>
      <c r="I44" s="40"/>
      <c r="J44" s="40"/>
      <c r="K44" s="40"/>
      <c r="L44" s="40"/>
      <c r="M44" s="47">
        <f t="shared" si="7"/>
        <v>0</v>
      </c>
      <c r="N44" s="47">
        <f>M44+F44</f>
        <v>0</v>
      </c>
      <c r="U44" s="48">
        <f t="shared" si="8"/>
        <v>0</v>
      </c>
      <c r="V44" s="47">
        <f aca="true" t="shared" si="10" ref="V44:V50">+(F44+M44)*U44</f>
        <v>0</v>
      </c>
      <c r="W44" s="47">
        <f t="shared" si="9"/>
        <v>0</v>
      </c>
      <c r="X44" s="47"/>
      <c r="Y44" s="52"/>
    </row>
    <row r="45" spans="1:25" ht="15.75" customHeight="1">
      <c r="A45" s="37"/>
      <c r="E45" s="35"/>
      <c r="F45" s="47">
        <f t="shared" si="6"/>
        <v>0</v>
      </c>
      <c r="G45" s="40"/>
      <c r="H45" s="40"/>
      <c r="I45" s="40"/>
      <c r="J45" s="40"/>
      <c r="K45" s="40"/>
      <c r="L45" s="40"/>
      <c r="M45" s="47">
        <f t="shared" si="7"/>
        <v>0</v>
      </c>
      <c r="N45" s="47">
        <f aca="true" t="shared" si="11" ref="N45:N50">F45+M45</f>
        <v>0</v>
      </c>
      <c r="U45" s="48">
        <f t="shared" si="8"/>
        <v>0</v>
      </c>
      <c r="V45" s="47">
        <f t="shared" si="10"/>
        <v>0</v>
      </c>
      <c r="W45" s="47">
        <f t="shared" si="9"/>
        <v>0</v>
      </c>
      <c r="X45" s="47"/>
      <c r="Y45" s="47"/>
    </row>
    <row r="46" spans="1:25" ht="15.75" customHeight="1">
      <c r="A46" s="11" t="s">
        <v>1201</v>
      </c>
      <c r="B46" s="228" t="s">
        <v>835</v>
      </c>
      <c r="E46" s="35"/>
      <c r="F46" s="47">
        <f t="shared" si="6"/>
        <v>0</v>
      </c>
      <c r="G46" s="40">
        <v>240</v>
      </c>
      <c r="H46" s="40">
        <v>120</v>
      </c>
      <c r="I46" s="40">
        <v>80</v>
      </c>
      <c r="J46" s="40"/>
      <c r="K46" s="40"/>
      <c r="L46" s="40"/>
      <c r="M46" s="47">
        <f t="shared" si="7"/>
        <v>31374</v>
      </c>
      <c r="N46" s="47">
        <f t="shared" si="11"/>
        <v>31374</v>
      </c>
      <c r="O46">
        <v>1</v>
      </c>
      <c r="P46">
        <v>2</v>
      </c>
      <c r="Q46">
        <v>4</v>
      </c>
      <c r="R46">
        <v>4</v>
      </c>
      <c r="S46">
        <v>2</v>
      </c>
      <c r="T46">
        <v>2</v>
      </c>
      <c r="U46" s="48">
        <f t="shared" si="8"/>
        <v>0.16</v>
      </c>
      <c r="V46" s="47">
        <f t="shared" si="10"/>
        <v>5019.84</v>
      </c>
      <c r="W46" s="47">
        <f t="shared" si="9"/>
        <v>36393.84</v>
      </c>
      <c r="X46" s="47"/>
      <c r="Y46" s="47"/>
    </row>
    <row r="47" spans="1:25" ht="15.75" customHeight="1">
      <c r="A47" s="37"/>
      <c r="B47" s="226" t="s">
        <v>836</v>
      </c>
      <c r="E47" s="35"/>
      <c r="F47" s="47">
        <f t="shared" si="6"/>
        <v>0</v>
      </c>
      <c r="G47" s="40"/>
      <c r="H47" s="40"/>
      <c r="I47" s="40"/>
      <c r="J47" s="40">
        <v>440</v>
      </c>
      <c r="K47" s="40"/>
      <c r="L47" s="40"/>
      <c r="M47" s="47">
        <f t="shared" si="7"/>
        <v>23100</v>
      </c>
      <c r="N47" s="47">
        <f t="shared" si="11"/>
        <v>23100</v>
      </c>
      <c r="O47">
        <v>1</v>
      </c>
      <c r="P47">
        <v>2</v>
      </c>
      <c r="Q47">
        <v>4</v>
      </c>
      <c r="R47">
        <v>4</v>
      </c>
      <c r="S47">
        <v>1</v>
      </c>
      <c r="T47">
        <v>2</v>
      </c>
      <c r="U47" s="48">
        <f t="shared" si="8"/>
        <v>0.12</v>
      </c>
      <c r="V47" s="47">
        <f t="shared" si="10"/>
        <v>2772</v>
      </c>
      <c r="W47" s="47">
        <f t="shared" si="9"/>
        <v>25872</v>
      </c>
      <c r="X47" s="47"/>
      <c r="Y47" s="47"/>
    </row>
    <row r="48" spans="1:25" ht="15.75" customHeight="1">
      <c r="A48" s="37"/>
      <c r="E48" s="35"/>
      <c r="F48" s="47">
        <f t="shared" si="6"/>
        <v>0</v>
      </c>
      <c r="G48" s="40"/>
      <c r="H48" s="40"/>
      <c r="I48" s="40"/>
      <c r="J48" s="40"/>
      <c r="K48" s="40"/>
      <c r="L48" s="40"/>
      <c r="M48" s="47">
        <f t="shared" si="7"/>
        <v>0</v>
      </c>
      <c r="N48" s="47">
        <f t="shared" si="11"/>
        <v>0</v>
      </c>
      <c r="U48" s="48">
        <f t="shared" si="8"/>
        <v>0</v>
      </c>
      <c r="V48" s="47">
        <f t="shared" si="10"/>
        <v>0</v>
      </c>
      <c r="W48" s="47">
        <f t="shared" si="9"/>
        <v>0</v>
      </c>
      <c r="X48" s="47"/>
      <c r="Y48" s="47"/>
    </row>
    <row r="49" spans="1:25" ht="15.75" customHeight="1">
      <c r="A49" s="11" t="s">
        <v>1202</v>
      </c>
      <c r="B49" s="228" t="s">
        <v>798</v>
      </c>
      <c r="C49" s="12"/>
      <c r="D49" s="12"/>
      <c r="E49" s="35"/>
      <c r="F49" s="47"/>
      <c r="G49" s="40"/>
      <c r="H49" s="40"/>
      <c r="I49" s="40"/>
      <c r="J49" s="40"/>
      <c r="K49" s="40"/>
      <c r="L49" s="40"/>
      <c r="M49" s="47">
        <f t="shared" si="7"/>
        <v>0</v>
      </c>
      <c r="N49" s="47">
        <f t="shared" si="11"/>
        <v>0</v>
      </c>
      <c r="U49" s="48">
        <f t="shared" si="8"/>
        <v>0</v>
      </c>
      <c r="V49" s="47">
        <f t="shared" si="10"/>
        <v>0</v>
      </c>
      <c r="W49" s="47">
        <f t="shared" si="9"/>
        <v>0</v>
      </c>
      <c r="X49" s="47"/>
      <c r="Y49" s="47"/>
    </row>
    <row r="50" spans="1:25" ht="15.75" customHeight="1">
      <c r="A50" s="11" t="s">
        <v>1203</v>
      </c>
      <c r="B50" s="226" t="s">
        <v>583</v>
      </c>
      <c r="C50">
        <v>240000</v>
      </c>
      <c r="E50" s="35"/>
      <c r="F50" s="47">
        <f>SUM(C50:E50)</f>
        <v>240000</v>
      </c>
      <c r="G50" s="40">
        <v>240</v>
      </c>
      <c r="H50" s="40">
        <v>80</v>
      </c>
      <c r="I50" s="40">
        <v>80</v>
      </c>
      <c r="J50" s="40">
        <v>480</v>
      </c>
      <c r="K50" s="40"/>
      <c r="L50" s="40"/>
      <c r="M50" s="47">
        <f t="shared" si="7"/>
        <v>52988</v>
      </c>
      <c r="N50" s="47">
        <f t="shared" si="11"/>
        <v>292988</v>
      </c>
      <c r="O50">
        <v>3</v>
      </c>
      <c r="P50">
        <v>4</v>
      </c>
      <c r="Q50">
        <v>4</v>
      </c>
      <c r="R50">
        <v>6</v>
      </c>
      <c r="S50">
        <v>2</v>
      </c>
      <c r="T50">
        <v>8</v>
      </c>
      <c r="U50" s="48">
        <f t="shared" si="8"/>
        <v>0.36</v>
      </c>
      <c r="V50" s="47">
        <f t="shared" si="10"/>
        <v>105475.68</v>
      </c>
      <c r="W50" s="47">
        <f t="shared" si="9"/>
        <v>398463.68</v>
      </c>
      <c r="X50" s="47"/>
      <c r="Y50" s="47"/>
    </row>
    <row r="51" spans="1:25" ht="15.75" customHeight="1">
      <c r="A51" s="37"/>
      <c r="B51" s="226" t="s">
        <v>584</v>
      </c>
      <c r="E51" s="35"/>
      <c r="F51" s="47"/>
      <c r="G51" s="40"/>
      <c r="H51" s="40"/>
      <c r="I51" s="40"/>
      <c r="J51" s="40"/>
      <c r="K51" s="40"/>
      <c r="L51" s="40"/>
      <c r="M51" s="47"/>
      <c r="N51" s="47"/>
      <c r="U51" s="48"/>
      <c r="V51" s="47"/>
      <c r="W51" s="47"/>
      <c r="X51" s="47"/>
      <c r="Y51" s="47"/>
    </row>
    <row r="52" spans="1:25" ht="15.75" customHeight="1">
      <c r="A52" s="11" t="s">
        <v>1204</v>
      </c>
      <c r="B52" s="226" t="s">
        <v>802</v>
      </c>
      <c r="F52" s="47">
        <f>SUM(C52:E52)</f>
        <v>0</v>
      </c>
      <c r="G52" s="40">
        <v>120</v>
      </c>
      <c r="H52" s="40"/>
      <c r="I52" s="40"/>
      <c r="J52" s="40">
        <v>240</v>
      </c>
      <c r="K52" s="40"/>
      <c r="L52" s="40"/>
      <c r="M52" s="47">
        <f aca="true" t="shared" si="12" ref="M52:M62">$G$3*G52+$H$3*H52+$I$3*I52+$J$3*J52+$K$3*K52+$L$3*L52</f>
        <v>20658</v>
      </c>
      <c r="N52" s="47">
        <f aca="true" t="shared" si="13" ref="N52:N91">F52+M52</f>
        <v>20658</v>
      </c>
      <c r="O52">
        <v>1</v>
      </c>
      <c r="P52">
        <v>2</v>
      </c>
      <c r="Q52">
        <v>4</v>
      </c>
      <c r="R52">
        <v>1</v>
      </c>
      <c r="S52">
        <v>2</v>
      </c>
      <c r="T52">
        <v>8</v>
      </c>
      <c r="U52" s="48">
        <f aca="true" t="shared" si="14" ref="U52:U91">((O52*P52)+Q52+(R52*S52)+T52)/100</f>
        <v>0.16</v>
      </c>
      <c r="V52" s="47">
        <f aca="true" t="shared" si="15" ref="V52:V91">+(F52+M52)*U52</f>
        <v>3305.28</v>
      </c>
      <c r="W52" s="47">
        <f aca="true" t="shared" si="16" ref="W52:W91">+F52+M52+V52</f>
        <v>23963.28</v>
      </c>
      <c r="X52" s="47"/>
      <c r="Y52" s="47"/>
    </row>
    <row r="53" spans="1:25" ht="15.75" customHeight="1">
      <c r="A53" s="37"/>
      <c r="B53" s="231" t="s">
        <v>803</v>
      </c>
      <c r="C53">
        <v>6000</v>
      </c>
      <c r="F53" s="47">
        <f>SUM(B53:E53)</f>
        <v>6000</v>
      </c>
      <c r="G53" s="40"/>
      <c r="H53" s="40"/>
      <c r="I53" s="40"/>
      <c r="J53" s="40"/>
      <c r="K53" s="40"/>
      <c r="L53" s="40"/>
      <c r="M53" s="47">
        <f t="shared" si="12"/>
        <v>0</v>
      </c>
      <c r="N53" s="47">
        <f t="shared" si="13"/>
        <v>6000</v>
      </c>
      <c r="O53">
        <v>1</v>
      </c>
      <c r="P53">
        <v>2</v>
      </c>
      <c r="Q53">
        <v>4</v>
      </c>
      <c r="R53">
        <v>1</v>
      </c>
      <c r="S53">
        <v>2</v>
      </c>
      <c r="T53">
        <v>8</v>
      </c>
      <c r="U53" s="48">
        <f t="shared" si="14"/>
        <v>0.16</v>
      </c>
      <c r="V53" s="47">
        <f t="shared" si="15"/>
        <v>960</v>
      </c>
      <c r="W53" s="47">
        <f t="shared" si="16"/>
        <v>6960</v>
      </c>
      <c r="X53" s="47"/>
      <c r="Y53" s="47"/>
    </row>
    <row r="54" spans="1:25" ht="15.75" customHeight="1">
      <c r="A54" s="37"/>
      <c r="B54" s="231" t="s">
        <v>585</v>
      </c>
      <c r="C54">
        <v>5000</v>
      </c>
      <c r="F54" s="47">
        <f>SUM(B54:E54)</f>
        <v>5000</v>
      </c>
      <c r="G54" s="40"/>
      <c r="H54" s="40"/>
      <c r="I54" s="40"/>
      <c r="J54" s="40"/>
      <c r="K54" s="40"/>
      <c r="L54" s="40"/>
      <c r="M54" s="47">
        <f t="shared" si="12"/>
        <v>0</v>
      </c>
      <c r="N54" s="47">
        <f t="shared" si="13"/>
        <v>5000</v>
      </c>
      <c r="O54">
        <v>1</v>
      </c>
      <c r="P54">
        <v>2</v>
      </c>
      <c r="Q54">
        <v>4</v>
      </c>
      <c r="R54">
        <v>1</v>
      </c>
      <c r="S54">
        <v>2</v>
      </c>
      <c r="T54">
        <v>8</v>
      </c>
      <c r="U54" s="48">
        <f t="shared" si="14"/>
        <v>0.16</v>
      </c>
      <c r="V54" s="47">
        <f t="shared" si="15"/>
        <v>800</v>
      </c>
      <c r="W54" s="47">
        <f t="shared" si="16"/>
        <v>5800</v>
      </c>
      <c r="X54" s="47"/>
      <c r="Y54" s="47"/>
    </row>
    <row r="55" spans="1:25" ht="15.75" customHeight="1">
      <c r="A55" s="37"/>
      <c r="B55" s="231" t="s">
        <v>804</v>
      </c>
      <c r="C55">
        <v>24000</v>
      </c>
      <c r="F55" s="47">
        <f aca="true" t="shared" si="17" ref="F55:F61">SUM(C55:E55)</f>
        <v>24000</v>
      </c>
      <c r="G55" s="40"/>
      <c r="H55" s="40"/>
      <c r="I55" s="40"/>
      <c r="J55" s="40"/>
      <c r="K55" s="40"/>
      <c r="L55" s="40"/>
      <c r="M55" s="47">
        <f t="shared" si="12"/>
        <v>0</v>
      </c>
      <c r="N55" s="47">
        <f t="shared" si="13"/>
        <v>24000</v>
      </c>
      <c r="O55">
        <v>1</v>
      </c>
      <c r="P55">
        <v>2</v>
      </c>
      <c r="Q55">
        <v>4</v>
      </c>
      <c r="R55">
        <v>1</v>
      </c>
      <c r="S55">
        <v>2</v>
      </c>
      <c r="T55">
        <v>8</v>
      </c>
      <c r="U55" s="48">
        <f t="shared" si="14"/>
        <v>0.16</v>
      </c>
      <c r="V55" s="47">
        <f t="shared" si="15"/>
        <v>3840</v>
      </c>
      <c r="W55" s="47">
        <f t="shared" si="16"/>
        <v>27840</v>
      </c>
      <c r="X55" s="47"/>
      <c r="Y55" s="47"/>
    </row>
    <row r="56" spans="1:25" ht="15.75" customHeight="1">
      <c r="A56" s="37"/>
      <c r="B56" s="231" t="s">
        <v>782</v>
      </c>
      <c r="C56">
        <v>7500</v>
      </c>
      <c r="F56" s="47">
        <f t="shared" si="17"/>
        <v>7500</v>
      </c>
      <c r="G56" s="40"/>
      <c r="H56" s="40"/>
      <c r="I56" s="40"/>
      <c r="J56" s="40"/>
      <c r="K56" s="40"/>
      <c r="L56" s="40"/>
      <c r="M56" s="47">
        <f t="shared" si="12"/>
        <v>0</v>
      </c>
      <c r="N56" s="47">
        <f t="shared" si="13"/>
        <v>7500</v>
      </c>
      <c r="O56">
        <v>1</v>
      </c>
      <c r="P56">
        <v>2</v>
      </c>
      <c r="Q56">
        <v>0</v>
      </c>
      <c r="R56">
        <v>1</v>
      </c>
      <c r="S56">
        <v>2</v>
      </c>
      <c r="T56">
        <v>8</v>
      </c>
      <c r="U56" s="48">
        <f t="shared" si="14"/>
        <v>0.12</v>
      </c>
      <c r="V56" s="47">
        <f t="shared" si="15"/>
        <v>900</v>
      </c>
      <c r="W56" s="47">
        <f t="shared" si="16"/>
        <v>8400</v>
      </c>
      <c r="X56" s="47"/>
      <c r="Y56" s="47"/>
    </row>
    <row r="57" spans="1:25" ht="15.75" customHeight="1">
      <c r="A57" s="37"/>
      <c r="B57" s="231" t="s">
        <v>649</v>
      </c>
      <c r="C57">
        <v>8000</v>
      </c>
      <c r="F57" s="47">
        <f t="shared" si="17"/>
        <v>8000</v>
      </c>
      <c r="G57" s="40"/>
      <c r="H57" s="40"/>
      <c r="I57" s="40"/>
      <c r="J57" s="40"/>
      <c r="K57" s="40"/>
      <c r="L57" s="40"/>
      <c r="M57" s="47">
        <f t="shared" si="12"/>
        <v>0</v>
      </c>
      <c r="N57" s="47">
        <f t="shared" si="13"/>
        <v>8000</v>
      </c>
      <c r="O57">
        <v>1</v>
      </c>
      <c r="P57">
        <v>2</v>
      </c>
      <c r="Q57">
        <v>0</v>
      </c>
      <c r="R57">
        <v>1</v>
      </c>
      <c r="S57">
        <v>2</v>
      </c>
      <c r="T57">
        <v>8</v>
      </c>
      <c r="U57" s="48">
        <f t="shared" si="14"/>
        <v>0.12</v>
      </c>
      <c r="V57" s="47">
        <f t="shared" si="15"/>
        <v>960</v>
      </c>
      <c r="W57" s="47">
        <f t="shared" si="16"/>
        <v>8960</v>
      </c>
      <c r="X57" s="47"/>
      <c r="Y57" s="47"/>
    </row>
    <row r="58" spans="1:25" ht="15.75" customHeight="1">
      <c r="A58" s="37"/>
      <c r="B58" s="231" t="s">
        <v>586</v>
      </c>
      <c r="C58">
        <v>10000</v>
      </c>
      <c r="F58" s="47">
        <f t="shared" si="17"/>
        <v>10000</v>
      </c>
      <c r="G58" s="40"/>
      <c r="H58" s="40"/>
      <c r="I58" s="40"/>
      <c r="J58" s="40"/>
      <c r="K58" s="40"/>
      <c r="L58" s="40"/>
      <c r="M58" s="47">
        <f t="shared" si="12"/>
        <v>0</v>
      </c>
      <c r="N58" s="47">
        <f t="shared" si="13"/>
        <v>10000</v>
      </c>
      <c r="O58">
        <v>1</v>
      </c>
      <c r="P58">
        <v>2</v>
      </c>
      <c r="Q58">
        <v>4</v>
      </c>
      <c r="R58">
        <v>1</v>
      </c>
      <c r="S58">
        <v>2</v>
      </c>
      <c r="T58">
        <v>8</v>
      </c>
      <c r="U58" s="48">
        <f t="shared" si="14"/>
        <v>0.16</v>
      </c>
      <c r="V58" s="47">
        <f t="shared" si="15"/>
        <v>1600</v>
      </c>
      <c r="W58" s="47">
        <f t="shared" si="16"/>
        <v>11600</v>
      </c>
      <c r="X58" s="47"/>
      <c r="Y58" s="47"/>
    </row>
    <row r="59" spans="1:25" ht="15.75" customHeight="1">
      <c r="A59" s="37"/>
      <c r="B59" s="3"/>
      <c r="E59" s="35"/>
      <c r="F59" s="47">
        <f t="shared" si="17"/>
        <v>0</v>
      </c>
      <c r="G59" s="40"/>
      <c r="H59" s="40"/>
      <c r="I59" s="40"/>
      <c r="J59" s="40"/>
      <c r="K59" s="40"/>
      <c r="L59" s="40"/>
      <c r="M59" s="47">
        <f t="shared" si="12"/>
        <v>0</v>
      </c>
      <c r="N59" s="47">
        <f t="shared" si="13"/>
        <v>0</v>
      </c>
      <c r="U59" s="48">
        <f t="shared" si="14"/>
        <v>0</v>
      </c>
      <c r="V59" s="47">
        <f t="shared" si="15"/>
        <v>0</v>
      </c>
      <c r="W59" s="47">
        <f t="shared" si="16"/>
        <v>0</v>
      </c>
      <c r="X59" s="47"/>
      <c r="Y59" s="47"/>
    </row>
    <row r="60" spans="1:25" ht="15.75" customHeight="1">
      <c r="A60" s="11" t="s">
        <v>1205</v>
      </c>
      <c r="B60" s="228" t="s">
        <v>805</v>
      </c>
      <c r="C60" t="s">
        <v>668</v>
      </c>
      <c r="E60" s="35"/>
      <c r="F60" s="47">
        <f t="shared" si="17"/>
        <v>0</v>
      </c>
      <c r="G60" s="40">
        <v>240</v>
      </c>
      <c r="H60" s="40">
        <v>40</v>
      </c>
      <c r="I60" s="40">
        <v>80</v>
      </c>
      <c r="J60" s="40">
        <v>480</v>
      </c>
      <c r="K60" s="40"/>
      <c r="L60" s="40">
        <v>40</v>
      </c>
      <c r="M60" s="47">
        <f t="shared" si="12"/>
        <v>53442</v>
      </c>
      <c r="N60" s="47">
        <f t="shared" si="13"/>
        <v>53442</v>
      </c>
      <c r="O60">
        <v>1</v>
      </c>
      <c r="P60">
        <v>2</v>
      </c>
      <c r="Q60">
        <v>4</v>
      </c>
      <c r="R60">
        <v>4</v>
      </c>
      <c r="S60">
        <v>2</v>
      </c>
      <c r="T60">
        <v>8</v>
      </c>
      <c r="U60" s="48">
        <f t="shared" si="14"/>
        <v>0.22</v>
      </c>
      <c r="V60" s="47">
        <f t="shared" si="15"/>
        <v>11757.24</v>
      </c>
      <c r="W60" s="47">
        <f t="shared" si="16"/>
        <v>65199.24</v>
      </c>
      <c r="X60" s="47"/>
      <c r="Y60" s="47"/>
    </row>
    <row r="61" spans="1:25" ht="15.75" customHeight="1">
      <c r="A61" s="11" t="s">
        <v>1206</v>
      </c>
      <c r="B61" s="226" t="s">
        <v>806</v>
      </c>
      <c r="E61" s="35"/>
      <c r="F61" s="47">
        <f t="shared" si="17"/>
        <v>0</v>
      </c>
      <c r="G61" s="40"/>
      <c r="H61" s="40"/>
      <c r="I61" s="40"/>
      <c r="J61" s="40"/>
      <c r="K61" s="40"/>
      <c r="L61" s="40"/>
      <c r="M61" s="47">
        <f t="shared" si="12"/>
        <v>0</v>
      </c>
      <c r="N61" s="47">
        <f t="shared" si="13"/>
        <v>0</v>
      </c>
      <c r="U61" s="48">
        <f t="shared" si="14"/>
        <v>0</v>
      </c>
      <c r="V61" s="47">
        <f t="shared" si="15"/>
        <v>0</v>
      </c>
      <c r="W61" s="47">
        <f t="shared" si="16"/>
        <v>0</v>
      </c>
      <c r="X61" s="47"/>
      <c r="Y61" s="47"/>
    </row>
    <row r="62" spans="1:25" ht="15.75" customHeight="1">
      <c r="A62" s="37"/>
      <c r="B62" s="231" t="s">
        <v>799</v>
      </c>
      <c r="C62">
        <v>20000</v>
      </c>
      <c r="E62" s="35"/>
      <c r="F62" s="47">
        <f>SUM(B62:E62)</f>
        <v>20000</v>
      </c>
      <c r="G62" s="40"/>
      <c r="H62" s="40"/>
      <c r="I62" s="40"/>
      <c r="J62" s="40"/>
      <c r="K62" s="40"/>
      <c r="L62" s="40"/>
      <c r="M62" s="47">
        <f t="shared" si="12"/>
        <v>0</v>
      </c>
      <c r="N62" s="47">
        <f t="shared" si="13"/>
        <v>20000</v>
      </c>
      <c r="O62">
        <v>3</v>
      </c>
      <c r="P62">
        <v>4</v>
      </c>
      <c r="Q62">
        <v>4</v>
      </c>
      <c r="R62">
        <v>2</v>
      </c>
      <c r="S62">
        <v>2</v>
      </c>
      <c r="T62">
        <v>8</v>
      </c>
      <c r="U62" s="48">
        <f t="shared" si="14"/>
        <v>0.28</v>
      </c>
      <c r="V62" s="47">
        <f t="shared" si="15"/>
        <v>5600.000000000001</v>
      </c>
      <c r="W62" s="47">
        <f t="shared" si="16"/>
        <v>25600</v>
      </c>
      <c r="X62" s="47"/>
      <c r="Y62" s="47"/>
    </row>
    <row r="63" spans="1:25" ht="15.75" customHeight="1">
      <c r="A63" s="37"/>
      <c r="B63" s="231" t="s">
        <v>800</v>
      </c>
      <c r="C63">
        <v>6000</v>
      </c>
      <c r="E63" s="35"/>
      <c r="F63" s="47">
        <f>SUM(B63:E63)</f>
        <v>6000</v>
      </c>
      <c r="G63" s="40"/>
      <c r="I63" s="40"/>
      <c r="J63" s="40"/>
      <c r="K63" s="40"/>
      <c r="L63" s="40"/>
      <c r="M63" s="47">
        <f>$G$3*G63+$H$3*H63+$I$3*I63+$J$3*J63+$K$3*K63+$L$3*L63</f>
        <v>0</v>
      </c>
      <c r="N63" s="47">
        <f t="shared" si="13"/>
        <v>6000</v>
      </c>
      <c r="O63">
        <v>1</v>
      </c>
      <c r="P63">
        <v>2</v>
      </c>
      <c r="Q63">
        <v>4</v>
      </c>
      <c r="R63">
        <v>4</v>
      </c>
      <c r="S63">
        <v>2</v>
      </c>
      <c r="T63">
        <v>8</v>
      </c>
      <c r="U63" s="48">
        <f t="shared" si="14"/>
        <v>0.22</v>
      </c>
      <c r="V63" s="47">
        <f t="shared" si="15"/>
        <v>1320</v>
      </c>
      <c r="W63" s="47">
        <f t="shared" si="16"/>
        <v>7320</v>
      </c>
      <c r="X63" s="47"/>
      <c r="Y63" s="47"/>
    </row>
    <row r="64" spans="1:25" ht="15.75" customHeight="1">
      <c r="A64" s="37"/>
      <c r="B64" s="231" t="s">
        <v>801</v>
      </c>
      <c r="C64">
        <v>10000</v>
      </c>
      <c r="E64" s="35"/>
      <c r="F64" s="47">
        <f>SUM(B64:E64)</f>
        <v>10000</v>
      </c>
      <c r="G64" s="40"/>
      <c r="H64" s="40"/>
      <c r="I64" s="40"/>
      <c r="J64" s="40"/>
      <c r="K64" s="40"/>
      <c r="L64" s="40"/>
      <c r="M64" s="47">
        <f aca="true" t="shared" si="18" ref="M64:M91">$G$3*G64+$H$3*H64+$I$3*I64+$J$3*J64+$K$3*K64+$L$3*L64</f>
        <v>0</v>
      </c>
      <c r="N64" s="47">
        <f t="shared" si="13"/>
        <v>10000</v>
      </c>
      <c r="O64">
        <v>1</v>
      </c>
      <c r="P64">
        <v>2</v>
      </c>
      <c r="Q64">
        <v>4</v>
      </c>
      <c r="R64">
        <v>1</v>
      </c>
      <c r="S64">
        <v>2</v>
      </c>
      <c r="T64">
        <v>8</v>
      </c>
      <c r="U64" s="48">
        <f t="shared" si="14"/>
        <v>0.16</v>
      </c>
      <c r="V64" s="47">
        <f t="shared" si="15"/>
        <v>1600</v>
      </c>
      <c r="W64" s="47">
        <f t="shared" si="16"/>
        <v>11600</v>
      </c>
      <c r="X64" s="47"/>
      <c r="Y64" s="47"/>
    </row>
    <row r="65" spans="1:25" ht="15.75" customHeight="1">
      <c r="A65" s="11" t="s">
        <v>1207</v>
      </c>
      <c r="B65" s="226" t="s">
        <v>807</v>
      </c>
      <c r="C65">
        <v>5000</v>
      </c>
      <c r="E65" s="35"/>
      <c r="F65" s="47">
        <f>SUM(C65:E65)</f>
        <v>5000</v>
      </c>
      <c r="G65" s="40"/>
      <c r="H65" s="40"/>
      <c r="I65" s="40"/>
      <c r="J65" s="40"/>
      <c r="K65" s="40"/>
      <c r="L65" s="40"/>
      <c r="M65" s="47">
        <f t="shared" si="18"/>
        <v>0</v>
      </c>
      <c r="N65" s="47">
        <f t="shared" si="13"/>
        <v>5000</v>
      </c>
      <c r="O65">
        <v>1</v>
      </c>
      <c r="P65">
        <v>2</v>
      </c>
      <c r="Q65">
        <v>4</v>
      </c>
      <c r="R65">
        <v>1</v>
      </c>
      <c r="S65">
        <v>2</v>
      </c>
      <c r="T65">
        <v>8</v>
      </c>
      <c r="U65" s="48">
        <f t="shared" si="14"/>
        <v>0.16</v>
      </c>
      <c r="V65" s="47">
        <f t="shared" si="15"/>
        <v>800</v>
      </c>
      <c r="W65" s="47">
        <f t="shared" si="16"/>
        <v>5800</v>
      </c>
      <c r="X65" s="47"/>
      <c r="Y65" s="47"/>
    </row>
    <row r="66" spans="1:25" ht="15.75" customHeight="1">
      <c r="A66" s="37"/>
      <c r="E66" s="35"/>
      <c r="F66" s="47">
        <f>SUM(C66:E66)</f>
        <v>0</v>
      </c>
      <c r="G66" s="40"/>
      <c r="H66" s="40"/>
      <c r="I66" s="40"/>
      <c r="J66" s="40"/>
      <c r="K66" s="40"/>
      <c r="L66" s="40"/>
      <c r="M66" s="47">
        <f t="shared" si="18"/>
        <v>0</v>
      </c>
      <c r="N66" s="47">
        <f t="shared" si="13"/>
        <v>0</v>
      </c>
      <c r="U66" s="48">
        <f t="shared" si="14"/>
        <v>0</v>
      </c>
      <c r="V66" s="47">
        <f t="shared" si="15"/>
        <v>0</v>
      </c>
      <c r="W66" s="47">
        <f t="shared" si="16"/>
        <v>0</v>
      </c>
      <c r="X66" s="47"/>
      <c r="Y66" s="47"/>
    </row>
    <row r="67" spans="1:25" ht="15.75" customHeight="1">
      <c r="A67" s="11" t="s">
        <v>1209</v>
      </c>
      <c r="B67" s="226" t="s">
        <v>808</v>
      </c>
      <c r="E67" s="35"/>
      <c r="F67" s="47">
        <f>SUM(C67:E67)</f>
        <v>0</v>
      </c>
      <c r="G67" s="40"/>
      <c r="H67" s="40"/>
      <c r="I67" s="40"/>
      <c r="J67" s="40"/>
      <c r="K67" s="40"/>
      <c r="L67" s="40"/>
      <c r="M67" s="47">
        <f t="shared" si="18"/>
        <v>0</v>
      </c>
      <c r="N67" s="47">
        <f t="shared" si="13"/>
        <v>0</v>
      </c>
      <c r="U67" s="48">
        <f t="shared" si="14"/>
        <v>0</v>
      </c>
      <c r="V67" s="47">
        <f t="shared" si="15"/>
        <v>0</v>
      </c>
      <c r="W67" s="47">
        <f t="shared" si="16"/>
        <v>0</v>
      </c>
      <c r="X67" s="47"/>
      <c r="Y67" s="47"/>
    </row>
    <row r="68" spans="1:25" ht="15.75" customHeight="1">
      <c r="A68" s="37"/>
      <c r="B68" s="231" t="s">
        <v>587</v>
      </c>
      <c r="C68">
        <v>2000</v>
      </c>
      <c r="E68" s="35"/>
      <c r="F68" s="47">
        <f>SUM(B68:E68)</f>
        <v>2000</v>
      </c>
      <c r="G68" s="40"/>
      <c r="H68" s="40"/>
      <c r="I68" s="40"/>
      <c r="J68" s="40"/>
      <c r="K68" s="40"/>
      <c r="L68" s="40"/>
      <c r="M68" s="47">
        <f t="shared" si="18"/>
        <v>0</v>
      </c>
      <c r="N68" s="47">
        <f t="shared" si="13"/>
        <v>2000</v>
      </c>
      <c r="O68">
        <v>1</v>
      </c>
      <c r="P68">
        <v>2</v>
      </c>
      <c r="Q68">
        <v>0</v>
      </c>
      <c r="R68">
        <v>1</v>
      </c>
      <c r="S68">
        <v>2</v>
      </c>
      <c r="T68">
        <v>8</v>
      </c>
      <c r="U68" s="48">
        <f t="shared" si="14"/>
        <v>0.12</v>
      </c>
      <c r="V68" s="47">
        <f t="shared" si="15"/>
        <v>240</v>
      </c>
      <c r="W68" s="47">
        <f t="shared" si="16"/>
        <v>2240</v>
      </c>
      <c r="X68" s="47"/>
      <c r="Y68" s="47"/>
    </row>
    <row r="69" spans="1:25" ht="15.75" customHeight="1">
      <c r="A69" s="37"/>
      <c r="B69" s="231" t="s">
        <v>809</v>
      </c>
      <c r="C69">
        <v>25000</v>
      </c>
      <c r="E69" s="35"/>
      <c r="F69" s="47">
        <f>SUM(B69:E69)</f>
        <v>25000</v>
      </c>
      <c r="G69" s="40"/>
      <c r="H69" s="40"/>
      <c r="I69" s="40"/>
      <c r="J69" s="40"/>
      <c r="K69" s="40"/>
      <c r="L69" s="40"/>
      <c r="M69" s="47">
        <f t="shared" si="18"/>
        <v>0</v>
      </c>
      <c r="N69" s="47">
        <f t="shared" si="13"/>
        <v>25000</v>
      </c>
      <c r="O69">
        <v>1</v>
      </c>
      <c r="P69">
        <v>2</v>
      </c>
      <c r="Q69">
        <v>4</v>
      </c>
      <c r="R69">
        <v>1</v>
      </c>
      <c r="S69">
        <v>2</v>
      </c>
      <c r="T69">
        <v>8</v>
      </c>
      <c r="U69" s="48">
        <f t="shared" si="14"/>
        <v>0.16</v>
      </c>
      <c r="V69" s="47">
        <f t="shared" si="15"/>
        <v>4000</v>
      </c>
      <c r="W69" s="47">
        <f t="shared" si="16"/>
        <v>29000</v>
      </c>
      <c r="X69" s="47"/>
      <c r="Y69" s="47"/>
    </row>
    <row r="70" spans="1:25" ht="15.75" customHeight="1">
      <c r="A70" s="37"/>
      <c r="B70" s="231" t="s">
        <v>588</v>
      </c>
      <c r="C70">
        <v>6000</v>
      </c>
      <c r="E70" s="35"/>
      <c r="F70" s="47">
        <f>SUM(B70:E70)</f>
        <v>6000</v>
      </c>
      <c r="G70" s="40"/>
      <c r="H70" s="40"/>
      <c r="I70" s="40"/>
      <c r="J70" s="40"/>
      <c r="K70" s="40"/>
      <c r="L70" s="40"/>
      <c r="M70" s="47">
        <f t="shared" si="18"/>
        <v>0</v>
      </c>
      <c r="N70" s="47">
        <f t="shared" si="13"/>
        <v>6000</v>
      </c>
      <c r="O70">
        <v>1</v>
      </c>
      <c r="P70">
        <v>2</v>
      </c>
      <c r="Q70">
        <v>4</v>
      </c>
      <c r="R70">
        <v>1</v>
      </c>
      <c r="S70">
        <v>2</v>
      </c>
      <c r="T70">
        <v>8</v>
      </c>
      <c r="U70" s="48">
        <f t="shared" si="14"/>
        <v>0.16</v>
      </c>
      <c r="V70" s="47">
        <f t="shared" si="15"/>
        <v>960</v>
      </c>
      <c r="W70" s="47">
        <f t="shared" si="16"/>
        <v>6960</v>
      </c>
      <c r="X70" s="47"/>
      <c r="Y70" s="47"/>
    </row>
    <row r="71" spans="1:25" ht="15.75" customHeight="1">
      <c r="A71" s="37"/>
      <c r="E71" s="35"/>
      <c r="F71" s="47"/>
      <c r="G71" s="40"/>
      <c r="H71" s="40"/>
      <c r="I71" s="40"/>
      <c r="J71" s="40"/>
      <c r="K71" s="40"/>
      <c r="L71" s="40"/>
      <c r="M71" s="47"/>
      <c r="N71" s="47"/>
      <c r="U71" s="48"/>
      <c r="V71" s="47"/>
      <c r="W71" s="47"/>
      <c r="X71" s="47"/>
      <c r="Y71" s="47"/>
    </row>
    <row r="72" spans="1:25" ht="15.75" customHeight="1">
      <c r="A72" s="11" t="s">
        <v>1210</v>
      </c>
      <c r="B72" s="226" t="s">
        <v>1208</v>
      </c>
      <c r="E72" s="35"/>
      <c r="F72" s="47">
        <f>SUM(C72:E72)</f>
        <v>0</v>
      </c>
      <c r="G72" s="40"/>
      <c r="H72" s="40"/>
      <c r="I72" s="40"/>
      <c r="J72" s="40"/>
      <c r="K72" s="40"/>
      <c r="L72" s="40"/>
      <c r="M72" s="47">
        <f t="shared" si="18"/>
        <v>0</v>
      </c>
      <c r="N72" s="47">
        <f t="shared" si="13"/>
        <v>0</v>
      </c>
      <c r="U72" s="48">
        <f t="shared" si="14"/>
        <v>0</v>
      </c>
      <c r="V72" s="47">
        <f t="shared" si="15"/>
        <v>0</v>
      </c>
      <c r="W72" s="47">
        <f t="shared" si="16"/>
        <v>0</v>
      </c>
      <c r="X72" s="47"/>
      <c r="Y72" s="47"/>
    </row>
    <row r="73" spans="1:25" ht="15.75" customHeight="1">
      <c r="A73" s="37"/>
      <c r="B73" s="231" t="s">
        <v>589</v>
      </c>
      <c r="C73">
        <v>6000</v>
      </c>
      <c r="E73" s="35"/>
      <c r="F73" s="47">
        <f>SUM(C73:E73)</f>
        <v>6000</v>
      </c>
      <c r="G73" s="40"/>
      <c r="H73" s="40"/>
      <c r="I73" s="40"/>
      <c r="J73" s="40"/>
      <c r="K73" s="40"/>
      <c r="L73" s="40"/>
      <c r="M73" s="47">
        <f t="shared" si="18"/>
        <v>0</v>
      </c>
      <c r="N73" s="47">
        <f t="shared" si="13"/>
        <v>6000</v>
      </c>
      <c r="O73">
        <v>1</v>
      </c>
      <c r="P73">
        <v>2</v>
      </c>
      <c r="Q73">
        <v>4</v>
      </c>
      <c r="R73">
        <v>1</v>
      </c>
      <c r="S73">
        <v>2</v>
      </c>
      <c r="T73">
        <v>8</v>
      </c>
      <c r="U73" s="48">
        <f t="shared" si="14"/>
        <v>0.16</v>
      </c>
      <c r="V73" s="47">
        <f t="shared" si="15"/>
        <v>960</v>
      </c>
      <c r="W73" s="47">
        <f t="shared" si="16"/>
        <v>6960</v>
      </c>
      <c r="X73" s="47"/>
      <c r="Y73" s="47"/>
    </row>
    <row r="74" spans="1:25" ht="15.75" customHeight="1">
      <c r="A74" s="37"/>
      <c r="B74" s="231" t="s">
        <v>590</v>
      </c>
      <c r="C74">
        <v>12500</v>
      </c>
      <c r="E74" s="35"/>
      <c r="F74" s="47">
        <f>SUM(C74:E74)</f>
        <v>12500</v>
      </c>
      <c r="G74" s="40"/>
      <c r="H74" s="40"/>
      <c r="I74" s="40"/>
      <c r="J74" s="40"/>
      <c r="K74" s="40"/>
      <c r="L74" s="40"/>
      <c r="M74" s="47">
        <f t="shared" si="18"/>
        <v>0</v>
      </c>
      <c r="N74" s="47">
        <f t="shared" si="13"/>
        <v>12500</v>
      </c>
      <c r="O74">
        <v>1</v>
      </c>
      <c r="P74">
        <v>2</v>
      </c>
      <c r="Q74">
        <v>4</v>
      </c>
      <c r="R74">
        <v>1</v>
      </c>
      <c r="S74">
        <v>2</v>
      </c>
      <c r="T74">
        <v>8</v>
      </c>
      <c r="U74" s="48">
        <f t="shared" si="14"/>
        <v>0.16</v>
      </c>
      <c r="V74" s="47">
        <f t="shared" si="15"/>
        <v>2000</v>
      </c>
      <c r="W74" s="47">
        <f t="shared" si="16"/>
        <v>14500</v>
      </c>
      <c r="X74" s="47"/>
      <c r="Y74" s="47"/>
    </row>
    <row r="75" spans="1:25" ht="15.75" customHeight="1">
      <c r="A75" s="37"/>
      <c r="E75" s="35"/>
      <c r="F75" s="47">
        <f>SUM(C75:E75)</f>
        <v>0</v>
      </c>
      <c r="G75" s="40"/>
      <c r="H75" s="40"/>
      <c r="I75" s="40"/>
      <c r="J75" s="40"/>
      <c r="K75" s="40"/>
      <c r="L75" s="40"/>
      <c r="M75" s="47">
        <f t="shared" si="18"/>
        <v>0</v>
      </c>
      <c r="N75" s="47">
        <f t="shared" si="13"/>
        <v>0</v>
      </c>
      <c r="U75" s="48">
        <f t="shared" si="14"/>
        <v>0</v>
      </c>
      <c r="V75" s="47">
        <f t="shared" si="15"/>
        <v>0</v>
      </c>
      <c r="W75" s="47">
        <f t="shared" si="16"/>
        <v>0</v>
      </c>
      <c r="X75" s="47"/>
      <c r="Y75" s="47"/>
    </row>
    <row r="76" spans="1:25" ht="15.75" customHeight="1">
      <c r="A76" s="11" t="s">
        <v>1211</v>
      </c>
      <c r="B76" s="226" t="s">
        <v>802</v>
      </c>
      <c r="E76" s="35"/>
      <c r="F76" s="47">
        <f>SUM(C76:E76)</f>
        <v>0</v>
      </c>
      <c r="G76" s="40"/>
      <c r="H76" s="40"/>
      <c r="I76" s="40"/>
      <c r="J76" s="40"/>
      <c r="K76" s="40"/>
      <c r="L76" s="40"/>
      <c r="M76" s="47">
        <f t="shared" si="18"/>
        <v>0</v>
      </c>
      <c r="N76" s="47">
        <f t="shared" si="13"/>
        <v>0</v>
      </c>
      <c r="U76" s="48">
        <f t="shared" si="14"/>
        <v>0</v>
      </c>
      <c r="V76" s="47">
        <f t="shared" si="15"/>
        <v>0</v>
      </c>
      <c r="W76" s="47">
        <f t="shared" si="16"/>
        <v>0</v>
      </c>
      <c r="X76" s="47"/>
      <c r="Y76" s="47"/>
    </row>
    <row r="77" spans="1:25" ht="15.75" customHeight="1">
      <c r="A77" s="37"/>
      <c r="B77" s="231" t="s">
        <v>591</v>
      </c>
      <c r="C77">
        <v>5000</v>
      </c>
      <c r="E77" s="35"/>
      <c r="F77" s="47">
        <f>SUM(B77:E77)</f>
        <v>5000</v>
      </c>
      <c r="G77" s="40"/>
      <c r="H77" s="40"/>
      <c r="I77" s="40"/>
      <c r="J77" s="40"/>
      <c r="K77" s="40"/>
      <c r="L77" s="40"/>
      <c r="M77" s="47">
        <f t="shared" si="18"/>
        <v>0</v>
      </c>
      <c r="N77" s="47">
        <f t="shared" si="13"/>
        <v>5000</v>
      </c>
      <c r="O77">
        <v>1</v>
      </c>
      <c r="P77">
        <v>2</v>
      </c>
      <c r="Q77">
        <v>4</v>
      </c>
      <c r="R77">
        <v>1</v>
      </c>
      <c r="S77">
        <v>2</v>
      </c>
      <c r="T77">
        <v>8</v>
      </c>
      <c r="U77" s="48">
        <f t="shared" si="14"/>
        <v>0.16</v>
      </c>
      <c r="V77" s="47">
        <f t="shared" si="15"/>
        <v>800</v>
      </c>
      <c r="W77" s="47">
        <f t="shared" si="16"/>
        <v>5800</v>
      </c>
      <c r="X77" s="47"/>
      <c r="Y77" s="47"/>
    </row>
    <row r="78" spans="1:25" ht="15.75" customHeight="1">
      <c r="A78" s="37"/>
      <c r="B78" s="231" t="s">
        <v>592</v>
      </c>
      <c r="C78">
        <v>5000</v>
      </c>
      <c r="E78" s="35"/>
      <c r="F78" s="47">
        <f>SUM(B78:E78)</f>
        <v>5000</v>
      </c>
      <c r="G78" s="40"/>
      <c r="H78" s="40"/>
      <c r="I78" s="40"/>
      <c r="J78" s="40"/>
      <c r="K78" s="40"/>
      <c r="L78" s="40"/>
      <c r="M78" s="47">
        <f t="shared" si="18"/>
        <v>0</v>
      </c>
      <c r="N78" s="47">
        <f t="shared" si="13"/>
        <v>5000</v>
      </c>
      <c r="O78">
        <v>1</v>
      </c>
      <c r="P78">
        <v>2</v>
      </c>
      <c r="Q78">
        <v>4</v>
      </c>
      <c r="R78">
        <v>1</v>
      </c>
      <c r="S78">
        <v>2</v>
      </c>
      <c r="T78">
        <v>8</v>
      </c>
      <c r="U78" s="48">
        <f t="shared" si="14"/>
        <v>0.16</v>
      </c>
      <c r="V78" s="47">
        <f t="shared" si="15"/>
        <v>800</v>
      </c>
      <c r="W78" s="47">
        <f t="shared" si="16"/>
        <v>5800</v>
      </c>
      <c r="X78" s="47"/>
      <c r="Y78" s="47"/>
    </row>
    <row r="79" spans="1:25" ht="15.75" customHeight="1">
      <c r="A79" s="37"/>
      <c r="B79" s="231" t="s">
        <v>782</v>
      </c>
      <c r="C79">
        <v>2500</v>
      </c>
      <c r="E79" s="35"/>
      <c r="F79" s="47">
        <f>SUM(B79:E79)</f>
        <v>2500</v>
      </c>
      <c r="G79" s="40"/>
      <c r="H79" s="40"/>
      <c r="I79" s="40"/>
      <c r="J79" s="40"/>
      <c r="K79" s="40"/>
      <c r="L79" s="40"/>
      <c r="M79" s="47">
        <f t="shared" si="18"/>
        <v>0</v>
      </c>
      <c r="N79" s="47">
        <f t="shared" si="13"/>
        <v>2500</v>
      </c>
      <c r="O79">
        <v>1</v>
      </c>
      <c r="P79">
        <v>2</v>
      </c>
      <c r="Q79">
        <v>0</v>
      </c>
      <c r="R79">
        <v>1</v>
      </c>
      <c r="S79">
        <v>2</v>
      </c>
      <c r="T79">
        <v>8</v>
      </c>
      <c r="U79" s="48">
        <f t="shared" si="14"/>
        <v>0.12</v>
      </c>
      <c r="V79" s="47">
        <f t="shared" si="15"/>
        <v>300</v>
      </c>
      <c r="W79" s="47">
        <f t="shared" si="16"/>
        <v>2800</v>
      </c>
      <c r="X79" s="47"/>
      <c r="Y79" s="47"/>
    </row>
    <row r="80" spans="1:25" ht="15.75" customHeight="1">
      <c r="A80" s="37"/>
      <c r="B80" s="231" t="s">
        <v>593</v>
      </c>
      <c r="C80">
        <v>5000</v>
      </c>
      <c r="E80" s="35"/>
      <c r="F80" s="47">
        <f>SUM(B80:E80)</f>
        <v>5000</v>
      </c>
      <c r="G80" s="40"/>
      <c r="H80" s="40"/>
      <c r="I80" s="40"/>
      <c r="J80" s="40"/>
      <c r="K80" s="40"/>
      <c r="L80" s="40"/>
      <c r="M80" s="47">
        <f t="shared" si="18"/>
        <v>0</v>
      </c>
      <c r="N80" s="47">
        <f t="shared" si="13"/>
        <v>5000</v>
      </c>
      <c r="O80">
        <v>1</v>
      </c>
      <c r="P80">
        <v>2</v>
      </c>
      <c r="Q80">
        <v>4</v>
      </c>
      <c r="R80">
        <v>1</v>
      </c>
      <c r="S80">
        <v>2</v>
      </c>
      <c r="T80">
        <v>8</v>
      </c>
      <c r="U80" s="48">
        <f t="shared" si="14"/>
        <v>0.16</v>
      </c>
      <c r="V80" s="47">
        <f t="shared" si="15"/>
        <v>800</v>
      </c>
      <c r="W80" s="47">
        <f t="shared" si="16"/>
        <v>5800</v>
      </c>
      <c r="X80" s="47"/>
      <c r="Y80" s="47"/>
    </row>
    <row r="81" spans="1:25" ht="15.75" customHeight="1">
      <c r="A81" s="37"/>
      <c r="E81" s="35"/>
      <c r="F81" s="47"/>
      <c r="G81" s="40"/>
      <c r="H81" s="40"/>
      <c r="I81" s="40"/>
      <c r="J81" s="40"/>
      <c r="K81" s="40"/>
      <c r="L81" s="40"/>
      <c r="M81" s="47"/>
      <c r="N81" s="47"/>
      <c r="U81" s="48"/>
      <c r="V81" s="47"/>
      <c r="W81" s="47"/>
      <c r="X81" s="47"/>
      <c r="Y81" s="47"/>
    </row>
    <row r="82" spans="1:25" ht="15.75" customHeight="1">
      <c r="A82" s="11" t="s">
        <v>1212</v>
      </c>
      <c r="B82" s="226" t="s">
        <v>1213</v>
      </c>
      <c r="E82" s="35"/>
      <c r="F82" s="47">
        <f aca="true" t="shared" si="19" ref="F82:F91">SUM(C82:E82)</f>
        <v>0</v>
      </c>
      <c r="G82" s="40"/>
      <c r="H82" s="40"/>
      <c r="I82" s="40"/>
      <c r="J82" s="40"/>
      <c r="K82" s="40"/>
      <c r="L82" s="40"/>
      <c r="M82" s="47">
        <f t="shared" si="18"/>
        <v>0</v>
      </c>
      <c r="N82" s="47">
        <f t="shared" si="13"/>
        <v>0</v>
      </c>
      <c r="U82" s="48">
        <f t="shared" si="14"/>
        <v>0</v>
      </c>
      <c r="V82" s="47">
        <f t="shared" si="15"/>
        <v>0</v>
      </c>
      <c r="W82" s="47">
        <f t="shared" si="16"/>
        <v>0</v>
      </c>
      <c r="X82" s="47"/>
      <c r="Y82" s="47"/>
    </row>
    <row r="83" spans="1:25" ht="15.75" customHeight="1">
      <c r="A83" s="37"/>
      <c r="B83" s="231" t="s">
        <v>810</v>
      </c>
      <c r="C83">
        <v>3000</v>
      </c>
      <c r="E83" s="35"/>
      <c r="F83" s="47">
        <f t="shared" si="19"/>
        <v>3000</v>
      </c>
      <c r="G83" s="40"/>
      <c r="H83" s="40"/>
      <c r="I83" s="40"/>
      <c r="J83" s="40">
        <v>240</v>
      </c>
      <c r="K83" s="40"/>
      <c r="L83" s="40"/>
      <c r="M83" s="47">
        <f t="shared" si="18"/>
        <v>12600</v>
      </c>
      <c r="N83" s="47">
        <f t="shared" si="13"/>
        <v>15600</v>
      </c>
      <c r="O83">
        <v>1</v>
      </c>
      <c r="P83">
        <v>2</v>
      </c>
      <c r="Q83">
        <v>4</v>
      </c>
      <c r="R83">
        <v>2</v>
      </c>
      <c r="S83">
        <v>2</v>
      </c>
      <c r="T83">
        <v>8</v>
      </c>
      <c r="U83" s="48">
        <f t="shared" si="14"/>
        <v>0.18</v>
      </c>
      <c r="V83" s="47">
        <f t="shared" si="15"/>
        <v>2808</v>
      </c>
      <c r="W83" s="47">
        <f t="shared" si="16"/>
        <v>18408</v>
      </c>
      <c r="X83" s="47"/>
      <c r="Y83" s="47"/>
    </row>
    <row r="84" spans="1:25" ht="15.75" customHeight="1">
      <c r="A84" s="37"/>
      <c r="B84" s="231" t="s">
        <v>811</v>
      </c>
      <c r="C84">
        <v>2000</v>
      </c>
      <c r="E84" s="35"/>
      <c r="F84" s="47">
        <f t="shared" si="19"/>
        <v>2000</v>
      </c>
      <c r="G84" s="40"/>
      <c r="H84" s="40"/>
      <c r="I84" s="40"/>
      <c r="J84" s="40"/>
      <c r="K84" s="40"/>
      <c r="L84" s="40"/>
      <c r="M84" s="47">
        <f t="shared" si="18"/>
        <v>0</v>
      </c>
      <c r="N84" s="47">
        <f t="shared" si="13"/>
        <v>2000</v>
      </c>
      <c r="O84">
        <v>1</v>
      </c>
      <c r="P84">
        <v>2</v>
      </c>
      <c r="Q84">
        <v>4</v>
      </c>
      <c r="R84">
        <v>1</v>
      </c>
      <c r="S84">
        <v>2</v>
      </c>
      <c r="T84">
        <v>8</v>
      </c>
      <c r="U84" s="48">
        <f t="shared" si="14"/>
        <v>0.16</v>
      </c>
      <c r="V84" s="47">
        <f t="shared" si="15"/>
        <v>320</v>
      </c>
      <c r="W84" s="47">
        <f t="shared" si="16"/>
        <v>2320</v>
      </c>
      <c r="X84" s="47"/>
      <c r="Y84" s="47"/>
    </row>
    <row r="85" spans="1:25" ht="15.75" customHeight="1">
      <c r="A85" s="37"/>
      <c r="B85" s="230"/>
      <c r="C85" t="s">
        <v>668</v>
      </c>
      <c r="E85" s="35"/>
      <c r="F85" s="47">
        <f t="shared" si="19"/>
        <v>0</v>
      </c>
      <c r="G85" s="40"/>
      <c r="H85" s="40"/>
      <c r="I85" s="40"/>
      <c r="J85" s="40"/>
      <c r="K85" s="40"/>
      <c r="L85" s="40"/>
      <c r="M85" s="47">
        <f t="shared" si="18"/>
        <v>0</v>
      </c>
      <c r="N85" s="47">
        <f t="shared" si="13"/>
        <v>0</v>
      </c>
      <c r="U85" s="48">
        <f t="shared" si="14"/>
        <v>0</v>
      </c>
      <c r="V85" s="47">
        <f t="shared" si="15"/>
        <v>0</v>
      </c>
      <c r="W85" s="47">
        <f t="shared" si="16"/>
        <v>0</v>
      </c>
      <c r="X85" s="47"/>
      <c r="Y85" s="47"/>
    </row>
    <row r="86" spans="1:25" ht="15.75" customHeight="1">
      <c r="A86" s="37"/>
      <c r="E86" s="35"/>
      <c r="F86" s="47">
        <f t="shared" si="19"/>
        <v>0</v>
      </c>
      <c r="G86" s="40"/>
      <c r="H86" s="40"/>
      <c r="I86" s="40"/>
      <c r="J86" s="40"/>
      <c r="K86" s="40"/>
      <c r="L86" s="40"/>
      <c r="M86" s="47">
        <f t="shared" si="18"/>
        <v>0</v>
      </c>
      <c r="N86" s="47">
        <f t="shared" si="13"/>
        <v>0</v>
      </c>
      <c r="U86" s="48">
        <f t="shared" si="14"/>
        <v>0</v>
      </c>
      <c r="V86" s="47">
        <f t="shared" si="15"/>
        <v>0</v>
      </c>
      <c r="W86" s="47">
        <f t="shared" si="16"/>
        <v>0</v>
      </c>
      <c r="X86" s="47"/>
      <c r="Y86" s="47"/>
    </row>
    <row r="87" spans="1:25" ht="15.75" customHeight="1">
      <c r="A87" s="11" t="s">
        <v>1199</v>
      </c>
      <c r="B87" s="228" t="s">
        <v>812</v>
      </c>
      <c r="C87" t="s">
        <v>668</v>
      </c>
      <c r="E87" s="35"/>
      <c r="F87" s="47">
        <f t="shared" si="19"/>
        <v>0</v>
      </c>
      <c r="G87" s="40">
        <v>160</v>
      </c>
      <c r="H87" s="40"/>
      <c r="I87" s="40"/>
      <c r="J87" s="40">
        <v>320</v>
      </c>
      <c r="K87" s="40"/>
      <c r="L87" s="40"/>
      <c r="M87" s="47">
        <f t="shared" si="18"/>
        <v>27544</v>
      </c>
      <c r="N87" s="47">
        <f t="shared" si="13"/>
        <v>27544</v>
      </c>
      <c r="O87">
        <v>1</v>
      </c>
      <c r="P87">
        <v>2</v>
      </c>
      <c r="Q87">
        <v>2</v>
      </c>
      <c r="R87">
        <v>1</v>
      </c>
      <c r="S87">
        <v>2</v>
      </c>
      <c r="T87">
        <v>8</v>
      </c>
      <c r="U87" s="48">
        <f t="shared" si="14"/>
        <v>0.14</v>
      </c>
      <c r="V87" s="47">
        <f t="shared" si="15"/>
        <v>3856.1600000000003</v>
      </c>
      <c r="W87" s="47">
        <f t="shared" si="16"/>
        <v>31400.16</v>
      </c>
      <c r="X87" s="47"/>
      <c r="Y87" s="47"/>
    </row>
    <row r="88" spans="1:25" ht="15.75" customHeight="1">
      <c r="A88" s="37"/>
      <c r="B88" s="230" t="s">
        <v>813</v>
      </c>
      <c r="C88">
        <v>7500</v>
      </c>
      <c r="E88" s="35"/>
      <c r="F88" s="47">
        <f t="shared" si="19"/>
        <v>7500</v>
      </c>
      <c r="G88" s="40"/>
      <c r="H88" s="40"/>
      <c r="I88" s="40"/>
      <c r="J88" s="40"/>
      <c r="K88" s="40"/>
      <c r="L88" s="40"/>
      <c r="M88" s="47">
        <f t="shared" si="18"/>
        <v>0</v>
      </c>
      <c r="N88" s="47">
        <f t="shared" si="13"/>
        <v>7500</v>
      </c>
      <c r="O88">
        <v>1</v>
      </c>
      <c r="P88">
        <v>2</v>
      </c>
      <c r="Q88">
        <v>2</v>
      </c>
      <c r="R88">
        <v>1</v>
      </c>
      <c r="S88">
        <v>2</v>
      </c>
      <c r="T88">
        <v>8</v>
      </c>
      <c r="U88" s="48">
        <f t="shared" si="14"/>
        <v>0.14</v>
      </c>
      <c r="V88" s="47">
        <f t="shared" si="15"/>
        <v>1050</v>
      </c>
      <c r="W88" s="47">
        <f t="shared" si="16"/>
        <v>8550</v>
      </c>
      <c r="X88" s="47"/>
      <c r="Y88" s="47"/>
    </row>
    <row r="89" spans="1:25" ht="15.75" customHeight="1">
      <c r="A89" s="37"/>
      <c r="E89" s="35"/>
      <c r="F89" s="47"/>
      <c r="G89" s="40"/>
      <c r="H89" s="40"/>
      <c r="I89" s="40"/>
      <c r="J89" s="40"/>
      <c r="K89" s="40"/>
      <c r="L89" s="40"/>
      <c r="M89" s="47"/>
      <c r="N89" s="47"/>
      <c r="U89" s="48"/>
      <c r="V89" s="47"/>
      <c r="W89" s="47"/>
      <c r="X89" s="47"/>
      <c r="Y89" s="47"/>
    </row>
    <row r="90" spans="1:25" ht="15.75" customHeight="1">
      <c r="A90" s="58" t="s">
        <v>1216</v>
      </c>
      <c r="B90" s="227" t="s">
        <v>1215</v>
      </c>
      <c r="D90" s="34"/>
      <c r="E90" s="35"/>
      <c r="F90" s="47">
        <f t="shared" si="19"/>
        <v>0</v>
      </c>
      <c r="G90" s="40"/>
      <c r="H90" s="40"/>
      <c r="I90" s="40"/>
      <c r="J90" s="40"/>
      <c r="K90" s="40"/>
      <c r="L90" s="40"/>
      <c r="M90" s="47">
        <f t="shared" si="18"/>
        <v>0</v>
      </c>
      <c r="N90" s="47">
        <f t="shared" si="13"/>
        <v>0</v>
      </c>
      <c r="U90" s="48">
        <f t="shared" si="14"/>
        <v>0</v>
      </c>
      <c r="V90" s="47">
        <f t="shared" si="15"/>
        <v>0</v>
      </c>
      <c r="W90" s="47">
        <f t="shared" si="16"/>
        <v>0</v>
      </c>
      <c r="X90" s="47"/>
      <c r="Y90" s="47"/>
    </row>
    <row r="91" spans="1:25" ht="15.75" customHeight="1">
      <c r="A91" s="37"/>
      <c r="B91" s="229" t="s">
        <v>814</v>
      </c>
      <c r="C91">
        <v>15000</v>
      </c>
      <c r="E91" s="35"/>
      <c r="F91" s="47">
        <f t="shared" si="19"/>
        <v>15000</v>
      </c>
      <c r="G91" s="40"/>
      <c r="H91" s="40"/>
      <c r="I91" s="40"/>
      <c r="J91" s="40"/>
      <c r="K91" s="40"/>
      <c r="L91" s="40"/>
      <c r="M91" s="47">
        <f t="shared" si="18"/>
        <v>0</v>
      </c>
      <c r="N91" s="47">
        <f t="shared" si="13"/>
        <v>15000</v>
      </c>
      <c r="O91">
        <v>1</v>
      </c>
      <c r="P91">
        <v>2</v>
      </c>
      <c r="Q91">
        <v>4</v>
      </c>
      <c r="R91">
        <v>1</v>
      </c>
      <c r="S91">
        <v>2</v>
      </c>
      <c r="T91">
        <v>8</v>
      </c>
      <c r="U91" s="48">
        <f t="shared" si="14"/>
        <v>0.16</v>
      </c>
      <c r="V91" s="47">
        <f t="shared" si="15"/>
        <v>2400</v>
      </c>
      <c r="W91" s="47">
        <f t="shared" si="16"/>
        <v>17400</v>
      </c>
      <c r="X91" s="47"/>
      <c r="Y91" s="47"/>
    </row>
    <row r="92" spans="1:25" ht="15.75" customHeight="1">
      <c r="A92" s="58"/>
      <c r="B92" s="73" t="s">
        <v>1214</v>
      </c>
      <c r="C92" s="35">
        <v>10000</v>
      </c>
      <c r="D92" s="35"/>
      <c r="E92" s="35"/>
      <c r="F92" s="47">
        <f aca="true" t="shared" si="20" ref="F92:F114">SUM(C92:E92)</f>
        <v>10000</v>
      </c>
      <c r="K92" s="40">
        <v>140</v>
      </c>
      <c r="M92" s="47">
        <f aca="true" t="shared" si="21" ref="M92:M113">$G$3*G92+$H$3*H92+$I$3*I92+$J$3*J92+$K$3*K92+$L$3*L92</f>
        <v>9387</v>
      </c>
      <c r="N92" s="47">
        <f aca="true" t="shared" si="22" ref="N92:N113">M92+F92</f>
        <v>19387</v>
      </c>
      <c r="O92">
        <v>4</v>
      </c>
      <c r="P92">
        <v>2</v>
      </c>
      <c r="Q92">
        <v>4</v>
      </c>
      <c r="R92">
        <v>4</v>
      </c>
      <c r="S92">
        <v>2</v>
      </c>
      <c r="T92">
        <v>2</v>
      </c>
      <c r="U92" s="48">
        <f aca="true" t="shared" si="23" ref="U92:U113">((O92*P92)+Q92+(R92*S92)+T92)/100</f>
        <v>0.22</v>
      </c>
      <c r="V92" s="47">
        <f aca="true" t="shared" si="24" ref="V92:V113">+(F92+M92)*U92</f>
        <v>4265.14</v>
      </c>
      <c r="W92" s="47">
        <f aca="true" t="shared" si="25" ref="W92:W113">+F92+M92+V92</f>
        <v>23652.14</v>
      </c>
      <c r="X92" s="47"/>
      <c r="Y92" s="47"/>
    </row>
    <row r="93" spans="1:25" ht="15.75" customHeight="1">
      <c r="A93" s="58"/>
      <c r="B93" s="8"/>
      <c r="C93" s="35"/>
      <c r="D93" s="35"/>
      <c r="E93" s="35"/>
      <c r="F93" s="47">
        <f t="shared" si="20"/>
        <v>0</v>
      </c>
      <c r="M93" s="47">
        <f t="shared" si="21"/>
        <v>0</v>
      </c>
      <c r="N93" s="47">
        <f t="shared" si="22"/>
        <v>0</v>
      </c>
      <c r="U93" s="48">
        <f t="shared" si="23"/>
        <v>0</v>
      </c>
      <c r="V93" s="47">
        <f t="shared" si="24"/>
        <v>0</v>
      </c>
      <c r="W93" s="47">
        <f t="shared" si="25"/>
        <v>0</v>
      </c>
      <c r="X93" s="47"/>
      <c r="Y93" s="47"/>
    </row>
    <row r="94" spans="1:25" ht="15.75" customHeight="1">
      <c r="A94" s="58" t="s">
        <v>1217</v>
      </c>
      <c r="B94" s="227" t="s">
        <v>635</v>
      </c>
      <c r="C94" s="35"/>
      <c r="D94" s="35"/>
      <c r="E94" s="35"/>
      <c r="F94" s="47">
        <f t="shared" si="20"/>
        <v>0</v>
      </c>
      <c r="M94" s="47">
        <f t="shared" si="21"/>
        <v>0</v>
      </c>
      <c r="N94" s="47">
        <f t="shared" si="22"/>
        <v>0</v>
      </c>
      <c r="U94" s="48">
        <f t="shared" si="23"/>
        <v>0</v>
      </c>
      <c r="V94" s="47">
        <f t="shared" si="24"/>
        <v>0</v>
      </c>
      <c r="W94" s="47">
        <f t="shared" si="25"/>
        <v>0</v>
      </c>
      <c r="X94" s="47"/>
      <c r="Y94" s="47"/>
    </row>
    <row r="95" spans="1:25" ht="15.75" customHeight="1">
      <c r="A95" s="58"/>
      <c r="B95" s="73" t="s">
        <v>1939</v>
      </c>
      <c r="C95" s="35">
        <v>42000</v>
      </c>
      <c r="D95" s="35"/>
      <c r="E95" s="35"/>
      <c r="F95" s="47">
        <f t="shared" si="20"/>
        <v>42000</v>
      </c>
      <c r="G95">
        <v>80</v>
      </c>
      <c r="J95">
        <v>120</v>
      </c>
      <c r="L95">
        <v>120</v>
      </c>
      <c r="M95" s="47">
        <f t="shared" si="21"/>
        <v>23792</v>
      </c>
      <c r="N95" s="47">
        <f t="shared" si="22"/>
        <v>65792</v>
      </c>
      <c r="O95">
        <v>3</v>
      </c>
      <c r="P95">
        <v>2</v>
      </c>
      <c r="Q95">
        <v>8</v>
      </c>
      <c r="R95">
        <v>4</v>
      </c>
      <c r="S95">
        <v>2</v>
      </c>
      <c r="T95">
        <v>2</v>
      </c>
      <c r="U95" s="48">
        <f t="shared" si="23"/>
        <v>0.24</v>
      </c>
      <c r="V95" s="47">
        <f t="shared" si="24"/>
        <v>15790.08</v>
      </c>
      <c r="W95" s="47">
        <f t="shared" si="25"/>
        <v>81582.08</v>
      </c>
      <c r="X95" s="47"/>
      <c r="Y95" s="47"/>
    </row>
    <row r="96" spans="1:25" ht="15.75" customHeight="1">
      <c r="A96" s="58"/>
      <c r="B96" s="73" t="s">
        <v>1940</v>
      </c>
      <c r="C96" s="35"/>
      <c r="D96" s="35">
        <v>48000</v>
      </c>
      <c r="E96" s="35"/>
      <c r="F96" s="47">
        <f t="shared" si="20"/>
        <v>48000</v>
      </c>
      <c r="G96">
        <v>40</v>
      </c>
      <c r="M96" s="47">
        <f t="shared" si="21"/>
        <v>2686</v>
      </c>
      <c r="N96" s="47">
        <f t="shared" si="22"/>
        <v>50686</v>
      </c>
      <c r="O96">
        <v>1</v>
      </c>
      <c r="P96">
        <v>2</v>
      </c>
      <c r="Q96">
        <v>4</v>
      </c>
      <c r="R96">
        <v>4</v>
      </c>
      <c r="S96">
        <v>2</v>
      </c>
      <c r="T96">
        <v>2</v>
      </c>
      <c r="U96" s="48">
        <f t="shared" si="23"/>
        <v>0.16</v>
      </c>
      <c r="V96" s="47">
        <f t="shared" si="24"/>
        <v>8109.76</v>
      </c>
      <c r="W96" s="47">
        <f t="shared" si="25"/>
        <v>58795.76</v>
      </c>
      <c r="X96" s="47"/>
      <c r="Y96" s="47"/>
    </row>
    <row r="97" spans="1:25" ht="15.75" customHeight="1">
      <c r="A97" s="58" t="s">
        <v>668</v>
      </c>
      <c r="B97" s="73" t="s">
        <v>1941</v>
      </c>
      <c r="C97" s="35">
        <v>5000</v>
      </c>
      <c r="D97" s="35"/>
      <c r="E97" s="35"/>
      <c r="F97" s="47">
        <f t="shared" si="20"/>
        <v>5000</v>
      </c>
      <c r="G97">
        <v>8</v>
      </c>
      <c r="J97">
        <v>80</v>
      </c>
      <c r="M97" s="47">
        <f t="shared" si="21"/>
        <v>4737.2</v>
      </c>
      <c r="N97" s="47">
        <f t="shared" si="22"/>
        <v>9737.2</v>
      </c>
      <c r="O97">
        <v>1</v>
      </c>
      <c r="P97">
        <v>2</v>
      </c>
      <c r="Q97">
        <v>4</v>
      </c>
      <c r="R97">
        <v>4</v>
      </c>
      <c r="S97">
        <v>2</v>
      </c>
      <c r="T97">
        <v>2</v>
      </c>
      <c r="U97" s="48">
        <f t="shared" si="23"/>
        <v>0.16</v>
      </c>
      <c r="V97" s="47">
        <f t="shared" si="24"/>
        <v>1557.9520000000002</v>
      </c>
      <c r="W97" s="47">
        <f t="shared" si="25"/>
        <v>11295.152000000002</v>
      </c>
      <c r="X97" s="47"/>
      <c r="Y97" s="47"/>
    </row>
    <row r="98" spans="1:25" ht="15.75" customHeight="1">
      <c r="A98" s="58"/>
      <c r="B98" s="8"/>
      <c r="C98" s="35"/>
      <c r="D98" s="35"/>
      <c r="E98" s="35"/>
      <c r="F98" s="47">
        <f t="shared" si="20"/>
        <v>0</v>
      </c>
      <c r="M98" s="47">
        <f t="shared" si="21"/>
        <v>0</v>
      </c>
      <c r="N98" s="47">
        <f t="shared" si="22"/>
        <v>0</v>
      </c>
      <c r="U98" s="48">
        <f t="shared" si="23"/>
        <v>0</v>
      </c>
      <c r="V98" s="47">
        <f t="shared" si="24"/>
        <v>0</v>
      </c>
      <c r="W98" s="47">
        <f t="shared" si="25"/>
        <v>0</v>
      </c>
      <c r="X98" s="47"/>
      <c r="Y98" s="47"/>
    </row>
    <row r="99" spans="1:25" ht="15.75" customHeight="1">
      <c r="A99" s="58" t="s">
        <v>1218</v>
      </c>
      <c r="B99" s="227" t="s">
        <v>852</v>
      </c>
      <c r="C99" s="35"/>
      <c r="D99" s="35"/>
      <c r="E99" s="35"/>
      <c r="F99" s="47">
        <f t="shared" si="20"/>
        <v>0</v>
      </c>
      <c r="M99" s="47">
        <f t="shared" si="21"/>
        <v>0</v>
      </c>
      <c r="N99" s="47">
        <f t="shared" si="22"/>
        <v>0</v>
      </c>
      <c r="U99" s="48">
        <f t="shared" si="23"/>
        <v>0</v>
      </c>
      <c r="V99" s="47">
        <f t="shared" si="24"/>
        <v>0</v>
      </c>
      <c r="W99" s="47">
        <f t="shared" si="25"/>
        <v>0</v>
      </c>
      <c r="X99" s="47"/>
      <c r="Y99" s="47"/>
    </row>
    <row r="100" spans="1:25" ht="15.75" customHeight="1">
      <c r="A100" s="58"/>
      <c r="B100" s="73" t="s">
        <v>1942</v>
      </c>
      <c r="C100" s="35">
        <v>18000</v>
      </c>
      <c r="D100" s="35"/>
      <c r="E100" s="35"/>
      <c r="F100" s="47">
        <f t="shared" si="20"/>
        <v>18000</v>
      </c>
      <c r="G100" s="40">
        <v>36</v>
      </c>
      <c r="H100" s="40"/>
      <c r="I100" s="40"/>
      <c r="J100" s="40">
        <v>2448</v>
      </c>
      <c r="K100" s="40">
        <v>1008</v>
      </c>
      <c r="L100" s="40"/>
      <c r="M100" s="47">
        <f t="shared" si="21"/>
        <v>198523.8</v>
      </c>
      <c r="N100" s="47">
        <f t="shared" si="22"/>
        <v>216523.8</v>
      </c>
      <c r="O100">
        <v>3</v>
      </c>
      <c r="P100">
        <v>2</v>
      </c>
      <c r="Q100">
        <v>8</v>
      </c>
      <c r="R100">
        <v>4</v>
      </c>
      <c r="S100">
        <v>2</v>
      </c>
      <c r="T100">
        <v>2</v>
      </c>
      <c r="U100" s="48">
        <f t="shared" si="23"/>
        <v>0.24</v>
      </c>
      <c r="V100" s="47">
        <f t="shared" si="24"/>
        <v>51965.71199999999</v>
      </c>
      <c r="W100" s="47">
        <f t="shared" si="25"/>
        <v>268489.512</v>
      </c>
      <c r="X100" s="47"/>
      <c r="Y100" s="47"/>
    </row>
    <row r="101" spans="1:25" ht="15.75" customHeight="1">
      <c r="A101" s="58"/>
      <c r="B101" s="73" t="s">
        <v>1943</v>
      </c>
      <c r="C101" s="35"/>
      <c r="D101" s="35"/>
      <c r="E101" s="35"/>
      <c r="F101" s="47">
        <f t="shared" si="20"/>
        <v>0</v>
      </c>
      <c r="G101" s="40"/>
      <c r="H101" s="40"/>
      <c r="I101" s="40"/>
      <c r="J101" s="40">
        <v>240</v>
      </c>
      <c r="K101" s="40"/>
      <c r="L101" s="40"/>
      <c r="M101" s="47">
        <f t="shared" si="21"/>
        <v>12600</v>
      </c>
      <c r="N101" s="47">
        <f t="shared" si="22"/>
        <v>12600</v>
      </c>
      <c r="O101">
        <v>1</v>
      </c>
      <c r="P101">
        <v>2</v>
      </c>
      <c r="Q101">
        <v>4</v>
      </c>
      <c r="R101">
        <v>4</v>
      </c>
      <c r="S101">
        <v>1</v>
      </c>
      <c r="T101">
        <v>2</v>
      </c>
      <c r="U101" s="48">
        <f t="shared" si="23"/>
        <v>0.12</v>
      </c>
      <c r="V101" s="47">
        <f t="shared" si="24"/>
        <v>1512</v>
      </c>
      <c r="W101" s="47">
        <f t="shared" si="25"/>
        <v>14112</v>
      </c>
      <c r="X101" s="47"/>
      <c r="Y101" s="47"/>
    </row>
    <row r="102" spans="1:25" ht="15.75" customHeight="1">
      <c r="A102" s="58"/>
      <c r="B102" s="73" t="s">
        <v>1944</v>
      </c>
      <c r="C102" s="35"/>
      <c r="D102" s="35"/>
      <c r="E102" s="35"/>
      <c r="F102" s="47">
        <f t="shared" si="20"/>
        <v>0</v>
      </c>
      <c r="G102" s="40"/>
      <c r="H102" s="40"/>
      <c r="I102" s="40"/>
      <c r="J102" s="40">
        <v>160</v>
      </c>
      <c r="K102" s="40"/>
      <c r="L102" s="40">
        <v>80</v>
      </c>
      <c r="M102" s="47">
        <f t="shared" si="21"/>
        <v>16480</v>
      </c>
      <c r="N102" s="47">
        <f t="shared" si="22"/>
        <v>16480</v>
      </c>
      <c r="O102">
        <v>1</v>
      </c>
      <c r="P102">
        <v>2</v>
      </c>
      <c r="Q102">
        <v>8</v>
      </c>
      <c r="R102">
        <v>4</v>
      </c>
      <c r="S102">
        <v>1</v>
      </c>
      <c r="T102">
        <v>2</v>
      </c>
      <c r="U102" s="48">
        <f t="shared" si="23"/>
        <v>0.16</v>
      </c>
      <c r="V102" s="47">
        <f t="shared" si="24"/>
        <v>2636.8</v>
      </c>
      <c r="W102" s="47">
        <f t="shared" si="25"/>
        <v>19116.8</v>
      </c>
      <c r="X102" s="47"/>
      <c r="Y102" s="47"/>
    </row>
    <row r="103" spans="1:25" ht="15.75" customHeight="1">
      <c r="A103" s="58"/>
      <c r="B103" s="73" t="s">
        <v>1945</v>
      </c>
      <c r="C103" s="35">
        <v>15500</v>
      </c>
      <c r="D103" s="35"/>
      <c r="E103" s="35"/>
      <c r="F103" s="47">
        <f t="shared" si="20"/>
        <v>15500</v>
      </c>
      <c r="J103" s="40">
        <v>120</v>
      </c>
      <c r="K103">
        <v>90</v>
      </c>
      <c r="M103" s="47">
        <f t="shared" si="21"/>
        <v>12334.5</v>
      </c>
      <c r="N103" s="47">
        <f t="shared" si="22"/>
        <v>27834.5</v>
      </c>
      <c r="O103">
        <v>1</v>
      </c>
      <c r="P103">
        <v>2</v>
      </c>
      <c r="Q103">
        <v>8</v>
      </c>
      <c r="R103">
        <v>4</v>
      </c>
      <c r="S103">
        <v>1</v>
      </c>
      <c r="T103">
        <v>2</v>
      </c>
      <c r="U103" s="48">
        <f t="shared" si="23"/>
        <v>0.16</v>
      </c>
      <c r="V103" s="47">
        <f t="shared" si="24"/>
        <v>4453.52</v>
      </c>
      <c r="W103" s="47">
        <f t="shared" si="25"/>
        <v>32288.02</v>
      </c>
      <c r="X103" s="47"/>
      <c r="Y103" s="47"/>
    </row>
    <row r="104" spans="1:25" ht="15.75" customHeight="1">
      <c r="A104" s="58"/>
      <c r="B104" s="73" t="s">
        <v>1946</v>
      </c>
      <c r="C104" s="35">
        <v>5000</v>
      </c>
      <c r="D104" s="35"/>
      <c r="E104" s="35"/>
      <c r="F104" s="47">
        <f t="shared" si="20"/>
        <v>5000</v>
      </c>
      <c r="G104" s="40"/>
      <c r="H104" s="40"/>
      <c r="I104" s="40"/>
      <c r="J104" s="40"/>
      <c r="K104" s="40">
        <v>320</v>
      </c>
      <c r="L104" s="40"/>
      <c r="M104" s="47">
        <f t="shared" si="21"/>
        <v>21456</v>
      </c>
      <c r="N104" s="47">
        <f t="shared" si="22"/>
        <v>26456</v>
      </c>
      <c r="O104">
        <v>1</v>
      </c>
      <c r="P104">
        <v>2</v>
      </c>
      <c r="Q104">
        <v>4</v>
      </c>
      <c r="R104">
        <v>4</v>
      </c>
      <c r="S104">
        <v>2</v>
      </c>
      <c r="T104">
        <v>2</v>
      </c>
      <c r="U104" s="48">
        <f t="shared" si="23"/>
        <v>0.16</v>
      </c>
      <c r="V104" s="47">
        <f t="shared" si="24"/>
        <v>4232.96</v>
      </c>
      <c r="W104" s="47">
        <f t="shared" si="25"/>
        <v>30688.96</v>
      </c>
      <c r="X104" s="47"/>
      <c r="Y104" s="47"/>
    </row>
    <row r="105" spans="1:25" ht="15.75" customHeight="1">
      <c r="A105" s="58"/>
      <c r="B105" s="73" t="s">
        <v>1947</v>
      </c>
      <c r="C105" s="35">
        <v>1000</v>
      </c>
      <c r="D105" s="35"/>
      <c r="E105" s="35"/>
      <c r="F105" s="47">
        <f t="shared" si="20"/>
        <v>1000</v>
      </c>
      <c r="G105" s="40"/>
      <c r="H105" s="40"/>
      <c r="I105" s="40"/>
      <c r="J105" s="40">
        <v>80</v>
      </c>
      <c r="K105" s="40">
        <v>80</v>
      </c>
      <c r="L105" s="40"/>
      <c r="M105" s="47">
        <f t="shared" si="21"/>
        <v>9564</v>
      </c>
      <c r="N105" s="47">
        <f t="shared" si="22"/>
        <v>10564</v>
      </c>
      <c r="O105">
        <v>1</v>
      </c>
      <c r="P105">
        <v>2</v>
      </c>
      <c r="Q105">
        <v>4</v>
      </c>
      <c r="R105">
        <v>4</v>
      </c>
      <c r="S105">
        <v>2</v>
      </c>
      <c r="T105">
        <v>2</v>
      </c>
      <c r="U105" s="48">
        <f t="shared" si="23"/>
        <v>0.16</v>
      </c>
      <c r="V105" s="47">
        <f t="shared" si="24"/>
        <v>1690.24</v>
      </c>
      <c r="W105" s="47">
        <f t="shared" si="25"/>
        <v>12254.24</v>
      </c>
      <c r="X105" s="47"/>
      <c r="Y105" s="47"/>
    </row>
    <row r="106" spans="1:25" ht="15.75" customHeight="1">
      <c r="A106" s="58"/>
      <c r="B106" s="73" t="s">
        <v>1948</v>
      </c>
      <c r="C106" s="35"/>
      <c r="D106" s="35"/>
      <c r="E106" s="35"/>
      <c r="F106" s="47">
        <f t="shared" si="20"/>
        <v>0</v>
      </c>
      <c r="G106" s="40"/>
      <c r="H106" s="40"/>
      <c r="I106" s="40"/>
      <c r="J106" s="40"/>
      <c r="K106" s="40">
        <v>1440</v>
      </c>
      <c r="L106" s="40"/>
      <c r="M106" s="47">
        <f t="shared" si="21"/>
        <v>96552</v>
      </c>
      <c r="N106" s="47">
        <f t="shared" si="22"/>
        <v>96552</v>
      </c>
      <c r="O106">
        <v>3</v>
      </c>
      <c r="P106">
        <v>2</v>
      </c>
      <c r="Q106">
        <v>4</v>
      </c>
      <c r="R106">
        <v>4</v>
      </c>
      <c r="S106">
        <v>1</v>
      </c>
      <c r="T106">
        <v>2</v>
      </c>
      <c r="U106" s="48">
        <f t="shared" si="23"/>
        <v>0.16</v>
      </c>
      <c r="V106" s="47">
        <f t="shared" si="24"/>
        <v>15448.32</v>
      </c>
      <c r="W106" s="47">
        <f t="shared" si="25"/>
        <v>112000.32</v>
      </c>
      <c r="X106" s="47"/>
      <c r="Y106" s="47"/>
    </row>
    <row r="107" spans="1:25" ht="15.75" customHeight="1">
      <c r="A107" s="58"/>
      <c r="B107" s="73" t="s">
        <v>909</v>
      </c>
      <c r="C107" s="35">
        <v>5000</v>
      </c>
      <c r="D107" s="35"/>
      <c r="E107" s="35"/>
      <c r="F107" s="47">
        <f t="shared" si="20"/>
        <v>5000</v>
      </c>
      <c r="G107" s="40"/>
      <c r="H107" s="40"/>
      <c r="I107" s="40"/>
      <c r="J107" s="40"/>
      <c r="K107" s="40">
        <v>160</v>
      </c>
      <c r="L107" s="40"/>
      <c r="M107" s="47">
        <f t="shared" si="21"/>
        <v>10728</v>
      </c>
      <c r="N107" s="47">
        <f t="shared" si="22"/>
        <v>15728</v>
      </c>
      <c r="O107">
        <v>1</v>
      </c>
      <c r="P107">
        <v>2</v>
      </c>
      <c r="Q107">
        <v>4</v>
      </c>
      <c r="R107">
        <v>4</v>
      </c>
      <c r="S107">
        <v>2</v>
      </c>
      <c r="T107">
        <v>2</v>
      </c>
      <c r="U107" s="48">
        <f t="shared" si="23"/>
        <v>0.16</v>
      </c>
      <c r="V107" s="47">
        <f t="shared" si="24"/>
        <v>2516.48</v>
      </c>
      <c r="W107" s="47">
        <f t="shared" si="25"/>
        <v>18244.48</v>
      </c>
      <c r="X107" s="47"/>
      <c r="Y107" s="47"/>
    </row>
    <row r="108" spans="1:25" ht="15.75" customHeight="1">
      <c r="A108" s="58"/>
      <c r="B108" s="73" t="s">
        <v>1949</v>
      </c>
      <c r="C108" s="35">
        <v>15000</v>
      </c>
      <c r="D108" s="35"/>
      <c r="E108" s="35"/>
      <c r="F108" s="47">
        <f t="shared" si="20"/>
        <v>15000</v>
      </c>
      <c r="G108" s="40"/>
      <c r="H108" s="40"/>
      <c r="I108" s="40"/>
      <c r="J108" s="40"/>
      <c r="K108" s="40">
        <v>40</v>
      </c>
      <c r="L108" s="40"/>
      <c r="M108" s="47">
        <f t="shared" si="21"/>
        <v>2682</v>
      </c>
      <c r="N108" s="47">
        <f t="shared" si="22"/>
        <v>17682</v>
      </c>
      <c r="O108">
        <v>4</v>
      </c>
      <c r="P108">
        <v>2</v>
      </c>
      <c r="Q108">
        <v>4</v>
      </c>
      <c r="R108">
        <v>4</v>
      </c>
      <c r="S108">
        <v>2</v>
      </c>
      <c r="T108">
        <v>2</v>
      </c>
      <c r="U108" s="48">
        <f t="shared" si="23"/>
        <v>0.22</v>
      </c>
      <c r="V108" s="47">
        <f t="shared" si="24"/>
        <v>3890.04</v>
      </c>
      <c r="W108" s="47">
        <f t="shared" si="25"/>
        <v>21572.04</v>
      </c>
      <c r="X108" s="47"/>
      <c r="Y108" s="47"/>
    </row>
    <row r="109" spans="1:25" ht="15.75" customHeight="1">
      <c r="A109" s="58"/>
      <c r="B109" s="73" t="s">
        <v>1950</v>
      </c>
      <c r="C109" s="35">
        <v>15000</v>
      </c>
      <c r="D109" s="35"/>
      <c r="E109" s="35"/>
      <c r="F109" s="47">
        <f t="shared" si="20"/>
        <v>15000</v>
      </c>
      <c r="G109" s="40"/>
      <c r="H109" s="40"/>
      <c r="I109" s="40"/>
      <c r="J109" s="40"/>
      <c r="K109" s="40">
        <v>240</v>
      </c>
      <c r="L109" s="40"/>
      <c r="M109" s="47">
        <f t="shared" si="21"/>
        <v>16092</v>
      </c>
      <c r="N109" s="47">
        <f t="shared" si="22"/>
        <v>31092</v>
      </c>
      <c r="O109">
        <v>6</v>
      </c>
      <c r="P109">
        <v>2</v>
      </c>
      <c r="Q109">
        <v>4</v>
      </c>
      <c r="R109">
        <v>4</v>
      </c>
      <c r="S109">
        <v>2</v>
      </c>
      <c r="T109">
        <v>2</v>
      </c>
      <c r="U109" s="48">
        <f t="shared" si="23"/>
        <v>0.26</v>
      </c>
      <c r="V109" s="47">
        <f t="shared" si="24"/>
        <v>8083.92</v>
      </c>
      <c r="W109" s="47">
        <f t="shared" si="25"/>
        <v>39175.92</v>
      </c>
      <c r="X109" s="47"/>
      <c r="Y109" s="47"/>
    </row>
    <row r="110" spans="1:25" ht="15.75" customHeight="1">
      <c r="A110" s="58"/>
      <c r="B110" s="8"/>
      <c r="C110" s="35"/>
      <c r="D110" s="35"/>
      <c r="E110" s="35"/>
      <c r="F110" s="47">
        <f t="shared" si="20"/>
        <v>0</v>
      </c>
      <c r="G110" s="40"/>
      <c r="H110" s="40"/>
      <c r="I110" s="40"/>
      <c r="J110" s="40"/>
      <c r="K110" s="40"/>
      <c r="L110" s="40"/>
      <c r="M110" s="47">
        <f t="shared" si="21"/>
        <v>0</v>
      </c>
      <c r="N110" s="47">
        <f t="shared" si="22"/>
        <v>0</v>
      </c>
      <c r="U110" s="48">
        <f t="shared" si="23"/>
        <v>0</v>
      </c>
      <c r="V110" s="47">
        <f t="shared" si="24"/>
        <v>0</v>
      </c>
      <c r="W110" s="47">
        <f t="shared" si="25"/>
        <v>0</v>
      </c>
      <c r="X110" s="47"/>
      <c r="Y110" s="47"/>
    </row>
    <row r="111" spans="1:25" ht="15.75" customHeight="1">
      <c r="A111" s="224" t="s">
        <v>1200</v>
      </c>
      <c r="B111" s="222" t="s">
        <v>911</v>
      </c>
      <c r="C111" s="35"/>
      <c r="D111" s="35"/>
      <c r="E111" s="35"/>
      <c r="F111" s="47">
        <f t="shared" si="20"/>
        <v>0</v>
      </c>
      <c r="G111" s="40"/>
      <c r="H111" s="40"/>
      <c r="I111" s="40"/>
      <c r="J111" s="40"/>
      <c r="K111" s="40"/>
      <c r="L111" s="40"/>
      <c r="M111" s="47">
        <f t="shared" si="21"/>
        <v>0</v>
      </c>
      <c r="N111" s="47">
        <f t="shared" si="22"/>
        <v>0</v>
      </c>
      <c r="U111" s="48">
        <f t="shared" si="23"/>
        <v>0</v>
      </c>
      <c r="V111" s="47">
        <f t="shared" si="24"/>
        <v>0</v>
      </c>
      <c r="W111" s="47">
        <f t="shared" si="25"/>
        <v>0</v>
      </c>
      <c r="X111" s="52">
        <f>SUM(N112:N120)</f>
        <v>311576.3</v>
      </c>
      <c r="Y111" s="52">
        <f>SUM(W112:W120)</f>
        <v>379494.644</v>
      </c>
    </row>
    <row r="112" spans="1:25" ht="15.75" customHeight="1">
      <c r="A112" s="58"/>
      <c r="B112" s="227" t="s">
        <v>1936</v>
      </c>
      <c r="C112" s="35">
        <v>35214</v>
      </c>
      <c r="D112" s="35"/>
      <c r="E112" s="35"/>
      <c r="F112" s="47">
        <f t="shared" si="20"/>
        <v>35214</v>
      </c>
      <c r="G112" s="40">
        <v>72</v>
      </c>
      <c r="H112" s="40"/>
      <c r="I112" s="40">
        <v>96</v>
      </c>
      <c r="J112" s="40">
        <v>608</v>
      </c>
      <c r="K112" s="40"/>
      <c r="L112" s="40"/>
      <c r="M112" s="47">
        <f t="shared" si="21"/>
        <v>42154.8</v>
      </c>
      <c r="N112" s="47">
        <f t="shared" si="22"/>
        <v>77368.8</v>
      </c>
      <c r="O112">
        <v>2</v>
      </c>
      <c r="P112">
        <v>2</v>
      </c>
      <c r="Q112">
        <v>8</v>
      </c>
      <c r="R112">
        <v>4</v>
      </c>
      <c r="S112">
        <v>2</v>
      </c>
      <c r="T112">
        <v>2</v>
      </c>
      <c r="U112" s="48">
        <f t="shared" si="23"/>
        <v>0.22</v>
      </c>
      <c r="V112" s="47">
        <f t="shared" si="24"/>
        <v>17021.136000000002</v>
      </c>
      <c r="W112" s="47">
        <f t="shared" si="25"/>
        <v>94389.936</v>
      </c>
      <c r="X112" s="47"/>
      <c r="Y112" s="47"/>
    </row>
    <row r="113" spans="1:25" ht="15.75" customHeight="1">
      <c r="A113" s="58"/>
      <c r="B113" s="227" t="s">
        <v>1937</v>
      </c>
      <c r="C113" s="35">
        <v>40000</v>
      </c>
      <c r="D113" s="35"/>
      <c r="E113" s="35"/>
      <c r="F113" s="47">
        <f t="shared" si="20"/>
        <v>40000</v>
      </c>
      <c r="G113" s="40"/>
      <c r="H113" s="40"/>
      <c r="I113" s="40"/>
      <c r="J113" s="40"/>
      <c r="K113" s="40"/>
      <c r="L113" s="40"/>
      <c r="M113" s="47">
        <f t="shared" si="21"/>
        <v>0</v>
      </c>
      <c r="N113" s="47">
        <f t="shared" si="22"/>
        <v>40000</v>
      </c>
      <c r="O113">
        <v>2</v>
      </c>
      <c r="P113">
        <v>2</v>
      </c>
      <c r="Q113">
        <v>8</v>
      </c>
      <c r="R113">
        <v>4</v>
      </c>
      <c r="S113">
        <v>2</v>
      </c>
      <c r="T113">
        <v>2</v>
      </c>
      <c r="U113" s="48">
        <f t="shared" si="23"/>
        <v>0.22</v>
      </c>
      <c r="V113" s="47">
        <f t="shared" si="24"/>
        <v>8800</v>
      </c>
      <c r="W113" s="47">
        <f t="shared" si="25"/>
        <v>48800</v>
      </c>
      <c r="X113" s="47"/>
      <c r="Y113" s="47"/>
    </row>
    <row r="114" spans="1:26" ht="15.75" customHeight="1">
      <c r="A114" s="58"/>
      <c r="B114" s="227" t="s">
        <v>1430</v>
      </c>
      <c r="C114" s="35"/>
      <c r="D114" s="35">
        <v>35000</v>
      </c>
      <c r="E114" s="35"/>
      <c r="F114" s="47">
        <f t="shared" si="20"/>
        <v>35000</v>
      </c>
      <c r="G114" s="40">
        <v>24</v>
      </c>
      <c r="H114" s="40"/>
      <c r="I114" s="40"/>
      <c r="J114" s="40"/>
      <c r="K114" s="40">
        <v>40</v>
      </c>
      <c r="L114" s="40"/>
      <c r="M114" s="47">
        <f>$G$3*G114+$H$3*H114+$I$3*I114+$J$3*J114+$K$3*K114+$L$3*L114</f>
        <v>4293.6</v>
      </c>
      <c r="N114" s="47">
        <f>M114+F114</f>
        <v>39293.6</v>
      </c>
      <c r="O114">
        <v>1</v>
      </c>
      <c r="P114">
        <v>2</v>
      </c>
      <c r="Q114">
        <v>0</v>
      </c>
      <c r="R114">
        <v>4</v>
      </c>
      <c r="S114">
        <v>2</v>
      </c>
      <c r="T114">
        <v>4</v>
      </c>
      <c r="U114" s="48">
        <f>((O114*P114)+Q114+(R114*S114)+T114)/100</f>
        <v>0.14</v>
      </c>
      <c r="V114" s="47">
        <f>+(F114+M114)*U114</f>
        <v>5501.104</v>
      </c>
      <c r="W114" s="47">
        <f>+F114+M114+V114</f>
        <v>44794.704</v>
      </c>
      <c r="X114" s="47"/>
      <c r="Y114" s="47"/>
      <c r="Z114" t="s">
        <v>1452</v>
      </c>
    </row>
    <row r="115" spans="1:25" ht="15.75" customHeight="1">
      <c r="A115" s="58"/>
      <c r="B115" s="8"/>
      <c r="C115" s="35"/>
      <c r="D115" s="35"/>
      <c r="E115" s="35"/>
      <c r="F115" s="47"/>
      <c r="G115" s="40"/>
      <c r="H115" s="40"/>
      <c r="I115" s="40"/>
      <c r="J115" s="40"/>
      <c r="K115" s="40"/>
      <c r="L115" s="40"/>
      <c r="M115" s="47"/>
      <c r="N115" s="47"/>
      <c r="U115" s="48"/>
      <c r="V115" s="47"/>
      <c r="W115" s="47"/>
      <c r="X115" s="47"/>
      <c r="Y115" s="47"/>
    </row>
    <row r="116" spans="1:25" ht="15.75" customHeight="1">
      <c r="A116" s="11"/>
      <c r="B116" s="227" t="s">
        <v>641</v>
      </c>
      <c r="C116" s="35"/>
      <c r="D116" s="35"/>
      <c r="E116" s="35"/>
      <c r="F116" s="47">
        <f aca="true" t="shared" si="26" ref="F116:F121">SUM(C116:E116)</f>
        <v>0</v>
      </c>
      <c r="G116" s="40"/>
      <c r="H116" s="40"/>
      <c r="I116" s="40"/>
      <c r="J116" s="40"/>
      <c r="K116" s="40"/>
      <c r="L116" s="40"/>
      <c r="M116" s="47">
        <f aca="true" t="shared" si="27" ref="M116:M121">$G$3*G116+$H$3*H116+$I$3*I116+$J$3*J116+$K$3*K116+$L$3*L116</f>
        <v>0</v>
      </c>
      <c r="N116" s="47">
        <f>M116+F116</f>
        <v>0</v>
      </c>
      <c r="U116" s="48">
        <f aca="true" t="shared" si="28" ref="U116:U121">((O116*P116)+Q116+(R116*S116)+T116)/100</f>
        <v>0</v>
      </c>
      <c r="V116" s="47">
        <f aca="true" t="shared" si="29" ref="V116:V121">+(F116+M116)*U116</f>
        <v>0</v>
      </c>
      <c r="W116" s="47">
        <f aca="true" t="shared" si="30" ref="W116:W121">+F116+M116+V116</f>
        <v>0</v>
      </c>
      <c r="X116" s="47"/>
      <c r="Y116" s="47"/>
    </row>
    <row r="117" spans="1:26" ht="15.75" customHeight="1">
      <c r="A117" s="11"/>
      <c r="B117" s="73" t="s">
        <v>1593</v>
      </c>
      <c r="C117" s="67">
        <v>9300</v>
      </c>
      <c r="D117" s="67">
        <v>49180</v>
      </c>
      <c r="E117" s="35"/>
      <c r="F117" s="47">
        <f t="shared" si="26"/>
        <v>58480</v>
      </c>
      <c r="G117" s="40">
        <v>180</v>
      </c>
      <c r="H117" s="40"/>
      <c r="I117" s="40"/>
      <c r="J117" s="40">
        <v>230</v>
      </c>
      <c r="K117" s="40">
        <v>0</v>
      </c>
      <c r="L117" s="40"/>
      <c r="M117" s="47">
        <f t="shared" si="27"/>
        <v>24162</v>
      </c>
      <c r="N117" s="47">
        <f>M117+F117</f>
        <v>82642</v>
      </c>
      <c r="O117">
        <v>2</v>
      </c>
      <c r="P117">
        <v>2</v>
      </c>
      <c r="Q117">
        <v>8</v>
      </c>
      <c r="R117">
        <v>4</v>
      </c>
      <c r="S117">
        <v>1</v>
      </c>
      <c r="T117">
        <v>8</v>
      </c>
      <c r="U117" s="48">
        <f t="shared" si="28"/>
        <v>0.24</v>
      </c>
      <c r="V117" s="47">
        <f t="shared" si="29"/>
        <v>19834.079999999998</v>
      </c>
      <c r="W117" s="47">
        <f t="shared" si="30"/>
        <v>102476.08</v>
      </c>
      <c r="X117" s="47"/>
      <c r="Y117" s="47"/>
      <c r="Z117" t="s">
        <v>1597</v>
      </c>
    </row>
    <row r="118" spans="1:25" ht="15.75" customHeight="1">
      <c r="A118" s="11"/>
      <c r="B118" s="73" t="s">
        <v>1594</v>
      </c>
      <c r="C118" s="35"/>
      <c r="D118" s="35"/>
      <c r="E118" s="35"/>
      <c r="F118" s="47">
        <f t="shared" si="26"/>
        <v>0</v>
      </c>
      <c r="G118" s="40">
        <v>174</v>
      </c>
      <c r="H118" s="40"/>
      <c r="I118" s="40"/>
      <c r="J118" s="40"/>
      <c r="K118" s="40"/>
      <c r="L118" s="40"/>
      <c r="M118" s="47">
        <f t="shared" si="27"/>
        <v>11684.1</v>
      </c>
      <c r="N118" s="47">
        <f>M118+F118</f>
        <v>11684.1</v>
      </c>
      <c r="O118">
        <v>2</v>
      </c>
      <c r="P118">
        <v>2</v>
      </c>
      <c r="Q118">
        <v>15</v>
      </c>
      <c r="R118">
        <v>1</v>
      </c>
      <c r="S118">
        <v>1</v>
      </c>
      <c r="T118">
        <v>8</v>
      </c>
      <c r="U118" s="48">
        <f t="shared" si="28"/>
        <v>0.28</v>
      </c>
      <c r="V118" s="47">
        <f t="shared" si="29"/>
        <v>3271.5480000000002</v>
      </c>
      <c r="W118" s="47">
        <f t="shared" si="30"/>
        <v>14955.648000000001</v>
      </c>
      <c r="X118" s="47"/>
      <c r="Y118" s="47"/>
    </row>
    <row r="119" spans="1:26" ht="15.75" customHeight="1">
      <c r="A119" s="11"/>
      <c r="B119" s="73" t="s">
        <v>1595</v>
      </c>
      <c r="C119" s="35">
        <v>18000</v>
      </c>
      <c r="D119" s="35">
        <v>25000</v>
      </c>
      <c r="E119" s="35"/>
      <c r="F119" s="47">
        <f t="shared" si="26"/>
        <v>43000</v>
      </c>
      <c r="G119" s="40">
        <v>80</v>
      </c>
      <c r="H119" s="40"/>
      <c r="I119" s="40"/>
      <c r="J119" s="40">
        <v>110</v>
      </c>
      <c r="K119" s="40">
        <v>56</v>
      </c>
      <c r="L119" s="40"/>
      <c r="M119" s="47">
        <f t="shared" si="27"/>
        <v>14901.8</v>
      </c>
      <c r="N119" s="47">
        <f>M119+F119</f>
        <v>57901.8</v>
      </c>
      <c r="O119">
        <v>1</v>
      </c>
      <c r="P119">
        <v>2</v>
      </c>
      <c r="Q119">
        <v>8</v>
      </c>
      <c r="R119">
        <v>4</v>
      </c>
      <c r="S119">
        <v>1</v>
      </c>
      <c r="T119">
        <v>8</v>
      </c>
      <c r="U119" s="48">
        <f t="shared" si="28"/>
        <v>0.22</v>
      </c>
      <c r="V119" s="47">
        <f t="shared" si="29"/>
        <v>12738.396</v>
      </c>
      <c r="W119" s="47">
        <f t="shared" si="30"/>
        <v>70640.196</v>
      </c>
      <c r="X119" s="47"/>
      <c r="Y119" s="47"/>
      <c r="Z119" t="s">
        <v>1598</v>
      </c>
    </row>
    <row r="120" spans="1:25" ht="15.75" customHeight="1">
      <c r="A120" s="11"/>
      <c r="B120" s="73" t="s">
        <v>1596</v>
      </c>
      <c r="C120" s="35"/>
      <c r="D120" s="35"/>
      <c r="E120" s="35"/>
      <c r="F120" s="47">
        <f t="shared" si="26"/>
        <v>0</v>
      </c>
      <c r="G120" s="40">
        <v>40</v>
      </c>
      <c r="H120" s="40"/>
      <c r="I120" s="40"/>
      <c r="J120" s="40"/>
      <c r="K120" s="40"/>
      <c r="L120" s="40"/>
      <c r="M120" s="47">
        <f t="shared" si="27"/>
        <v>2686</v>
      </c>
      <c r="N120" s="47">
        <f>M120+F120</f>
        <v>2686</v>
      </c>
      <c r="O120">
        <v>2</v>
      </c>
      <c r="P120">
        <v>2</v>
      </c>
      <c r="Q120">
        <v>15</v>
      </c>
      <c r="R120">
        <v>1</v>
      </c>
      <c r="S120">
        <v>1</v>
      </c>
      <c r="T120">
        <v>8</v>
      </c>
      <c r="U120" s="48">
        <f t="shared" si="28"/>
        <v>0.28</v>
      </c>
      <c r="V120" s="47">
        <f t="shared" si="29"/>
        <v>752.08</v>
      </c>
      <c r="W120" s="47">
        <f t="shared" si="30"/>
        <v>3438.08</v>
      </c>
      <c r="X120" s="47"/>
      <c r="Y120" s="47"/>
    </row>
    <row r="121" spans="1:25" ht="15.75" customHeight="1">
      <c r="A121" s="219"/>
      <c r="B121" s="8"/>
      <c r="C121" s="35"/>
      <c r="D121" s="35"/>
      <c r="E121" s="35"/>
      <c r="F121" s="47">
        <f t="shared" si="26"/>
        <v>0</v>
      </c>
      <c r="G121" s="40"/>
      <c r="H121" s="40"/>
      <c r="I121" s="40"/>
      <c r="J121" s="40"/>
      <c r="K121" s="40"/>
      <c r="L121" s="40"/>
      <c r="M121" s="47">
        <f t="shared" si="27"/>
        <v>0</v>
      </c>
      <c r="N121" s="47"/>
      <c r="U121" s="48">
        <f t="shared" si="28"/>
        <v>0</v>
      </c>
      <c r="V121" s="47">
        <f t="shared" si="29"/>
        <v>0</v>
      </c>
      <c r="W121" s="47">
        <f t="shared" si="30"/>
        <v>0</v>
      </c>
      <c r="X121" s="47"/>
      <c r="Y121" s="47"/>
    </row>
    <row r="122" spans="1:25" ht="15.75" customHeight="1">
      <c r="A122" s="232" t="s">
        <v>1291</v>
      </c>
      <c r="B122" s="8" t="s">
        <v>582</v>
      </c>
      <c r="C122" s="35"/>
      <c r="D122" s="35"/>
      <c r="E122" s="35"/>
      <c r="F122" s="47">
        <f aca="true" t="shared" si="31" ref="F122:F135">SUM(C122:E122)</f>
        <v>0</v>
      </c>
      <c r="G122" s="40"/>
      <c r="H122" s="40"/>
      <c r="I122" s="40"/>
      <c r="J122" s="40"/>
      <c r="K122" s="40"/>
      <c r="L122" s="40"/>
      <c r="M122" s="47">
        <f aca="true" t="shared" si="32" ref="M122:M140">$G$3*G122+$H$3*H122+$I$3*I122+$J$3*J122+$K$3*K122+$L$3*L122</f>
        <v>0</v>
      </c>
      <c r="N122" s="47">
        <f>M122+F122</f>
        <v>0</v>
      </c>
      <c r="U122" s="48">
        <f aca="true" t="shared" si="33" ref="U122:U139">((O122*P122)+Q122+(R122*S122)+T122)/100</f>
        <v>0</v>
      </c>
      <c r="V122" s="47">
        <f aca="true" t="shared" si="34" ref="V122:V134">+(F122+M122)*U122</f>
        <v>0</v>
      </c>
      <c r="W122" s="47">
        <f aca="true" t="shared" si="35" ref="W122:W134">+F122+M122+V122</f>
        <v>0</v>
      </c>
      <c r="X122" s="52">
        <f>SUM(N123:N165)</f>
        <v>227551.6</v>
      </c>
      <c r="Y122" s="52">
        <f>SUM(W123:W165)</f>
        <v>267224.62</v>
      </c>
    </row>
    <row r="123" spans="1:25" ht="15.75" customHeight="1">
      <c r="A123" s="219"/>
      <c r="B123" s="227" t="s">
        <v>835</v>
      </c>
      <c r="C123" s="35"/>
      <c r="D123" s="35"/>
      <c r="E123" s="35"/>
      <c r="F123" s="47">
        <f t="shared" si="31"/>
        <v>0</v>
      </c>
      <c r="G123" s="40">
        <v>40</v>
      </c>
      <c r="H123" s="40"/>
      <c r="I123" s="40"/>
      <c r="J123" s="40"/>
      <c r="K123" s="40"/>
      <c r="L123" s="40"/>
      <c r="M123" s="47">
        <f t="shared" si="32"/>
        <v>2686</v>
      </c>
      <c r="N123" s="47">
        <f>M123+F123</f>
        <v>2686</v>
      </c>
      <c r="O123">
        <v>2</v>
      </c>
      <c r="P123">
        <v>2</v>
      </c>
      <c r="Q123">
        <v>3</v>
      </c>
      <c r="R123">
        <v>1</v>
      </c>
      <c r="S123">
        <v>1</v>
      </c>
      <c r="T123">
        <v>2</v>
      </c>
      <c r="U123" s="48">
        <f t="shared" si="33"/>
        <v>0.1</v>
      </c>
      <c r="V123" s="47">
        <f t="shared" si="34"/>
        <v>268.6</v>
      </c>
      <c r="W123" s="47">
        <f t="shared" si="35"/>
        <v>2954.6</v>
      </c>
      <c r="X123" s="47"/>
      <c r="Y123" s="47"/>
    </row>
    <row r="124" spans="1:25" ht="15.75" customHeight="1">
      <c r="A124" s="219"/>
      <c r="B124" s="227" t="s">
        <v>836</v>
      </c>
      <c r="C124" s="35"/>
      <c r="D124" s="35"/>
      <c r="E124" s="35"/>
      <c r="F124" s="47">
        <f t="shared" si="31"/>
        <v>0</v>
      </c>
      <c r="G124" s="40"/>
      <c r="H124" s="40"/>
      <c r="I124" s="40"/>
      <c r="J124" s="40">
        <v>600</v>
      </c>
      <c r="K124" s="40"/>
      <c r="L124" s="40"/>
      <c r="M124" s="47">
        <f t="shared" si="32"/>
        <v>31500</v>
      </c>
      <c r="N124" s="47">
        <f>M124+F124</f>
        <v>31500</v>
      </c>
      <c r="O124">
        <v>2</v>
      </c>
      <c r="P124">
        <v>2</v>
      </c>
      <c r="Q124">
        <v>3</v>
      </c>
      <c r="R124">
        <v>1</v>
      </c>
      <c r="S124">
        <v>1</v>
      </c>
      <c r="T124">
        <v>2</v>
      </c>
      <c r="U124" s="48">
        <f t="shared" si="33"/>
        <v>0.1</v>
      </c>
      <c r="V124" s="47">
        <f t="shared" si="34"/>
        <v>3150</v>
      </c>
      <c r="W124" s="47">
        <f t="shared" si="35"/>
        <v>34650</v>
      </c>
      <c r="X124" s="47"/>
      <c r="Y124" s="47"/>
    </row>
    <row r="125" spans="1:25" ht="15.75" customHeight="1">
      <c r="A125" s="219"/>
      <c r="B125" s="8"/>
      <c r="C125" s="35"/>
      <c r="D125" s="35"/>
      <c r="E125" s="35"/>
      <c r="F125" s="47">
        <f t="shared" si="31"/>
        <v>0</v>
      </c>
      <c r="G125" s="40"/>
      <c r="H125" s="40"/>
      <c r="I125" s="40"/>
      <c r="J125" s="40"/>
      <c r="K125" s="40"/>
      <c r="L125" s="40"/>
      <c r="M125" s="47">
        <f t="shared" si="32"/>
        <v>0</v>
      </c>
      <c r="N125" s="47"/>
      <c r="U125" s="48">
        <f t="shared" si="33"/>
        <v>0</v>
      </c>
      <c r="V125" s="47">
        <f t="shared" si="34"/>
        <v>0</v>
      </c>
      <c r="W125" s="47">
        <f t="shared" si="35"/>
        <v>0</v>
      </c>
      <c r="X125" s="47"/>
      <c r="Y125" s="47"/>
    </row>
    <row r="126" spans="1:26" ht="15.75" customHeight="1">
      <c r="A126" s="220" t="s">
        <v>1292</v>
      </c>
      <c r="B126" s="227" t="s">
        <v>548</v>
      </c>
      <c r="C126" s="35"/>
      <c r="D126" s="35"/>
      <c r="E126" s="35"/>
      <c r="F126" s="47">
        <f t="shared" si="31"/>
        <v>0</v>
      </c>
      <c r="G126" s="40"/>
      <c r="H126" s="40"/>
      <c r="I126" s="40"/>
      <c r="J126" s="40"/>
      <c r="K126" s="40"/>
      <c r="L126" s="40"/>
      <c r="M126" s="47">
        <f t="shared" si="32"/>
        <v>0</v>
      </c>
      <c r="N126" s="47"/>
      <c r="U126" s="48">
        <f t="shared" si="33"/>
        <v>0</v>
      </c>
      <c r="V126" s="47">
        <f t="shared" si="34"/>
        <v>0</v>
      </c>
      <c r="W126" s="47">
        <f t="shared" si="35"/>
        <v>0</v>
      </c>
      <c r="X126" s="47"/>
      <c r="Y126" s="47"/>
      <c r="Z126" t="s">
        <v>549</v>
      </c>
    </row>
    <row r="127" spans="1:25" ht="15.75" customHeight="1">
      <c r="A127" s="220"/>
      <c r="B127" s="73" t="s">
        <v>550</v>
      </c>
      <c r="C127" s="35">
        <v>0</v>
      </c>
      <c r="D127" s="35"/>
      <c r="E127" s="35"/>
      <c r="F127" s="47">
        <f t="shared" si="31"/>
        <v>0</v>
      </c>
      <c r="G127" s="40">
        <v>320</v>
      </c>
      <c r="H127" s="40"/>
      <c r="I127" s="40"/>
      <c r="J127" s="40"/>
      <c r="K127" s="40"/>
      <c r="L127" s="40"/>
      <c r="M127" s="47">
        <f t="shared" si="32"/>
        <v>21488</v>
      </c>
      <c r="N127" s="47">
        <f aca="true" t="shared" si="36" ref="N127:N132">M127+F127</f>
        <v>21488</v>
      </c>
      <c r="O127">
        <v>2</v>
      </c>
      <c r="P127">
        <v>2</v>
      </c>
      <c r="Q127">
        <v>3</v>
      </c>
      <c r="R127">
        <v>4</v>
      </c>
      <c r="S127">
        <v>2</v>
      </c>
      <c r="T127">
        <v>8</v>
      </c>
      <c r="U127" s="48">
        <f t="shared" si="33"/>
        <v>0.23</v>
      </c>
      <c r="V127" s="47">
        <f t="shared" si="34"/>
        <v>4942.24</v>
      </c>
      <c r="W127" s="47">
        <f t="shared" si="35"/>
        <v>26430.239999999998</v>
      </c>
      <c r="X127" s="47"/>
      <c r="Y127" s="47"/>
    </row>
    <row r="128" spans="1:25" ht="15.75" customHeight="1">
      <c r="A128" s="220"/>
      <c r="B128" s="73" t="s">
        <v>551</v>
      </c>
      <c r="C128" s="35">
        <v>8000</v>
      </c>
      <c r="D128" s="35"/>
      <c r="E128" s="35"/>
      <c r="F128" s="47">
        <f t="shared" si="31"/>
        <v>8000</v>
      </c>
      <c r="G128" s="40">
        <v>32</v>
      </c>
      <c r="H128" s="40"/>
      <c r="I128" s="40">
        <v>40</v>
      </c>
      <c r="J128" s="40">
        <v>240</v>
      </c>
      <c r="K128" s="40">
        <v>16</v>
      </c>
      <c r="L128" s="40"/>
      <c r="M128" s="47">
        <f t="shared" si="32"/>
        <v>18071.6</v>
      </c>
      <c r="N128" s="47">
        <f t="shared" si="36"/>
        <v>26071.6</v>
      </c>
      <c r="O128">
        <v>2</v>
      </c>
      <c r="P128">
        <v>2</v>
      </c>
      <c r="Q128">
        <v>3</v>
      </c>
      <c r="R128">
        <v>4</v>
      </c>
      <c r="S128">
        <v>2</v>
      </c>
      <c r="T128">
        <v>8</v>
      </c>
      <c r="U128" s="48">
        <f t="shared" si="33"/>
        <v>0.23</v>
      </c>
      <c r="V128" s="47">
        <f t="shared" si="34"/>
        <v>5996.468</v>
      </c>
      <c r="W128" s="47">
        <f t="shared" si="35"/>
        <v>32068.068</v>
      </c>
      <c r="X128" s="47"/>
      <c r="Y128" s="47"/>
    </row>
    <row r="129" spans="1:25" ht="15.75" customHeight="1">
      <c r="A129" s="220"/>
      <c r="B129" s="73" t="s">
        <v>698</v>
      </c>
      <c r="C129" s="35">
        <v>6300</v>
      </c>
      <c r="D129" s="35"/>
      <c r="E129" s="35"/>
      <c r="F129" s="47">
        <f t="shared" si="31"/>
        <v>6300</v>
      </c>
      <c r="G129" s="40">
        <v>16</v>
      </c>
      <c r="H129" s="40"/>
      <c r="I129" s="40">
        <v>0</v>
      </c>
      <c r="J129" s="40">
        <v>40</v>
      </c>
      <c r="K129" s="40">
        <v>0</v>
      </c>
      <c r="L129" s="40"/>
      <c r="M129" s="47">
        <f t="shared" si="32"/>
        <v>3174.4</v>
      </c>
      <c r="N129" s="47">
        <f t="shared" si="36"/>
        <v>9474.4</v>
      </c>
      <c r="O129">
        <v>2</v>
      </c>
      <c r="P129">
        <v>2</v>
      </c>
      <c r="Q129">
        <v>3</v>
      </c>
      <c r="R129">
        <v>4</v>
      </c>
      <c r="S129">
        <v>2</v>
      </c>
      <c r="T129">
        <v>4</v>
      </c>
      <c r="U129" s="48">
        <f t="shared" si="33"/>
        <v>0.19</v>
      </c>
      <c r="V129" s="47">
        <f t="shared" si="34"/>
        <v>1800.136</v>
      </c>
      <c r="W129" s="47">
        <f t="shared" si="35"/>
        <v>11274.536</v>
      </c>
      <c r="X129" s="47"/>
      <c r="Y129" s="47"/>
    </row>
    <row r="130" spans="1:25" ht="15.75" customHeight="1">
      <c r="A130" s="220"/>
      <c r="B130" s="73" t="s">
        <v>552</v>
      </c>
      <c r="C130" s="35">
        <v>8000</v>
      </c>
      <c r="D130" s="35"/>
      <c r="E130" s="35"/>
      <c r="F130" s="47">
        <f t="shared" si="31"/>
        <v>8000</v>
      </c>
      <c r="G130" s="40"/>
      <c r="H130" s="40"/>
      <c r="I130" s="40">
        <v>0</v>
      </c>
      <c r="J130" s="40">
        <v>40</v>
      </c>
      <c r="K130" s="40">
        <v>0</v>
      </c>
      <c r="L130" s="40"/>
      <c r="M130" s="47">
        <f t="shared" si="32"/>
        <v>2100</v>
      </c>
      <c r="N130" s="47">
        <f t="shared" si="36"/>
        <v>10100</v>
      </c>
      <c r="O130">
        <v>2</v>
      </c>
      <c r="P130">
        <v>2</v>
      </c>
      <c r="Q130">
        <v>3</v>
      </c>
      <c r="R130">
        <v>4</v>
      </c>
      <c r="S130">
        <v>2</v>
      </c>
      <c r="T130">
        <v>4</v>
      </c>
      <c r="U130" s="48">
        <f t="shared" si="33"/>
        <v>0.19</v>
      </c>
      <c r="V130" s="47">
        <f t="shared" si="34"/>
        <v>1919</v>
      </c>
      <c r="W130" s="47">
        <f t="shared" si="35"/>
        <v>12019</v>
      </c>
      <c r="X130" s="47"/>
      <c r="Y130" s="47"/>
    </row>
    <row r="131" spans="1:25" ht="15.75" customHeight="1">
      <c r="A131" s="220"/>
      <c r="B131" s="73" t="s">
        <v>553</v>
      </c>
      <c r="C131" s="35">
        <v>4000</v>
      </c>
      <c r="D131" s="35"/>
      <c r="E131" s="35"/>
      <c r="F131" s="47">
        <f t="shared" si="31"/>
        <v>4000</v>
      </c>
      <c r="G131" s="40"/>
      <c r="H131" s="40"/>
      <c r="I131" s="40">
        <v>0</v>
      </c>
      <c r="J131" s="40">
        <v>40</v>
      </c>
      <c r="K131" s="40">
        <v>40</v>
      </c>
      <c r="L131" s="40"/>
      <c r="M131" s="47">
        <f t="shared" si="32"/>
        <v>4782</v>
      </c>
      <c r="N131" s="47">
        <f t="shared" si="36"/>
        <v>8782</v>
      </c>
      <c r="O131">
        <v>2</v>
      </c>
      <c r="P131">
        <v>2</v>
      </c>
      <c r="Q131">
        <v>3</v>
      </c>
      <c r="R131">
        <v>4</v>
      </c>
      <c r="S131">
        <v>2</v>
      </c>
      <c r="T131">
        <v>4</v>
      </c>
      <c r="U131" s="48">
        <f t="shared" si="33"/>
        <v>0.19</v>
      </c>
      <c r="V131" s="47">
        <f t="shared" si="34"/>
        <v>1668.58</v>
      </c>
      <c r="W131" s="47">
        <f t="shared" si="35"/>
        <v>10450.58</v>
      </c>
      <c r="X131" s="47"/>
      <c r="Y131" s="47"/>
    </row>
    <row r="132" spans="1:25" ht="15.75" customHeight="1">
      <c r="A132" s="220"/>
      <c r="B132" s="73" t="s">
        <v>554</v>
      </c>
      <c r="C132" s="35">
        <v>4800</v>
      </c>
      <c r="D132" s="35"/>
      <c r="E132" s="35"/>
      <c r="F132" s="47">
        <f t="shared" si="31"/>
        <v>4800</v>
      </c>
      <c r="G132" s="40">
        <v>16</v>
      </c>
      <c r="H132" s="40"/>
      <c r="I132" s="40">
        <v>0</v>
      </c>
      <c r="J132" s="40">
        <v>40</v>
      </c>
      <c r="K132" s="40">
        <v>0</v>
      </c>
      <c r="L132" s="40"/>
      <c r="M132" s="47">
        <f t="shared" si="32"/>
        <v>3174.4</v>
      </c>
      <c r="N132" s="47">
        <f t="shared" si="36"/>
        <v>7974.4</v>
      </c>
      <c r="O132">
        <v>2</v>
      </c>
      <c r="P132">
        <v>2</v>
      </c>
      <c r="Q132">
        <v>3</v>
      </c>
      <c r="R132">
        <v>4</v>
      </c>
      <c r="S132">
        <v>2</v>
      </c>
      <c r="T132">
        <v>4</v>
      </c>
      <c r="U132" s="48">
        <f t="shared" si="33"/>
        <v>0.19</v>
      </c>
      <c r="V132" s="47">
        <f t="shared" si="34"/>
        <v>1515.136</v>
      </c>
      <c r="W132" s="47">
        <f t="shared" si="35"/>
        <v>9489.536</v>
      </c>
      <c r="X132" s="47"/>
      <c r="Y132" s="47"/>
    </row>
    <row r="133" spans="1:25" ht="15.75" customHeight="1">
      <c r="A133" s="220"/>
      <c r="B133" s="8"/>
      <c r="C133" s="35"/>
      <c r="D133" s="35"/>
      <c r="E133" s="35"/>
      <c r="F133" s="47">
        <f t="shared" si="31"/>
        <v>0</v>
      </c>
      <c r="G133" s="40"/>
      <c r="H133" s="40"/>
      <c r="I133" s="40"/>
      <c r="J133" s="40"/>
      <c r="K133" s="40"/>
      <c r="L133" s="40"/>
      <c r="M133" s="47">
        <f t="shared" si="32"/>
        <v>0</v>
      </c>
      <c r="N133" s="47"/>
      <c r="U133" s="48">
        <f t="shared" si="33"/>
        <v>0</v>
      </c>
      <c r="V133" s="47">
        <f t="shared" si="34"/>
        <v>0</v>
      </c>
      <c r="W133" s="47">
        <f t="shared" si="35"/>
        <v>0</v>
      </c>
      <c r="X133" s="47"/>
      <c r="Y133" s="47"/>
    </row>
    <row r="134" spans="1:25" ht="15.75" customHeight="1">
      <c r="A134" s="220" t="s">
        <v>1293</v>
      </c>
      <c r="B134" s="227" t="s">
        <v>555</v>
      </c>
      <c r="C134" s="35"/>
      <c r="D134" s="35"/>
      <c r="E134" s="35"/>
      <c r="F134" s="47">
        <f t="shared" si="31"/>
        <v>0</v>
      </c>
      <c r="G134" s="40"/>
      <c r="H134" s="40"/>
      <c r="I134" s="40"/>
      <c r="J134" s="40"/>
      <c r="K134" s="40"/>
      <c r="L134" s="40"/>
      <c r="M134" s="47">
        <f t="shared" si="32"/>
        <v>0</v>
      </c>
      <c r="N134" s="47"/>
      <c r="U134" s="48">
        <f t="shared" si="33"/>
        <v>0</v>
      </c>
      <c r="V134" s="47">
        <f t="shared" si="34"/>
        <v>0</v>
      </c>
      <c r="W134" s="47">
        <f t="shared" si="35"/>
        <v>0</v>
      </c>
      <c r="X134" s="47"/>
      <c r="Y134" s="47"/>
    </row>
    <row r="135" spans="1:26" ht="15.75" customHeight="1">
      <c r="A135" s="220"/>
      <c r="B135" s="73" t="s">
        <v>700</v>
      </c>
      <c r="C135" s="35">
        <v>0</v>
      </c>
      <c r="D135" s="35"/>
      <c r="E135" s="35"/>
      <c r="F135" s="47">
        <f t="shared" si="31"/>
        <v>0</v>
      </c>
      <c r="G135" s="40">
        <v>0</v>
      </c>
      <c r="H135" s="40"/>
      <c r="I135" s="40"/>
      <c r="J135" s="40">
        <v>0</v>
      </c>
      <c r="K135" s="40">
        <v>0</v>
      </c>
      <c r="L135" s="40"/>
      <c r="M135" s="47">
        <f>$G$3*G135+$H$3*H135+$I$3*I135+$J$3*J135+$K$3*K135+$L$3*L135</f>
        <v>0</v>
      </c>
      <c r="N135" s="47">
        <f aca="true" t="shared" si="37" ref="N135:N140">M135+F135</f>
        <v>0</v>
      </c>
      <c r="O135">
        <v>2</v>
      </c>
      <c r="P135">
        <v>2</v>
      </c>
      <c r="Q135">
        <v>3</v>
      </c>
      <c r="R135">
        <v>4</v>
      </c>
      <c r="S135">
        <v>2</v>
      </c>
      <c r="T135">
        <v>4</v>
      </c>
      <c r="U135" s="48">
        <f t="shared" si="33"/>
        <v>0.19</v>
      </c>
      <c r="V135" s="47">
        <f aca="true" t="shared" si="38" ref="V135:V140">+(F135+M135)*U135</f>
        <v>0</v>
      </c>
      <c r="W135" s="47">
        <f aca="true" t="shared" si="39" ref="W135:W140">+F135+M135+V135</f>
        <v>0</v>
      </c>
      <c r="X135" s="47"/>
      <c r="Y135" s="47"/>
      <c r="Z135" t="s">
        <v>556</v>
      </c>
    </row>
    <row r="136" spans="1:25" ht="15.75" customHeight="1">
      <c r="A136" s="220"/>
      <c r="B136" s="73" t="s">
        <v>557</v>
      </c>
      <c r="C136" s="35">
        <v>1800</v>
      </c>
      <c r="D136" s="35"/>
      <c r="E136" s="35"/>
      <c r="F136" s="47"/>
      <c r="G136" s="40">
        <v>40</v>
      </c>
      <c r="H136" s="40"/>
      <c r="I136" s="40">
        <v>40</v>
      </c>
      <c r="J136" s="40">
        <v>240</v>
      </c>
      <c r="K136" s="40">
        <v>0</v>
      </c>
      <c r="L136" s="40"/>
      <c r="M136" s="47">
        <f t="shared" si="32"/>
        <v>17536</v>
      </c>
      <c r="N136" s="47">
        <f t="shared" si="37"/>
        <v>17536</v>
      </c>
      <c r="O136">
        <v>2</v>
      </c>
      <c r="P136" s="40">
        <v>2</v>
      </c>
      <c r="Q136">
        <v>3</v>
      </c>
      <c r="R136" s="40">
        <v>4</v>
      </c>
      <c r="S136" s="40">
        <v>1</v>
      </c>
      <c r="T136" s="40">
        <v>4</v>
      </c>
      <c r="U136" s="48">
        <f t="shared" si="33"/>
        <v>0.15</v>
      </c>
      <c r="V136" s="47">
        <f t="shared" si="38"/>
        <v>2630.4</v>
      </c>
      <c r="W136" s="47">
        <f t="shared" si="39"/>
        <v>20166.4</v>
      </c>
      <c r="X136" s="47"/>
      <c r="Y136" s="47"/>
    </row>
    <row r="137" spans="1:25" ht="15.75" customHeight="1">
      <c r="A137" s="220"/>
      <c r="B137" s="73" t="s">
        <v>558</v>
      </c>
      <c r="C137" s="35">
        <v>600</v>
      </c>
      <c r="D137" s="35"/>
      <c r="E137" s="35"/>
      <c r="F137" s="47">
        <f>SUM(C137:E137)</f>
        <v>600</v>
      </c>
      <c r="G137" s="40"/>
      <c r="H137" s="40"/>
      <c r="I137" s="40">
        <v>0</v>
      </c>
      <c r="J137" s="40">
        <v>24</v>
      </c>
      <c r="K137" s="40">
        <v>0</v>
      </c>
      <c r="L137" s="40"/>
      <c r="M137" s="47">
        <f t="shared" si="32"/>
        <v>1260</v>
      </c>
      <c r="N137" s="47">
        <f t="shared" si="37"/>
        <v>1860</v>
      </c>
      <c r="O137">
        <v>2</v>
      </c>
      <c r="P137" s="40">
        <v>2</v>
      </c>
      <c r="Q137">
        <v>3</v>
      </c>
      <c r="R137" s="40">
        <v>4</v>
      </c>
      <c r="S137" s="40">
        <v>1</v>
      </c>
      <c r="T137" s="40">
        <v>4</v>
      </c>
      <c r="U137" s="48">
        <f t="shared" si="33"/>
        <v>0.15</v>
      </c>
      <c r="V137" s="47">
        <f t="shared" si="38"/>
        <v>279</v>
      </c>
      <c r="W137" s="47">
        <f t="shared" si="39"/>
        <v>2139</v>
      </c>
      <c r="X137" s="47"/>
      <c r="Y137" s="47"/>
    </row>
    <row r="138" spans="1:25" ht="15.75" customHeight="1">
      <c r="A138" s="220"/>
      <c r="B138" s="73" t="s">
        <v>559</v>
      </c>
      <c r="C138" s="35">
        <v>240</v>
      </c>
      <c r="D138" s="35"/>
      <c r="E138" s="35"/>
      <c r="F138" s="47">
        <f>SUM(C138:E138)</f>
        <v>240</v>
      </c>
      <c r="G138" s="40"/>
      <c r="H138" s="40"/>
      <c r="I138" s="40">
        <v>0</v>
      </c>
      <c r="J138" s="40">
        <v>24</v>
      </c>
      <c r="K138" s="40">
        <v>0</v>
      </c>
      <c r="L138" s="40"/>
      <c r="M138" s="47">
        <f t="shared" si="32"/>
        <v>1260</v>
      </c>
      <c r="N138" s="47">
        <f t="shared" si="37"/>
        <v>1500</v>
      </c>
      <c r="O138">
        <v>2</v>
      </c>
      <c r="P138" s="40">
        <v>2</v>
      </c>
      <c r="Q138">
        <v>3</v>
      </c>
      <c r="R138" s="40">
        <v>4</v>
      </c>
      <c r="S138" s="40">
        <v>1</v>
      </c>
      <c r="T138" s="40">
        <v>4</v>
      </c>
      <c r="U138" s="48">
        <f t="shared" si="33"/>
        <v>0.15</v>
      </c>
      <c r="V138" s="47">
        <f t="shared" si="38"/>
        <v>225</v>
      </c>
      <c r="W138" s="47">
        <f t="shared" si="39"/>
        <v>1725</v>
      </c>
      <c r="X138" s="47"/>
      <c r="Y138" s="47"/>
    </row>
    <row r="139" spans="1:25" ht="15.75" customHeight="1">
      <c r="A139" s="220"/>
      <c r="B139" s="73" t="s">
        <v>560</v>
      </c>
      <c r="C139" s="35">
        <v>400</v>
      </c>
      <c r="D139" s="35"/>
      <c r="E139" s="35"/>
      <c r="F139" s="47">
        <f>SUM(C139:E139)</f>
        <v>400</v>
      </c>
      <c r="G139" s="40">
        <v>8</v>
      </c>
      <c r="H139" s="40"/>
      <c r="I139" s="40">
        <v>0</v>
      </c>
      <c r="J139" s="40">
        <v>40</v>
      </c>
      <c r="K139" s="40">
        <v>0</v>
      </c>
      <c r="L139" s="40">
        <v>0</v>
      </c>
      <c r="M139" s="47">
        <f t="shared" si="32"/>
        <v>2637.2</v>
      </c>
      <c r="N139" s="47">
        <f t="shared" si="37"/>
        <v>3037.2</v>
      </c>
      <c r="O139">
        <v>2</v>
      </c>
      <c r="P139" s="40">
        <v>2</v>
      </c>
      <c r="Q139">
        <v>3</v>
      </c>
      <c r="R139" s="40">
        <v>4</v>
      </c>
      <c r="S139" s="40">
        <v>1</v>
      </c>
      <c r="T139" s="40">
        <v>4</v>
      </c>
      <c r="U139" s="48">
        <f t="shared" si="33"/>
        <v>0.15</v>
      </c>
      <c r="V139" s="47">
        <f t="shared" si="38"/>
        <v>455.58</v>
      </c>
      <c r="W139" s="47">
        <f t="shared" si="39"/>
        <v>3492.7799999999997</v>
      </c>
      <c r="X139" s="47"/>
      <c r="Y139" s="47"/>
    </row>
    <row r="140" spans="1:25" ht="15.75" customHeight="1">
      <c r="A140" s="220"/>
      <c r="B140" s="73" t="s">
        <v>561</v>
      </c>
      <c r="C140" s="35">
        <v>9000</v>
      </c>
      <c r="D140" s="35"/>
      <c r="E140" s="35"/>
      <c r="F140" s="47">
        <f>SUM(C140:E140)</f>
        <v>9000</v>
      </c>
      <c r="G140" s="40"/>
      <c r="H140" s="40"/>
      <c r="I140" s="40"/>
      <c r="J140" s="40">
        <v>40</v>
      </c>
      <c r="K140" s="40">
        <v>40</v>
      </c>
      <c r="L140" s="40"/>
      <c r="M140" s="47">
        <f t="shared" si="32"/>
        <v>4782</v>
      </c>
      <c r="N140" s="47">
        <f t="shared" si="37"/>
        <v>13782</v>
      </c>
      <c r="O140">
        <v>2</v>
      </c>
      <c r="P140" s="40">
        <v>2</v>
      </c>
      <c r="Q140">
        <v>3</v>
      </c>
      <c r="R140" s="40">
        <v>4</v>
      </c>
      <c r="S140" s="40">
        <v>1</v>
      </c>
      <c r="T140" s="40">
        <v>4</v>
      </c>
      <c r="U140" s="48">
        <f>((O140*P140)+Q140+(R140*S140)+T140)/100</f>
        <v>0.15</v>
      </c>
      <c r="V140" s="47">
        <f t="shared" si="38"/>
        <v>2067.2999999999997</v>
      </c>
      <c r="W140" s="47">
        <f t="shared" si="39"/>
        <v>15849.3</v>
      </c>
      <c r="X140" s="47"/>
      <c r="Y140" s="47"/>
    </row>
    <row r="141" spans="1:25" ht="15.75" customHeight="1">
      <c r="A141" s="220"/>
      <c r="B141" s="225"/>
      <c r="C141" s="35"/>
      <c r="D141" s="35"/>
      <c r="E141" s="35"/>
      <c r="F141" s="47"/>
      <c r="G141" s="40"/>
      <c r="H141" s="40"/>
      <c r="I141" s="40"/>
      <c r="J141" s="40"/>
      <c r="K141" s="40"/>
      <c r="L141" s="40"/>
      <c r="M141" s="47"/>
      <c r="N141" s="47"/>
      <c r="U141" s="48"/>
      <c r="V141" s="47"/>
      <c r="W141" s="47"/>
      <c r="X141" s="47"/>
      <c r="Y141" s="47"/>
    </row>
    <row r="142" spans="1:25" ht="15.75" customHeight="1">
      <c r="A142" s="220" t="s">
        <v>1294</v>
      </c>
      <c r="B142" s="227" t="s">
        <v>650</v>
      </c>
      <c r="C142" s="35"/>
      <c r="D142" s="35"/>
      <c r="E142" s="35"/>
      <c r="F142" s="47">
        <f aca="true" t="shared" si="40" ref="F142:F149">SUM(C142:E142)</f>
        <v>0</v>
      </c>
      <c r="G142" s="40"/>
      <c r="H142" s="40"/>
      <c r="I142" s="40"/>
      <c r="J142" s="40">
        <v>80</v>
      </c>
      <c r="K142" s="40">
        <v>40</v>
      </c>
      <c r="L142" s="40">
        <v>0</v>
      </c>
      <c r="M142" s="47">
        <f aca="true" t="shared" si="41" ref="M142:M149">$G$3*G142+$H$3*H142+$I$3*I142+$J$3*J142+$K$3*K142+$L$3*L142</f>
        <v>6882</v>
      </c>
      <c r="N142" s="47">
        <f>M142+F142</f>
        <v>6882</v>
      </c>
      <c r="O142">
        <v>1</v>
      </c>
      <c r="P142">
        <v>2</v>
      </c>
      <c r="Q142">
        <v>3</v>
      </c>
      <c r="R142">
        <v>4</v>
      </c>
      <c r="S142">
        <v>1</v>
      </c>
      <c r="T142">
        <v>4</v>
      </c>
      <c r="U142" s="48">
        <f>((O142*P142)+Q142+(R142*S142)+T142)/100</f>
        <v>0.13</v>
      </c>
      <c r="V142" s="47">
        <f>+(F142+M142)*U142</f>
        <v>894.6600000000001</v>
      </c>
      <c r="W142" s="47">
        <f aca="true" t="shared" si="42" ref="W142:W149">+F142+M142+V142</f>
        <v>7776.66</v>
      </c>
      <c r="X142" s="47"/>
      <c r="Y142" s="47"/>
    </row>
    <row r="143" spans="1:25" ht="15.75" customHeight="1">
      <c r="A143" s="220"/>
      <c r="B143" s="73" t="s">
        <v>562</v>
      </c>
      <c r="C143" s="35">
        <v>1500</v>
      </c>
      <c r="D143" s="35"/>
      <c r="E143" s="35"/>
      <c r="F143" s="47">
        <f t="shared" si="40"/>
        <v>1500</v>
      </c>
      <c r="G143" s="40">
        <v>0</v>
      </c>
      <c r="H143" s="40"/>
      <c r="I143" s="40"/>
      <c r="J143" s="40">
        <v>0</v>
      </c>
      <c r="K143" s="40"/>
      <c r="L143" s="40">
        <v>0</v>
      </c>
      <c r="M143" s="47">
        <f t="shared" si="41"/>
        <v>0</v>
      </c>
      <c r="N143" s="47">
        <f aca="true" t="shared" si="43" ref="N143:N148">M143+F143</f>
        <v>1500</v>
      </c>
      <c r="O143">
        <v>1</v>
      </c>
      <c r="P143">
        <v>2</v>
      </c>
      <c r="Q143">
        <v>3</v>
      </c>
      <c r="R143">
        <v>4</v>
      </c>
      <c r="S143">
        <v>1</v>
      </c>
      <c r="T143">
        <v>4</v>
      </c>
      <c r="U143" s="48">
        <f aca="true" t="shared" si="44" ref="U143:U149">((O143*P143)+Q143+(R143*S143)+T143)/100</f>
        <v>0.13</v>
      </c>
      <c r="V143" s="47">
        <f aca="true" t="shared" si="45" ref="V143:V149">+(F143+M143)*U143</f>
        <v>195</v>
      </c>
      <c r="W143" s="47">
        <f t="shared" si="42"/>
        <v>1695</v>
      </c>
      <c r="X143" s="47"/>
      <c r="Y143" s="47"/>
    </row>
    <row r="144" spans="1:25" ht="15.75" customHeight="1">
      <c r="A144" s="220"/>
      <c r="B144" s="73" t="s">
        <v>563</v>
      </c>
      <c r="C144" s="35">
        <v>1500</v>
      </c>
      <c r="D144" s="35"/>
      <c r="E144" s="35"/>
      <c r="F144" s="47">
        <f t="shared" si="40"/>
        <v>1500</v>
      </c>
      <c r="G144" s="40">
        <v>0</v>
      </c>
      <c r="H144" s="40"/>
      <c r="I144" s="40">
        <v>0</v>
      </c>
      <c r="J144" s="40">
        <v>0</v>
      </c>
      <c r="K144" s="40"/>
      <c r="L144" s="40"/>
      <c r="M144" s="47">
        <f t="shared" si="41"/>
        <v>0</v>
      </c>
      <c r="N144" s="47">
        <f t="shared" si="43"/>
        <v>1500</v>
      </c>
      <c r="O144">
        <v>1</v>
      </c>
      <c r="P144" s="40">
        <v>2</v>
      </c>
      <c r="Q144">
        <v>3</v>
      </c>
      <c r="R144" s="40">
        <v>4</v>
      </c>
      <c r="S144" s="40">
        <v>1</v>
      </c>
      <c r="T144" s="40">
        <v>4</v>
      </c>
      <c r="U144" s="48">
        <f t="shared" si="44"/>
        <v>0.13</v>
      </c>
      <c r="V144" s="47">
        <f t="shared" si="45"/>
        <v>195</v>
      </c>
      <c r="W144" s="47">
        <f t="shared" si="42"/>
        <v>1695</v>
      </c>
      <c r="X144" s="47"/>
      <c r="Y144" s="47"/>
    </row>
    <row r="145" spans="1:25" ht="15.75" customHeight="1">
      <c r="A145" s="220"/>
      <c r="B145" s="73" t="s">
        <v>564</v>
      </c>
      <c r="C145" s="35">
        <v>1350</v>
      </c>
      <c r="D145" s="35"/>
      <c r="E145" s="35"/>
      <c r="F145" s="47">
        <f t="shared" si="40"/>
        <v>1350</v>
      </c>
      <c r="G145" s="40">
        <v>0</v>
      </c>
      <c r="H145" s="40"/>
      <c r="I145" s="40"/>
      <c r="J145" s="40">
        <v>0</v>
      </c>
      <c r="K145" s="40"/>
      <c r="L145" s="40">
        <v>0</v>
      </c>
      <c r="M145" s="47">
        <f t="shared" si="41"/>
        <v>0</v>
      </c>
      <c r="N145" s="47">
        <f t="shared" si="43"/>
        <v>1350</v>
      </c>
      <c r="O145">
        <v>1</v>
      </c>
      <c r="P145" s="40">
        <v>2</v>
      </c>
      <c r="Q145">
        <v>3</v>
      </c>
      <c r="R145" s="40">
        <v>4</v>
      </c>
      <c r="S145" s="40">
        <v>1</v>
      </c>
      <c r="T145" s="40">
        <v>4</v>
      </c>
      <c r="U145" s="48">
        <f t="shared" si="44"/>
        <v>0.13</v>
      </c>
      <c r="V145" s="47">
        <f t="shared" si="45"/>
        <v>175.5</v>
      </c>
      <c r="W145" s="47">
        <f t="shared" si="42"/>
        <v>1525.5</v>
      </c>
      <c r="X145" s="47"/>
      <c r="Y145" s="47"/>
    </row>
    <row r="146" spans="1:25" ht="15.75" customHeight="1">
      <c r="A146" s="220"/>
      <c r="B146" s="73" t="s">
        <v>565</v>
      </c>
      <c r="C146" s="35">
        <v>1050</v>
      </c>
      <c r="D146" s="35"/>
      <c r="E146" s="35"/>
      <c r="F146" s="47">
        <f t="shared" si="40"/>
        <v>1050</v>
      </c>
      <c r="G146" s="40">
        <v>0</v>
      </c>
      <c r="H146" s="40"/>
      <c r="I146" s="40">
        <v>0</v>
      </c>
      <c r="J146" s="40"/>
      <c r="K146" s="40"/>
      <c r="L146" s="40"/>
      <c r="M146" s="47">
        <f t="shared" si="41"/>
        <v>0</v>
      </c>
      <c r="N146" s="47">
        <f t="shared" si="43"/>
        <v>1050</v>
      </c>
      <c r="O146">
        <v>1</v>
      </c>
      <c r="P146" s="40">
        <v>2</v>
      </c>
      <c r="Q146">
        <v>3</v>
      </c>
      <c r="R146" s="40">
        <v>4</v>
      </c>
      <c r="S146" s="40">
        <v>1</v>
      </c>
      <c r="T146" s="40">
        <v>4</v>
      </c>
      <c r="U146" s="48">
        <f t="shared" si="44"/>
        <v>0.13</v>
      </c>
      <c r="V146" s="47">
        <f t="shared" si="45"/>
        <v>136.5</v>
      </c>
      <c r="W146" s="47">
        <f t="shared" si="42"/>
        <v>1186.5</v>
      </c>
      <c r="X146" s="47"/>
      <c r="Y146" s="47"/>
    </row>
    <row r="147" spans="1:25" ht="15.75" customHeight="1">
      <c r="A147" s="220"/>
      <c r="B147" s="73" t="s">
        <v>566</v>
      </c>
      <c r="C147" s="35">
        <v>750</v>
      </c>
      <c r="D147" s="35"/>
      <c r="E147" s="35"/>
      <c r="F147" s="47">
        <f>SUM(C147:E147)</f>
        <v>750</v>
      </c>
      <c r="G147" s="40">
        <v>0</v>
      </c>
      <c r="H147" s="40"/>
      <c r="I147" s="40">
        <v>0</v>
      </c>
      <c r="J147" s="40"/>
      <c r="K147" s="40"/>
      <c r="L147" s="40"/>
      <c r="M147" s="47">
        <f>$G$3*G147+$H$3*H147+$I$3*I147+$J$3*J147+$K$3*K147+$L$3*L147</f>
        <v>0</v>
      </c>
      <c r="N147" s="47">
        <f t="shared" si="43"/>
        <v>750</v>
      </c>
      <c r="O147">
        <v>1</v>
      </c>
      <c r="P147" s="40">
        <v>2</v>
      </c>
      <c r="Q147">
        <v>3</v>
      </c>
      <c r="R147" s="40">
        <v>4</v>
      </c>
      <c r="S147" s="40">
        <v>1</v>
      </c>
      <c r="T147" s="40">
        <v>4</v>
      </c>
      <c r="U147" s="48">
        <f>((O147*P147)+Q147+(R147*S147)+T147)/100</f>
        <v>0.13</v>
      </c>
      <c r="V147" s="47">
        <f>+(F147+M147)*U147</f>
        <v>97.5</v>
      </c>
      <c r="W147" s="47">
        <f>+F147+M147+V147</f>
        <v>847.5</v>
      </c>
      <c r="X147" s="47"/>
      <c r="Y147" s="47"/>
    </row>
    <row r="148" spans="1:25" ht="15.75" customHeight="1">
      <c r="A148" s="220"/>
      <c r="B148" s="73" t="s">
        <v>567</v>
      </c>
      <c r="C148" s="35">
        <v>450</v>
      </c>
      <c r="D148" s="35"/>
      <c r="E148" s="35"/>
      <c r="F148" s="47">
        <f>SUM(C148:E148)</f>
        <v>450</v>
      </c>
      <c r="G148" s="40">
        <v>0</v>
      </c>
      <c r="H148" s="40"/>
      <c r="I148" s="40">
        <v>0</v>
      </c>
      <c r="J148" s="40"/>
      <c r="K148" s="40"/>
      <c r="L148" s="40"/>
      <c r="M148" s="47">
        <f>$G$3*G148+$H$3*H148+$I$3*I148+$J$3*J148+$K$3*K148+$L$3*L148</f>
        <v>0</v>
      </c>
      <c r="N148" s="47">
        <f t="shared" si="43"/>
        <v>450</v>
      </c>
      <c r="O148">
        <v>1</v>
      </c>
      <c r="P148" s="40">
        <v>2</v>
      </c>
      <c r="Q148">
        <v>3</v>
      </c>
      <c r="R148" s="40">
        <v>4</v>
      </c>
      <c r="S148" s="40">
        <v>1</v>
      </c>
      <c r="T148" s="40">
        <v>4</v>
      </c>
      <c r="U148" s="48">
        <f>((O148*P148)+Q148+(R148*S148)+T148)/100</f>
        <v>0.13</v>
      </c>
      <c r="V148" s="47">
        <f>+(F148+M148)*U148</f>
        <v>58.5</v>
      </c>
      <c r="W148" s="47">
        <f>+F148+M148+V148</f>
        <v>508.5</v>
      </c>
      <c r="X148" s="47"/>
      <c r="Y148" s="47"/>
    </row>
    <row r="149" spans="1:25" ht="15.75" customHeight="1">
      <c r="A149" s="220"/>
      <c r="B149" s="225"/>
      <c r="C149" s="35"/>
      <c r="D149" s="35"/>
      <c r="E149" s="35"/>
      <c r="F149" s="47">
        <f t="shared" si="40"/>
        <v>0</v>
      </c>
      <c r="G149" s="40"/>
      <c r="H149" s="40"/>
      <c r="I149" s="40"/>
      <c r="J149" s="40"/>
      <c r="K149" s="40"/>
      <c r="L149" s="40"/>
      <c r="M149" s="47">
        <f t="shared" si="41"/>
        <v>0</v>
      </c>
      <c r="N149" s="47"/>
      <c r="U149" s="48">
        <f t="shared" si="44"/>
        <v>0</v>
      </c>
      <c r="V149" s="47">
        <f t="shared" si="45"/>
        <v>0</v>
      </c>
      <c r="W149" s="47">
        <f t="shared" si="42"/>
        <v>0</v>
      </c>
      <c r="X149" s="47"/>
      <c r="Y149" s="47"/>
    </row>
    <row r="150" spans="1:25" ht="15.75" customHeight="1">
      <c r="A150" s="220" t="s">
        <v>1295</v>
      </c>
      <c r="B150" s="227" t="s">
        <v>568</v>
      </c>
      <c r="C150" s="35"/>
      <c r="D150" s="35"/>
      <c r="E150" s="35"/>
      <c r="F150" s="47"/>
      <c r="G150" s="40"/>
      <c r="H150" s="40"/>
      <c r="I150" s="40"/>
      <c r="J150" s="40"/>
      <c r="K150" s="40"/>
      <c r="L150" s="40"/>
      <c r="M150" s="47"/>
      <c r="N150" s="47"/>
      <c r="U150" s="48"/>
      <c r="V150" s="47"/>
      <c r="W150" s="47"/>
      <c r="X150" s="47"/>
      <c r="Y150" s="47"/>
    </row>
    <row r="151" spans="1:25" ht="15.75" customHeight="1">
      <c r="A151" s="220"/>
      <c r="B151" s="73" t="s">
        <v>569</v>
      </c>
      <c r="C151" s="35">
        <v>1200</v>
      </c>
      <c r="D151" s="35"/>
      <c r="E151" s="35"/>
      <c r="F151" s="47">
        <f>SUM(C151:E151)</f>
        <v>1200</v>
      </c>
      <c r="G151" s="40">
        <v>40</v>
      </c>
      <c r="H151" s="40"/>
      <c r="I151" s="40">
        <v>24</v>
      </c>
      <c r="J151" s="40">
        <v>80</v>
      </c>
      <c r="K151" s="40"/>
      <c r="L151" s="40"/>
      <c r="M151" s="47">
        <f>$G$3*G151+$H$3*H151+$I$3*I151+$J$3*J151+$K$3*K151+$L$3*L151</f>
        <v>8236</v>
      </c>
      <c r="N151" s="47">
        <f>M151+F151</f>
        <v>9436</v>
      </c>
      <c r="O151">
        <v>1</v>
      </c>
      <c r="P151">
        <v>2</v>
      </c>
      <c r="Q151">
        <v>3</v>
      </c>
      <c r="R151">
        <v>4</v>
      </c>
      <c r="S151">
        <v>2</v>
      </c>
      <c r="T151">
        <v>4</v>
      </c>
      <c r="U151" s="48">
        <f>((O151*P151)+Q151+(R151*S151)+T151)/100</f>
        <v>0.17</v>
      </c>
      <c r="V151" s="47">
        <f>+(F151+M151)*U151</f>
        <v>1604.1200000000001</v>
      </c>
      <c r="W151" s="47">
        <f>+F151+M151+V151</f>
        <v>11040.12</v>
      </c>
      <c r="X151" s="47"/>
      <c r="Y151" s="47"/>
    </row>
    <row r="152" spans="1:25" ht="15.75" customHeight="1">
      <c r="A152" s="220"/>
      <c r="B152" s="73" t="s">
        <v>570</v>
      </c>
      <c r="C152" s="35">
        <v>500</v>
      </c>
      <c r="D152" s="35"/>
      <c r="E152" s="35"/>
      <c r="F152" s="47">
        <f>SUM(C152:E152)</f>
        <v>500</v>
      </c>
      <c r="G152" s="40"/>
      <c r="H152" s="40"/>
      <c r="I152" s="40"/>
      <c r="J152" s="40">
        <v>24</v>
      </c>
      <c r="K152" s="40"/>
      <c r="L152" s="40"/>
      <c r="M152" s="47">
        <f>$G$3*G152+$H$3*H152+$I$3*I152+$J$3*J152+$K$3*K152+$L$3*L152</f>
        <v>1260</v>
      </c>
      <c r="N152" s="47">
        <f>M152+F152</f>
        <v>1760</v>
      </c>
      <c r="O152">
        <v>1</v>
      </c>
      <c r="P152">
        <v>2</v>
      </c>
      <c r="Q152">
        <v>3</v>
      </c>
      <c r="R152">
        <v>4</v>
      </c>
      <c r="S152">
        <v>2</v>
      </c>
      <c r="T152">
        <v>4</v>
      </c>
      <c r="U152" s="48">
        <f>((O152*P152)+Q152+(R152*S152)+T152)/100</f>
        <v>0.17</v>
      </c>
      <c r="V152" s="47">
        <f>+(F152+M152)*U152</f>
        <v>299.20000000000005</v>
      </c>
      <c r="W152" s="47">
        <f>+F152+M152+V152</f>
        <v>2059.2</v>
      </c>
      <c r="X152" s="47"/>
      <c r="Y152" s="47"/>
    </row>
    <row r="153" spans="1:25" ht="15.75" customHeight="1">
      <c r="A153" s="220"/>
      <c r="B153" s="73" t="s">
        <v>571</v>
      </c>
      <c r="C153" s="35">
        <v>500</v>
      </c>
      <c r="D153" s="35"/>
      <c r="E153" s="35"/>
      <c r="F153" s="47">
        <f>SUM(C153:E153)</f>
        <v>500</v>
      </c>
      <c r="G153" s="40"/>
      <c r="H153" s="40"/>
      <c r="I153" s="40"/>
      <c r="J153" s="40">
        <v>24</v>
      </c>
      <c r="K153" s="40"/>
      <c r="L153" s="40"/>
      <c r="M153" s="47">
        <f>$G$3*G153+$H$3*H153+$I$3*I153+$J$3*J153+$K$3*K153+$L$3*L153</f>
        <v>1260</v>
      </c>
      <c r="N153" s="47">
        <f>M153+F153</f>
        <v>1760</v>
      </c>
      <c r="O153">
        <v>1</v>
      </c>
      <c r="P153">
        <v>2</v>
      </c>
      <c r="Q153">
        <v>3</v>
      </c>
      <c r="R153">
        <v>4</v>
      </c>
      <c r="S153">
        <v>2</v>
      </c>
      <c r="T153">
        <v>4</v>
      </c>
      <c r="U153" s="48">
        <f>((O153*P153)+Q153+(R153*S153)+T153)/100</f>
        <v>0.17</v>
      </c>
      <c r="V153" s="47">
        <f>+(F153+M153)*U153</f>
        <v>299.20000000000005</v>
      </c>
      <c r="W153" s="47">
        <f>+F153+M153+V153</f>
        <v>2059.2</v>
      </c>
      <c r="X153" s="47"/>
      <c r="Y153" s="47"/>
    </row>
    <row r="154" spans="1:25" ht="15.75" customHeight="1">
      <c r="A154" s="220"/>
      <c r="B154" s="73" t="s">
        <v>572</v>
      </c>
      <c r="C154" s="35">
        <v>1800</v>
      </c>
      <c r="D154" s="35"/>
      <c r="E154" s="35"/>
      <c r="F154" s="47">
        <f>SUM(C154:E154)</f>
        <v>1800</v>
      </c>
      <c r="G154" s="40"/>
      <c r="H154" s="40"/>
      <c r="I154" s="40"/>
      <c r="J154" s="40">
        <v>40</v>
      </c>
      <c r="K154" s="40"/>
      <c r="L154" s="40"/>
      <c r="M154" s="47">
        <f>$G$3*G154+$H$3*H154+$I$3*I154+$J$3*J154+$K$3*K154+$L$3*L154</f>
        <v>2100</v>
      </c>
      <c r="N154" s="47">
        <f>M154+F154</f>
        <v>3900</v>
      </c>
      <c r="O154">
        <v>1</v>
      </c>
      <c r="P154">
        <v>2</v>
      </c>
      <c r="Q154">
        <v>3</v>
      </c>
      <c r="R154">
        <v>4</v>
      </c>
      <c r="S154">
        <v>2</v>
      </c>
      <c r="T154">
        <v>4</v>
      </c>
      <c r="U154" s="48">
        <f>((O154*P154)+Q154+(R154*S154)+T154)/100</f>
        <v>0.17</v>
      </c>
      <c r="V154" s="47">
        <f>+(F154+M154)*U154</f>
        <v>663</v>
      </c>
      <c r="W154" s="47">
        <f>+F154+M154+V154</f>
        <v>4563</v>
      </c>
      <c r="X154" s="47"/>
      <c r="Y154" s="47"/>
    </row>
    <row r="155" spans="1:25" ht="15.75" customHeight="1">
      <c r="A155" s="220"/>
      <c r="B155" s="225"/>
      <c r="C155" s="35"/>
      <c r="D155" s="35"/>
      <c r="E155" s="35"/>
      <c r="F155" s="47">
        <f>SUM(C155:E155)</f>
        <v>0</v>
      </c>
      <c r="G155" s="40"/>
      <c r="H155" s="40"/>
      <c r="I155" s="40"/>
      <c r="J155" s="40"/>
      <c r="K155" s="40"/>
      <c r="L155" s="40"/>
      <c r="M155" s="47">
        <f>$G$3*G155+$H$3*H155+$I$3*I155+$J$3*J155+$K$3*K155+$L$3*L155</f>
        <v>0</v>
      </c>
      <c r="N155" s="47"/>
      <c r="U155" s="48">
        <f>((O155*P155)+Q155+(R155*S155)+T155)/100</f>
        <v>0</v>
      </c>
      <c r="V155" s="47">
        <f>+(F155+M155)*U155</f>
        <v>0</v>
      </c>
      <c r="W155" s="47">
        <f>+F155+M155+V155</f>
        <v>0</v>
      </c>
      <c r="X155" s="47"/>
      <c r="Y155" s="47"/>
    </row>
    <row r="156" spans="1:26" ht="15.75" customHeight="1">
      <c r="A156" s="220" t="s">
        <v>1296</v>
      </c>
      <c r="B156" s="227" t="s">
        <v>701</v>
      </c>
      <c r="C156" s="35"/>
      <c r="D156" s="35"/>
      <c r="E156" s="35"/>
      <c r="F156" s="47"/>
      <c r="G156" s="40"/>
      <c r="H156" s="40"/>
      <c r="I156" s="40"/>
      <c r="J156" s="40"/>
      <c r="K156" s="40"/>
      <c r="L156" s="40"/>
      <c r="M156" s="47"/>
      <c r="N156" s="47"/>
      <c r="U156" s="48"/>
      <c r="V156" s="47"/>
      <c r="W156" s="47"/>
      <c r="X156" s="47"/>
      <c r="Y156" s="47"/>
      <c r="Z156" t="s">
        <v>1453</v>
      </c>
    </row>
    <row r="157" spans="1:26" ht="15.75" customHeight="1">
      <c r="A157" s="220"/>
      <c r="B157" s="73" t="s">
        <v>574</v>
      </c>
      <c r="C157" s="35">
        <v>10000</v>
      </c>
      <c r="D157" s="35"/>
      <c r="E157" s="35"/>
      <c r="F157" s="47">
        <f>SUM(C157:E157)</f>
        <v>10000</v>
      </c>
      <c r="G157" s="40"/>
      <c r="H157" s="40"/>
      <c r="I157" s="40"/>
      <c r="J157" s="40">
        <v>40</v>
      </c>
      <c r="K157" s="40"/>
      <c r="L157" s="40"/>
      <c r="M157" s="47">
        <f>$G$3*G157+$H$3*H157+$I$3*I157+$J$3*J157+$K$3*K157+$L$3*L157</f>
        <v>2100</v>
      </c>
      <c r="N157" s="47">
        <f>M157+F157</f>
        <v>12100</v>
      </c>
      <c r="O157">
        <v>2</v>
      </c>
      <c r="P157">
        <v>2</v>
      </c>
      <c r="Q157">
        <v>3</v>
      </c>
      <c r="R157">
        <v>4</v>
      </c>
      <c r="S157">
        <v>2</v>
      </c>
      <c r="T157">
        <v>4</v>
      </c>
      <c r="U157" s="48">
        <f>((O157*P157)+Q157+(R157*S157)+T157)/100</f>
        <v>0.19</v>
      </c>
      <c r="V157" s="47">
        <f>+(F157+M157)*U157</f>
        <v>2299</v>
      </c>
      <c r="W157" s="47">
        <f>+F157+M157+V157</f>
        <v>14399</v>
      </c>
      <c r="X157" s="47"/>
      <c r="Y157" s="47"/>
      <c r="Z157" t="s">
        <v>1454</v>
      </c>
    </row>
    <row r="158" spans="1:25" ht="15.75" customHeight="1">
      <c r="A158" s="220"/>
      <c r="B158" s="73" t="s">
        <v>575</v>
      </c>
      <c r="C158" s="35"/>
      <c r="D158" s="35"/>
      <c r="E158" s="35"/>
      <c r="F158" s="47">
        <f>SUM(C158:E158)</f>
        <v>0</v>
      </c>
      <c r="G158" s="40"/>
      <c r="H158" s="40"/>
      <c r="I158" s="40"/>
      <c r="J158" s="40"/>
      <c r="K158" s="40"/>
      <c r="L158" s="40"/>
      <c r="M158" s="47">
        <f>$G$3*G158+$H$3*H158+$I$3*I158+$J$3*J158+$K$3*K158+$L$3*L158</f>
        <v>0</v>
      </c>
      <c r="N158" s="47">
        <f>M158+F158</f>
        <v>0</v>
      </c>
      <c r="O158">
        <v>2</v>
      </c>
      <c r="P158">
        <v>2</v>
      </c>
      <c r="Q158">
        <v>3</v>
      </c>
      <c r="R158">
        <v>4</v>
      </c>
      <c r="S158">
        <v>2</v>
      </c>
      <c r="T158">
        <v>4</v>
      </c>
      <c r="U158" s="48">
        <f>((O158*P158)+Q158+(R158*S158)+T158)/100</f>
        <v>0.19</v>
      </c>
      <c r="V158" s="47">
        <f>+(F158+M158)*U158</f>
        <v>0</v>
      </c>
      <c r="W158" s="47">
        <f>+F158+M158+V158</f>
        <v>0</v>
      </c>
      <c r="X158" s="47"/>
      <c r="Y158" s="47"/>
    </row>
    <row r="159" spans="1:25" ht="15.75" customHeight="1">
      <c r="A159" s="220"/>
      <c r="B159" s="73" t="s">
        <v>576</v>
      </c>
      <c r="C159" s="35"/>
      <c r="D159" s="35"/>
      <c r="E159" s="35"/>
      <c r="F159" s="47">
        <f>SUM(C159:E159)</f>
        <v>0</v>
      </c>
      <c r="G159" s="40"/>
      <c r="H159" s="40"/>
      <c r="I159" s="40"/>
      <c r="J159" s="40"/>
      <c r="K159" s="40"/>
      <c r="L159" s="40"/>
      <c r="M159" s="47">
        <f>$G$3*G159+$H$3*H159+$I$3*I159+$J$3*J159+$K$3*K159+$L$3*L159</f>
        <v>0</v>
      </c>
      <c r="N159" s="47">
        <f>M159+F159</f>
        <v>0</v>
      </c>
      <c r="O159">
        <v>2</v>
      </c>
      <c r="P159">
        <v>2</v>
      </c>
      <c r="Q159">
        <v>3</v>
      </c>
      <c r="R159">
        <v>4</v>
      </c>
      <c r="S159">
        <v>2</v>
      </c>
      <c r="T159">
        <v>4</v>
      </c>
      <c r="U159" s="48">
        <f>((O159*P159)+Q159+(R159*S159)+T159)/100</f>
        <v>0.19</v>
      </c>
      <c r="V159" s="47">
        <f>+(F159+M159)*U159</f>
        <v>0</v>
      </c>
      <c r="W159" s="47">
        <f>+F159+M159+V159</f>
        <v>0</v>
      </c>
      <c r="X159" s="47"/>
      <c r="Y159" s="47"/>
    </row>
    <row r="160" spans="1:25" ht="15.75" customHeight="1">
      <c r="A160" s="220"/>
      <c r="B160" s="73" t="s">
        <v>577</v>
      </c>
      <c r="C160" s="35">
        <v>500</v>
      </c>
      <c r="D160" s="35"/>
      <c r="E160" s="35"/>
      <c r="F160" s="47">
        <f>SUM(C160:E160)</f>
        <v>500</v>
      </c>
      <c r="G160" s="40"/>
      <c r="H160" s="40"/>
      <c r="I160" s="40"/>
      <c r="J160" s="40">
        <v>40</v>
      </c>
      <c r="K160" s="40"/>
      <c r="L160" s="40"/>
      <c r="M160" s="47">
        <f>$G$3*G160+$H$3*H160+$I$3*I160+$J$3*J160+$K$3*K160+$L$3*L160</f>
        <v>2100</v>
      </c>
      <c r="N160" s="47">
        <f>M160+F160</f>
        <v>2600</v>
      </c>
      <c r="O160">
        <v>2</v>
      </c>
      <c r="P160">
        <v>2</v>
      </c>
      <c r="Q160">
        <v>3</v>
      </c>
      <c r="R160">
        <v>4</v>
      </c>
      <c r="S160">
        <v>2</v>
      </c>
      <c r="T160">
        <v>4</v>
      </c>
      <c r="U160" s="48">
        <f>((O160*P160)+Q160+(R160*S160)+T160)/100</f>
        <v>0.19</v>
      </c>
      <c r="V160" s="47">
        <f>+(F160+M160)*U160</f>
        <v>494</v>
      </c>
      <c r="W160" s="47">
        <f>+F160+M160+V160</f>
        <v>3094</v>
      </c>
      <c r="X160" s="47"/>
      <c r="Y160" s="47"/>
    </row>
    <row r="161" spans="1:25" ht="15.75" customHeight="1">
      <c r="A161" s="220"/>
      <c r="B161" s="225"/>
      <c r="C161" s="35"/>
      <c r="D161" s="35"/>
      <c r="E161" s="35"/>
      <c r="F161" s="47">
        <f>SUM(C161:E161)</f>
        <v>0</v>
      </c>
      <c r="G161" s="40"/>
      <c r="H161" s="40"/>
      <c r="I161" s="40"/>
      <c r="J161" s="40"/>
      <c r="K161" s="40"/>
      <c r="L161" s="40"/>
      <c r="M161" s="47">
        <f>$G$3*G161+$H$3*H161+$I$3*I161+$J$3*J161+$K$3*K161+$L$3*L161</f>
        <v>0</v>
      </c>
      <c r="N161" s="47"/>
      <c r="U161" s="48">
        <f>((O161*P161)+Q161+(R161*S161)+T161)/100</f>
        <v>0</v>
      </c>
      <c r="V161" s="47">
        <f>+(F161+M161)*U161</f>
        <v>0</v>
      </c>
      <c r="W161" s="47">
        <f>+F161+M161+V161</f>
        <v>0</v>
      </c>
      <c r="X161" s="47"/>
      <c r="Y161" s="47"/>
    </row>
    <row r="162" spans="1:25" ht="15.75" customHeight="1">
      <c r="A162" s="220" t="s">
        <v>1297</v>
      </c>
      <c r="B162" s="227" t="s">
        <v>578</v>
      </c>
      <c r="C162" s="35"/>
      <c r="D162" s="35"/>
      <c r="E162" s="35"/>
      <c r="F162" s="47"/>
      <c r="G162" s="40"/>
      <c r="H162" s="40"/>
      <c r="I162" s="40"/>
      <c r="J162" s="40"/>
      <c r="K162" s="40"/>
      <c r="L162" s="40"/>
      <c r="M162" s="47"/>
      <c r="N162" s="47"/>
      <c r="U162" s="48"/>
      <c r="V162" s="47"/>
      <c r="W162" s="47"/>
      <c r="X162" s="47"/>
      <c r="Y162" s="47"/>
    </row>
    <row r="163" spans="1:25" ht="15.75" customHeight="1">
      <c r="A163" s="220"/>
      <c r="B163" s="73" t="s">
        <v>579</v>
      </c>
      <c r="C163" s="35">
        <v>300</v>
      </c>
      <c r="D163" s="35"/>
      <c r="E163" s="35"/>
      <c r="F163" s="47">
        <f>SUM(C163:E163)</f>
        <v>300</v>
      </c>
      <c r="G163" s="40">
        <v>80</v>
      </c>
      <c r="H163" s="40"/>
      <c r="I163" s="40">
        <v>40</v>
      </c>
      <c r="J163" s="40">
        <v>80</v>
      </c>
      <c r="K163" s="40">
        <v>0</v>
      </c>
      <c r="L163" s="40"/>
      <c r="M163" s="47">
        <f>$G$3*G163+$H$3*H163+$I$3*I163+$J$3*J163+$K$3*K163+$L$3*L163</f>
        <v>11822</v>
      </c>
      <c r="N163" s="47">
        <f>M163+F163</f>
        <v>12122</v>
      </c>
      <c r="O163">
        <v>2</v>
      </c>
      <c r="P163">
        <v>2</v>
      </c>
      <c r="Q163">
        <v>4</v>
      </c>
      <c r="R163">
        <v>4</v>
      </c>
      <c r="S163">
        <v>2</v>
      </c>
      <c r="T163">
        <v>4</v>
      </c>
      <c r="U163" s="48">
        <f>((O163*P163)+Q163+(R163*S163)+T163)/100</f>
        <v>0.2</v>
      </c>
      <c r="V163" s="47">
        <f>+(F163+M163)*U163</f>
        <v>2424.4</v>
      </c>
      <c r="W163" s="47">
        <f>+F163+M163+V163</f>
        <v>14546.4</v>
      </c>
      <c r="X163" s="47"/>
      <c r="Y163" s="47"/>
    </row>
    <row r="164" spans="1:25" ht="15.75" customHeight="1">
      <c r="A164" s="220"/>
      <c r="B164" s="73" t="s">
        <v>580</v>
      </c>
      <c r="C164" s="35">
        <v>500</v>
      </c>
      <c r="D164" s="35"/>
      <c r="E164" s="35"/>
      <c r="F164" s="47">
        <f>SUM(C164:E164)</f>
        <v>500</v>
      </c>
      <c r="G164" s="40"/>
      <c r="H164" s="40"/>
      <c r="I164" s="40"/>
      <c r="J164" s="40">
        <v>80</v>
      </c>
      <c r="K164" s="40">
        <v>0</v>
      </c>
      <c r="L164" s="40"/>
      <c r="M164" s="47">
        <f>$G$3*G164+$H$3*H164+$I$3*I164+$J$3*J164+$K$3*K164+$L$3*L164</f>
        <v>4200</v>
      </c>
      <c r="N164" s="47">
        <f>M164+F164</f>
        <v>4700</v>
      </c>
      <c r="O164">
        <v>2</v>
      </c>
      <c r="P164">
        <v>2</v>
      </c>
      <c r="Q164">
        <v>4</v>
      </c>
      <c r="R164">
        <v>4</v>
      </c>
      <c r="S164">
        <v>2</v>
      </c>
      <c r="T164">
        <v>4</v>
      </c>
      <c r="U164" s="48">
        <f>((O164*P164)+Q164+(R164*S164)+T164)/100</f>
        <v>0.2</v>
      </c>
      <c r="V164" s="47">
        <f>+(F164+M164)*U164</f>
        <v>940</v>
      </c>
      <c r="W164" s="47">
        <f>+F164+M164+V164</f>
        <v>5640</v>
      </c>
      <c r="X164" s="47"/>
      <c r="Y164" s="47"/>
    </row>
    <row r="165" spans="1:25" ht="15.75" customHeight="1">
      <c r="A165" s="220"/>
      <c r="B165" s="73" t="s">
        <v>581</v>
      </c>
      <c r="C165" s="35">
        <v>1500</v>
      </c>
      <c r="D165" s="35"/>
      <c r="E165" s="35"/>
      <c r="F165" s="47">
        <f>SUM(C165:E165)</f>
        <v>1500</v>
      </c>
      <c r="G165" s="40"/>
      <c r="H165" s="40"/>
      <c r="I165" s="40"/>
      <c r="J165" s="40">
        <v>160</v>
      </c>
      <c r="K165" s="40">
        <v>0</v>
      </c>
      <c r="L165" s="40"/>
      <c r="M165" s="47">
        <f>$G$3*G165+$H$3*H165+$I$3*I165+$J$3*J165+$K$3*K165+$L$3*L165</f>
        <v>8400</v>
      </c>
      <c r="N165" s="47">
        <f>M165+F165</f>
        <v>9900</v>
      </c>
      <c r="O165">
        <v>2</v>
      </c>
      <c r="P165">
        <v>2</v>
      </c>
      <c r="Q165">
        <v>4</v>
      </c>
      <c r="R165">
        <v>4</v>
      </c>
      <c r="S165">
        <v>2</v>
      </c>
      <c r="T165">
        <v>4</v>
      </c>
      <c r="U165" s="48">
        <f>((O165*P165)+Q165+(R165*S165)+T165)/100</f>
        <v>0.2</v>
      </c>
      <c r="V165" s="47">
        <f>+(F165+M165)*U165</f>
        <v>1980</v>
      </c>
      <c r="W165" s="47">
        <f>+F165+M165+V165</f>
        <v>11880</v>
      </c>
      <c r="X165" s="47"/>
      <c r="Y165" s="47"/>
    </row>
    <row r="166" spans="1:25" ht="15.75" customHeight="1">
      <c r="A166" s="221"/>
      <c r="B166" s="8"/>
      <c r="C166" s="35"/>
      <c r="D166" s="35"/>
      <c r="E166" s="35"/>
      <c r="F166" s="47">
        <f aca="true" t="shared" si="46" ref="F166:F208">SUM(C166:E166)</f>
        <v>0</v>
      </c>
      <c r="G166" s="40"/>
      <c r="H166" s="40"/>
      <c r="I166" s="40"/>
      <c r="J166" s="40"/>
      <c r="K166" s="40"/>
      <c r="L166" s="40"/>
      <c r="M166" s="47">
        <f aca="true" t="shared" si="47" ref="M166:M208">$G$3*G166+$H$3*H166+$I$3*I166+$J$3*J166+$K$3*K166+$L$3*L166</f>
        <v>0</v>
      </c>
      <c r="N166" s="47">
        <f aca="true" t="shared" si="48" ref="N166:N208">M166+F166</f>
        <v>0</v>
      </c>
      <c r="U166" s="48">
        <f aca="true" t="shared" si="49" ref="U166:U208">((O166*P166)+Q166+(R166*S166)+T166)/100</f>
        <v>0</v>
      </c>
      <c r="V166" s="47">
        <f aca="true" t="shared" si="50" ref="V166:V208">+(F166+M166)*U166</f>
        <v>0</v>
      </c>
      <c r="W166" s="47">
        <f aca="true" t="shared" si="51" ref="W166:W208">+F166+M166+V166</f>
        <v>0</v>
      </c>
      <c r="X166" s="47"/>
      <c r="Y166" s="47"/>
    </row>
    <row r="167" spans="1:25" ht="15.75" customHeight="1">
      <c r="A167" s="222" t="s">
        <v>1219</v>
      </c>
      <c r="B167" s="8" t="s">
        <v>594</v>
      </c>
      <c r="C167" s="35"/>
      <c r="D167" s="35"/>
      <c r="E167" s="35"/>
      <c r="F167" s="47">
        <f t="shared" si="46"/>
        <v>0</v>
      </c>
      <c r="G167" s="40"/>
      <c r="H167" s="40"/>
      <c r="I167" s="40"/>
      <c r="J167" s="40"/>
      <c r="K167" s="40"/>
      <c r="L167" s="40"/>
      <c r="M167" s="47">
        <f t="shared" si="47"/>
        <v>0</v>
      </c>
      <c r="N167" s="47">
        <f t="shared" si="48"/>
        <v>0</v>
      </c>
      <c r="U167" s="48">
        <f t="shared" si="49"/>
        <v>0</v>
      </c>
      <c r="V167" s="47">
        <f t="shared" si="50"/>
        <v>0</v>
      </c>
      <c r="W167" s="47">
        <f t="shared" si="51"/>
        <v>0</v>
      </c>
      <c r="X167" s="52">
        <f>SUM(N168:N189)</f>
        <v>2112664</v>
      </c>
      <c r="Y167" s="52">
        <f>SUM(W168:W189)</f>
        <v>2714738.408</v>
      </c>
    </row>
    <row r="168" spans="1:25" ht="15.75" customHeight="1">
      <c r="A168" s="221" t="s">
        <v>1220</v>
      </c>
      <c r="B168" s="227" t="s">
        <v>595</v>
      </c>
      <c r="C168" s="35">
        <v>5000</v>
      </c>
      <c r="D168" s="35"/>
      <c r="E168" s="35"/>
      <c r="F168" s="47">
        <f t="shared" si="46"/>
        <v>5000</v>
      </c>
      <c r="G168" s="40">
        <v>80</v>
      </c>
      <c r="H168" s="40">
        <v>24</v>
      </c>
      <c r="I168" s="40">
        <v>80</v>
      </c>
      <c r="J168" s="40">
        <v>40</v>
      </c>
      <c r="K168" s="40"/>
      <c r="L168" s="40">
        <v>100</v>
      </c>
      <c r="M168" s="47">
        <f t="shared" si="47"/>
        <v>24223.6</v>
      </c>
      <c r="N168" s="47">
        <f t="shared" si="48"/>
        <v>29223.6</v>
      </c>
      <c r="O168">
        <v>6</v>
      </c>
      <c r="P168">
        <v>2</v>
      </c>
      <c r="Q168">
        <v>8</v>
      </c>
      <c r="R168">
        <v>4</v>
      </c>
      <c r="S168">
        <v>2</v>
      </c>
      <c r="T168">
        <v>2</v>
      </c>
      <c r="U168" s="48">
        <f t="shared" si="49"/>
        <v>0.3</v>
      </c>
      <c r="V168" s="47">
        <f t="shared" si="50"/>
        <v>8767.08</v>
      </c>
      <c r="W168" s="47">
        <f t="shared" si="51"/>
        <v>37990.68</v>
      </c>
      <c r="X168" s="47"/>
      <c r="Y168" s="47"/>
    </row>
    <row r="169" spans="1:25" ht="15.75" customHeight="1">
      <c r="A169" s="221" t="s">
        <v>1221</v>
      </c>
      <c r="B169" s="227" t="s">
        <v>596</v>
      </c>
      <c r="C169" s="35">
        <v>12000</v>
      </c>
      <c r="D169" s="35">
        <v>99225</v>
      </c>
      <c r="E169" s="35"/>
      <c r="F169" s="47">
        <f t="shared" si="46"/>
        <v>111225</v>
      </c>
      <c r="G169" s="40">
        <v>60</v>
      </c>
      <c r="H169" s="40"/>
      <c r="I169" s="40">
        <v>120</v>
      </c>
      <c r="J169" s="40">
        <v>680</v>
      </c>
      <c r="K169" s="40"/>
      <c r="L169" s="40"/>
      <c r="M169" s="47">
        <f t="shared" si="47"/>
        <v>46479</v>
      </c>
      <c r="N169" s="47">
        <f t="shared" si="48"/>
        <v>157704</v>
      </c>
      <c r="O169">
        <v>6</v>
      </c>
      <c r="P169">
        <v>2</v>
      </c>
      <c r="Q169">
        <v>8</v>
      </c>
      <c r="R169">
        <v>4</v>
      </c>
      <c r="S169">
        <v>2</v>
      </c>
      <c r="T169">
        <v>2</v>
      </c>
      <c r="U169" s="48">
        <f t="shared" si="49"/>
        <v>0.3</v>
      </c>
      <c r="V169" s="47">
        <f t="shared" si="50"/>
        <v>47311.2</v>
      </c>
      <c r="W169" s="47">
        <f t="shared" si="51"/>
        <v>205015.2</v>
      </c>
      <c r="X169" s="47"/>
      <c r="Y169" s="47"/>
    </row>
    <row r="170" spans="1:25" ht="15.75" customHeight="1">
      <c r="A170" s="221" t="s">
        <v>1222</v>
      </c>
      <c r="B170" s="227" t="s">
        <v>597</v>
      </c>
      <c r="C170" s="35">
        <v>7000</v>
      </c>
      <c r="D170" s="35">
        <v>202250</v>
      </c>
      <c r="E170" s="35"/>
      <c r="F170" s="47">
        <f t="shared" si="46"/>
        <v>209250</v>
      </c>
      <c r="G170" s="40">
        <v>60</v>
      </c>
      <c r="H170" s="40"/>
      <c r="I170" s="40">
        <v>120</v>
      </c>
      <c r="J170" s="40">
        <v>160</v>
      </c>
      <c r="K170" s="40"/>
      <c r="L170" s="40"/>
      <c r="M170" s="47">
        <f t="shared" si="47"/>
        <v>19179</v>
      </c>
      <c r="N170" s="47">
        <f t="shared" si="48"/>
        <v>228429</v>
      </c>
      <c r="O170">
        <v>6</v>
      </c>
      <c r="P170">
        <v>2</v>
      </c>
      <c r="Q170">
        <v>8</v>
      </c>
      <c r="R170">
        <v>4</v>
      </c>
      <c r="S170">
        <v>2</v>
      </c>
      <c r="T170">
        <v>2</v>
      </c>
      <c r="U170" s="48">
        <f t="shared" si="49"/>
        <v>0.3</v>
      </c>
      <c r="V170" s="47">
        <f t="shared" si="50"/>
        <v>68528.7</v>
      </c>
      <c r="W170" s="47">
        <f t="shared" si="51"/>
        <v>296957.7</v>
      </c>
      <c r="X170" s="47"/>
      <c r="Y170" s="47"/>
    </row>
    <row r="171" spans="1:25" ht="15.75" customHeight="1">
      <c r="A171" s="221" t="s">
        <v>1223</v>
      </c>
      <c r="B171" s="227" t="s">
        <v>598</v>
      </c>
      <c r="C171" s="35">
        <v>7000</v>
      </c>
      <c r="D171" s="35">
        <v>471500</v>
      </c>
      <c r="E171" s="35"/>
      <c r="F171" s="47">
        <f t="shared" si="46"/>
        <v>478500</v>
      </c>
      <c r="G171" s="40">
        <v>60</v>
      </c>
      <c r="H171" s="40"/>
      <c r="I171" s="40">
        <v>120</v>
      </c>
      <c r="J171" s="40"/>
      <c r="K171" s="40"/>
      <c r="L171" s="40"/>
      <c r="M171" s="47">
        <f t="shared" si="47"/>
        <v>10779</v>
      </c>
      <c r="N171" s="47">
        <f t="shared" si="48"/>
        <v>489279</v>
      </c>
      <c r="O171">
        <v>6</v>
      </c>
      <c r="P171">
        <v>2</v>
      </c>
      <c r="Q171">
        <v>8</v>
      </c>
      <c r="R171">
        <v>4</v>
      </c>
      <c r="S171">
        <v>2</v>
      </c>
      <c r="T171">
        <v>2</v>
      </c>
      <c r="U171" s="48">
        <f t="shared" si="49"/>
        <v>0.3</v>
      </c>
      <c r="V171" s="47">
        <f t="shared" si="50"/>
        <v>146783.69999999998</v>
      </c>
      <c r="W171" s="47">
        <f t="shared" si="51"/>
        <v>636062.7</v>
      </c>
      <c r="X171" s="47"/>
      <c r="Y171" s="47"/>
    </row>
    <row r="172" spans="1:25" ht="15.75" customHeight="1">
      <c r="A172" s="221" t="s">
        <v>1224</v>
      </c>
      <c r="B172" s="227" t="s">
        <v>603</v>
      </c>
      <c r="C172" s="35"/>
      <c r="D172" s="35"/>
      <c r="E172" s="35"/>
      <c r="F172" s="47"/>
      <c r="G172" s="40"/>
      <c r="H172" s="40"/>
      <c r="I172" s="40"/>
      <c r="J172" s="40"/>
      <c r="K172" s="40"/>
      <c r="L172" s="40"/>
      <c r="M172" s="47"/>
      <c r="N172" s="47"/>
      <c r="U172" s="48"/>
      <c r="V172" s="47"/>
      <c r="W172" s="47"/>
      <c r="X172" s="47"/>
      <c r="Y172" s="47"/>
    </row>
    <row r="173" spans="1:25" ht="15.75" customHeight="1">
      <c r="A173" s="221"/>
      <c r="B173" s="73" t="s">
        <v>1011</v>
      </c>
      <c r="C173" s="35">
        <v>6900</v>
      </c>
      <c r="D173" s="35">
        <v>8680</v>
      </c>
      <c r="E173" s="35"/>
      <c r="F173" s="47">
        <f t="shared" si="46"/>
        <v>15580</v>
      </c>
      <c r="G173" s="40">
        <v>40</v>
      </c>
      <c r="H173" s="40"/>
      <c r="I173" s="40">
        <v>32</v>
      </c>
      <c r="J173" s="40">
        <v>832</v>
      </c>
      <c r="K173" s="40">
        <v>12</v>
      </c>
      <c r="L173" s="40">
        <v>20</v>
      </c>
      <c r="M173" s="47">
        <f t="shared" si="47"/>
        <v>50990.6</v>
      </c>
      <c r="N173" s="47">
        <f t="shared" si="48"/>
        <v>66570.6</v>
      </c>
      <c r="O173" s="40">
        <v>3</v>
      </c>
      <c r="P173" s="40">
        <v>2</v>
      </c>
      <c r="Q173" s="40">
        <v>8</v>
      </c>
      <c r="R173" s="40">
        <v>1</v>
      </c>
      <c r="S173" s="40">
        <v>2</v>
      </c>
      <c r="T173" s="40">
        <v>4</v>
      </c>
      <c r="U173" s="48">
        <f t="shared" si="49"/>
        <v>0.2</v>
      </c>
      <c r="V173" s="47">
        <f>+(F173+M173)*U173</f>
        <v>13314.120000000003</v>
      </c>
      <c r="W173" s="47">
        <f>+F173+M173+V173</f>
        <v>79884.72</v>
      </c>
      <c r="X173" s="47"/>
      <c r="Y173" s="47"/>
    </row>
    <row r="174" spans="1:25" ht="15.75" customHeight="1">
      <c r="A174" s="221" t="s">
        <v>1431</v>
      </c>
      <c r="B174" s="227" t="s">
        <v>599</v>
      </c>
      <c r="C174" s="35"/>
      <c r="D174" s="35"/>
      <c r="E174" s="35"/>
      <c r="F174" s="47">
        <f t="shared" si="46"/>
        <v>0</v>
      </c>
      <c r="G174" s="40">
        <v>160</v>
      </c>
      <c r="H174" s="40"/>
      <c r="I174" s="40">
        <v>320</v>
      </c>
      <c r="J174" s="40"/>
      <c r="K174" s="40"/>
      <c r="L174" s="40"/>
      <c r="M174" s="47">
        <f t="shared" si="47"/>
        <v>28744</v>
      </c>
      <c r="N174" s="47">
        <f t="shared" si="48"/>
        <v>28744</v>
      </c>
      <c r="O174">
        <v>6</v>
      </c>
      <c r="P174">
        <v>2</v>
      </c>
      <c r="Q174">
        <v>8</v>
      </c>
      <c r="R174">
        <v>4</v>
      </c>
      <c r="S174">
        <v>2</v>
      </c>
      <c r="T174">
        <v>2</v>
      </c>
      <c r="U174" s="48">
        <f t="shared" si="49"/>
        <v>0.3</v>
      </c>
      <c r="V174" s="47">
        <f t="shared" si="50"/>
        <v>8623.199999999999</v>
      </c>
      <c r="W174" s="47">
        <f t="shared" si="51"/>
        <v>37367.2</v>
      </c>
      <c r="X174" s="47"/>
      <c r="Y174" s="47"/>
    </row>
    <row r="175" spans="1:25" ht="15.75" customHeight="1">
      <c r="A175" s="221"/>
      <c r="B175" s="73" t="s">
        <v>600</v>
      </c>
      <c r="C175" s="35"/>
      <c r="D175" s="35">
        <v>40000</v>
      </c>
      <c r="E175" s="35"/>
      <c r="F175" s="47">
        <f t="shared" si="46"/>
        <v>40000</v>
      </c>
      <c r="G175" s="40"/>
      <c r="H175" s="40"/>
      <c r="I175" s="40"/>
      <c r="J175" s="40"/>
      <c r="K175" s="40"/>
      <c r="L175" s="40"/>
      <c r="M175" s="47">
        <f>$G$3*G175+$H$3*H175+$I$3*I175+$J$3*J175+$K$3*K175+$L$3*L175</f>
        <v>0</v>
      </c>
      <c r="N175" s="47">
        <f>M175+F175</f>
        <v>40000</v>
      </c>
      <c r="O175">
        <v>6</v>
      </c>
      <c r="P175">
        <v>2</v>
      </c>
      <c r="Q175">
        <v>8</v>
      </c>
      <c r="R175">
        <v>4</v>
      </c>
      <c r="S175">
        <v>2</v>
      </c>
      <c r="T175">
        <v>2</v>
      </c>
      <c r="U175" s="48">
        <f t="shared" si="49"/>
        <v>0.3</v>
      </c>
      <c r="V175" s="47">
        <f t="shared" si="50"/>
        <v>12000</v>
      </c>
      <c r="W175" s="47">
        <f t="shared" si="51"/>
        <v>52000</v>
      </c>
      <c r="X175" s="47"/>
      <c r="Y175" s="47"/>
    </row>
    <row r="176" spans="1:25" ht="15.75" customHeight="1">
      <c r="A176" s="221"/>
      <c r="B176" s="73" t="s">
        <v>601</v>
      </c>
      <c r="C176" s="35"/>
      <c r="D176" s="35">
        <v>76000</v>
      </c>
      <c r="E176" s="35"/>
      <c r="F176" s="47">
        <f t="shared" si="46"/>
        <v>76000</v>
      </c>
      <c r="G176" s="40"/>
      <c r="H176" s="40"/>
      <c r="I176" s="40"/>
      <c r="J176" s="40"/>
      <c r="K176" s="40"/>
      <c r="L176" s="40"/>
      <c r="M176" s="47">
        <f>$G$3*G176+$H$3*H176+$I$3*I176+$J$3*J176+$K$3*K176+$L$3*L176</f>
        <v>0</v>
      </c>
      <c r="N176" s="47">
        <f>M176+F176</f>
        <v>76000</v>
      </c>
      <c r="O176">
        <v>6</v>
      </c>
      <c r="P176">
        <v>2</v>
      </c>
      <c r="Q176">
        <v>8</v>
      </c>
      <c r="R176">
        <v>4</v>
      </c>
      <c r="S176">
        <v>2</v>
      </c>
      <c r="T176">
        <v>2</v>
      </c>
      <c r="U176" s="48">
        <f t="shared" si="49"/>
        <v>0.3</v>
      </c>
      <c r="V176" s="47">
        <f t="shared" si="50"/>
        <v>22800</v>
      </c>
      <c r="W176" s="47">
        <f t="shared" si="51"/>
        <v>98800</v>
      </c>
      <c r="X176" s="47"/>
      <c r="Y176" s="47"/>
    </row>
    <row r="177" spans="1:25" ht="15.75" customHeight="1">
      <c r="A177" s="221"/>
      <c r="B177" s="73" t="s">
        <v>602</v>
      </c>
      <c r="C177" s="35"/>
      <c r="D177" s="35">
        <v>650000</v>
      </c>
      <c r="E177" s="35"/>
      <c r="F177" s="47">
        <f t="shared" si="46"/>
        <v>650000</v>
      </c>
      <c r="G177" s="40"/>
      <c r="H177" s="40"/>
      <c r="I177" s="40"/>
      <c r="J177" s="40"/>
      <c r="K177" s="40"/>
      <c r="L177" s="40"/>
      <c r="M177" s="47">
        <f>$G$3*G177+$H$3*H177+$I$3*I177+$J$3*J177+$K$3*K177+$L$3*L177</f>
        <v>0</v>
      </c>
      <c r="N177" s="47">
        <f>M177+F177</f>
        <v>650000</v>
      </c>
      <c r="O177">
        <v>6</v>
      </c>
      <c r="P177">
        <v>2</v>
      </c>
      <c r="Q177">
        <v>8</v>
      </c>
      <c r="R177">
        <v>4</v>
      </c>
      <c r="S177">
        <v>2</v>
      </c>
      <c r="T177">
        <v>2</v>
      </c>
      <c r="U177" s="48">
        <f t="shared" si="49"/>
        <v>0.3</v>
      </c>
      <c r="V177" s="47">
        <f t="shared" si="50"/>
        <v>195000</v>
      </c>
      <c r="W177" s="47">
        <f t="shared" si="51"/>
        <v>845000</v>
      </c>
      <c r="X177" s="47"/>
      <c r="Y177" s="47"/>
    </row>
    <row r="178" spans="1:25" ht="15.75" customHeight="1">
      <c r="A178" s="220" t="s">
        <v>1433</v>
      </c>
      <c r="B178" s="227" t="s">
        <v>1006</v>
      </c>
      <c r="C178" s="35"/>
      <c r="D178" s="35"/>
      <c r="E178" s="35"/>
      <c r="F178" s="47">
        <v>0</v>
      </c>
      <c r="G178" s="40"/>
      <c r="H178" s="40"/>
      <c r="I178" s="40"/>
      <c r="J178" s="40"/>
      <c r="K178" s="40"/>
      <c r="L178" s="40"/>
      <c r="M178" s="47">
        <v>0</v>
      </c>
      <c r="N178" s="47">
        <v>0</v>
      </c>
      <c r="U178" s="48">
        <v>0</v>
      </c>
      <c r="V178" s="47">
        <v>0</v>
      </c>
      <c r="W178" s="47">
        <v>0</v>
      </c>
      <c r="X178" s="47"/>
      <c r="Y178" s="47"/>
    </row>
    <row r="179" spans="1:25" ht="15.75" customHeight="1">
      <c r="A179" s="220"/>
      <c r="B179" s="74" t="s">
        <v>1007</v>
      </c>
      <c r="C179" s="35">
        <v>48000</v>
      </c>
      <c r="D179" s="35"/>
      <c r="E179" s="35"/>
      <c r="F179" s="47">
        <f t="shared" si="46"/>
        <v>48000</v>
      </c>
      <c r="G179" s="40">
        <v>40</v>
      </c>
      <c r="H179" s="40"/>
      <c r="I179" s="40">
        <v>140</v>
      </c>
      <c r="J179" s="40">
        <v>200</v>
      </c>
      <c r="K179" s="40">
        <v>300</v>
      </c>
      <c r="L179" s="40">
        <v>100</v>
      </c>
      <c r="M179" s="47">
        <f t="shared" si="47"/>
        <v>51276</v>
      </c>
      <c r="N179" s="47">
        <f t="shared" si="48"/>
        <v>99276</v>
      </c>
      <c r="O179" s="40">
        <v>4</v>
      </c>
      <c r="P179" s="40">
        <v>2</v>
      </c>
      <c r="Q179" s="40">
        <v>8</v>
      </c>
      <c r="R179" s="40">
        <v>4</v>
      </c>
      <c r="S179" s="40">
        <v>2</v>
      </c>
      <c r="T179" s="40">
        <v>2</v>
      </c>
      <c r="U179" s="48">
        <f t="shared" si="49"/>
        <v>0.26</v>
      </c>
      <c r="V179" s="47">
        <f t="shared" si="50"/>
        <v>25811.760000000002</v>
      </c>
      <c r="W179" s="47">
        <f t="shared" si="51"/>
        <v>125087.76000000001</v>
      </c>
      <c r="X179" s="47"/>
      <c r="Y179" s="47"/>
    </row>
    <row r="180" spans="1:25" ht="15.75" customHeight="1">
      <c r="A180" s="220"/>
      <c r="B180" s="74" t="s">
        <v>1008</v>
      </c>
      <c r="C180" s="35">
        <v>75000</v>
      </c>
      <c r="D180" s="35"/>
      <c r="E180" s="35"/>
      <c r="F180" s="47">
        <f t="shared" si="46"/>
        <v>75000</v>
      </c>
      <c r="G180" s="40">
        <v>40</v>
      </c>
      <c r="H180" s="40"/>
      <c r="I180" s="40">
        <v>112</v>
      </c>
      <c r="J180" s="40">
        <v>200</v>
      </c>
      <c r="K180" s="40">
        <v>400</v>
      </c>
      <c r="L180" s="40">
        <v>140</v>
      </c>
      <c r="M180" s="47">
        <f t="shared" si="47"/>
        <v>60446</v>
      </c>
      <c r="N180" s="47">
        <f t="shared" si="48"/>
        <v>135446</v>
      </c>
      <c r="O180">
        <v>4</v>
      </c>
      <c r="P180">
        <v>2</v>
      </c>
      <c r="Q180">
        <v>8</v>
      </c>
      <c r="R180">
        <v>4</v>
      </c>
      <c r="S180">
        <v>2</v>
      </c>
      <c r="T180">
        <v>2</v>
      </c>
      <c r="U180" s="48">
        <f t="shared" si="49"/>
        <v>0.26</v>
      </c>
      <c r="V180" s="47">
        <f t="shared" si="50"/>
        <v>35215.96</v>
      </c>
      <c r="W180" s="47">
        <f t="shared" si="51"/>
        <v>170661.96</v>
      </c>
      <c r="X180" s="47"/>
      <c r="Y180" s="47"/>
    </row>
    <row r="181" spans="1:25" ht="15.75" customHeight="1">
      <c r="A181" s="220"/>
      <c r="B181" s="73"/>
      <c r="C181" s="35"/>
      <c r="D181" s="35"/>
      <c r="E181" s="35"/>
      <c r="F181" s="47"/>
      <c r="G181" s="40"/>
      <c r="H181" s="40"/>
      <c r="I181" s="40"/>
      <c r="J181" s="40"/>
      <c r="K181" s="40"/>
      <c r="L181" s="40"/>
      <c r="M181" s="47"/>
      <c r="N181" s="47"/>
      <c r="U181" s="48"/>
      <c r="V181" s="47"/>
      <c r="W181" s="47"/>
      <c r="X181" s="47"/>
      <c r="Y181" s="47"/>
    </row>
    <row r="182" spans="1:25" ht="15.75" customHeight="1">
      <c r="A182" s="221" t="s">
        <v>1005</v>
      </c>
      <c r="B182" s="227" t="s">
        <v>1432</v>
      </c>
      <c r="C182" s="35">
        <v>5000</v>
      </c>
      <c r="D182" s="35"/>
      <c r="E182" s="35"/>
      <c r="F182" s="47">
        <f t="shared" si="46"/>
        <v>5000</v>
      </c>
      <c r="G182" s="40">
        <v>40</v>
      </c>
      <c r="H182" s="40"/>
      <c r="I182" s="40"/>
      <c r="J182" s="40"/>
      <c r="K182" s="40"/>
      <c r="L182" s="40">
        <v>80</v>
      </c>
      <c r="M182" s="47">
        <f t="shared" si="47"/>
        <v>10766</v>
      </c>
      <c r="N182" s="47">
        <f t="shared" si="48"/>
        <v>15766</v>
      </c>
      <c r="O182">
        <v>1</v>
      </c>
      <c r="P182">
        <v>2</v>
      </c>
      <c r="Q182">
        <v>8</v>
      </c>
      <c r="R182">
        <v>4</v>
      </c>
      <c r="S182">
        <v>1</v>
      </c>
      <c r="T182">
        <v>2</v>
      </c>
      <c r="U182" s="48">
        <f t="shared" si="49"/>
        <v>0.16</v>
      </c>
      <c r="V182" s="47">
        <f t="shared" si="50"/>
        <v>2522.56</v>
      </c>
      <c r="W182" s="47">
        <f t="shared" si="51"/>
        <v>18288.56</v>
      </c>
      <c r="X182" s="47"/>
      <c r="Y182" s="47"/>
    </row>
    <row r="183" spans="1:25" ht="15.75" customHeight="1">
      <c r="A183" s="221" t="s">
        <v>1010</v>
      </c>
      <c r="B183" s="227" t="s">
        <v>852</v>
      </c>
      <c r="C183" s="35"/>
      <c r="D183" s="35"/>
      <c r="E183" s="35"/>
      <c r="F183" s="47">
        <f t="shared" si="46"/>
        <v>0</v>
      </c>
      <c r="G183" s="40"/>
      <c r="H183" s="40"/>
      <c r="I183" s="40"/>
      <c r="J183" s="40"/>
      <c r="K183" s="40"/>
      <c r="L183" s="40"/>
      <c r="M183" s="47">
        <f t="shared" si="47"/>
        <v>0</v>
      </c>
      <c r="N183" s="47">
        <f t="shared" si="48"/>
        <v>0</v>
      </c>
      <c r="U183" s="48">
        <f t="shared" si="49"/>
        <v>0</v>
      </c>
      <c r="V183" s="47">
        <f t="shared" si="50"/>
        <v>0</v>
      </c>
      <c r="W183" s="47">
        <f t="shared" si="51"/>
        <v>0</v>
      </c>
      <c r="X183" s="47"/>
      <c r="Y183" s="47"/>
    </row>
    <row r="184" spans="1:25" ht="15.75" customHeight="1">
      <c r="A184" s="221"/>
      <c r="B184" s="73" t="s">
        <v>1434</v>
      </c>
      <c r="C184" s="35">
        <v>5000</v>
      </c>
      <c r="D184" s="35"/>
      <c r="E184" s="35"/>
      <c r="F184" s="47">
        <f t="shared" si="46"/>
        <v>5000</v>
      </c>
      <c r="G184" s="40">
        <v>8</v>
      </c>
      <c r="H184" s="40"/>
      <c r="I184" s="40"/>
      <c r="J184" s="40">
        <v>48</v>
      </c>
      <c r="K184" s="40">
        <v>24</v>
      </c>
      <c r="L184" s="40"/>
      <c r="M184" s="47">
        <f t="shared" si="47"/>
        <v>4666.4</v>
      </c>
      <c r="N184" s="47">
        <f t="shared" si="48"/>
        <v>9666.4</v>
      </c>
      <c r="O184">
        <v>1</v>
      </c>
      <c r="P184">
        <v>2</v>
      </c>
      <c r="Q184">
        <v>8</v>
      </c>
      <c r="R184">
        <v>4</v>
      </c>
      <c r="S184">
        <v>1</v>
      </c>
      <c r="T184">
        <v>2</v>
      </c>
      <c r="U184" s="48">
        <f t="shared" si="49"/>
        <v>0.16</v>
      </c>
      <c r="V184" s="47">
        <f t="shared" si="50"/>
        <v>1546.624</v>
      </c>
      <c r="W184" s="47">
        <f t="shared" si="51"/>
        <v>11213.024</v>
      </c>
      <c r="X184" s="47"/>
      <c r="Y184" s="47"/>
    </row>
    <row r="185" spans="1:25" ht="15.75" customHeight="1">
      <c r="A185" s="221"/>
      <c r="B185" s="73" t="s">
        <v>1435</v>
      </c>
      <c r="C185" s="35">
        <v>4000</v>
      </c>
      <c r="D185" s="35"/>
      <c r="E185" s="35"/>
      <c r="F185" s="47">
        <f t="shared" si="46"/>
        <v>4000</v>
      </c>
      <c r="G185" s="40">
        <v>8</v>
      </c>
      <c r="H185" s="40"/>
      <c r="I185" s="40"/>
      <c r="J185" s="40">
        <v>272</v>
      </c>
      <c r="K185" s="40">
        <v>112</v>
      </c>
      <c r="L185" s="40"/>
      <c r="M185" s="47">
        <f t="shared" si="47"/>
        <v>22326.8</v>
      </c>
      <c r="N185" s="47">
        <f t="shared" si="48"/>
        <v>26326.8</v>
      </c>
      <c r="O185">
        <v>1</v>
      </c>
      <c r="P185">
        <v>2</v>
      </c>
      <c r="Q185">
        <v>8</v>
      </c>
      <c r="R185">
        <v>4</v>
      </c>
      <c r="S185">
        <v>1</v>
      </c>
      <c r="T185">
        <v>2</v>
      </c>
      <c r="U185" s="48">
        <f t="shared" si="49"/>
        <v>0.16</v>
      </c>
      <c r="V185" s="47">
        <f t="shared" si="50"/>
        <v>4212.288</v>
      </c>
      <c r="W185" s="47">
        <f t="shared" si="51"/>
        <v>30539.088</v>
      </c>
      <c r="X185" s="47"/>
      <c r="Y185" s="47"/>
    </row>
    <row r="186" spans="1:25" ht="15.75" customHeight="1">
      <c r="A186" s="221"/>
      <c r="B186" s="73" t="s">
        <v>1436</v>
      </c>
      <c r="C186" s="35">
        <v>4000</v>
      </c>
      <c r="D186" s="35"/>
      <c r="E186" s="35"/>
      <c r="F186" s="47">
        <f t="shared" si="46"/>
        <v>4000</v>
      </c>
      <c r="G186" s="40">
        <v>8</v>
      </c>
      <c r="H186" s="40"/>
      <c r="I186" s="40"/>
      <c r="J186" s="40">
        <v>272</v>
      </c>
      <c r="K186" s="40">
        <v>112</v>
      </c>
      <c r="L186" s="40"/>
      <c r="M186" s="47">
        <f t="shared" si="47"/>
        <v>22326.8</v>
      </c>
      <c r="N186" s="47">
        <f t="shared" si="48"/>
        <v>26326.8</v>
      </c>
      <c r="O186">
        <v>1</v>
      </c>
      <c r="P186">
        <v>2</v>
      </c>
      <c r="Q186">
        <v>8</v>
      </c>
      <c r="R186">
        <v>4</v>
      </c>
      <c r="S186">
        <v>1</v>
      </c>
      <c r="T186">
        <v>2</v>
      </c>
      <c r="U186" s="48">
        <f t="shared" si="49"/>
        <v>0.16</v>
      </c>
      <c r="V186" s="47">
        <f t="shared" si="50"/>
        <v>4212.288</v>
      </c>
      <c r="W186" s="47">
        <f t="shared" si="51"/>
        <v>30539.088</v>
      </c>
      <c r="X186" s="47"/>
      <c r="Y186" s="47"/>
    </row>
    <row r="187" spans="1:25" ht="15.75" customHeight="1">
      <c r="A187" s="221"/>
      <c r="B187" s="73" t="s">
        <v>1437</v>
      </c>
      <c r="C187" s="35">
        <v>4000</v>
      </c>
      <c r="D187" s="35"/>
      <c r="E187" s="35"/>
      <c r="F187" s="47">
        <f t="shared" si="46"/>
        <v>4000</v>
      </c>
      <c r="G187" s="40">
        <v>8</v>
      </c>
      <c r="H187" s="40"/>
      <c r="I187" s="40"/>
      <c r="J187" s="40">
        <v>272</v>
      </c>
      <c r="K187" s="40">
        <v>112</v>
      </c>
      <c r="L187" s="40"/>
      <c r="M187" s="47">
        <f t="shared" si="47"/>
        <v>22326.8</v>
      </c>
      <c r="N187" s="47">
        <f t="shared" si="48"/>
        <v>26326.8</v>
      </c>
      <c r="O187">
        <v>1</v>
      </c>
      <c r="P187">
        <v>2</v>
      </c>
      <c r="Q187">
        <v>8</v>
      </c>
      <c r="R187">
        <v>4</v>
      </c>
      <c r="S187">
        <v>1</v>
      </c>
      <c r="T187">
        <v>2</v>
      </c>
      <c r="U187" s="48">
        <f t="shared" si="49"/>
        <v>0.16</v>
      </c>
      <c r="V187" s="47">
        <f t="shared" si="50"/>
        <v>4212.288</v>
      </c>
      <c r="W187" s="47">
        <f t="shared" si="51"/>
        <v>30539.088</v>
      </c>
      <c r="X187" s="47"/>
      <c r="Y187" s="47"/>
    </row>
    <row r="188" spans="1:25" ht="15.75" customHeight="1">
      <c r="A188" s="221"/>
      <c r="B188" s="73" t="s">
        <v>1438</v>
      </c>
      <c r="C188" s="35">
        <v>1000</v>
      </c>
      <c r="D188" s="35"/>
      <c r="E188" s="35"/>
      <c r="F188" s="47">
        <f t="shared" si="46"/>
        <v>1000</v>
      </c>
      <c r="G188" s="40">
        <v>8</v>
      </c>
      <c r="H188" s="40"/>
      <c r="I188" s="40"/>
      <c r="J188" s="40"/>
      <c r="K188" s="40"/>
      <c r="L188" s="40"/>
      <c r="M188" s="47">
        <f t="shared" si="47"/>
        <v>537.2</v>
      </c>
      <c r="N188" s="47">
        <f t="shared" si="48"/>
        <v>1537.2</v>
      </c>
      <c r="O188">
        <v>1</v>
      </c>
      <c r="P188">
        <v>2</v>
      </c>
      <c r="Q188">
        <v>8</v>
      </c>
      <c r="R188">
        <v>4</v>
      </c>
      <c r="S188">
        <v>1</v>
      </c>
      <c r="T188">
        <v>2</v>
      </c>
      <c r="U188" s="48">
        <f t="shared" si="49"/>
        <v>0.16</v>
      </c>
      <c r="V188" s="47">
        <f t="shared" si="50"/>
        <v>245.952</v>
      </c>
      <c r="W188" s="47">
        <f t="shared" si="51"/>
        <v>1783.152</v>
      </c>
      <c r="X188" s="47"/>
      <c r="Y188" s="47"/>
    </row>
    <row r="189" spans="1:25" ht="15.75" customHeight="1">
      <c r="A189" s="221"/>
      <c r="B189" s="73" t="s">
        <v>1432</v>
      </c>
      <c r="C189" s="35">
        <v>500</v>
      </c>
      <c r="D189" s="35"/>
      <c r="E189" s="35"/>
      <c r="F189" s="47">
        <f t="shared" si="46"/>
        <v>500</v>
      </c>
      <c r="G189" s="40">
        <v>8</v>
      </c>
      <c r="H189" s="40"/>
      <c r="I189" s="40"/>
      <c r="J189" s="40">
        <v>80</v>
      </c>
      <c r="K189" s="40">
        <v>12</v>
      </c>
      <c r="L189" s="40"/>
      <c r="M189" s="47">
        <f t="shared" si="47"/>
        <v>5541.799999999999</v>
      </c>
      <c r="N189" s="47">
        <f t="shared" si="48"/>
        <v>6041.799999999999</v>
      </c>
      <c r="O189">
        <v>1</v>
      </c>
      <c r="P189">
        <v>2</v>
      </c>
      <c r="Q189">
        <v>8</v>
      </c>
      <c r="R189">
        <v>4</v>
      </c>
      <c r="S189">
        <v>1</v>
      </c>
      <c r="T189">
        <v>2</v>
      </c>
      <c r="U189" s="48">
        <f t="shared" si="49"/>
        <v>0.16</v>
      </c>
      <c r="V189" s="47">
        <f t="shared" si="50"/>
        <v>966.6879999999999</v>
      </c>
      <c r="W189" s="47">
        <f t="shared" si="51"/>
        <v>7008.487999999999</v>
      </c>
      <c r="X189" s="47"/>
      <c r="Y189" s="47"/>
    </row>
    <row r="190" spans="1:25" ht="15.75" customHeight="1">
      <c r="A190" s="221"/>
      <c r="B190" s="8"/>
      <c r="C190" s="35"/>
      <c r="D190" s="35"/>
      <c r="E190" s="35"/>
      <c r="F190" s="47">
        <f t="shared" si="46"/>
        <v>0</v>
      </c>
      <c r="G190" s="40"/>
      <c r="H190" s="40"/>
      <c r="I190" s="40"/>
      <c r="J190" s="40"/>
      <c r="K190" s="40"/>
      <c r="L190" s="40"/>
      <c r="M190" s="47">
        <f t="shared" si="47"/>
        <v>0</v>
      </c>
      <c r="N190" s="47">
        <f t="shared" si="48"/>
        <v>0</v>
      </c>
      <c r="U190" s="48">
        <f t="shared" si="49"/>
        <v>0</v>
      </c>
      <c r="V190" s="47">
        <f t="shared" si="50"/>
        <v>0</v>
      </c>
      <c r="W190" s="47">
        <f t="shared" si="51"/>
        <v>0</v>
      </c>
      <c r="X190" s="47"/>
      <c r="Y190" s="47"/>
    </row>
    <row r="191" spans="1:25" ht="15.75" customHeight="1">
      <c r="A191" s="222" t="s">
        <v>1225</v>
      </c>
      <c r="B191" s="8" t="s">
        <v>1439</v>
      </c>
      <c r="C191" s="35"/>
      <c r="D191" s="35"/>
      <c r="E191" s="35"/>
      <c r="F191" s="47">
        <f t="shared" si="46"/>
        <v>0</v>
      </c>
      <c r="G191" s="40"/>
      <c r="H191" s="40"/>
      <c r="I191" s="40"/>
      <c r="J191" s="40"/>
      <c r="K191" s="40"/>
      <c r="L191" s="40"/>
      <c r="M191" s="47">
        <f t="shared" si="47"/>
        <v>0</v>
      </c>
      <c r="N191" s="47">
        <f t="shared" si="48"/>
        <v>0</v>
      </c>
      <c r="U191" s="48">
        <f t="shared" si="49"/>
        <v>0</v>
      </c>
      <c r="V191" s="47">
        <f t="shared" si="50"/>
        <v>0</v>
      </c>
      <c r="W191" s="47">
        <f t="shared" si="51"/>
        <v>0</v>
      </c>
      <c r="X191" s="52">
        <f>SUM(N192:N207)</f>
        <v>1120716.4500000002</v>
      </c>
      <c r="Y191" s="52">
        <f>SUM(W192:W207)</f>
        <v>1469913.338</v>
      </c>
    </row>
    <row r="192" spans="1:25" ht="15.75" customHeight="1">
      <c r="A192" s="218" t="s">
        <v>1440</v>
      </c>
      <c r="B192" s="227" t="s">
        <v>1441</v>
      </c>
      <c r="C192" s="35"/>
      <c r="D192" s="35"/>
      <c r="E192" s="35"/>
      <c r="F192" s="47">
        <f t="shared" si="46"/>
        <v>0</v>
      </c>
      <c r="G192" s="40"/>
      <c r="H192" s="40"/>
      <c r="I192" s="40"/>
      <c r="J192" s="40"/>
      <c r="K192" s="40"/>
      <c r="L192" s="40"/>
      <c r="M192" s="47">
        <f t="shared" si="47"/>
        <v>0</v>
      </c>
      <c r="N192" s="47">
        <f t="shared" si="48"/>
        <v>0</v>
      </c>
      <c r="U192" s="48">
        <f t="shared" si="49"/>
        <v>0</v>
      </c>
      <c r="V192" s="47">
        <f t="shared" si="50"/>
        <v>0</v>
      </c>
      <c r="W192" s="47">
        <f t="shared" si="51"/>
        <v>0</v>
      </c>
      <c r="X192" s="47"/>
      <c r="Y192" s="47"/>
    </row>
    <row r="193" spans="1:25" ht="15.75" customHeight="1">
      <c r="A193" s="218"/>
      <c r="B193" s="73" t="s">
        <v>1442</v>
      </c>
      <c r="C193" s="35"/>
      <c r="D193" s="35"/>
      <c r="E193" s="35"/>
      <c r="F193" s="47">
        <f t="shared" si="46"/>
        <v>0</v>
      </c>
      <c r="G193" s="40"/>
      <c r="H193" s="40"/>
      <c r="I193" s="40"/>
      <c r="J193" s="40">
        <v>240</v>
      </c>
      <c r="K193" s="40">
        <v>360</v>
      </c>
      <c r="L193" s="40"/>
      <c r="M193" s="47">
        <f t="shared" si="47"/>
        <v>36738</v>
      </c>
      <c r="N193" s="47">
        <f t="shared" si="48"/>
        <v>36738</v>
      </c>
      <c r="O193">
        <v>1</v>
      </c>
      <c r="P193">
        <v>2</v>
      </c>
      <c r="Q193">
        <v>4</v>
      </c>
      <c r="R193">
        <v>4</v>
      </c>
      <c r="S193">
        <v>1</v>
      </c>
      <c r="T193">
        <v>2</v>
      </c>
      <c r="U193" s="48">
        <f t="shared" si="49"/>
        <v>0.12</v>
      </c>
      <c r="V193" s="47">
        <f t="shared" si="50"/>
        <v>4408.5599999999995</v>
      </c>
      <c r="W193" s="47">
        <f t="shared" si="51"/>
        <v>41146.56</v>
      </c>
      <c r="X193" s="47"/>
      <c r="Y193" s="47"/>
    </row>
    <row r="194" spans="1:25" ht="15.75" customHeight="1">
      <c r="A194" s="218"/>
      <c r="B194" s="73" t="s">
        <v>1443</v>
      </c>
      <c r="C194" s="35">
        <v>15000</v>
      </c>
      <c r="D194" s="35"/>
      <c r="E194" s="35"/>
      <c r="F194" s="47">
        <f t="shared" si="46"/>
        <v>15000</v>
      </c>
      <c r="G194" s="40">
        <v>40</v>
      </c>
      <c r="H194" s="40"/>
      <c r="I194" s="40"/>
      <c r="J194" s="40"/>
      <c r="K194" s="40"/>
      <c r="L194" s="40"/>
      <c r="M194" s="47">
        <f t="shared" si="47"/>
        <v>2686</v>
      </c>
      <c r="N194" s="47">
        <f t="shared" si="48"/>
        <v>17686</v>
      </c>
      <c r="O194" s="40">
        <v>1</v>
      </c>
      <c r="P194" s="40">
        <v>2</v>
      </c>
      <c r="Q194" s="40">
        <v>4</v>
      </c>
      <c r="R194" s="40">
        <v>4</v>
      </c>
      <c r="S194" s="40">
        <v>1</v>
      </c>
      <c r="T194" s="40">
        <v>2</v>
      </c>
      <c r="U194" s="48">
        <f t="shared" si="49"/>
        <v>0.12</v>
      </c>
      <c r="V194" s="47">
        <f t="shared" si="50"/>
        <v>2122.3199999999997</v>
      </c>
      <c r="W194" s="47">
        <f t="shared" si="51"/>
        <v>19808.32</v>
      </c>
      <c r="X194" s="47"/>
      <c r="Y194" s="47"/>
    </row>
    <row r="195" spans="1:25" ht="15.75" customHeight="1">
      <c r="A195" s="221" t="s">
        <v>1444</v>
      </c>
      <c r="B195" s="227" t="s">
        <v>604</v>
      </c>
      <c r="C195" s="35"/>
      <c r="D195" s="35">
        <v>470945</v>
      </c>
      <c r="E195" s="35"/>
      <c r="F195" s="47">
        <f t="shared" si="46"/>
        <v>470945</v>
      </c>
      <c r="G195" s="40">
        <v>80</v>
      </c>
      <c r="H195" s="40"/>
      <c r="I195" s="40"/>
      <c r="J195" s="40"/>
      <c r="K195" s="40"/>
      <c r="L195" s="40"/>
      <c r="M195" s="47">
        <f t="shared" si="47"/>
        <v>5372</v>
      </c>
      <c r="N195" s="47">
        <f t="shared" si="48"/>
        <v>476317</v>
      </c>
      <c r="O195">
        <v>6</v>
      </c>
      <c r="P195">
        <v>2</v>
      </c>
      <c r="Q195">
        <v>15</v>
      </c>
      <c r="R195">
        <v>4</v>
      </c>
      <c r="S195">
        <v>2</v>
      </c>
      <c r="T195">
        <v>4</v>
      </c>
      <c r="U195" s="48">
        <f t="shared" si="49"/>
        <v>0.39</v>
      </c>
      <c r="V195" s="47">
        <f t="shared" si="50"/>
        <v>185763.63</v>
      </c>
      <c r="W195" s="47">
        <f t="shared" si="51"/>
        <v>662080.63</v>
      </c>
      <c r="X195" s="47"/>
      <c r="Y195" s="47"/>
    </row>
    <row r="196" spans="1:28" ht="15.75" customHeight="1">
      <c r="A196" s="221"/>
      <c r="B196" s="8"/>
      <c r="C196" s="35"/>
      <c r="D196" s="35"/>
      <c r="E196" s="35"/>
      <c r="F196" s="47">
        <f t="shared" si="46"/>
        <v>0</v>
      </c>
      <c r="G196" s="40"/>
      <c r="H196" s="40"/>
      <c r="I196" s="40"/>
      <c r="J196" s="40"/>
      <c r="K196" s="40"/>
      <c r="L196" s="40"/>
      <c r="M196" s="47">
        <f t="shared" si="47"/>
        <v>0</v>
      </c>
      <c r="N196" s="47">
        <f t="shared" si="48"/>
        <v>0</v>
      </c>
      <c r="U196" s="48">
        <f t="shared" si="49"/>
        <v>0</v>
      </c>
      <c r="V196" s="47">
        <f t="shared" si="50"/>
        <v>0</v>
      </c>
      <c r="W196" s="47">
        <f t="shared" si="51"/>
        <v>0</v>
      </c>
      <c r="X196" s="47"/>
      <c r="Y196" s="47"/>
      <c r="AA196" s="14"/>
      <c r="AB196" s="14"/>
    </row>
    <row r="197" spans="1:25" ht="15.75" customHeight="1">
      <c r="A197" s="221" t="s">
        <v>1445</v>
      </c>
      <c r="B197" s="227" t="s">
        <v>1938</v>
      </c>
      <c r="C197" s="35">
        <v>7000</v>
      </c>
      <c r="D197" s="35">
        <v>338750</v>
      </c>
      <c r="E197" s="35"/>
      <c r="F197" s="47">
        <f>SUM(C197:E197)</f>
        <v>345750</v>
      </c>
      <c r="G197" s="40">
        <v>40</v>
      </c>
      <c r="H197" s="40"/>
      <c r="I197" s="40">
        <v>120</v>
      </c>
      <c r="J197" s="40"/>
      <c r="K197" s="40"/>
      <c r="L197" s="40"/>
      <c r="M197" s="47">
        <f>$G$3*G197+$H$3*H197+$I$3*I197+$J$3*J197+$K$3*K197+$L$3*L197</f>
        <v>9436</v>
      </c>
      <c r="N197" s="47">
        <f>M197+F197</f>
        <v>355186</v>
      </c>
      <c r="O197">
        <v>6</v>
      </c>
      <c r="P197">
        <v>2</v>
      </c>
      <c r="Q197">
        <v>8</v>
      </c>
      <c r="R197">
        <v>4</v>
      </c>
      <c r="S197">
        <v>2</v>
      </c>
      <c r="T197">
        <v>2</v>
      </c>
      <c r="U197" s="48">
        <f>((O197*P197)+Q197+(R197*S197)+T197)/100</f>
        <v>0.3</v>
      </c>
      <c r="V197" s="47">
        <f>+(F197+M197)*U197</f>
        <v>106555.8</v>
      </c>
      <c r="W197" s="47">
        <f>+F197+M197+V197</f>
        <v>461741.8</v>
      </c>
      <c r="X197" s="47"/>
      <c r="Y197" s="47"/>
    </row>
    <row r="198" spans="1:25" ht="15.75" customHeight="1">
      <c r="A198" s="221"/>
      <c r="B198" s="73" t="s">
        <v>852</v>
      </c>
      <c r="C198" s="35">
        <v>4000</v>
      </c>
      <c r="D198" s="35"/>
      <c r="E198" s="35"/>
      <c r="F198" s="47">
        <f>SUM(C198:E198)</f>
        <v>4000</v>
      </c>
      <c r="G198" s="40">
        <v>8</v>
      </c>
      <c r="H198" s="40"/>
      <c r="I198" s="40"/>
      <c r="J198" s="40">
        <v>272</v>
      </c>
      <c r="K198" s="40">
        <v>112</v>
      </c>
      <c r="L198" s="40"/>
      <c r="M198" s="47">
        <f>$G$3*G198+$H$3*H198+$I$3*I198+$J$3*J198+$K$3*K198+$L$3*L198</f>
        <v>22326.8</v>
      </c>
      <c r="N198" s="47">
        <f>M198+F198</f>
        <v>26326.8</v>
      </c>
      <c r="O198">
        <v>1</v>
      </c>
      <c r="P198">
        <v>2</v>
      </c>
      <c r="Q198">
        <v>8</v>
      </c>
      <c r="R198">
        <v>4</v>
      </c>
      <c r="S198">
        <v>1</v>
      </c>
      <c r="T198">
        <v>2</v>
      </c>
      <c r="U198" s="48">
        <f>((O198*P198)+Q198+(R198*S198)+T198)/100</f>
        <v>0.16</v>
      </c>
      <c r="V198" s="47">
        <f>+(F198+M198)*U198</f>
        <v>4212.288</v>
      </c>
      <c r="W198" s="47">
        <f>+F198+M198+V198</f>
        <v>30539.088</v>
      </c>
      <c r="X198" s="47"/>
      <c r="Y198" s="47"/>
    </row>
    <row r="199" spans="1:25" ht="15.75" customHeight="1">
      <c r="A199" s="221"/>
      <c r="B199" s="8"/>
      <c r="C199" s="35"/>
      <c r="D199" s="35"/>
      <c r="E199" s="35"/>
      <c r="F199" s="47">
        <f>SUM(C199:E199)</f>
        <v>0</v>
      </c>
      <c r="G199" s="40"/>
      <c r="H199" s="40"/>
      <c r="I199" s="40"/>
      <c r="J199" s="40"/>
      <c r="K199" s="40"/>
      <c r="L199" s="40"/>
      <c r="M199" s="47">
        <f>$G$3*G199+$H$3*H199+$I$3*I199+$J$3*J199+$K$3*K199+$L$3*L199</f>
        <v>0</v>
      </c>
      <c r="N199" s="47">
        <f>M199+F199</f>
        <v>0</v>
      </c>
      <c r="U199" s="48">
        <f>((O199*P199)+Q199+(R199*S199)+T199)/100</f>
        <v>0</v>
      </c>
      <c r="V199" s="47">
        <f>+(F199+M199)*U199</f>
        <v>0</v>
      </c>
      <c r="W199" s="47">
        <f>+F199+M199+V199</f>
        <v>0</v>
      </c>
      <c r="X199" s="47"/>
      <c r="Y199" s="47"/>
    </row>
    <row r="200" spans="1:25" ht="15.75" customHeight="1">
      <c r="A200" s="221"/>
      <c r="B200" s="227" t="s">
        <v>603</v>
      </c>
      <c r="C200" s="35"/>
      <c r="D200" s="35"/>
      <c r="E200" s="35"/>
      <c r="F200" s="47">
        <f>SUM(C200:E200)</f>
        <v>0</v>
      </c>
      <c r="G200" s="40"/>
      <c r="H200" s="40"/>
      <c r="I200" s="40"/>
      <c r="J200" s="40"/>
      <c r="K200" s="40"/>
      <c r="L200" s="40"/>
      <c r="M200" s="47">
        <f>$G$3*G200+$H$3*H200+$I$3*I200+$J$3*J200+$K$3*K200+$L$3*L200</f>
        <v>0</v>
      </c>
      <c r="N200" s="47">
        <f>M200+F200</f>
        <v>0</v>
      </c>
      <c r="U200" s="48">
        <f>((O200*P200)+Q200+(R200*S200)+T200)/100</f>
        <v>0</v>
      </c>
      <c r="V200" s="47">
        <f>+(F200+M200)*U200</f>
        <v>0</v>
      </c>
      <c r="W200" s="47">
        <f>+F200+M200+V200</f>
        <v>0</v>
      </c>
      <c r="X200" s="47"/>
      <c r="Y200" s="47"/>
    </row>
    <row r="201" spans="1:25" ht="15.75" customHeight="1">
      <c r="A201" s="221"/>
      <c r="B201" s="73" t="s">
        <v>874</v>
      </c>
      <c r="C201" s="35">
        <v>1725</v>
      </c>
      <c r="D201" s="35">
        <v>2170</v>
      </c>
      <c r="E201" s="35"/>
      <c r="F201" s="47">
        <f>SUM(C201:E201)</f>
        <v>3895</v>
      </c>
      <c r="G201" s="40">
        <v>10</v>
      </c>
      <c r="H201" s="40"/>
      <c r="I201" s="40">
        <v>8</v>
      </c>
      <c r="J201" s="40">
        <v>208</v>
      </c>
      <c r="K201" s="40">
        <v>3</v>
      </c>
      <c r="L201" s="40">
        <v>5</v>
      </c>
      <c r="M201" s="47">
        <f>$G$3*G201+$H$3*H201+$I$3*I201+$J$3*J201+$K$3*K201+$L$3*L201</f>
        <v>12747.65</v>
      </c>
      <c r="N201" s="47">
        <f>M201+F201</f>
        <v>16642.65</v>
      </c>
      <c r="O201" s="40">
        <v>3</v>
      </c>
      <c r="P201" s="40">
        <v>2</v>
      </c>
      <c r="Q201" s="40">
        <v>8</v>
      </c>
      <c r="R201" s="40">
        <v>1</v>
      </c>
      <c r="S201" s="40">
        <v>2</v>
      </c>
      <c r="T201" s="40">
        <v>4</v>
      </c>
      <c r="U201" s="48">
        <f>((O201*P201)+Q201+(R201*S201)+T201)/100</f>
        <v>0.2</v>
      </c>
      <c r="V201" s="47">
        <f>+(F201+M201)*U201</f>
        <v>3328.5300000000007</v>
      </c>
      <c r="W201" s="47">
        <f>+F201+M201+V201</f>
        <v>19971.18</v>
      </c>
      <c r="X201" s="47"/>
      <c r="Y201" s="47"/>
    </row>
    <row r="202" spans="1:25" ht="15.75" customHeight="1">
      <c r="A202" s="86" t="s">
        <v>1445</v>
      </c>
      <c r="B202" s="227" t="s">
        <v>605</v>
      </c>
      <c r="C202" s="35">
        <v>10000</v>
      </c>
      <c r="D202" s="35"/>
      <c r="E202" s="35"/>
      <c r="F202" s="47">
        <f t="shared" si="46"/>
        <v>10000</v>
      </c>
      <c r="G202" s="40"/>
      <c r="H202" s="40"/>
      <c r="I202" s="40"/>
      <c r="J202" s="40"/>
      <c r="K202" s="40">
        <v>240</v>
      </c>
      <c r="L202" s="40"/>
      <c r="M202" s="47">
        <f t="shared" si="47"/>
        <v>16092</v>
      </c>
      <c r="N202" s="47">
        <f t="shared" si="48"/>
        <v>26092</v>
      </c>
      <c r="O202" s="40">
        <v>1</v>
      </c>
      <c r="P202" s="40">
        <v>2</v>
      </c>
      <c r="Q202" s="40">
        <v>8</v>
      </c>
      <c r="R202" s="40">
        <v>4</v>
      </c>
      <c r="S202" s="40">
        <v>1</v>
      </c>
      <c r="T202" s="40">
        <v>2</v>
      </c>
      <c r="U202" s="48">
        <f t="shared" si="49"/>
        <v>0.16</v>
      </c>
      <c r="V202" s="47">
        <f t="shared" si="50"/>
        <v>4174.72</v>
      </c>
      <c r="W202" s="47">
        <f t="shared" si="51"/>
        <v>30266.72</v>
      </c>
      <c r="X202" s="47"/>
      <c r="Y202" s="47"/>
    </row>
    <row r="203" spans="1:25" ht="15.75" customHeight="1">
      <c r="A203" s="86" t="s">
        <v>1446</v>
      </c>
      <c r="B203" s="227" t="s">
        <v>1447</v>
      </c>
      <c r="C203" s="35"/>
      <c r="D203" s="35"/>
      <c r="E203" s="35"/>
      <c r="F203" s="47">
        <f t="shared" si="46"/>
        <v>0</v>
      </c>
      <c r="G203" s="40"/>
      <c r="H203" s="40"/>
      <c r="I203" s="40"/>
      <c r="J203" s="40"/>
      <c r="K203" s="40"/>
      <c r="L203" s="40"/>
      <c r="M203" s="47">
        <f t="shared" si="47"/>
        <v>0</v>
      </c>
      <c r="N203" s="47">
        <f t="shared" si="48"/>
        <v>0</v>
      </c>
      <c r="U203" s="48">
        <f t="shared" si="49"/>
        <v>0</v>
      </c>
      <c r="V203" s="47">
        <f t="shared" si="50"/>
        <v>0</v>
      </c>
      <c r="W203" s="47">
        <f t="shared" si="51"/>
        <v>0</v>
      </c>
      <c r="X203" s="47"/>
      <c r="Y203" s="47"/>
    </row>
    <row r="204" spans="1:25" ht="15.75" customHeight="1">
      <c r="A204" s="221"/>
      <c r="B204" s="73" t="s">
        <v>1448</v>
      </c>
      <c r="C204" s="35"/>
      <c r="D204" s="35">
        <v>60000</v>
      </c>
      <c r="E204" s="35"/>
      <c r="F204" s="47">
        <f t="shared" si="46"/>
        <v>60000</v>
      </c>
      <c r="G204" s="40"/>
      <c r="H204" s="40"/>
      <c r="I204" s="40"/>
      <c r="J204" s="40"/>
      <c r="K204" s="40"/>
      <c r="L204" s="40"/>
      <c r="M204" s="47">
        <f t="shared" si="47"/>
        <v>0</v>
      </c>
      <c r="N204" s="47">
        <f t="shared" si="48"/>
        <v>60000</v>
      </c>
      <c r="O204">
        <v>4</v>
      </c>
      <c r="P204">
        <v>2</v>
      </c>
      <c r="Q204">
        <v>8</v>
      </c>
      <c r="R204">
        <v>6</v>
      </c>
      <c r="S204">
        <v>2</v>
      </c>
      <c r="T204">
        <v>2</v>
      </c>
      <c r="U204" s="48">
        <f t="shared" si="49"/>
        <v>0.3</v>
      </c>
      <c r="V204" s="47">
        <f t="shared" si="50"/>
        <v>18000</v>
      </c>
      <c r="W204" s="47">
        <f t="shared" si="51"/>
        <v>78000</v>
      </c>
      <c r="X204" s="47"/>
      <c r="Y204" s="47"/>
    </row>
    <row r="205" spans="1:25" ht="15.75" customHeight="1">
      <c r="A205" s="221"/>
      <c r="B205" s="73" t="s">
        <v>1449</v>
      </c>
      <c r="C205" s="35">
        <v>15000</v>
      </c>
      <c r="D205" s="35"/>
      <c r="E205" s="35"/>
      <c r="F205" s="47">
        <f t="shared" si="46"/>
        <v>15000</v>
      </c>
      <c r="G205" s="40"/>
      <c r="H205" s="40"/>
      <c r="I205" s="40"/>
      <c r="J205" s="40"/>
      <c r="K205" s="40">
        <v>160</v>
      </c>
      <c r="L205" s="40"/>
      <c r="M205" s="47">
        <f t="shared" si="47"/>
        <v>10728</v>
      </c>
      <c r="N205" s="47">
        <f t="shared" si="48"/>
        <v>25728</v>
      </c>
      <c r="O205" s="40">
        <v>2</v>
      </c>
      <c r="P205" s="40">
        <v>2</v>
      </c>
      <c r="Q205" s="40">
        <v>8</v>
      </c>
      <c r="R205" s="40">
        <v>4</v>
      </c>
      <c r="S205" s="40">
        <v>1</v>
      </c>
      <c r="T205" s="40">
        <v>2</v>
      </c>
      <c r="U205" s="48">
        <f t="shared" si="49"/>
        <v>0.18</v>
      </c>
      <c r="V205" s="47">
        <f t="shared" si="50"/>
        <v>4631.04</v>
      </c>
      <c r="W205" s="47">
        <f t="shared" si="51"/>
        <v>30359.04</v>
      </c>
      <c r="X205" s="47"/>
      <c r="Y205" s="47"/>
    </row>
    <row r="206" spans="1:26" ht="15.75" customHeight="1">
      <c r="A206" s="221" t="s">
        <v>1450</v>
      </c>
      <c r="B206" s="227" t="s">
        <v>606</v>
      </c>
      <c r="C206" s="35">
        <v>20000</v>
      </c>
      <c r="D206" s="35"/>
      <c r="E206" s="35"/>
      <c r="F206" s="47">
        <f t="shared" si="46"/>
        <v>20000</v>
      </c>
      <c r="G206" s="40"/>
      <c r="H206" s="40"/>
      <c r="I206" s="40"/>
      <c r="J206" s="40"/>
      <c r="K206" s="40"/>
      <c r="L206" s="40"/>
      <c r="M206" s="47">
        <f t="shared" si="47"/>
        <v>0</v>
      </c>
      <c r="N206" s="47">
        <f t="shared" si="48"/>
        <v>20000</v>
      </c>
      <c r="O206">
        <v>1</v>
      </c>
      <c r="P206">
        <v>2</v>
      </c>
      <c r="Q206">
        <v>8</v>
      </c>
      <c r="R206">
        <v>4</v>
      </c>
      <c r="S206">
        <v>2</v>
      </c>
      <c r="T206">
        <v>2</v>
      </c>
      <c r="U206" s="48">
        <f t="shared" si="49"/>
        <v>0.2</v>
      </c>
      <c r="V206" s="47">
        <f t="shared" si="50"/>
        <v>4000</v>
      </c>
      <c r="W206" s="47">
        <f t="shared" si="51"/>
        <v>24000</v>
      </c>
      <c r="X206" s="47"/>
      <c r="Y206" s="47"/>
      <c r="Z206" t="s">
        <v>1455</v>
      </c>
    </row>
    <row r="207" spans="1:26" ht="15.75" customHeight="1">
      <c r="A207" s="220" t="s">
        <v>1451</v>
      </c>
      <c r="B207" s="227" t="s">
        <v>607</v>
      </c>
      <c r="C207" s="35"/>
      <c r="D207" s="35">
        <v>60000</v>
      </c>
      <c r="E207" s="35"/>
      <c r="F207" s="47">
        <f t="shared" si="46"/>
        <v>60000</v>
      </c>
      <c r="G207" s="40"/>
      <c r="H207" s="40"/>
      <c r="I207" s="40"/>
      <c r="J207" s="40"/>
      <c r="K207" s="40"/>
      <c r="L207" s="40"/>
      <c r="M207" s="47">
        <f t="shared" si="47"/>
        <v>0</v>
      </c>
      <c r="N207" s="47">
        <f t="shared" si="48"/>
        <v>60000</v>
      </c>
      <c r="O207">
        <v>1</v>
      </c>
      <c r="P207">
        <v>2</v>
      </c>
      <c r="Q207">
        <v>8</v>
      </c>
      <c r="R207">
        <v>4</v>
      </c>
      <c r="S207">
        <v>2</v>
      </c>
      <c r="T207">
        <v>2</v>
      </c>
      <c r="U207" s="48">
        <f t="shared" si="49"/>
        <v>0.2</v>
      </c>
      <c r="V207" s="47">
        <f t="shared" si="50"/>
        <v>12000</v>
      </c>
      <c r="W207" s="47">
        <f t="shared" si="51"/>
        <v>72000</v>
      </c>
      <c r="X207" s="47"/>
      <c r="Y207" s="47"/>
      <c r="Z207" t="s">
        <v>1456</v>
      </c>
    </row>
    <row r="208" spans="1:25" ht="15.75" customHeight="1">
      <c r="A208" s="221"/>
      <c r="B208" s="8"/>
      <c r="C208" s="35"/>
      <c r="D208" s="35"/>
      <c r="E208" s="35"/>
      <c r="F208" s="47">
        <f t="shared" si="46"/>
        <v>0</v>
      </c>
      <c r="G208" s="40"/>
      <c r="H208" s="40"/>
      <c r="I208" s="40"/>
      <c r="J208" s="40"/>
      <c r="K208" s="40"/>
      <c r="L208" s="40"/>
      <c r="M208" s="47">
        <f t="shared" si="47"/>
        <v>0</v>
      </c>
      <c r="N208" s="47">
        <f t="shared" si="48"/>
        <v>0</v>
      </c>
      <c r="U208" s="48">
        <f t="shared" si="49"/>
        <v>0</v>
      </c>
      <c r="V208" s="47">
        <f t="shared" si="50"/>
        <v>0</v>
      </c>
      <c r="W208" s="47">
        <f t="shared" si="51"/>
        <v>0</v>
      </c>
      <c r="X208" s="47"/>
      <c r="Y208" s="47"/>
    </row>
    <row r="209" spans="1:26" ht="15.75" customHeight="1">
      <c r="A209" s="220"/>
      <c r="B209" s="8"/>
      <c r="C209" s="35"/>
      <c r="D209" s="35"/>
      <c r="E209" s="35"/>
      <c r="F209" s="47">
        <f>SUM(C209:E209)</f>
        <v>0</v>
      </c>
      <c r="G209" s="40"/>
      <c r="H209" s="40"/>
      <c r="I209" s="40"/>
      <c r="J209" s="40"/>
      <c r="K209" s="40"/>
      <c r="L209" s="40"/>
      <c r="M209" s="47">
        <f>$G$3*G209+$H$3*H209+$I$3*I209+$J$3*J209+$K$3*K209+$L$3*L209</f>
        <v>0</v>
      </c>
      <c r="N209" s="47">
        <f>M209+F209</f>
        <v>0</v>
      </c>
      <c r="U209" s="48">
        <f>((O209*P209)+Q209+(R209*S209)+T209)/100</f>
        <v>0</v>
      </c>
      <c r="V209" s="47">
        <f>+(F209+M209)*U209</f>
        <v>0</v>
      </c>
      <c r="W209" s="47">
        <f>+F209+M209+V209</f>
        <v>0</v>
      </c>
      <c r="X209" s="47"/>
      <c r="Y209" s="47"/>
      <c r="Z209" s="14"/>
    </row>
    <row r="210" spans="1:25" ht="15.75" customHeight="1">
      <c r="A210" s="221"/>
      <c r="B210" s="8" t="s">
        <v>666</v>
      </c>
      <c r="F210" s="49"/>
      <c r="G210" s="50">
        <f aca="true" t="shared" si="52" ref="G210:L210">SUM(G7:G209)</f>
        <v>9192</v>
      </c>
      <c r="H210" s="50">
        <f t="shared" si="52"/>
        <v>6094</v>
      </c>
      <c r="I210" s="50">
        <f t="shared" si="52"/>
        <v>3532</v>
      </c>
      <c r="J210" s="50">
        <f t="shared" si="52"/>
        <v>19356</v>
      </c>
      <c r="K210" s="50">
        <f t="shared" si="52"/>
        <v>9759</v>
      </c>
      <c r="L210" s="50">
        <f t="shared" si="52"/>
        <v>805</v>
      </c>
      <c r="M210" s="49"/>
      <c r="N210" s="49"/>
      <c r="U210" s="48">
        <f>((O210*P210)+Q210+(R210*S210)+T210)/100</f>
        <v>0</v>
      </c>
      <c r="V210" s="49"/>
      <c r="W210" s="49"/>
      <c r="X210" s="49"/>
      <c r="Y210" s="49"/>
    </row>
    <row r="211" spans="1:25" ht="15.75" customHeight="1">
      <c r="A211" s="221"/>
      <c r="B211" s="8" t="s">
        <v>877</v>
      </c>
      <c r="F211" s="49"/>
      <c r="G211" s="51">
        <f aca="true" t="shared" si="53" ref="G211:L211">G210/1755</f>
        <v>5.237606837606838</v>
      </c>
      <c r="H211" s="51">
        <f t="shared" si="53"/>
        <v>3.472364672364672</v>
      </c>
      <c r="I211" s="51">
        <f t="shared" si="53"/>
        <v>2.0125356125356126</v>
      </c>
      <c r="J211" s="51">
        <f t="shared" si="53"/>
        <v>11.029059829059829</v>
      </c>
      <c r="K211" s="51">
        <f t="shared" si="53"/>
        <v>5.5606837606837605</v>
      </c>
      <c r="L211" s="51">
        <f t="shared" si="53"/>
        <v>0.4586894586894587</v>
      </c>
      <c r="M211" s="49"/>
      <c r="N211" s="49"/>
      <c r="U211" s="48"/>
      <c r="V211" s="49"/>
      <c r="W211" s="49"/>
      <c r="X211" s="49"/>
      <c r="Y211" s="49"/>
    </row>
    <row r="212" spans="1:25" ht="15.75" customHeight="1">
      <c r="A212" s="221"/>
      <c r="B212" s="8"/>
      <c r="F212" s="49"/>
      <c r="G212" s="40"/>
      <c r="H212" s="40"/>
      <c r="I212" s="40"/>
      <c r="J212" s="40"/>
      <c r="K212" s="40"/>
      <c r="L212" s="40"/>
      <c r="M212" s="49"/>
      <c r="N212" s="49"/>
      <c r="U212" s="48"/>
      <c r="V212" s="49"/>
      <c r="W212" s="49"/>
      <c r="X212" s="49"/>
      <c r="Y212" s="49"/>
    </row>
    <row r="213" spans="1:26" ht="15.75" customHeight="1">
      <c r="A213" s="221"/>
      <c r="B213" s="8" t="s">
        <v>885</v>
      </c>
      <c r="C213" s="47">
        <f>SUM(C7:C209)</f>
        <v>1099929</v>
      </c>
      <c r="D213" s="47">
        <f>SUM(D7:D209)</f>
        <v>2748400</v>
      </c>
      <c r="E213" s="47">
        <f>SUM(E7:E210)</f>
        <v>0</v>
      </c>
      <c r="F213" s="52">
        <f>SUM(F7:F207)</f>
        <v>3846529</v>
      </c>
      <c r="G213" s="47">
        <f aca="true" t="shared" si="54" ref="G213:L213">G210*G3</f>
        <v>617242.8</v>
      </c>
      <c r="H213" s="47">
        <f t="shared" si="54"/>
        <v>546327.1</v>
      </c>
      <c r="I213" s="47">
        <f t="shared" si="54"/>
        <v>198675</v>
      </c>
      <c r="J213" s="47">
        <f t="shared" si="54"/>
        <v>1016190</v>
      </c>
      <c r="K213" s="47">
        <f t="shared" si="54"/>
        <v>654340.95</v>
      </c>
      <c r="L213" s="47">
        <f t="shared" si="54"/>
        <v>81305</v>
      </c>
      <c r="M213" s="52">
        <f>SUM(M11:M209)</f>
        <v>3114080.849999999</v>
      </c>
      <c r="N213" s="52">
        <f>SUM(N11:N209)</f>
        <v>6960609.85</v>
      </c>
      <c r="O213" s="49"/>
      <c r="P213" s="49"/>
      <c r="Q213" s="49"/>
      <c r="R213" s="49"/>
      <c r="S213" s="49"/>
      <c r="T213" s="49"/>
      <c r="U213" s="53">
        <f>+V213/N213</f>
        <v>0.23827947977862887</v>
      </c>
      <c r="V213" s="52">
        <f>SUM(V7:V210)</f>
        <v>1658570.494</v>
      </c>
      <c r="W213" s="52">
        <f>SUM(W7:W210)</f>
        <v>8619180.344000002</v>
      </c>
      <c r="X213" s="52">
        <f>SUM(X7:X210)</f>
        <v>6960609.850000001</v>
      </c>
      <c r="Y213" s="52">
        <f>SUM(Y7:Y210)</f>
        <v>8619180.343999999</v>
      </c>
      <c r="Z213" s="35">
        <f>W213-V213</f>
        <v>6960609.850000002</v>
      </c>
    </row>
    <row r="214" spans="1:25" ht="15.75" customHeight="1">
      <c r="A214" s="220"/>
      <c r="B214" s="8"/>
      <c r="C214" s="47"/>
      <c r="D214" s="47"/>
      <c r="E214" s="47"/>
      <c r="F214" s="47">
        <f>SUM(C214:E214)</f>
        <v>0</v>
      </c>
      <c r="G214" s="50"/>
      <c r="H214" s="50"/>
      <c r="I214" s="50"/>
      <c r="J214" s="50"/>
      <c r="K214" s="50"/>
      <c r="L214" s="50"/>
      <c r="M214" s="47">
        <f>$G$3*G214+$H$3*H214+$I$3*I214+$J$3*J214+$K$3*K214+$L$3*L214</f>
        <v>0</v>
      </c>
      <c r="N214" s="47"/>
      <c r="O214" s="49"/>
      <c r="P214" s="49"/>
      <c r="Q214" s="49"/>
      <c r="R214" s="49"/>
      <c r="S214" s="49"/>
      <c r="T214" s="49"/>
      <c r="U214" s="48"/>
      <c r="V214" s="47">
        <f>+(F214+M214)*U214</f>
        <v>0</v>
      </c>
      <c r="W214" s="47">
        <f>+F214+M214+V214</f>
        <v>0</v>
      </c>
      <c r="X214" s="47"/>
      <c r="Y214" s="47"/>
    </row>
    <row r="215" spans="1:26" ht="15.75" customHeight="1">
      <c r="A215" s="220"/>
      <c r="B215" s="8" t="s">
        <v>886</v>
      </c>
      <c r="C215" s="54">
        <f>'Labor and Indirect Rates (NSF)'!F73</f>
        <v>0.25725</v>
      </c>
      <c r="D215" s="54">
        <f>'Labor and Indirect Rates (NSF)'!F86</f>
        <v>0.1372500000000001</v>
      </c>
      <c r="E215" s="54"/>
      <c r="F215" s="54"/>
      <c r="G215" s="54">
        <f>'Labor and Indirect Rates (NSF)'!$F$36</f>
        <v>0.4022212700000001</v>
      </c>
      <c r="H215" s="54">
        <f>'Labor and Indirect Rates (NSF)'!$F$36</f>
        <v>0.4022212700000001</v>
      </c>
      <c r="I215" s="54">
        <f>'Labor and Indirect Rates (NSF)'!$F$36</f>
        <v>0.4022212700000001</v>
      </c>
      <c r="J215" s="54">
        <f>'Labor and Indirect Rates (NSF)'!$F$36</f>
        <v>0.4022212700000001</v>
      </c>
      <c r="K215" s="54">
        <f>'Labor and Indirect Rates (NSF)'!F59</f>
        <v>0.1200000000000001</v>
      </c>
      <c r="L215" s="54">
        <f>'Labor and Indirect Rates (NSF)'!F59</f>
        <v>0.1200000000000001</v>
      </c>
      <c r="M215" s="54"/>
      <c r="N215" s="54"/>
      <c r="O215" s="54"/>
      <c r="P215" s="54"/>
      <c r="Q215" s="54"/>
      <c r="R215" s="54"/>
      <c r="S215" s="54"/>
      <c r="T215" s="54"/>
      <c r="U215" s="54"/>
      <c r="V215" s="54">
        <f>+(F215+M215)*U215</f>
        <v>0</v>
      </c>
      <c r="W215" s="54">
        <f>+F215+M215+V215</f>
        <v>0</v>
      </c>
      <c r="X215" s="54"/>
      <c r="Y215" s="54"/>
      <c r="Z215" s="14"/>
    </row>
    <row r="216" spans="1:25" ht="15.75" customHeight="1">
      <c r="A216" s="220"/>
      <c r="B216" s="8"/>
      <c r="C216" s="47"/>
      <c r="D216" s="47"/>
      <c r="E216" s="47"/>
      <c r="F216" s="47">
        <f>SUM(C216:E216)</f>
        <v>0</v>
      </c>
      <c r="G216" s="50"/>
      <c r="H216" s="50"/>
      <c r="I216" s="50"/>
      <c r="J216" s="50"/>
      <c r="K216" s="50"/>
      <c r="L216" s="50"/>
      <c r="M216" s="47">
        <f>$G$3*G216+$H$3*H216+$I$3*I216+$J$3*J216+$K$3*K216+$L$3*L216</f>
        <v>0</v>
      </c>
      <c r="N216" s="47"/>
      <c r="O216" s="49"/>
      <c r="P216" s="49"/>
      <c r="Q216" s="49"/>
      <c r="R216" s="49"/>
      <c r="S216" s="49"/>
      <c r="T216" s="49"/>
      <c r="U216" s="48"/>
      <c r="V216" s="47">
        <f>+(F216+M216)*U216</f>
        <v>0</v>
      </c>
      <c r="W216" s="47">
        <f>+F216+M216+V216</f>
        <v>0</v>
      </c>
      <c r="X216" s="47"/>
      <c r="Y216" s="47"/>
    </row>
    <row r="217" spans="1:26" ht="15.75" customHeight="1">
      <c r="A217" s="221"/>
      <c r="B217" s="8" t="s">
        <v>887</v>
      </c>
      <c r="C217" s="55">
        <f>C213*(1+C215)</f>
        <v>1382885.73525</v>
      </c>
      <c r="D217" s="55">
        <f>D213*(1+D215)</f>
        <v>3125617.9000000004</v>
      </c>
      <c r="E217" s="49"/>
      <c r="F217" s="56">
        <f>SUM(C217:E217)</f>
        <v>4508503.63525</v>
      </c>
      <c r="G217" s="55">
        <f aca="true" t="shared" si="55" ref="G217:L217">G213*(1+G215)</f>
        <v>865510.9829143562</v>
      </c>
      <c r="H217" s="55">
        <f t="shared" si="55"/>
        <v>766071.479997417</v>
      </c>
      <c r="I217" s="55">
        <f t="shared" si="55"/>
        <v>278586.31081725</v>
      </c>
      <c r="J217" s="55">
        <f t="shared" si="55"/>
        <v>1424923.2323613001</v>
      </c>
      <c r="K217" s="55">
        <f t="shared" si="55"/>
        <v>732861.8640000001</v>
      </c>
      <c r="L217" s="55">
        <f t="shared" si="55"/>
        <v>91061.6</v>
      </c>
      <c r="M217" s="56">
        <f>SUM(G217:L217)</f>
        <v>4159015.4700903236</v>
      </c>
      <c r="N217" s="56">
        <f>M217+F217</f>
        <v>8667519.105340324</v>
      </c>
      <c r="O217" s="49"/>
      <c r="P217" s="49"/>
      <c r="Q217" s="49"/>
      <c r="R217" s="49"/>
      <c r="S217" s="49"/>
      <c r="T217" s="49"/>
      <c r="U217" s="48">
        <f>U213</f>
        <v>0.23827947977862887</v>
      </c>
      <c r="V217" s="56">
        <f>N217*U213</f>
        <v>2065291.9433918193</v>
      </c>
      <c r="W217" s="52">
        <f>N217+V217</f>
        <v>10732811.048732143</v>
      </c>
      <c r="X217" s="52"/>
      <c r="Y217" s="52"/>
      <c r="Z217" s="35"/>
    </row>
    <row r="218" ht="15.75" customHeight="1">
      <c r="A218" s="221"/>
    </row>
    <row r="219" ht="15.75" customHeight="1">
      <c r="A219" s="221"/>
    </row>
    <row r="220" ht="15.75" customHeight="1">
      <c r="A220" s="221"/>
    </row>
    <row r="221" ht="15.75" customHeight="1">
      <c r="A221" s="221"/>
    </row>
    <row r="222" spans="1:12" ht="15.75" customHeight="1">
      <c r="A222" s="221"/>
      <c r="G222" s="40"/>
      <c r="H222" s="40"/>
      <c r="I222" s="40"/>
      <c r="J222" s="40"/>
      <c r="K222" s="40"/>
      <c r="L222" s="40"/>
    </row>
    <row r="223" ht="15.75" customHeight="1">
      <c r="A223" s="221"/>
    </row>
    <row r="224" ht="15.75" customHeight="1">
      <c r="A224" s="221"/>
    </row>
    <row r="225" ht="15.75" customHeight="1">
      <c r="A225" s="221"/>
    </row>
    <row r="226" ht="15.75" customHeight="1">
      <c r="A226" s="221"/>
    </row>
    <row r="227" ht="15.75" customHeight="1">
      <c r="A227" s="221"/>
    </row>
    <row r="228" ht="15.75" customHeight="1">
      <c r="A228" s="221"/>
    </row>
    <row r="229" ht="15.75" customHeight="1">
      <c r="A229" s="221"/>
    </row>
    <row r="230" ht="15.75" customHeight="1">
      <c r="A230" s="221"/>
    </row>
    <row r="231" ht="15.75" customHeight="1">
      <c r="A231" s="221"/>
    </row>
    <row r="232" ht="15.75" customHeight="1">
      <c r="A232" s="221"/>
    </row>
    <row r="233" ht="15.75" customHeight="1">
      <c r="A233" s="221"/>
    </row>
    <row r="234" ht="15.75" customHeight="1">
      <c r="A234" s="221"/>
    </row>
    <row r="235" ht="15.75" customHeight="1">
      <c r="A235" s="221"/>
    </row>
    <row r="236" ht="15.75" customHeight="1">
      <c r="A236" s="221"/>
    </row>
    <row r="237" ht="15.75" customHeight="1">
      <c r="A237" s="221"/>
    </row>
    <row r="238" ht="15.75" customHeight="1">
      <c r="A238" s="221"/>
    </row>
    <row r="239" ht="15.75" customHeight="1">
      <c r="A239" s="221"/>
    </row>
    <row r="240" ht="15.75" customHeight="1">
      <c r="A240" s="221"/>
    </row>
    <row r="241" ht="15.75" customHeight="1">
      <c r="A241" s="221"/>
    </row>
    <row r="242" ht="15.75" customHeight="1">
      <c r="A242" s="221"/>
    </row>
    <row r="243" ht="15.75" customHeight="1">
      <c r="A243" s="221"/>
    </row>
    <row r="244" ht="15.75" customHeight="1">
      <c r="A244" s="221"/>
    </row>
    <row r="245" ht="15.75" customHeight="1">
      <c r="A245" s="221"/>
    </row>
    <row r="246" ht="15.75" customHeight="1">
      <c r="A246" s="221"/>
    </row>
    <row r="247" ht="15.75" customHeight="1">
      <c r="A247" s="221"/>
    </row>
    <row r="248" ht="15.75" customHeight="1">
      <c r="A248" s="221"/>
    </row>
    <row r="249" ht="15.75" customHeight="1">
      <c r="A249" s="221"/>
    </row>
    <row r="250" ht="15.75" customHeight="1">
      <c r="A250" s="221"/>
    </row>
    <row r="251" ht="15.75" customHeight="1">
      <c r="A251" s="221"/>
    </row>
    <row r="252" ht="15.75" customHeight="1">
      <c r="A252" s="221"/>
    </row>
    <row r="253" ht="15.75" customHeight="1">
      <c r="A253" s="221"/>
    </row>
    <row r="254" ht="15.75" customHeight="1">
      <c r="A254" s="221"/>
    </row>
    <row r="255" ht="15.75" customHeight="1">
      <c r="A255" s="221"/>
    </row>
    <row r="256" ht="15.75" customHeight="1">
      <c r="A256" s="221"/>
    </row>
    <row r="257" ht="15.75" customHeight="1">
      <c r="A257" s="221"/>
    </row>
    <row r="258" ht="15.75" customHeight="1">
      <c r="A258" s="221"/>
    </row>
    <row r="259" ht="15.75" customHeight="1">
      <c r="A259" s="221"/>
    </row>
    <row r="260" ht="15.75" customHeight="1">
      <c r="A260" s="221"/>
    </row>
    <row r="261" spans="1:25" ht="15.75" customHeight="1">
      <c r="A261" s="221"/>
      <c r="B261" s="8"/>
      <c r="F261" s="35">
        <f>SUM(C261:E261)</f>
        <v>0</v>
      </c>
      <c r="M261" s="35">
        <f>$G$3*G261+$H$3*H261+$I$3*I261+$J$3*J261+$K$3*K261+$L$3*L261</f>
        <v>0</v>
      </c>
      <c r="N261" s="35"/>
      <c r="U261" s="19">
        <f>((O261*P261)+Q261+(R261*S261)+T261)/100</f>
        <v>0</v>
      </c>
      <c r="V261" s="35">
        <f>+(F261+M261)*U261</f>
        <v>0</v>
      </c>
      <c r="W261" s="35">
        <f>+F261+M261+V261</f>
        <v>0</v>
      </c>
      <c r="X261" s="35"/>
      <c r="Y261" s="35"/>
    </row>
    <row r="262" spans="1:25" ht="15.75" customHeight="1">
      <c r="A262" s="221"/>
      <c r="B262" s="8"/>
      <c r="F262" s="35">
        <f>SUM(C262:E262)</f>
        <v>0</v>
      </c>
      <c r="M262" s="35">
        <f>$G$3*G262+$H$3*H262+$I$3*I262+$J$3*J262+$K$3*K262+$L$3*L262</f>
        <v>0</v>
      </c>
      <c r="N262" s="35"/>
      <c r="U262" s="19">
        <f>((O262*P262)+Q262+(R262*S262)+T262)/100</f>
        <v>0</v>
      </c>
      <c r="V262" s="35">
        <f>+(F262+M262)*U262</f>
        <v>0</v>
      </c>
      <c r="W262" s="35">
        <f>+F262+M262+V262</f>
        <v>0</v>
      </c>
      <c r="X262" s="35"/>
      <c r="Y262" s="35"/>
    </row>
    <row r="263" spans="1:25" ht="15.75" customHeight="1">
      <c r="A263" s="221"/>
      <c r="B263" s="8"/>
      <c r="F263" s="35">
        <f>SUM(C263:E263)</f>
        <v>0</v>
      </c>
      <c r="M263" s="35">
        <f>$G$3*G263+$H$3*H263+$I$3*I263+$J$3*J263+$K$3*K263+$L$3*L263</f>
        <v>0</v>
      </c>
      <c r="N263" s="35"/>
      <c r="U263" s="19">
        <f>((O263*P263)+Q263+(R263*S263)+T263)/100</f>
        <v>0</v>
      </c>
      <c r="V263" s="35">
        <f>+(F263+M263)*U263</f>
        <v>0</v>
      </c>
      <c r="W263" s="35">
        <f>+F263+M263+V263</f>
        <v>0</v>
      </c>
      <c r="X263" s="35"/>
      <c r="Y263" s="35"/>
    </row>
    <row r="264" ht="15.75" customHeight="1">
      <c r="A264" s="221"/>
    </row>
    <row r="265" ht="15.75" customHeight="1">
      <c r="A265" s="221"/>
    </row>
    <row r="266" spans="1:25" ht="15.75" customHeight="1">
      <c r="A266" s="221"/>
      <c r="B266" s="8"/>
      <c r="F266" s="35">
        <f aca="true" t="shared" si="56" ref="F266:F277">SUM(C266:E266)</f>
        <v>0</v>
      </c>
      <c r="M266" s="35">
        <f aca="true" t="shared" si="57" ref="M266:M277">$G$3*G266+$H$3*H266+$I$3*I266+$J$3*J266+$K$3*K266+$L$3*L266</f>
        <v>0</v>
      </c>
      <c r="N266" s="35"/>
      <c r="U266" s="19">
        <f aca="true" t="shared" si="58" ref="U266:U278">((O266*P266)+Q266+(R266*S266)+T266)/100</f>
        <v>0</v>
      </c>
      <c r="V266" s="35">
        <f aca="true" t="shared" si="59" ref="V266:V277">+(F266+M266)*U266</f>
        <v>0</v>
      </c>
      <c r="W266" s="35">
        <f aca="true" t="shared" si="60" ref="W266:W277">+F266+M266+V266</f>
        <v>0</v>
      </c>
      <c r="X266" s="35"/>
      <c r="Y266" s="35"/>
    </row>
    <row r="267" spans="1:25" ht="15.75" customHeight="1">
      <c r="A267" s="221"/>
      <c r="B267" s="8"/>
      <c r="F267" s="35">
        <f t="shared" si="56"/>
        <v>0</v>
      </c>
      <c r="M267" s="35">
        <f t="shared" si="57"/>
        <v>0</v>
      </c>
      <c r="N267" s="35"/>
      <c r="U267" s="19">
        <f t="shared" si="58"/>
        <v>0</v>
      </c>
      <c r="V267" s="35">
        <f t="shared" si="59"/>
        <v>0</v>
      </c>
      <c r="W267" s="35">
        <f t="shared" si="60"/>
        <v>0</v>
      </c>
      <c r="X267" s="35"/>
      <c r="Y267" s="35"/>
    </row>
    <row r="268" spans="1:25" ht="15.75" customHeight="1">
      <c r="A268" s="221"/>
      <c r="B268" s="8"/>
      <c r="F268" s="35">
        <f t="shared" si="56"/>
        <v>0</v>
      </c>
      <c r="M268" s="35">
        <f t="shared" si="57"/>
        <v>0</v>
      </c>
      <c r="N268" s="35"/>
      <c r="U268" s="19">
        <f t="shared" si="58"/>
        <v>0</v>
      </c>
      <c r="V268" s="35">
        <f t="shared" si="59"/>
        <v>0</v>
      </c>
      <c r="W268" s="35">
        <f t="shared" si="60"/>
        <v>0</v>
      </c>
      <c r="X268" s="35"/>
      <c r="Y268" s="35"/>
    </row>
    <row r="269" spans="1:25" ht="15.75" customHeight="1">
      <c r="A269" s="221"/>
      <c r="B269" s="8"/>
      <c r="F269" s="35">
        <f t="shared" si="56"/>
        <v>0</v>
      </c>
      <c r="M269" s="35">
        <f t="shared" si="57"/>
        <v>0</v>
      </c>
      <c r="N269" s="35"/>
      <c r="U269" s="19">
        <f t="shared" si="58"/>
        <v>0</v>
      </c>
      <c r="V269" s="35">
        <f t="shared" si="59"/>
        <v>0</v>
      </c>
      <c r="W269" s="35">
        <f t="shared" si="60"/>
        <v>0</v>
      </c>
      <c r="X269" s="35"/>
      <c r="Y269" s="35"/>
    </row>
    <row r="270" spans="1:25" ht="15.75" customHeight="1">
      <c r="A270" s="221"/>
      <c r="B270" s="8"/>
      <c r="F270" s="35">
        <f t="shared" si="56"/>
        <v>0</v>
      </c>
      <c r="M270" s="35">
        <f t="shared" si="57"/>
        <v>0</v>
      </c>
      <c r="N270" s="35"/>
      <c r="U270" s="19">
        <f t="shared" si="58"/>
        <v>0</v>
      </c>
      <c r="V270" s="35">
        <f t="shared" si="59"/>
        <v>0</v>
      </c>
      <c r="W270" s="35">
        <f t="shared" si="60"/>
        <v>0</v>
      </c>
      <c r="X270" s="35"/>
      <c r="Y270" s="35"/>
    </row>
    <row r="271" spans="1:25" ht="15.75" customHeight="1">
      <c r="A271" s="221"/>
      <c r="B271" s="8"/>
      <c r="F271" s="35">
        <f t="shared" si="56"/>
        <v>0</v>
      </c>
      <c r="M271" s="35">
        <f t="shared" si="57"/>
        <v>0</v>
      </c>
      <c r="N271" s="35"/>
      <c r="U271" s="19">
        <f t="shared" si="58"/>
        <v>0</v>
      </c>
      <c r="V271" s="35">
        <f t="shared" si="59"/>
        <v>0</v>
      </c>
      <c r="W271" s="35">
        <f t="shared" si="60"/>
        <v>0</v>
      </c>
      <c r="X271" s="35"/>
      <c r="Y271" s="35"/>
    </row>
    <row r="272" spans="1:25" ht="15.75" customHeight="1">
      <c r="A272" s="221"/>
      <c r="B272" s="8"/>
      <c r="F272" s="35">
        <f t="shared" si="56"/>
        <v>0</v>
      </c>
      <c r="M272" s="35">
        <f t="shared" si="57"/>
        <v>0</v>
      </c>
      <c r="N272" s="35"/>
      <c r="U272" s="19">
        <f t="shared" si="58"/>
        <v>0</v>
      </c>
      <c r="V272" s="35">
        <f t="shared" si="59"/>
        <v>0</v>
      </c>
      <c r="W272" s="35">
        <f t="shared" si="60"/>
        <v>0</v>
      </c>
      <c r="X272" s="35"/>
      <c r="Y272" s="35"/>
    </row>
    <row r="273" spans="1:25" ht="15.75" customHeight="1">
      <c r="A273" s="221"/>
      <c r="B273" s="8"/>
      <c r="F273" s="35">
        <f t="shared" si="56"/>
        <v>0</v>
      </c>
      <c r="M273" s="35">
        <f t="shared" si="57"/>
        <v>0</v>
      </c>
      <c r="N273" s="35"/>
      <c r="U273" s="19">
        <f t="shared" si="58"/>
        <v>0</v>
      </c>
      <c r="V273" s="35">
        <f t="shared" si="59"/>
        <v>0</v>
      </c>
      <c r="W273" s="35">
        <f t="shared" si="60"/>
        <v>0</v>
      </c>
      <c r="X273" s="35"/>
      <c r="Y273" s="35"/>
    </row>
    <row r="274" spans="1:25" ht="15.75" customHeight="1">
      <c r="A274" s="221"/>
      <c r="B274" s="8"/>
      <c r="F274" s="35">
        <f t="shared" si="56"/>
        <v>0</v>
      </c>
      <c r="M274" s="35">
        <f t="shared" si="57"/>
        <v>0</v>
      </c>
      <c r="N274" s="35"/>
      <c r="U274" s="19">
        <f t="shared" si="58"/>
        <v>0</v>
      </c>
      <c r="V274" s="35">
        <f t="shared" si="59"/>
        <v>0</v>
      </c>
      <c r="W274" s="35">
        <f t="shared" si="60"/>
        <v>0</v>
      </c>
      <c r="X274" s="35"/>
      <c r="Y274" s="35"/>
    </row>
    <row r="275" spans="1:25" ht="15.75" customHeight="1">
      <c r="A275" s="221"/>
      <c r="B275" s="8"/>
      <c r="F275" s="35">
        <f t="shared" si="56"/>
        <v>0</v>
      </c>
      <c r="M275" s="35">
        <f t="shared" si="57"/>
        <v>0</v>
      </c>
      <c r="N275" s="35"/>
      <c r="U275" s="19">
        <f t="shared" si="58"/>
        <v>0</v>
      </c>
      <c r="V275" s="35">
        <f t="shared" si="59"/>
        <v>0</v>
      </c>
      <c r="W275" s="35">
        <f t="shared" si="60"/>
        <v>0</v>
      </c>
      <c r="X275" s="35"/>
      <c r="Y275" s="35"/>
    </row>
    <row r="276" spans="1:25" ht="15.75" customHeight="1">
      <c r="A276" s="221"/>
      <c r="B276" s="8"/>
      <c r="F276" s="35">
        <f t="shared" si="56"/>
        <v>0</v>
      </c>
      <c r="M276" s="35">
        <f t="shared" si="57"/>
        <v>0</v>
      </c>
      <c r="N276" s="35"/>
      <c r="U276" s="19">
        <f t="shared" si="58"/>
        <v>0</v>
      </c>
      <c r="V276" s="35">
        <f t="shared" si="59"/>
        <v>0</v>
      </c>
      <c r="W276" s="35">
        <f t="shared" si="60"/>
        <v>0</v>
      </c>
      <c r="X276" s="35"/>
      <c r="Y276" s="35"/>
    </row>
    <row r="277" spans="1:25" ht="15.75" customHeight="1">
      <c r="A277" s="221"/>
      <c r="B277" s="8"/>
      <c r="F277" s="35">
        <f t="shared" si="56"/>
        <v>0</v>
      </c>
      <c r="M277" s="35">
        <f t="shared" si="57"/>
        <v>0</v>
      </c>
      <c r="N277" s="35"/>
      <c r="U277" s="19">
        <f t="shared" si="58"/>
        <v>0</v>
      </c>
      <c r="V277" s="35">
        <f t="shared" si="59"/>
        <v>0</v>
      </c>
      <c r="W277" s="35">
        <f t="shared" si="60"/>
        <v>0</v>
      </c>
      <c r="X277" s="35"/>
      <c r="Y277" s="35"/>
    </row>
    <row r="278" spans="1:21" ht="15.75" customHeight="1">
      <c r="A278" s="221"/>
      <c r="B278" s="8"/>
      <c r="U278" s="19">
        <f t="shared" si="58"/>
        <v>0</v>
      </c>
    </row>
    <row r="279" ht="15.75" customHeight="1">
      <c r="A279" s="221"/>
    </row>
    <row r="280" ht="15.75" customHeight="1">
      <c r="A280" s="221"/>
    </row>
    <row r="281" ht="15.75" customHeight="1">
      <c r="A281" s="221"/>
    </row>
    <row r="282" ht="15.75" customHeight="1">
      <c r="A282" s="221"/>
    </row>
    <row r="283" ht="15.75" customHeight="1">
      <c r="A283" s="221"/>
    </row>
    <row r="284" ht="15.75" customHeight="1">
      <c r="A284" s="221"/>
    </row>
    <row r="285" ht="15.75" customHeight="1">
      <c r="A285" s="221"/>
    </row>
    <row r="286" ht="15.75" customHeight="1">
      <c r="A286" s="221"/>
    </row>
    <row r="287" ht="15.75" customHeight="1">
      <c r="A287" s="221"/>
    </row>
    <row r="288" ht="15.75" customHeight="1">
      <c r="A288" s="221"/>
    </row>
    <row r="289" ht="15.75" customHeight="1">
      <c r="A289" s="221"/>
    </row>
    <row r="290" ht="15.75" customHeight="1">
      <c r="A290" s="221"/>
    </row>
    <row r="291" ht="15.75" customHeight="1">
      <c r="A291" s="221"/>
    </row>
    <row r="292" ht="15.75" customHeight="1">
      <c r="A292" s="221"/>
    </row>
    <row r="293" ht="15.75" customHeight="1">
      <c r="A293" s="221"/>
    </row>
    <row r="294" ht="15.75" customHeight="1">
      <c r="A294" s="221"/>
    </row>
    <row r="295" ht="15.75" customHeight="1">
      <c r="A295" s="221"/>
    </row>
    <row r="296" ht="15.75" customHeight="1">
      <c r="A296" s="221"/>
    </row>
    <row r="297" ht="15.75" customHeight="1">
      <c r="A297" s="221"/>
    </row>
    <row r="298" ht="15.75" customHeight="1">
      <c r="A298" s="221"/>
    </row>
    <row r="299" ht="15.75" customHeight="1">
      <c r="A299" s="221"/>
    </row>
    <row r="300" ht="15.75" customHeight="1">
      <c r="A300" s="221"/>
    </row>
    <row r="301" ht="15.75" customHeight="1">
      <c r="A301" s="221"/>
    </row>
    <row r="302" ht="15.75" customHeight="1">
      <c r="A302" s="221"/>
    </row>
    <row r="303" ht="15.75" customHeight="1">
      <c r="A303" s="221"/>
    </row>
    <row r="304" ht="15.75" customHeight="1">
      <c r="A304" s="221"/>
    </row>
    <row r="305" ht="15.75" customHeight="1">
      <c r="A305" s="221"/>
    </row>
    <row r="306" ht="15.75" customHeight="1">
      <c r="A306" s="221"/>
    </row>
    <row r="307" ht="15.75" customHeight="1">
      <c r="A307" s="221"/>
    </row>
    <row r="308" ht="15.75" customHeight="1">
      <c r="A308" s="221"/>
    </row>
    <row r="309" ht="15.75" customHeight="1">
      <c r="A309" s="221"/>
    </row>
    <row r="310" ht="15.75" customHeight="1">
      <c r="A310" s="221"/>
    </row>
    <row r="311" ht="15.75" customHeight="1">
      <c r="A311" s="221"/>
    </row>
    <row r="312" ht="15.75" customHeight="1">
      <c r="A312" s="221"/>
    </row>
    <row r="313" ht="15.75" customHeight="1">
      <c r="A313" s="221"/>
    </row>
    <row r="314" ht="15.75" customHeight="1">
      <c r="A314" s="221"/>
    </row>
    <row r="315" ht="15.75" customHeight="1">
      <c r="A315" s="221"/>
    </row>
    <row r="316" ht="15.75" customHeight="1">
      <c r="A316" s="221"/>
    </row>
    <row r="317" ht="15.75" customHeight="1">
      <c r="A317" s="221"/>
    </row>
    <row r="318" ht="15.75" customHeight="1">
      <c r="A318" s="221"/>
    </row>
    <row r="319" ht="15.75" customHeight="1">
      <c r="A319" s="221"/>
    </row>
    <row r="320" ht="15.75" customHeight="1">
      <c r="A320" s="221"/>
    </row>
    <row r="321" ht="15.75" customHeight="1">
      <c r="A321" s="221"/>
    </row>
    <row r="322" ht="15.75" customHeight="1">
      <c r="A322" s="221"/>
    </row>
    <row r="323" ht="15.75" customHeight="1">
      <c r="A323" s="221"/>
    </row>
    <row r="324" ht="15.75" customHeight="1">
      <c r="A324" s="221"/>
    </row>
    <row r="325" ht="15.75" customHeight="1">
      <c r="A325" s="221"/>
    </row>
    <row r="326" ht="15.75" customHeight="1">
      <c r="A326" s="221"/>
    </row>
    <row r="327" ht="15.75" customHeight="1">
      <c r="A327" s="221"/>
    </row>
    <row r="328" ht="15.75" customHeight="1">
      <c r="A328" s="221"/>
    </row>
    <row r="329" ht="15.75" customHeight="1">
      <c r="A329" s="221"/>
    </row>
    <row r="330" ht="15.75" customHeight="1">
      <c r="A330" s="221"/>
    </row>
    <row r="331" ht="15.75" customHeight="1">
      <c r="A331" s="221"/>
    </row>
    <row r="332" ht="15.75" customHeight="1">
      <c r="A332" s="221"/>
    </row>
    <row r="333" ht="15.75" customHeight="1">
      <c r="A333" s="221"/>
    </row>
    <row r="334" ht="15.75" customHeight="1">
      <c r="A334" s="221"/>
    </row>
    <row r="335" ht="15.75" customHeight="1">
      <c r="A335" s="221"/>
    </row>
    <row r="336" ht="15.75" customHeight="1">
      <c r="A336" s="221"/>
    </row>
    <row r="337" ht="15.75" customHeight="1">
      <c r="A337" s="221"/>
    </row>
    <row r="338" ht="15.75" customHeight="1">
      <c r="A338" s="221"/>
    </row>
    <row r="339" ht="15.75" customHeight="1">
      <c r="A339" s="221"/>
    </row>
    <row r="340" ht="15.75" customHeight="1">
      <c r="A340" s="221"/>
    </row>
    <row r="341" ht="15.75" customHeight="1">
      <c r="A341" s="221"/>
    </row>
    <row r="342" ht="15.75" customHeight="1">
      <c r="A342" s="221"/>
    </row>
    <row r="343" ht="15.75" customHeight="1">
      <c r="A343" s="221"/>
    </row>
    <row r="344" ht="15.75" customHeight="1">
      <c r="A344" s="221"/>
    </row>
    <row r="345" ht="15.75" customHeight="1">
      <c r="A345" s="221"/>
    </row>
    <row r="346" ht="15.75" customHeight="1">
      <c r="A346" s="221"/>
    </row>
    <row r="347" ht="15.75" customHeight="1">
      <c r="A347" s="221"/>
    </row>
    <row r="348" ht="15.75" customHeight="1">
      <c r="A348" s="221"/>
    </row>
    <row r="349" ht="15.75" customHeight="1">
      <c r="A349" s="221"/>
    </row>
    <row r="350" ht="15.75" customHeight="1">
      <c r="A350" s="221"/>
    </row>
    <row r="351" ht="15.75" customHeight="1">
      <c r="A351" s="221"/>
    </row>
    <row r="352" ht="15.75" customHeight="1">
      <c r="A352" s="221"/>
    </row>
    <row r="353" ht="15.75" customHeight="1">
      <c r="A353" s="221"/>
    </row>
    <row r="354" ht="15.75" customHeight="1">
      <c r="A354" s="221"/>
    </row>
    <row r="355" ht="15.75" customHeight="1">
      <c r="A355" s="221"/>
    </row>
    <row r="356" ht="15.75" customHeight="1">
      <c r="A356" s="221"/>
    </row>
    <row r="357" ht="15.75" customHeight="1">
      <c r="A357" s="221"/>
    </row>
    <row r="358" ht="15.75" customHeight="1">
      <c r="A358" s="221"/>
    </row>
    <row r="359" ht="15.75" customHeight="1">
      <c r="A359" s="221"/>
    </row>
    <row r="360" ht="15.75" customHeight="1">
      <c r="A360" s="221"/>
    </row>
    <row r="361" ht="15.75" customHeight="1">
      <c r="A361" s="221"/>
    </row>
    <row r="362" ht="15.75" customHeight="1">
      <c r="A362" s="221"/>
    </row>
    <row r="363" ht="15.75" customHeight="1">
      <c r="A363" s="221"/>
    </row>
    <row r="364" ht="15.75" customHeight="1">
      <c r="A364" s="221"/>
    </row>
    <row r="365" ht="15.75" customHeight="1">
      <c r="A365" s="221"/>
    </row>
    <row r="366" ht="15.75" customHeight="1">
      <c r="A366" s="221"/>
    </row>
    <row r="367" ht="15.75" customHeight="1">
      <c r="A367" s="221"/>
    </row>
    <row r="368" ht="15.75" customHeight="1">
      <c r="A368" s="221"/>
    </row>
    <row r="369" ht="15.75" customHeight="1">
      <c r="A369" s="221"/>
    </row>
    <row r="370" ht="15.75" customHeight="1">
      <c r="A370" s="221"/>
    </row>
    <row r="371" ht="15.75" customHeight="1">
      <c r="A371" s="221"/>
    </row>
    <row r="372" ht="15.75" customHeight="1">
      <c r="A372" s="221"/>
    </row>
    <row r="373" ht="15.75" customHeight="1">
      <c r="A373" s="221"/>
    </row>
    <row r="374" ht="15.75" customHeight="1">
      <c r="A374" s="221"/>
    </row>
    <row r="375" ht="15.75" customHeight="1">
      <c r="A375" s="221"/>
    </row>
    <row r="376" ht="15.75" customHeight="1">
      <c r="A376" s="221"/>
    </row>
    <row r="377" ht="15.75" customHeight="1">
      <c r="A377" s="221"/>
    </row>
    <row r="378" ht="15.75" customHeight="1">
      <c r="A378" s="221"/>
    </row>
    <row r="379" ht="15.75" customHeight="1">
      <c r="A379" s="221"/>
    </row>
    <row r="380" ht="15.75" customHeight="1">
      <c r="A380" s="221"/>
    </row>
    <row r="381" ht="15.75" customHeight="1">
      <c r="A381" s="221"/>
    </row>
    <row r="382" ht="15.75" customHeight="1">
      <c r="A382" s="221"/>
    </row>
    <row r="383" ht="15.75" customHeight="1">
      <c r="A383" s="221"/>
    </row>
    <row r="384" ht="15.75" customHeight="1">
      <c r="A384" s="221"/>
    </row>
    <row r="385" ht="15.75" customHeight="1">
      <c r="A385" s="221"/>
    </row>
    <row r="386" ht="15.75" customHeight="1">
      <c r="A386" s="221"/>
    </row>
    <row r="387" ht="15.75" customHeight="1">
      <c r="A387" s="221"/>
    </row>
    <row r="388" ht="15.75" customHeight="1">
      <c r="A388" s="221"/>
    </row>
    <row r="389" ht="15.75" customHeight="1">
      <c r="A389" s="221"/>
    </row>
    <row r="390" ht="15.75" customHeight="1">
      <c r="A390" s="221"/>
    </row>
    <row r="391" ht="15.75" customHeight="1">
      <c r="A391" s="221"/>
    </row>
    <row r="392" ht="15.75" customHeight="1">
      <c r="A392" s="221"/>
    </row>
    <row r="393" ht="15.75" customHeight="1">
      <c r="A393" s="221"/>
    </row>
    <row r="394" ht="15.75" customHeight="1">
      <c r="A394" s="221"/>
    </row>
    <row r="395" ht="15.75" customHeight="1">
      <c r="A395" s="221"/>
    </row>
    <row r="396" ht="15.75" customHeight="1">
      <c r="A396" s="221"/>
    </row>
    <row r="397" ht="15.75" customHeight="1">
      <c r="A397" s="221"/>
    </row>
    <row r="398" ht="15.75" customHeight="1">
      <c r="A398" s="221"/>
    </row>
    <row r="399" ht="15.75" customHeight="1">
      <c r="A399" s="221"/>
    </row>
    <row r="400" ht="15.75" customHeight="1">
      <c r="A400" s="221"/>
    </row>
    <row r="401" ht="15.75" customHeight="1">
      <c r="A401" s="221"/>
    </row>
    <row r="402" ht="15.75" customHeight="1">
      <c r="A402" s="221"/>
    </row>
    <row r="403" ht="15.75" customHeight="1">
      <c r="A403" s="221"/>
    </row>
    <row r="404" ht="15.75" customHeight="1">
      <c r="A404" s="221"/>
    </row>
    <row r="405" ht="15.75" customHeight="1">
      <c r="A405" s="221"/>
    </row>
    <row r="406" ht="15.75" customHeight="1">
      <c r="A406" s="221"/>
    </row>
    <row r="407" ht="15.75" customHeight="1">
      <c r="A407" s="221"/>
    </row>
    <row r="408" ht="15.75" customHeight="1">
      <c r="A408" s="221"/>
    </row>
    <row r="409" ht="15.75" customHeight="1">
      <c r="A409" s="221"/>
    </row>
    <row r="410" ht="15.75" customHeight="1">
      <c r="A410" s="221"/>
    </row>
    <row r="411" ht="15.75" customHeight="1">
      <c r="A411" s="221"/>
    </row>
    <row r="412" ht="15.75" customHeight="1">
      <c r="A412" s="221"/>
    </row>
    <row r="413" ht="15.75" customHeight="1">
      <c r="A413" s="221"/>
    </row>
    <row r="414" ht="15.75" customHeight="1">
      <c r="A414" s="221"/>
    </row>
    <row r="415" ht="15.75" customHeight="1">
      <c r="A415" s="221"/>
    </row>
    <row r="416" ht="15.75" customHeight="1">
      <c r="A416" s="221"/>
    </row>
    <row r="417" ht="15.75" customHeight="1">
      <c r="A417" s="221"/>
    </row>
    <row r="418" ht="15.75" customHeight="1">
      <c r="A418" s="221"/>
    </row>
    <row r="419" ht="15.75" customHeight="1">
      <c r="A419" s="221"/>
    </row>
    <row r="420" ht="15.75" customHeight="1">
      <c r="A420" s="221"/>
    </row>
    <row r="421" ht="15.75" customHeight="1">
      <c r="A421" s="221"/>
    </row>
    <row r="422" ht="15.75" customHeight="1">
      <c r="A422" s="221"/>
    </row>
    <row r="423" ht="15.75" customHeight="1">
      <c r="A423" s="221"/>
    </row>
    <row r="424" ht="15.75" customHeight="1">
      <c r="A424" s="221"/>
    </row>
    <row r="425" ht="15.75" customHeight="1">
      <c r="A425" s="221"/>
    </row>
    <row r="426" ht="15.75" customHeight="1">
      <c r="A426" s="221"/>
    </row>
    <row r="427" ht="15.75" customHeight="1">
      <c r="A427" s="221"/>
    </row>
    <row r="428" ht="15.75" customHeight="1">
      <c r="A428" s="221"/>
    </row>
    <row r="429" ht="15.75" customHeight="1">
      <c r="A429" s="221"/>
    </row>
    <row r="430" ht="15.75" customHeight="1">
      <c r="A430" s="221"/>
    </row>
    <row r="431" ht="15.75" customHeight="1">
      <c r="A431" s="221"/>
    </row>
    <row r="432" ht="15.75" customHeight="1">
      <c r="A432" s="221"/>
    </row>
    <row r="433" ht="15.75" customHeight="1">
      <c r="A433" s="221"/>
    </row>
    <row r="434" ht="15.75" customHeight="1">
      <c r="A434" s="221"/>
    </row>
    <row r="435" ht="15.75" customHeight="1">
      <c r="A435" s="221"/>
    </row>
    <row r="436" ht="15.75" customHeight="1">
      <c r="A436" s="221"/>
    </row>
    <row r="437" ht="15.75" customHeight="1">
      <c r="A437" s="221"/>
    </row>
    <row r="438" ht="15.75" customHeight="1">
      <c r="A438" s="221"/>
    </row>
    <row r="439" ht="15.75" customHeight="1">
      <c r="A439" s="221"/>
    </row>
    <row r="440" ht="15.75" customHeight="1">
      <c r="A440" s="221"/>
    </row>
    <row r="441" ht="15.75" customHeight="1">
      <c r="A441" s="221"/>
    </row>
    <row r="442" ht="15.75" customHeight="1">
      <c r="A442" s="221"/>
    </row>
    <row r="443" ht="15.75" customHeight="1">
      <c r="A443" s="221"/>
    </row>
    <row r="444" ht="15.75" customHeight="1">
      <c r="A444" s="221"/>
    </row>
    <row r="445" ht="15.75" customHeight="1">
      <c r="A445" s="221"/>
    </row>
    <row r="446" ht="15.75" customHeight="1">
      <c r="A446" s="221"/>
    </row>
    <row r="447" ht="15.75" customHeight="1">
      <c r="A447" s="221"/>
    </row>
    <row r="448" ht="15.75" customHeight="1">
      <c r="A448" s="221"/>
    </row>
    <row r="449" ht="15.75" customHeight="1">
      <c r="A449" s="221"/>
    </row>
    <row r="450" ht="15.75" customHeight="1">
      <c r="A450" s="221"/>
    </row>
    <row r="451" ht="15.75" customHeight="1">
      <c r="A451" s="221"/>
    </row>
    <row r="452" ht="15.75" customHeight="1">
      <c r="A452" s="221"/>
    </row>
    <row r="453" ht="15.75" customHeight="1">
      <c r="A453" s="221"/>
    </row>
    <row r="454" ht="15.75" customHeight="1">
      <c r="A454" s="221"/>
    </row>
    <row r="455" ht="15.75" customHeight="1">
      <c r="A455" s="221"/>
    </row>
    <row r="456" ht="15.75" customHeight="1">
      <c r="A456" s="221"/>
    </row>
    <row r="457" ht="15.75" customHeight="1">
      <c r="A457" s="221"/>
    </row>
    <row r="458" ht="15.75" customHeight="1">
      <c r="A458" s="221"/>
    </row>
    <row r="459" ht="15.75" customHeight="1">
      <c r="A459" s="221"/>
    </row>
    <row r="460" ht="15.75" customHeight="1">
      <c r="A460" s="221"/>
    </row>
    <row r="461" ht="15.75" customHeight="1">
      <c r="A461" s="221"/>
    </row>
    <row r="462" ht="15.75" customHeight="1">
      <c r="A462" s="221"/>
    </row>
    <row r="463" ht="15.75" customHeight="1">
      <c r="A463" s="221"/>
    </row>
    <row r="464" ht="15.75" customHeight="1">
      <c r="A464" s="221"/>
    </row>
    <row r="465" ht="15.75" customHeight="1">
      <c r="A465" s="221"/>
    </row>
    <row r="466" ht="15.75" customHeight="1">
      <c r="A466" s="221"/>
    </row>
    <row r="467" ht="15.75" customHeight="1">
      <c r="A467" s="221"/>
    </row>
    <row r="468" ht="15.75" customHeight="1">
      <c r="A468" s="221"/>
    </row>
    <row r="469" ht="15.75" customHeight="1">
      <c r="A469" s="221"/>
    </row>
    <row r="470" ht="15.75" customHeight="1">
      <c r="A470" s="221"/>
    </row>
    <row r="471" ht="15.75" customHeight="1">
      <c r="A471" s="221"/>
    </row>
    <row r="472" ht="15.75" customHeight="1">
      <c r="A472" s="221"/>
    </row>
    <row r="473" ht="15.75" customHeight="1">
      <c r="A473" s="221"/>
    </row>
    <row r="474" ht="15.75" customHeight="1">
      <c r="A474" s="221"/>
    </row>
    <row r="475" ht="15.75" customHeight="1">
      <c r="A475" s="221"/>
    </row>
    <row r="476" ht="15.75" customHeight="1">
      <c r="A476" s="221"/>
    </row>
    <row r="477" ht="15.75" customHeight="1">
      <c r="A477" s="221"/>
    </row>
    <row r="478" ht="15.75" customHeight="1">
      <c r="A478" s="221"/>
    </row>
    <row r="479" ht="15.75" customHeight="1">
      <c r="A479" s="221"/>
    </row>
    <row r="480" ht="15.75" customHeight="1">
      <c r="A480" s="221"/>
    </row>
    <row r="481" ht="15.75" customHeight="1">
      <c r="A481" s="221"/>
    </row>
    <row r="482" ht="15.75" customHeight="1">
      <c r="A482" s="221"/>
    </row>
    <row r="483" ht="15.75" customHeight="1">
      <c r="A483" s="221"/>
    </row>
    <row r="484" ht="15.75" customHeight="1">
      <c r="A484" s="221"/>
    </row>
    <row r="485" ht="15.75" customHeight="1">
      <c r="A485" s="221"/>
    </row>
    <row r="486" ht="15.75" customHeight="1">
      <c r="A486" s="221"/>
    </row>
    <row r="487" ht="15.75" customHeight="1">
      <c r="A487" s="221"/>
    </row>
    <row r="488" ht="15.75" customHeight="1">
      <c r="A488" s="221"/>
    </row>
    <row r="489" ht="15.75" customHeight="1">
      <c r="A489" s="221"/>
    </row>
    <row r="490" ht="15.75" customHeight="1">
      <c r="A490" s="221"/>
    </row>
    <row r="491" ht="15.75" customHeight="1">
      <c r="A491" s="221"/>
    </row>
    <row r="492" ht="15.75" customHeight="1">
      <c r="A492" s="6"/>
    </row>
    <row r="493" ht="15.75" customHeight="1">
      <c r="A493" s="6"/>
    </row>
    <row r="494" ht="15.75" customHeight="1">
      <c r="A494" s="6"/>
    </row>
    <row r="495" ht="15.75" customHeight="1">
      <c r="A495" s="6"/>
    </row>
    <row r="496" ht="15.75" customHeight="1">
      <c r="A496" s="6"/>
    </row>
    <row r="497" ht="15.75" customHeight="1">
      <c r="A497" s="6"/>
    </row>
    <row r="498" ht="15.75" customHeight="1">
      <c r="A498" s="6"/>
    </row>
    <row r="499" ht="15.75" customHeight="1">
      <c r="A499" s="6"/>
    </row>
    <row r="500" ht="15.75" customHeight="1">
      <c r="A500" s="6"/>
    </row>
    <row r="501" ht="15.75" customHeight="1">
      <c r="A501" s="6"/>
    </row>
    <row r="502" ht="15.75" customHeight="1">
      <c r="A502" s="6"/>
    </row>
    <row r="503" ht="15.75" customHeight="1">
      <c r="A503" s="6"/>
    </row>
    <row r="504" ht="15.75" customHeight="1">
      <c r="A504" s="6"/>
    </row>
    <row r="505" ht="15.75" customHeight="1">
      <c r="A505" s="6"/>
    </row>
    <row r="506" ht="15.75" customHeight="1">
      <c r="A506" s="6"/>
    </row>
    <row r="507" ht="15.75" customHeight="1">
      <c r="A507" s="6"/>
    </row>
    <row r="508" ht="15.75" customHeight="1">
      <c r="A508" s="6"/>
    </row>
    <row r="509" ht="15.75" customHeight="1">
      <c r="A509" s="6"/>
    </row>
    <row r="510" ht="15.75" customHeight="1">
      <c r="A510" s="6"/>
    </row>
    <row r="511" ht="15.75" customHeight="1">
      <c r="A511" s="6"/>
    </row>
    <row r="512" ht="15.75" customHeight="1">
      <c r="A512" s="6"/>
    </row>
    <row r="513" ht="15.75" customHeight="1">
      <c r="A513" s="6"/>
    </row>
    <row r="514" ht="15.75" customHeight="1">
      <c r="A514" s="6"/>
    </row>
    <row r="515" ht="15.75" customHeight="1">
      <c r="A515" s="6"/>
    </row>
    <row r="516" ht="15.75" customHeight="1">
      <c r="A516" s="6"/>
    </row>
    <row r="517" ht="15.75" customHeight="1">
      <c r="A517" s="6"/>
    </row>
    <row r="518" ht="15.75" customHeight="1">
      <c r="A518" s="6"/>
    </row>
    <row r="519" ht="15.75" customHeight="1">
      <c r="A519" s="6"/>
    </row>
    <row r="520" ht="15.75" customHeight="1">
      <c r="A520" s="6"/>
    </row>
    <row r="521" ht="15.75" customHeight="1">
      <c r="A521" s="6"/>
    </row>
    <row r="522" ht="15.75" customHeight="1">
      <c r="A522" s="6"/>
    </row>
    <row r="523" ht="15.75" customHeight="1">
      <c r="A523" s="6"/>
    </row>
    <row r="524" ht="15.75" customHeight="1">
      <c r="A524" s="6"/>
    </row>
    <row r="525" ht="15.75" customHeight="1">
      <c r="A525" s="6"/>
    </row>
    <row r="526" ht="15.75" customHeight="1">
      <c r="A526" s="6"/>
    </row>
    <row r="527" ht="15.75" customHeight="1">
      <c r="A527" s="6"/>
    </row>
    <row r="528" ht="15.75" customHeight="1">
      <c r="A528" s="6"/>
    </row>
    <row r="529" ht="15.75" customHeight="1">
      <c r="A529" s="6"/>
    </row>
    <row r="530" ht="15.75" customHeight="1">
      <c r="A530" s="6"/>
    </row>
    <row r="531" ht="15.75" customHeight="1">
      <c r="A531" s="6"/>
    </row>
    <row r="532" ht="15.75" customHeight="1">
      <c r="A532" s="6"/>
    </row>
    <row r="533" ht="15.75" customHeight="1">
      <c r="A533" s="6"/>
    </row>
    <row r="534" ht="15.75" customHeight="1">
      <c r="A534" s="6"/>
    </row>
    <row r="535" ht="15.75" customHeight="1">
      <c r="A535" s="6"/>
    </row>
    <row r="536" ht="15.75" customHeight="1">
      <c r="A536" s="6"/>
    </row>
    <row r="537" ht="15.75" customHeight="1">
      <c r="A537" s="6"/>
    </row>
    <row r="538" ht="15.75" customHeight="1">
      <c r="A538" s="6"/>
    </row>
    <row r="539" ht="15.75" customHeight="1">
      <c r="A539" s="6"/>
    </row>
    <row r="540" ht="15.75" customHeight="1">
      <c r="A540" s="6"/>
    </row>
    <row r="541" ht="15.75" customHeight="1">
      <c r="A541" s="6"/>
    </row>
    <row r="542" ht="15.75" customHeight="1">
      <c r="A542" s="6"/>
    </row>
    <row r="543" ht="15.75" customHeight="1">
      <c r="A543" s="6"/>
    </row>
    <row r="544" ht="15.75" customHeight="1">
      <c r="A544" s="6"/>
    </row>
    <row r="545" ht="15.75" customHeight="1">
      <c r="A545" s="6"/>
    </row>
    <row r="546" ht="15.75" customHeight="1">
      <c r="A546" s="6"/>
    </row>
    <row r="547" ht="15.75" customHeight="1">
      <c r="A547" s="6"/>
    </row>
    <row r="548" ht="15.75" customHeight="1">
      <c r="A548" s="6"/>
    </row>
    <row r="549" ht="15.75" customHeight="1">
      <c r="A549" s="6"/>
    </row>
    <row r="550" ht="15.75" customHeight="1">
      <c r="A550" s="6"/>
    </row>
    <row r="551" ht="15.75" customHeight="1">
      <c r="A551" s="6"/>
    </row>
    <row r="552" ht="15.75" customHeight="1">
      <c r="A552" s="6"/>
    </row>
    <row r="553" ht="15.75" customHeight="1">
      <c r="A553" s="6"/>
    </row>
    <row r="554" ht="15.75" customHeight="1">
      <c r="A554" s="6"/>
    </row>
    <row r="555" ht="15.75" customHeight="1">
      <c r="A555" s="6"/>
    </row>
    <row r="556" ht="15.75" customHeight="1">
      <c r="A556" s="6"/>
    </row>
    <row r="557" ht="15.75" customHeight="1">
      <c r="A557" s="6"/>
    </row>
    <row r="558" ht="15.75" customHeight="1">
      <c r="A558" s="6"/>
    </row>
    <row r="559" ht="15.75" customHeight="1">
      <c r="A559" s="6"/>
    </row>
    <row r="560" ht="15.75" customHeight="1">
      <c r="A560" s="6"/>
    </row>
    <row r="561" ht="15.75" customHeight="1">
      <c r="A561" s="6"/>
    </row>
    <row r="562" ht="15.75" customHeight="1">
      <c r="A562" s="6"/>
    </row>
    <row r="563" ht="15.75" customHeight="1">
      <c r="A563" s="6"/>
    </row>
    <row r="564" ht="15.75" customHeight="1">
      <c r="A564" s="6"/>
    </row>
    <row r="565" ht="15.75" customHeight="1">
      <c r="A565" s="6"/>
    </row>
    <row r="566" ht="15.75" customHeight="1">
      <c r="A566" s="6"/>
    </row>
    <row r="567" ht="15.75" customHeight="1">
      <c r="A567" s="6"/>
    </row>
    <row r="568" ht="15.75" customHeight="1">
      <c r="A568" s="6"/>
    </row>
    <row r="569" ht="15.75" customHeight="1">
      <c r="A569" s="6"/>
    </row>
    <row r="570" ht="15.75" customHeight="1">
      <c r="A570" s="6"/>
    </row>
    <row r="571" ht="15.75" customHeight="1">
      <c r="A571" s="6"/>
    </row>
    <row r="572" ht="15.75" customHeight="1">
      <c r="A572" s="6"/>
    </row>
    <row r="573" ht="15.75" customHeight="1">
      <c r="A573" s="6"/>
    </row>
    <row r="574" ht="15.75" customHeight="1">
      <c r="A574" s="6"/>
    </row>
    <row r="575" ht="15.75" customHeight="1">
      <c r="A575" s="6"/>
    </row>
    <row r="576" ht="15.75" customHeight="1">
      <c r="A576" s="6"/>
    </row>
    <row r="577" ht="15.75" customHeight="1">
      <c r="A577" s="6"/>
    </row>
    <row r="578" ht="15.75" customHeight="1">
      <c r="A578" s="6"/>
    </row>
    <row r="579" ht="15.75" customHeight="1">
      <c r="A579" s="6"/>
    </row>
    <row r="580" ht="15.75" customHeight="1">
      <c r="A580" s="6"/>
    </row>
    <row r="581" ht="15.75" customHeight="1">
      <c r="A581" s="6"/>
    </row>
    <row r="582" ht="15.75" customHeight="1">
      <c r="A582" s="6"/>
    </row>
    <row r="583" ht="15.75" customHeight="1">
      <c r="A583" s="6"/>
    </row>
    <row r="584" ht="15.75" customHeight="1">
      <c r="A584" s="6"/>
    </row>
    <row r="585" ht="15.75" customHeight="1">
      <c r="A585" s="6"/>
    </row>
    <row r="586" ht="15.75" customHeight="1">
      <c r="A586" s="6"/>
    </row>
    <row r="587" ht="15.75" customHeight="1">
      <c r="A587" s="6"/>
    </row>
    <row r="588" ht="15.75" customHeight="1">
      <c r="A588" s="6"/>
    </row>
    <row r="589" ht="15.75" customHeight="1">
      <c r="A589" s="6"/>
    </row>
    <row r="590" ht="15.75" customHeight="1">
      <c r="A590" s="6"/>
    </row>
    <row r="591" ht="15.75" customHeight="1">
      <c r="A591" s="6"/>
    </row>
    <row r="592" ht="15.75" customHeight="1">
      <c r="A592" s="6"/>
    </row>
    <row r="593" ht="15.75" customHeight="1">
      <c r="A593" s="6"/>
    </row>
    <row r="594" ht="15.75" customHeight="1">
      <c r="A594" s="6"/>
    </row>
    <row r="595" ht="15.75" customHeight="1">
      <c r="A595" s="6"/>
    </row>
    <row r="596" ht="15.75" customHeight="1">
      <c r="A596" s="6"/>
    </row>
    <row r="597" ht="15.75" customHeight="1">
      <c r="A597" s="6"/>
    </row>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row r="1432" ht="15.75" customHeight="1"/>
    <row r="1433" ht="15.75" customHeight="1"/>
    <row r="1434" ht="15.75" customHeight="1"/>
    <row r="1435" ht="15.75" customHeight="1"/>
    <row r="1436" ht="15.75" customHeight="1"/>
    <row r="1437" ht="15.75" customHeight="1"/>
    <row r="1438" ht="15.75" customHeight="1"/>
    <row r="1439" ht="15.75" customHeight="1"/>
    <row r="1440" ht="15.75" customHeight="1"/>
    <row r="1441" ht="15.75" customHeight="1"/>
    <row r="1442" ht="15.75" customHeight="1"/>
    <row r="1443" ht="15.75" customHeight="1"/>
    <row r="1444" ht="15.75" customHeight="1"/>
    <row r="1445" ht="15.75" customHeight="1"/>
    <row r="1446" ht="15.75" customHeight="1"/>
    <row r="1447" ht="15.75" customHeight="1"/>
    <row r="1448" ht="15.75" customHeight="1"/>
    <row r="1449" ht="15.75" customHeight="1"/>
    <row r="1450" ht="15.75" customHeight="1"/>
    <row r="1451" ht="15.75" customHeight="1"/>
    <row r="1452" ht="15.75" customHeight="1"/>
    <row r="1453" ht="15.75" customHeight="1"/>
    <row r="1454" ht="15.75" customHeight="1"/>
    <row r="1455" ht="15.75" customHeight="1"/>
    <row r="1456" ht="15.75" customHeight="1"/>
    <row r="1457" ht="15.75" customHeight="1"/>
    <row r="1458" ht="15.75" customHeight="1"/>
    <row r="1459" ht="15.75" customHeight="1"/>
    <row r="1460" ht="15.75" customHeight="1"/>
    <row r="1461" ht="15.75" customHeight="1"/>
    <row r="1462" ht="15.75" customHeight="1"/>
    <row r="1463" ht="15.75" customHeight="1"/>
    <row r="1464" ht="15.75" customHeight="1"/>
    <row r="1465" ht="15.75" customHeight="1"/>
    <row r="1466" ht="15.75" customHeight="1"/>
    <row r="1467" ht="15.75" customHeight="1"/>
    <row r="1468" ht="15.75" customHeight="1"/>
    <row r="1469" ht="15.75" customHeight="1"/>
    <row r="1470" ht="15.75" customHeight="1"/>
    <row r="1471" ht="15.75" customHeight="1"/>
    <row r="1472" ht="15.75" customHeight="1"/>
    <row r="1473" ht="15.75" customHeight="1"/>
    <row r="1474" ht="15.75" customHeight="1"/>
    <row r="1475" ht="15.75" customHeight="1"/>
    <row r="1476" ht="15.75" customHeight="1"/>
    <row r="1477" ht="15.75" customHeight="1"/>
    <row r="1478" ht="15.75" customHeight="1"/>
    <row r="1479" ht="15.75" customHeight="1"/>
    <row r="1480" ht="15.75" customHeight="1"/>
    <row r="1481" ht="15.75" customHeight="1"/>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row r="1494" ht="15.75" customHeight="1"/>
    <row r="1495" ht="15.75" customHeight="1"/>
    <row r="1496" ht="15.75" customHeight="1"/>
    <row r="1497" ht="15.75" customHeight="1"/>
    <row r="1498" ht="15.75" customHeight="1"/>
    <row r="1499" ht="15.75" customHeight="1"/>
    <row r="1500" ht="15.75" customHeight="1"/>
    <row r="1501" ht="15.75" customHeight="1"/>
    <row r="1502" ht="15.75" customHeight="1"/>
    <row r="1503" ht="15.75" customHeight="1"/>
    <row r="1504" ht="15.75" customHeight="1"/>
    <row r="1505" ht="15.75" customHeight="1"/>
    <row r="1506" ht="15.75" customHeight="1"/>
    <row r="1507" ht="15.75" customHeight="1"/>
    <row r="1508" ht="15.75" customHeight="1"/>
    <row r="1509" ht="15.75" customHeight="1"/>
    <row r="1510" ht="15.75" customHeight="1"/>
    <row r="1511" ht="15.75" customHeight="1"/>
    <row r="1512" ht="15.75" customHeight="1"/>
    <row r="1513" ht="15.75" customHeight="1"/>
    <row r="1514" ht="15.75" customHeight="1"/>
    <row r="1515" ht="15.75" customHeight="1"/>
    <row r="1516" ht="15.75" customHeight="1"/>
    <row r="1517" ht="15.75" customHeight="1"/>
    <row r="1518" ht="15.75" customHeight="1"/>
    <row r="1519" ht="15.75" customHeight="1"/>
    <row r="1520" ht="15.75" customHeight="1"/>
    <row r="1521" ht="15.75" customHeight="1"/>
    <row r="1522" ht="15.75" customHeight="1"/>
    <row r="1523" ht="15.75" customHeight="1"/>
    <row r="1524" ht="15.75" customHeight="1"/>
    <row r="1525" ht="15.75" customHeight="1"/>
    <row r="1526" ht="15.75" customHeight="1"/>
    <row r="1527" ht="15.75" customHeight="1"/>
    <row r="1528" ht="15.75" customHeight="1"/>
    <row r="1529" ht="15.75" customHeight="1"/>
    <row r="1530" ht="15.75" customHeight="1"/>
    <row r="1531" ht="15.75" customHeight="1"/>
    <row r="1532" ht="15.75" customHeight="1"/>
    <row r="1533" ht="15.75" customHeight="1"/>
    <row r="1534" ht="15.75" customHeight="1"/>
    <row r="1535" ht="15.75" customHeight="1"/>
    <row r="1536" ht="15.75" customHeight="1"/>
    <row r="1537" ht="15.75" customHeight="1"/>
    <row r="1538" ht="15.75" customHeight="1"/>
    <row r="1539" ht="15.75" customHeight="1"/>
    <row r="1540" ht="15.75" customHeight="1"/>
    <row r="1541" ht="15.75" customHeight="1"/>
    <row r="1542" ht="15.75" customHeight="1"/>
    <row r="1543" ht="15.75" customHeight="1"/>
    <row r="1544" ht="15.75" customHeight="1"/>
    <row r="1545" ht="15.75" customHeight="1"/>
    <row r="1546" ht="15.75" customHeight="1"/>
    <row r="1547" ht="15.75" customHeight="1"/>
    <row r="1548" ht="15.75" customHeight="1"/>
    <row r="1549" ht="15.75" customHeight="1"/>
    <row r="1550" ht="15.75" customHeight="1"/>
    <row r="1551" ht="15.75" customHeight="1"/>
    <row r="1552" ht="15.75" customHeight="1"/>
    <row r="1553" ht="15.75" customHeight="1"/>
    <row r="1554" ht="15.75" customHeight="1"/>
    <row r="1555" ht="15.75" customHeight="1"/>
    <row r="1556" ht="15.75" customHeight="1"/>
    <row r="1557" ht="15.75" customHeight="1"/>
    <row r="1558" ht="15.75" customHeight="1"/>
    <row r="1559" ht="15.75" customHeight="1"/>
    <row r="1560" ht="15.75" customHeight="1"/>
    <row r="1561" ht="15.75" customHeight="1"/>
    <row r="1562" ht="15.75" customHeight="1"/>
    <row r="1563" ht="15.75" customHeight="1"/>
    <row r="1564" ht="15.75" customHeight="1"/>
    <row r="1565" ht="15.75" customHeight="1"/>
    <row r="1566" ht="15.75" customHeight="1"/>
    <row r="1567" ht="15.75" customHeight="1"/>
    <row r="1568" ht="15.75" customHeight="1"/>
    <row r="1569" ht="15.75" customHeight="1"/>
    <row r="1570" ht="15.75" customHeight="1"/>
    <row r="1571" ht="15.75" customHeight="1"/>
    <row r="1572" ht="15.75" customHeight="1"/>
    <row r="1573" ht="15.75" customHeight="1"/>
    <row r="1574" ht="15.75" customHeight="1"/>
    <row r="1575" ht="15.75" customHeight="1"/>
    <row r="1576" ht="15.75" customHeight="1"/>
    <row r="1577" ht="15.75" customHeight="1"/>
    <row r="1578" ht="15.75" customHeight="1"/>
    <row r="1579" ht="15.75" customHeight="1"/>
    <row r="1580" ht="15.75" customHeight="1"/>
    <row r="1581" ht="15.75" customHeight="1"/>
    <row r="1582" ht="15.75" customHeight="1"/>
    <row r="1583" ht="15.75" customHeight="1"/>
    <row r="1584" ht="15.75" customHeight="1"/>
    <row r="1585" ht="15.75" customHeight="1"/>
    <row r="1586" ht="15.75" customHeight="1"/>
    <row r="1587" ht="15.75" customHeight="1"/>
    <row r="1588" ht="15.75" customHeight="1"/>
    <row r="1589" ht="15.75" customHeight="1"/>
    <row r="1590" ht="15.75" customHeight="1"/>
    <row r="1591" ht="15.75" customHeight="1"/>
    <row r="1592" ht="15.75" customHeight="1"/>
    <row r="1593" ht="15.75" customHeight="1"/>
    <row r="1594" ht="15.75" customHeight="1"/>
    <row r="1595" ht="15.75" customHeight="1"/>
    <row r="1596" ht="15.75" customHeight="1"/>
    <row r="1597" ht="15.75" customHeight="1"/>
    <row r="1598" ht="15.75" customHeight="1"/>
    <row r="1599" ht="15.75" customHeight="1"/>
    <row r="1600" ht="15.75" customHeight="1"/>
    <row r="1601" ht="15.75" customHeight="1"/>
    <row r="1602" ht="15.75" customHeight="1"/>
    <row r="1603" ht="15.75" customHeight="1"/>
    <row r="1604" ht="15.75" customHeight="1"/>
    <row r="1605" ht="15.75" customHeight="1"/>
    <row r="1606" ht="15.75" customHeight="1"/>
    <row r="1607" ht="15.75" customHeight="1"/>
    <row r="1608" ht="15.75" customHeight="1"/>
    <row r="1609" ht="15.75" customHeight="1"/>
    <row r="1610" ht="15.75" customHeight="1"/>
    <row r="1611" ht="15.75" customHeight="1"/>
    <row r="1612" ht="15.75" customHeight="1"/>
    <row r="1613" ht="15.75" customHeight="1"/>
    <row r="1614" ht="15.75" customHeight="1"/>
    <row r="1615" ht="15.75" customHeight="1"/>
    <row r="1616" ht="15.75" customHeight="1"/>
    <row r="1617" ht="15.75" customHeight="1"/>
    <row r="1618" ht="15.75" customHeight="1"/>
    <row r="1619" ht="15.75" customHeight="1"/>
    <row r="1620" ht="15.75" customHeight="1"/>
    <row r="1621" ht="15.75" customHeight="1"/>
    <row r="1622" ht="15.75" customHeight="1"/>
    <row r="1623" ht="15.75" customHeight="1"/>
    <row r="1624" ht="15.75" customHeight="1"/>
    <row r="1625" ht="15.75" customHeight="1"/>
    <row r="1626" ht="15.75" customHeight="1"/>
    <row r="1627" ht="15.75" customHeight="1"/>
    <row r="1628" ht="15.75" customHeight="1"/>
    <row r="1629" ht="15.75" customHeight="1"/>
    <row r="1630" ht="15.75" customHeight="1"/>
    <row r="1631" ht="15.75" customHeight="1"/>
    <row r="1632" ht="15.75" customHeight="1"/>
    <row r="1633" ht="15.75" customHeight="1"/>
    <row r="1634" ht="15.75" customHeight="1"/>
    <row r="1635" ht="15.75" customHeight="1"/>
    <row r="1636" ht="15.75" customHeight="1"/>
    <row r="1637" ht="15.75" customHeight="1"/>
    <row r="1638" ht="15.75" customHeight="1"/>
    <row r="1639" ht="15.75" customHeight="1"/>
    <row r="1640" ht="15.75" customHeight="1"/>
    <row r="1641" ht="15.75" customHeight="1"/>
    <row r="1642" ht="15.75" customHeight="1"/>
    <row r="1643" ht="15.75" customHeight="1"/>
    <row r="1644" ht="15.75" customHeight="1"/>
    <row r="1645" ht="15.75" customHeight="1"/>
    <row r="1646" ht="15.75" customHeight="1"/>
    <row r="1647" ht="15.75" customHeight="1"/>
    <row r="1648" ht="15.75" customHeight="1"/>
    <row r="1649" ht="15.75" customHeight="1"/>
    <row r="1650" ht="15.75" customHeight="1"/>
    <row r="1651" ht="15.75" customHeight="1"/>
    <row r="1652" ht="15.75" customHeight="1"/>
    <row r="1653" ht="15.75" customHeight="1"/>
    <row r="1654" ht="15.75" customHeight="1"/>
    <row r="1655" ht="15.75" customHeight="1"/>
    <row r="1656" ht="15.75" customHeight="1"/>
    <row r="1657" ht="15.75" customHeight="1"/>
    <row r="1658" ht="15.75" customHeight="1"/>
    <row r="1659" ht="15.75" customHeight="1"/>
    <row r="1660" ht="15.75" customHeight="1"/>
    <row r="1661" ht="15.75" customHeight="1"/>
    <row r="1662" ht="15.75" customHeight="1"/>
    <row r="1663" ht="15.75" customHeight="1"/>
    <row r="1664" ht="15.75" customHeight="1"/>
    <row r="1665" ht="15.75" customHeight="1"/>
    <row r="1666" ht="15.75" customHeight="1"/>
    <row r="1667" ht="15.75" customHeight="1"/>
    <row r="1668" ht="15.75" customHeight="1"/>
    <row r="1669" ht="15.75" customHeight="1"/>
    <row r="1670" ht="15.75" customHeight="1"/>
    <row r="1671" ht="15.75" customHeight="1"/>
    <row r="1672" ht="15.75" customHeight="1"/>
    <row r="1673" ht="15.75" customHeight="1"/>
    <row r="1674" ht="15.75" customHeight="1"/>
    <row r="1675" ht="15.75" customHeight="1"/>
    <row r="1676" ht="15.75" customHeight="1"/>
    <row r="1677" ht="15.75" customHeight="1"/>
    <row r="1678" ht="15.75" customHeight="1"/>
    <row r="1679" ht="15.75" customHeight="1"/>
    <row r="1680" ht="15.75" customHeight="1"/>
    <row r="1681" ht="15.75" customHeight="1"/>
    <row r="1682" ht="15.75" customHeight="1"/>
    <row r="1683" ht="15.75" customHeight="1"/>
    <row r="1684" ht="15.75" customHeight="1"/>
    <row r="1685" ht="15.75" customHeight="1"/>
    <row r="1686" ht="15.75" customHeight="1"/>
    <row r="1687" ht="15.75" customHeight="1"/>
    <row r="1688" ht="15.75" customHeight="1"/>
    <row r="1689" ht="15.75" customHeight="1"/>
    <row r="1690" ht="15.75" customHeight="1"/>
    <row r="1691" ht="15.75" customHeight="1"/>
    <row r="1692" ht="15.75" customHeight="1"/>
    <row r="1693" ht="15.75" customHeight="1"/>
    <row r="1694" ht="15.75" customHeight="1"/>
    <row r="1695" ht="15.75" customHeight="1"/>
    <row r="1696" ht="15.75" customHeight="1"/>
    <row r="1697" ht="15.75" customHeight="1"/>
    <row r="1698" ht="15.75" customHeight="1"/>
    <row r="1699" ht="15.75" customHeight="1"/>
    <row r="1700" ht="15.75" customHeight="1"/>
    <row r="1701" ht="15.75" customHeight="1"/>
    <row r="1702" ht="15.75" customHeight="1"/>
    <row r="1703" ht="15.75" customHeight="1"/>
    <row r="1704" ht="15.75" customHeight="1"/>
    <row r="1705" ht="15.75" customHeight="1"/>
    <row r="1706" ht="15.75" customHeight="1"/>
    <row r="1707" ht="15.75" customHeight="1"/>
    <row r="1708" ht="15.75" customHeight="1"/>
    <row r="1709" ht="15.75" customHeight="1"/>
    <row r="1710" ht="15.75" customHeight="1"/>
    <row r="1711" ht="15.75" customHeight="1"/>
    <row r="1712" ht="15.75" customHeight="1"/>
    <row r="1713" ht="15.75" customHeight="1"/>
    <row r="1714" ht="15.75" customHeight="1"/>
    <row r="1715" ht="15.75" customHeight="1"/>
    <row r="1716" ht="15.75" customHeight="1"/>
    <row r="1717" ht="15.75" customHeight="1"/>
    <row r="1718" ht="15.75" customHeight="1"/>
    <row r="1719" ht="15.75" customHeight="1"/>
    <row r="1720" ht="15.75" customHeight="1"/>
    <row r="1721" ht="15.75" customHeight="1"/>
    <row r="1722" ht="15.75" customHeight="1"/>
    <row r="1723" ht="15.75" customHeight="1"/>
    <row r="1724" ht="15.75" customHeight="1"/>
    <row r="1725" ht="15.75" customHeight="1"/>
    <row r="1726" ht="15.75" customHeight="1"/>
    <row r="1727" ht="15.75" customHeight="1"/>
    <row r="1728" ht="15.75" customHeight="1"/>
    <row r="1729" ht="15.75" customHeight="1"/>
    <row r="1730" ht="15.75" customHeight="1"/>
    <row r="1731" ht="15.75" customHeight="1"/>
    <row r="1732" ht="15.75" customHeight="1"/>
    <row r="1733" ht="15.75" customHeight="1"/>
    <row r="1734" ht="15.75" customHeight="1"/>
    <row r="1735" ht="15.75" customHeight="1"/>
    <row r="1736" ht="15.75" customHeight="1"/>
    <row r="1737" ht="15.75" customHeight="1"/>
    <row r="1738" ht="15.75" customHeight="1"/>
    <row r="1739" ht="15.75" customHeight="1"/>
    <row r="1740" ht="15.75" customHeight="1"/>
    <row r="1741" ht="15.75" customHeight="1"/>
    <row r="1742" ht="15.75" customHeight="1"/>
    <row r="1743" ht="15.75" customHeight="1"/>
    <row r="1744" ht="15.75" customHeight="1"/>
    <row r="1745" ht="15.75" customHeight="1"/>
    <row r="1746" ht="15.75" customHeight="1"/>
    <row r="1747" ht="15.75" customHeight="1"/>
    <row r="1748" ht="15.75" customHeight="1"/>
    <row r="1749" ht="15.75" customHeight="1"/>
    <row r="1750" ht="15.75" customHeight="1"/>
    <row r="1751" ht="15.75" customHeight="1"/>
    <row r="1752" ht="15.75" customHeight="1"/>
    <row r="1753" ht="15.75" customHeight="1"/>
    <row r="1754" ht="15.75" customHeight="1"/>
    <row r="1755" ht="15.75" customHeight="1"/>
    <row r="1756" ht="15.75" customHeight="1"/>
    <row r="1757" ht="15.75" customHeight="1"/>
    <row r="1758" ht="15.75" customHeight="1"/>
    <row r="1759" ht="15.75" customHeight="1"/>
    <row r="1760" ht="15.75" customHeight="1"/>
    <row r="1761" ht="15.75" customHeight="1"/>
    <row r="1762" ht="15.75" customHeight="1"/>
    <row r="1763" ht="15.75" customHeight="1"/>
    <row r="1764" ht="15.75" customHeight="1"/>
    <row r="1765" ht="15.75" customHeight="1"/>
    <row r="1766" ht="15.75" customHeight="1"/>
    <row r="1767" ht="15.75" customHeight="1"/>
    <row r="1768" ht="15.75" customHeight="1"/>
    <row r="1769" ht="15.75" customHeight="1"/>
    <row r="1770" ht="15.75" customHeight="1"/>
    <row r="1771" ht="15.75" customHeight="1"/>
    <row r="1772" ht="15.75" customHeight="1"/>
    <row r="1773" ht="15.75" customHeight="1"/>
    <row r="1774" ht="15.75" customHeight="1"/>
    <row r="1775" ht="15.75" customHeight="1"/>
    <row r="1776" ht="15.75" customHeight="1"/>
    <row r="1777" ht="15.75" customHeight="1"/>
    <row r="1778" ht="15.75" customHeight="1"/>
    <row r="1779" ht="15.75" customHeight="1"/>
    <row r="1780" ht="15.75" customHeight="1"/>
    <row r="1781" ht="15.75" customHeight="1"/>
    <row r="1782" ht="15.75" customHeight="1"/>
    <row r="1783" ht="15.75" customHeight="1"/>
    <row r="1784" ht="15.75" customHeight="1"/>
    <row r="1785" ht="15.75" customHeight="1"/>
    <row r="1786" ht="15.75" customHeight="1"/>
    <row r="1787" ht="15.75" customHeight="1"/>
    <row r="1788" ht="15.75" customHeight="1"/>
    <row r="1789" ht="15.75" customHeight="1"/>
    <row r="1790" ht="15.75" customHeight="1"/>
    <row r="1791" ht="15.75" customHeight="1"/>
    <row r="1792" ht="15.75" customHeight="1"/>
    <row r="1793" ht="15.75" customHeight="1"/>
    <row r="1794" ht="15.75" customHeight="1"/>
    <row r="1795" ht="15.75" customHeight="1"/>
    <row r="1796" ht="15.75" customHeight="1"/>
    <row r="1797" ht="15.75" customHeight="1"/>
    <row r="1798" ht="15.75" customHeight="1"/>
    <row r="1799" ht="15.75" customHeight="1"/>
    <row r="1800" ht="15.75" customHeight="1"/>
    <row r="1801" ht="15.75" customHeight="1"/>
    <row r="1802" ht="15.75" customHeight="1"/>
    <row r="1803" ht="15.75" customHeight="1"/>
    <row r="1804" ht="15.75" customHeight="1"/>
    <row r="1805" ht="15.75" customHeight="1"/>
    <row r="1806" ht="15.75" customHeight="1"/>
    <row r="1807" ht="15.75" customHeight="1"/>
    <row r="1808" ht="15.75" customHeight="1"/>
    <row r="1809" ht="15.75" customHeight="1"/>
    <row r="1810" ht="15.75" customHeight="1"/>
    <row r="1811" ht="15.75" customHeight="1"/>
    <row r="1812" ht="15.75" customHeight="1"/>
    <row r="1813" ht="15.75" customHeight="1"/>
    <row r="1814" ht="15.75" customHeight="1"/>
    <row r="1815" ht="15.75" customHeight="1"/>
    <row r="1816" ht="15.75" customHeight="1"/>
    <row r="1817" ht="15.75" customHeight="1"/>
    <row r="1818" ht="15.75" customHeight="1"/>
    <row r="1819" ht="15.75" customHeight="1"/>
    <row r="1820" ht="15.75" customHeight="1"/>
    <row r="1821" ht="15.75" customHeight="1"/>
    <row r="1822" ht="15.75" customHeight="1"/>
    <row r="1823" ht="15.75" customHeight="1"/>
    <row r="1824" ht="15.75" customHeight="1"/>
    <row r="1825" ht="15.75" customHeight="1"/>
    <row r="1826" ht="15.75" customHeight="1"/>
    <row r="1827" ht="15.75" customHeight="1"/>
    <row r="1828" ht="15.75" customHeight="1"/>
    <row r="1829" ht="15.75" customHeight="1"/>
    <row r="1830" ht="15.75" customHeight="1"/>
    <row r="1831" ht="15.75" customHeight="1"/>
    <row r="1832" ht="15.75" customHeight="1"/>
    <row r="1833" ht="15.75" customHeight="1"/>
    <row r="1834" ht="15.75" customHeight="1"/>
    <row r="1835" ht="15.75" customHeight="1"/>
    <row r="1836" ht="15.75" customHeight="1"/>
    <row r="1837" ht="15.75" customHeight="1"/>
    <row r="1838" ht="15.75" customHeight="1"/>
    <row r="1839" ht="15.75" customHeight="1"/>
    <row r="1840" ht="15.75" customHeight="1"/>
    <row r="1841" ht="15.75" customHeight="1"/>
    <row r="1842" ht="15.75" customHeight="1"/>
    <row r="1843" ht="15.75" customHeight="1"/>
    <row r="1844" ht="15.75" customHeight="1"/>
    <row r="1845" ht="15.75" customHeight="1"/>
    <row r="1846" ht="15.75" customHeight="1"/>
    <row r="1847" ht="15.75" customHeight="1"/>
    <row r="1848" ht="15.75" customHeight="1"/>
    <row r="1849" ht="15.75" customHeight="1"/>
    <row r="1850" ht="15.75" customHeight="1"/>
    <row r="1851" ht="15.75" customHeight="1"/>
    <row r="1852" ht="15.75" customHeight="1"/>
    <row r="1853" ht="15.75" customHeight="1"/>
    <row r="1854" ht="15.75" customHeight="1"/>
    <row r="1855" ht="15.75" customHeight="1"/>
    <row r="1856" ht="15.75" customHeight="1"/>
    <row r="1857" ht="15.75" customHeight="1"/>
    <row r="1858" ht="15.75" customHeight="1"/>
    <row r="1859" ht="15.75" customHeight="1"/>
    <row r="1860" ht="15.75" customHeight="1"/>
    <row r="1861" ht="15.75" customHeight="1"/>
    <row r="1862" ht="15.75" customHeight="1"/>
    <row r="1863" ht="15.75" customHeight="1"/>
    <row r="1864" ht="15.75" customHeight="1"/>
    <row r="1865" ht="15.75" customHeight="1"/>
    <row r="1866" ht="15.75" customHeight="1"/>
    <row r="1867" ht="15.75" customHeight="1"/>
    <row r="1868" ht="15.75" customHeight="1"/>
    <row r="1869" ht="15.75" customHeight="1"/>
    <row r="1870" ht="15.75" customHeight="1"/>
    <row r="1871" ht="15.75" customHeight="1"/>
    <row r="1872" ht="15.75" customHeight="1"/>
    <row r="1873" ht="15.75" customHeight="1"/>
    <row r="1874" ht="15.75" customHeight="1"/>
    <row r="1875" ht="15.75" customHeight="1"/>
    <row r="1876" ht="15.75" customHeight="1"/>
    <row r="1877" ht="15.75" customHeight="1"/>
    <row r="1878" ht="15.75" customHeight="1"/>
    <row r="1879" ht="15.75" customHeight="1"/>
    <row r="1880" ht="15.75" customHeight="1"/>
    <row r="1881" ht="15.75" customHeight="1"/>
    <row r="1882" ht="15.75" customHeight="1"/>
    <row r="1883" ht="15.75" customHeight="1"/>
    <row r="1884" ht="15.75" customHeight="1"/>
    <row r="1885" ht="15.75" customHeight="1"/>
    <row r="1886" ht="15.75" customHeight="1"/>
    <row r="1887" ht="15.75" customHeight="1"/>
    <row r="1888" ht="15.75" customHeight="1"/>
    <row r="1889" ht="15.75" customHeight="1"/>
    <row r="1890" ht="15.75" customHeight="1"/>
    <row r="1891" ht="15.75" customHeight="1"/>
    <row r="1892" ht="15.75" customHeight="1"/>
    <row r="1893" ht="15.75" customHeight="1"/>
    <row r="1894" ht="15.75" customHeight="1"/>
    <row r="1895" ht="15.75" customHeight="1"/>
    <row r="1896" ht="15.75" customHeight="1"/>
    <row r="1897" ht="15.75" customHeight="1"/>
    <row r="1898" ht="15.75" customHeight="1"/>
    <row r="1899" ht="15.75" customHeight="1"/>
    <row r="1900" ht="15.75" customHeight="1"/>
    <row r="1901" ht="15.75" customHeight="1"/>
    <row r="1902" ht="15.75" customHeight="1"/>
    <row r="1903" ht="15.75" customHeight="1"/>
    <row r="1904" ht="15.75" customHeight="1"/>
    <row r="1905" ht="15.75" customHeight="1"/>
    <row r="1906" ht="15.75" customHeight="1"/>
    <row r="1907" ht="15.75" customHeight="1"/>
    <row r="1908" ht="15.75" customHeight="1"/>
    <row r="1909" ht="15.75" customHeight="1"/>
    <row r="1910" ht="15.75" customHeight="1"/>
    <row r="1911" ht="15.75" customHeight="1"/>
    <row r="1912" ht="15.75" customHeight="1"/>
    <row r="1913" ht="15.75" customHeight="1"/>
    <row r="1914" ht="15.75" customHeight="1"/>
    <row r="1915" ht="15.75" customHeight="1"/>
    <row r="1916" ht="15.75" customHeight="1"/>
    <row r="1917" ht="15.75" customHeight="1"/>
    <row r="1918" ht="15.75" customHeight="1"/>
    <row r="1919" ht="15.75" customHeight="1"/>
    <row r="1920" ht="15.75" customHeight="1"/>
    <row r="1921" ht="15.75" customHeight="1"/>
    <row r="1922" ht="15.75" customHeight="1"/>
    <row r="1923" ht="15.75" customHeight="1"/>
    <row r="1924" ht="15.75" customHeight="1"/>
    <row r="1925" ht="15.75" customHeight="1"/>
    <row r="1926" ht="15.75" customHeight="1"/>
    <row r="1927" ht="15.75" customHeight="1"/>
    <row r="1928" ht="15.75" customHeight="1"/>
    <row r="1929" ht="15.75" customHeight="1"/>
    <row r="1930" ht="15.75" customHeight="1"/>
    <row r="1931" ht="15.75" customHeight="1"/>
    <row r="1932" ht="15.75" customHeight="1"/>
    <row r="1933" ht="15.75" customHeight="1"/>
    <row r="1934" ht="15.75" customHeight="1"/>
    <row r="1935" ht="15.75" customHeight="1"/>
    <row r="1936" ht="15.75" customHeight="1"/>
    <row r="1937" ht="15.75" customHeight="1"/>
    <row r="1938" ht="15.75" customHeight="1"/>
    <row r="1939" ht="15.75" customHeight="1"/>
    <row r="1940" ht="15.75" customHeight="1"/>
    <row r="1941" ht="15.75" customHeight="1"/>
    <row r="1942" ht="15.75" customHeight="1"/>
    <row r="1943" ht="15.75" customHeight="1"/>
    <row r="1944" ht="15.75" customHeight="1"/>
    <row r="1945" ht="15.75" customHeight="1"/>
    <row r="1946" ht="15.75" customHeight="1"/>
    <row r="1947" ht="15.75" customHeight="1"/>
    <row r="1948" ht="15.75" customHeight="1"/>
    <row r="1949" ht="15.75" customHeight="1"/>
    <row r="1950" ht="15.75" customHeight="1"/>
    <row r="1951" ht="15.75" customHeight="1"/>
    <row r="1952" ht="15.75" customHeight="1"/>
    <row r="1953" ht="15.75" customHeight="1"/>
    <row r="1954" ht="15.75" customHeight="1"/>
    <row r="1955" ht="15.75" customHeight="1"/>
    <row r="1956" ht="15.75" customHeight="1"/>
    <row r="1957" ht="15.75" customHeight="1"/>
    <row r="1958" ht="15.75" customHeight="1"/>
    <row r="1959" ht="15.75" customHeight="1"/>
    <row r="1960" ht="15.75" customHeight="1"/>
    <row r="1961" ht="15.75" customHeight="1"/>
    <row r="1962" ht="15.75" customHeight="1"/>
    <row r="1963" ht="15.75" customHeight="1"/>
    <row r="1964" ht="15.75" customHeight="1"/>
    <row r="1965" ht="15.75" customHeight="1"/>
    <row r="1966" ht="15.75" customHeight="1"/>
    <row r="1967" ht="15.75" customHeight="1"/>
    <row r="1968" ht="15.75" customHeight="1"/>
    <row r="1969" ht="15.75" customHeight="1"/>
    <row r="1970" ht="15.75" customHeight="1"/>
    <row r="1971" ht="15.75" customHeight="1"/>
    <row r="1972" ht="15.75" customHeight="1"/>
    <row r="1973" ht="15.75" customHeight="1"/>
    <row r="1974" ht="15.75" customHeight="1"/>
    <row r="1975" ht="15.75" customHeight="1"/>
    <row r="1976" ht="15.75" customHeight="1"/>
    <row r="1977" ht="15.75" customHeight="1"/>
    <row r="1978" ht="15.75" customHeight="1"/>
    <row r="1979" ht="15.75" customHeight="1"/>
    <row r="1980" ht="15.75" customHeight="1"/>
    <row r="1981" ht="15.75" customHeight="1"/>
    <row r="1982" ht="15.75" customHeight="1"/>
    <row r="1983" ht="15.75" customHeight="1"/>
    <row r="1984" ht="15.75" customHeight="1"/>
    <row r="1985" ht="15.75" customHeight="1"/>
    <row r="1986" ht="15.75" customHeight="1"/>
    <row r="1987" ht="15.75" customHeight="1"/>
    <row r="1988" ht="15.75" customHeight="1"/>
    <row r="1989" ht="15.75" customHeight="1"/>
    <row r="1990" ht="15.75" customHeight="1"/>
    <row r="1991" ht="15.75" customHeight="1"/>
    <row r="1992" ht="15.75" customHeight="1"/>
    <row r="1993" ht="15.75" customHeight="1"/>
    <row r="1994" ht="15.75" customHeight="1"/>
    <row r="1995" ht="15.75" customHeight="1"/>
    <row r="1996" ht="15.75" customHeight="1"/>
    <row r="1997" ht="15.75" customHeight="1"/>
    <row r="1998" ht="15.75" customHeight="1"/>
    <row r="1999" ht="15.75" customHeight="1"/>
    <row r="2000" ht="15.75" customHeight="1"/>
    <row r="2001" ht="15.75" customHeight="1"/>
    <row r="2002" ht="15.75" customHeight="1"/>
    <row r="2003" ht="15.75" customHeight="1"/>
    <row r="2004" ht="15.75" customHeight="1"/>
    <row r="2005" ht="15.75" customHeight="1"/>
    <row r="2006" ht="15.75" customHeight="1"/>
    <row r="2007" ht="15.75" customHeight="1"/>
    <row r="2008" ht="15.75" customHeight="1"/>
    <row r="2009" ht="15.75" customHeight="1"/>
    <row r="2010" ht="15.75" customHeight="1"/>
    <row r="2011" ht="15.75" customHeight="1"/>
    <row r="2012" ht="15.75" customHeight="1"/>
    <row r="2013" ht="15.75" customHeight="1"/>
    <row r="2014" ht="15.75" customHeight="1"/>
    <row r="2015" ht="15.75" customHeight="1"/>
    <row r="2016" ht="15.75" customHeight="1"/>
    <row r="2017" ht="15.75" customHeight="1"/>
    <row r="2018" ht="15.75" customHeight="1"/>
    <row r="2019" ht="15.75" customHeight="1"/>
    <row r="2020" ht="15.75" customHeight="1"/>
    <row r="2021" ht="15.75" customHeight="1"/>
    <row r="2022" ht="15.75" customHeight="1"/>
    <row r="2023" ht="15.75" customHeight="1"/>
    <row r="2024" ht="15.75" customHeight="1"/>
    <row r="2025" ht="15.75" customHeight="1"/>
    <row r="2026" ht="15.75" customHeight="1"/>
    <row r="2027" ht="15.75" customHeight="1"/>
    <row r="2028" ht="15.75" customHeight="1"/>
    <row r="2029" ht="15.75" customHeight="1"/>
    <row r="2030" ht="15.75" customHeight="1"/>
    <row r="2031" ht="15.75" customHeight="1"/>
    <row r="2032" ht="15.75" customHeight="1"/>
    <row r="2033" ht="15.75" customHeight="1"/>
    <row r="2034" ht="15.75" customHeight="1"/>
    <row r="2035" ht="15.75" customHeight="1"/>
    <row r="2036" ht="15.75" customHeight="1"/>
    <row r="2037" ht="15.75" customHeight="1"/>
    <row r="2038" ht="15.75" customHeight="1"/>
    <row r="2039" ht="15.75" customHeight="1"/>
    <row r="2040" ht="15.75" customHeight="1"/>
    <row r="2041" ht="15.75" customHeight="1"/>
    <row r="2042" ht="15.75" customHeight="1"/>
    <row r="2043" ht="15.75" customHeight="1"/>
    <row r="2044" ht="15.75" customHeight="1"/>
    <row r="2045" ht="15.75" customHeight="1"/>
    <row r="2046" ht="15.75" customHeight="1"/>
    <row r="2047" ht="15.75" customHeight="1"/>
    <row r="2048" ht="15.75" customHeight="1"/>
    <row r="2049" ht="15.75" customHeight="1"/>
    <row r="2050" ht="15.75" customHeight="1"/>
    <row r="2051" ht="15.75" customHeight="1"/>
    <row r="2052" ht="15.75" customHeight="1"/>
    <row r="2053" ht="15.75" customHeight="1"/>
    <row r="2054" ht="15.75" customHeight="1"/>
    <row r="2055" ht="15.75" customHeight="1"/>
    <row r="2056" ht="15.75" customHeight="1"/>
    <row r="2057" ht="15.75" customHeight="1"/>
    <row r="2058" ht="15.75" customHeight="1"/>
    <row r="2059" ht="15.75" customHeight="1"/>
    <row r="2060" ht="15.75" customHeight="1"/>
    <row r="2061" ht="15.75" customHeight="1"/>
    <row r="2062" ht="15.75" customHeight="1"/>
    <row r="2063" ht="15.75" customHeight="1"/>
    <row r="2064" ht="15.75" customHeight="1"/>
    <row r="2065" ht="15.75" customHeight="1"/>
    <row r="2066" ht="15.75" customHeight="1"/>
    <row r="2067" ht="15.75" customHeight="1"/>
    <row r="2068" ht="15.75" customHeight="1"/>
    <row r="2069" ht="15.75" customHeight="1"/>
    <row r="2070" ht="15.75" customHeight="1"/>
    <row r="2071" ht="15.75" customHeight="1"/>
    <row r="2072" ht="15.75" customHeight="1"/>
    <row r="2073" ht="15.75" customHeight="1"/>
    <row r="2074" ht="15.75" customHeight="1"/>
    <row r="2075" ht="15.75" customHeight="1"/>
    <row r="2076" ht="15.75" customHeight="1"/>
    <row r="2077" ht="15.75" customHeight="1"/>
    <row r="2078" ht="15.75" customHeight="1"/>
    <row r="2079" ht="15.75" customHeight="1"/>
    <row r="2080" ht="15.75" customHeight="1"/>
    <row r="2081" ht="15.75" customHeight="1"/>
    <row r="2082" ht="15.75" customHeight="1"/>
    <row r="2083" ht="15.75" customHeight="1"/>
    <row r="2084" ht="15.75" customHeight="1"/>
    <row r="2085" ht="15.75" customHeight="1"/>
    <row r="2086" ht="15.75" customHeight="1"/>
    <row r="2087" ht="15.75" customHeight="1"/>
    <row r="2088" ht="15.75" customHeight="1"/>
    <row r="2089" ht="15.75" customHeight="1"/>
    <row r="2090" ht="15.75" customHeight="1"/>
    <row r="2091" ht="15.75" customHeight="1"/>
    <row r="2092" ht="15.75" customHeight="1"/>
    <row r="2093" ht="15.75" customHeight="1"/>
    <row r="2094" ht="15.75" customHeight="1"/>
    <row r="2095" ht="15.75" customHeight="1"/>
    <row r="2096" ht="15.75" customHeight="1"/>
    <row r="2097" ht="15.75" customHeight="1"/>
    <row r="2098" ht="15.75" customHeight="1"/>
    <row r="2099" ht="15.75" customHeight="1"/>
    <row r="2100" ht="15.75" customHeight="1"/>
    <row r="2101" ht="15.75" customHeight="1"/>
    <row r="2102" ht="15.75" customHeight="1"/>
    <row r="2103" ht="15.75" customHeight="1"/>
    <row r="2104" ht="15.75" customHeight="1"/>
    <row r="2105" ht="15.75" customHeight="1"/>
    <row r="2106" ht="15.75" customHeight="1"/>
    <row r="2107" ht="15.75" customHeight="1"/>
    <row r="2108" ht="15.75" customHeight="1"/>
    <row r="2109" ht="15.75" customHeight="1"/>
    <row r="2110" ht="15.75" customHeight="1"/>
    <row r="2111" ht="15.75" customHeight="1"/>
    <row r="2112" ht="15.75" customHeight="1"/>
    <row r="2113" ht="15.75" customHeight="1"/>
    <row r="2114" ht="15.75" customHeight="1"/>
    <row r="2115" ht="15.75" customHeight="1"/>
    <row r="2116" ht="15.75" customHeight="1"/>
    <row r="2117" ht="15.75" customHeight="1"/>
    <row r="2118" ht="15.75" customHeight="1"/>
    <row r="2119" ht="15.75" customHeight="1"/>
    <row r="2120" ht="15.75" customHeight="1"/>
    <row r="2121" ht="15.75" customHeight="1"/>
    <row r="2122" ht="15.75" customHeight="1"/>
    <row r="2123" ht="15.75" customHeight="1"/>
    <row r="2124" ht="15.75" customHeight="1"/>
    <row r="2125" ht="15.75" customHeight="1"/>
    <row r="2126" ht="15.75" customHeight="1"/>
    <row r="2127" ht="15.75" customHeight="1"/>
    <row r="2128" ht="15.75" customHeight="1"/>
    <row r="2129" ht="15.75" customHeight="1"/>
    <row r="2130" ht="15.75" customHeight="1"/>
    <row r="2131" ht="15.75" customHeight="1"/>
    <row r="2132" ht="15.75" customHeight="1"/>
    <row r="2133" ht="15.75" customHeight="1"/>
    <row r="2134" ht="15.75" customHeight="1"/>
    <row r="2135" ht="15.75" customHeight="1"/>
    <row r="2136" ht="15.75" customHeight="1"/>
    <row r="2137" ht="15.75" customHeight="1"/>
    <row r="2138" ht="15.75" customHeight="1"/>
    <row r="2139" ht="15.75" customHeight="1"/>
    <row r="2140" ht="15.75" customHeight="1"/>
    <row r="2141" ht="15.75" customHeight="1"/>
    <row r="2142" ht="15.75" customHeight="1"/>
    <row r="2143" ht="15.75" customHeight="1"/>
    <row r="2144" ht="15.75" customHeight="1"/>
    <row r="2145" ht="15.75" customHeight="1"/>
    <row r="2146" ht="15.75" customHeight="1"/>
    <row r="2147" ht="15.75" customHeight="1"/>
    <row r="2148" ht="15.75" customHeight="1"/>
    <row r="2149" ht="15.75" customHeight="1"/>
    <row r="2150" ht="15.75" customHeight="1"/>
    <row r="2151" ht="15.75" customHeight="1"/>
    <row r="2152" ht="15.75" customHeight="1"/>
    <row r="2153" ht="15.75" customHeight="1"/>
    <row r="2154" ht="15.75" customHeight="1"/>
    <row r="2155" ht="15.75" customHeight="1"/>
    <row r="2156" ht="15.75" customHeight="1"/>
    <row r="2157" ht="15.75" customHeight="1"/>
    <row r="2158" ht="15.75" customHeight="1"/>
    <row r="2159" ht="15.75" customHeight="1"/>
    <row r="2160" ht="15.75" customHeight="1"/>
    <row r="2161" ht="15.75" customHeight="1"/>
    <row r="2162" ht="15.75" customHeight="1"/>
    <row r="2163" ht="15.75" customHeight="1"/>
    <row r="2164" ht="15.75" customHeight="1"/>
    <row r="2165" ht="15.75" customHeight="1"/>
    <row r="2166" ht="15.75" customHeight="1"/>
    <row r="2167" ht="15.75" customHeight="1"/>
    <row r="2168" ht="15.75" customHeight="1"/>
    <row r="2169" ht="15.75" customHeight="1"/>
    <row r="2170" ht="15.75" customHeight="1"/>
    <row r="2171" ht="15.75" customHeight="1"/>
    <row r="2172" ht="15.75" customHeight="1"/>
    <row r="2173" ht="15.75" customHeight="1"/>
    <row r="2174" ht="15.75" customHeight="1"/>
    <row r="2175" ht="15.75" customHeight="1"/>
    <row r="2176" ht="15.75" customHeight="1"/>
    <row r="2177" ht="15.75" customHeight="1"/>
    <row r="2178" ht="15.75" customHeight="1"/>
    <row r="2179" ht="15.75" customHeight="1"/>
    <row r="2180" ht="15.75" customHeight="1"/>
    <row r="2181" ht="15.75" customHeight="1"/>
    <row r="2182" ht="15.75" customHeight="1"/>
    <row r="2183" ht="15.75" customHeight="1"/>
    <row r="2184" ht="15.75" customHeight="1"/>
    <row r="2185" ht="15.75" customHeight="1"/>
    <row r="2186" ht="15.75" customHeight="1"/>
    <row r="2187" ht="15.75" customHeight="1"/>
    <row r="2188" ht="15.75" customHeight="1"/>
    <row r="2189" ht="15.75" customHeight="1"/>
    <row r="2190" ht="15.75" customHeight="1"/>
    <row r="2191" ht="15.75" customHeight="1"/>
    <row r="2192" ht="15.75" customHeight="1"/>
    <row r="2193" ht="15.75" customHeight="1"/>
    <row r="2194" ht="15.75" customHeight="1"/>
    <row r="2195" ht="15.75" customHeight="1"/>
    <row r="2196" ht="15.75" customHeight="1"/>
    <row r="2197" ht="15.75" customHeight="1"/>
    <row r="2198" ht="15.75" customHeight="1"/>
    <row r="2199" ht="15.75" customHeight="1"/>
    <row r="2200" ht="15.75" customHeight="1"/>
    <row r="2201" ht="15.75" customHeight="1"/>
    <row r="2202" ht="15.75" customHeight="1"/>
    <row r="2203" ht="15.75" customHeight="1"/>
    <row r="2204" ht="15.75" customHeight="1"/>
    <row r="2205" ht="15.75" customHeight="1"/>
    <row r="2206" ht="15.75" customHeight="1"/>
    <row r="2207" ht="15.75" customHeight="1"/>
    <row r="2208" ht="15.75" customHeight="1"/>
    <row r="2209" ht="15.75" customHeight="1"/>
    <row r="2210" ht="15.75" customHeight="1"/>
    <row r="2211" ht="15.75" customHeight="1"/>
    <row r="2212" ht="15.75" customHeight="1"/>
    <row r="2213" ht="15.75" customHeight="1"/>
    <row r="2214" ht="15.75" customHeight="1"/>
    <row r="2215" ht="15.75" customHeight="1"/>
    <row r="2216" ht="15.75" customHeight="1"/>
    <row r="2217" ht="15.75" customHeight="1"/>
    <row r="2218" ht="15.75" customHeight="1"/>
    <row r="2219" ht="15.75" customHeight="1"/>
    <row r="2220" ht="15.75" customHeight="1"/>
    <row r="2221" ht="15.75" customHeight="1"/>
    <row r="2222" ht="15.75" customHeight="1"/>
    <row r="2223" ht="15.75" customHeight="1"/>
    <row r="2224" ht="15.75" customHeight="1"/>
    <row r="2225" ht="15.75" customHeight="1"/>
    <row r="2226" ht="15.75" customHeight="1"/>
    <row r="2227" ht="15.75" customHeight="1"/>
    <row r="2228" ht="15.75" customHeight="1"/>
    <row r="2229" ht="15.75" customHeight="1"/>
    <row r="2230" ht="15.75" customHeight="1"/>
    <row r="2231" ht="15.75" customHeight="1"/>
    <row r="2232" ht="15.75" customHeight="1"/>
    <row r="2233" ht="15.75" customHeight="1"/>
    <row r="2234" ht="15.75" customHeight="1"/>
    <row r="2235" ht="15.75" customHeight="1"/>
    <row r="2236" ht="15.75" customHeight="1"/>
    <row r="2237" ht="15.75" customHeight="1"/>
    <row r="2238" ht="15.75" customHeight="1"/>
    <row r="2239" ht="15.75" customHeight="1"/>
    <row r="2240" ht="15.75" customHeight="1"/>
    <row r="2241" ht="15.75" customHeight="1"/>
    <row r="2242" ht="15.75" customHeight="1"/>
    <row r="2243" ht="15.75" customHeight="1"/>
    <row r="2244" ht="15.75" customHeight="1"/>
    <row r="2245" ht="15.75" customHeight="1"/>
    <row r="2246" ht="15.75" customHeight="1"/>
    <row r="2247" ht="15.75" customHeight="1"/>
    <row r="2248" ht="15.75" customHeight="1"/>
    <row r="2249" ht="15.75" customHeight="1"/>
    <row r="2250" ht="15.75" customHeight="1"/>
    <row r="2251" ht="15.75" customHeight="1"/>
    <row r="2252" ht="15.75" customHeight="1"/>
    <row r="2253" ht="15.75" customHeight="1"/>
    <row r="2254" ht="15.75" customHeight="1"/>
    <row r="2255" ht="15.75" customHeight="1"/>
    <row r="2256" ht="15.75" customHeight="1"/>
    <row r="2257" ht="15.75" customHeight="1"/>
    <row r="2258" ht="15.75" customHeight="1"/>
    <row r="2259" ht="15.75" customHeight="1"/>
    <row r="2260" ht="15.75" customHeight="1"/>
    <row r="2261" ht="15.75" customHeight="1"/>
    <row r="2262" ht="15.75" customHeight="1"/>
    <row r="2263" ht="15.75" customHeight="1"/>
    <row r="2264" ht="15.75" customHeight="1"/>
    <row r="2265" ht="15.75" customHeight="1"/>
    <row r="2266" ht="15.75" customHeight="1"/>
    <row r="2267" ht="15.75" customHeight="1"/>
    <row r="2268" ht="15.75" customHeight="1"/>
    <row r="2269" ht="15.75" customHeight="1"/>
    <row r="2270" ht="15.75" customHeight="1"/>
    <row r="2271" ht="15.75" customHeight="1"/>
    <row r="2272" ht="15.75" customHeight="1"/>
    <row r="2273" ht="15.75" customHeight="1"/>
    <row r="2274" ht="15.75" customHeight="1"/>
    <row r="2275" ht="15.75" customHeight="1"/>
    <row r="2276" ht="15.75" customHeight="1"/>
    <row r="2277" ht="15.75" customHeight="1"/>
    <row r="2278" ht="15.75" customHeight="1"/>
    <row r="2279" ht="15.75" customHeight="1"/>
    <row r="2280" ht="15.75" customHeight="1"/>
    <row r="2281" ht="15.75" customHeight="1"/>
    <row r="2282" ht="15.75" customHeight="1"/>
    <row r="2283" ht="15.75" customHeight="1"/>
    <row r="2284" ht="15.75" customHeight="1"/>
    <row r="2285" ht="15.75" customHeight="1"/>
    <row r="2286" ht="15.75" customHeight="1"/>
    <row r="2287" ht="15.75" customHeight="1"/>
    <row r="2288" ht="15.75" customHeight="1"/>
    <row r="2289" ht="15.75" customHeight="1"/>
    <row r="2290" ht="15.75" customHeight="1"/>
    <row r="2291" ht="15.75" customHeight="1"/>
    <row r="2292" ht="15.75" customHeight="1"/>
    <row r="2293" ht="15.75" customHeight="1"/>
    <row r="2294" ht="15.75" customHeight="1"/>
    <row r="2295" ht="15.75" customHeight="1"/>
    <row r="2296" ht="15.75" customHeight="1"/>
    <row r="2297" ht="15.75" customHeight="1"/>
    <row r="2298" ht="15.75" customHeight="1"/>
    <row r="2299" ht="15.75" customHeight="1"/>
    <row r="2300" ht="15.75" customHeight="1"/>
    <row r="2301" ht="15.75" customHeight="1"/>
    <row r="2302" ht="15.75" customHeight="1"/>
    <row r="2303" ht="15.75" customHeight="1"/>
    <row r="2304" ht="15.75" customHeight="1"/>
    <row r="2305" ht="15.75" customHeight="1"/>
    <row r="2306" ht="15.75" customHeight="1"/>
    <row r="2307" ht="15.75" customHeight="1"/>
    <row r="2308" ht="15.75" customHeight="1"/>
    <row r="2309" ht="15.75" customHeight="1"/>
    <row r="2310" ht="15.75" customHeight="1"/>
    <row r="2311" ht="15.75" customHeight="1"/>
    <row r="2312" ht="15.75" customHeight="1"/>
    <row r="2313" ht="15.75" customHeight="1"/>
    <row r="2314" ht="15.75" customHeight="1"/>
    <row r="2315" ht="15.75" customHeight="1"/>
    <row r="2316" ht="15.75" customHeight="1"/>
    <row r="2317" ht="15.75" customHeight="1"/>
    <row r="2318" ht="15.75" customHeight="1"/>
    <row r="2319" ht="15.75" customHeight="1"/>
    <row r="2320" ht="15.75" customHeight="1"/>
    <row r="2321" ht="15.75" customHeight="1"/>
    <row r="2322" ht="15.75" customHeight="1"/>
    <row r="2323" ht="15.75" customHeight="1"/>
    <row r="2324" ht="15.75" customHeight="1"/>
    <row r="2325" ht="15.75" customHeight="1"/>
    <row r="2326" ht="15.75" customHeight="1"/>
    <row r="2327" ht="15.75" customHeight="1"/>
    <row r="2328" ht="15.75" customHeight="1"/>
    <row r="2329" ht="15.75" customHeight="1"/>
    <row r="2330" ht="15.75" customHeight="1"/>
    <row r="2331" ht="15.75" customHeight="1"/>
    <row r="2332" ht="15.75" customHeight="1"/>
    <row r="2333" ht="15.75" customHeight="1"/>
    <row r="2334" ht="15.75" customHeight="1"/>
    <row r="2335" ht="15.75" customHeight="1"/>
    <row r="2336" ht="15.75" customHeight="1"/>
    <row r="2337" ht="15.75" customHeight="1"/>
    <row r="2338" ht="15.75" customHeight="1"/>
    <row r="2339" ht="15.75" customHeight="1"/>
    <row r="2340" ht="15.75" customHeight="1"/>
    <row r="2341" ht="15.75" customHeight="1"/>
    <row r="2342" ht="15.75" customHeight="1"/>
    <row r="2343" ht="15.75" customHeight="1"/>
    <row r="2344" ht="15.75" customHeight="1"/>
    <row r="2345" ht="15.75" customHeight="1"/>
    <row r="2346" ht="15.75" customHeight="1"/>
    <row r="2347" ht="15.75" customHeight="1"/>
    <row r="2348" ht="15.75" customHeight="1"/>
    <row r="2349" ht="15.75" customHeight="1"/>
    <row r="2350" ht="15.75" customHeight="1"/>
    <row r="2351" ht="15.75" customHeight="1"/>
    <row r="2352" ht="15.75" customHeight="1"/>
    <row r="2353" ht="15.75" customHeight="1"/>
    <row r="2354" ht="15.75" customHeight="1"/>
    <row r="2355" ht="15.75" customHeight="1"/>
    <row r="2356" ht="15.75" customHeight="1"/>
    <row r="2357" ht="15.75" customHeight="1"/>
    <row r="2358" ht="15.75" customHeight="1"/>
    <row r="2359" ht="15.75" customHeight="1"/>
    <row r="2360" ht="15.75" customHeight="1"/>
    <row r="2361" ht="15.75" customHeight="1"/>
    <row r="2362" ht="15.75" customHeight="1"/>
    <row r="2363" ht="15.75" customHeight="1"/>
    <row r="2364" ht="15.75" customHeight="1"/>
    <row r="2365" ht="15.75" customHeight="1"/>
    <row r="2366" ht="15.75" customHeight="1"/>
    <row r="2367" ht="15.75" customHeight="1"/>
    <row r="2368" ht="15.75" customHeight="1"/>
    <row r="2369" ht="15.75" customHeight="1"/>
    <row r="2370" ht="15.75" customHeight="1"/>
    <row r="2371" ht="15.75" customHeight="1"/>
    <row r="2372" ht="15.75" customHeight="1"/>
    <row r="2373" ht="15.75" customHeight="1"/>
    <row r="2374" ht="15.75" customHeight="1"/>
    <row r="2375" ht="15.75" customHeight="1"/>
    <row r="2376" ht="15.75" customHeight="1"/>
    <row r="2377" ht="15.75" customHeight="1"/>
    <row r="2378" ht="15.75" customHeight="1"/>
    <row r="2379" ht="15.75" customHeight="1"/>
    <row r="2380" ht="15.75" customHeight="1"/>
    <row r="2381" ht="15.75" customHeight="1"/>
    <row r="2382" ht="15.75" customHeight="1"/>
    <row r="2383" ht="15.75" customHeight="1"/>
    <row r="2384" ht="15.75" customHeight="1"/>
    <row r="2385" ht="15.75" customHeight="1"/>
    <row r="2386" ht="15.75" customHeight="1"/>
    <row r="2387" ht="15.75" customHeight="1"/>
    <row r="2388" ht="15.75" customHeight="1"/>
    <row r="2389" ht="15.75" customHeight="1"/>
    <row r="2390" ht="15.75" customHeight="1"/>
    <row r="2391" ht="15.75" customHeight="1"/>
    <row r="2392" ht="15.75" customHeight="1"/>
    <row r="2393" ht="15.75" customHeight="1"/>
    <row r="2394" ht="15.75" customHeight="1"/>
    <row r="2395" ht="15.75" customHeight="1"/>
    <row r="2396" ht="15.75" customHeight="1"/>
    <row r="2397" ht="15.75" customHeight="1"/>
    <row r="2398" ht="15.75" customHeight="1"/>
    <row r="2399" ht="15.75" customHeight="1"/>
    <row r="2400" ht="15.75" customHeight="1"/>
    <row r="2401" ht="15.75" customHeight="1"/>
    <row r="2402" ht="15.75" customHeight="1"/>
    <row r="2403" ht="15.75" customHeight="1"/>
    <row r="2404" ht="15.75" customHeight="1"/>
    <row r="2405" ht="15.75" customHeight="1"/>
    <row r="2406" ht="15.75" customHeight="1"/>
    <row r="2407" ht="15.75" customHeight="1"/>
    <row r="2408" ht="15.75" customHeight="1"/>
    <row r="2409" ht="15.75" customHeight="1"/>
    <row r="2410" ht="15.75" customHeight="1"/>
    <row r="2411" ht="15.75" customHeight="1"/>
    <row r="2412" ht="15.75" customHeight="1"/>
    <row r="2413" ht="15.75" customHeight="1"/>
    <row r="2414" ht="15.75" customHeight="1"/>
    <row r="2415" ht="15.75" customHeight="1"/>
    <row r="2416" ht="15.75" customHeight="1"/>
    <row r="2417" ht="15.75" customHeight="1"/>
    <row r="2418" ht="15.75" customHeight="1"/>
    <row r="2419" ht="15.75" customHeight="1"/>
    <row r="2420" ht="15.75" customHeight="1"/>
    <row r="2421" ht="15.75" customHeight="1"/>
    <row r="2422" ht="15.75" customHeight="1"/>
    <row r="2423" ht="15.75" customHeight="1"/>
    <row r="2424" ht="15.75" customHeight="1"/>
    <row r="2425" ht="15.75" customHeight="1"/>
    <row r="2426" ht="15.75" customHeight="1"/>
    <row r="2427" ht="15.75" customHeight="1"/>
    <row r="2428" ht="15.75" customHeight="1"/>
    <row r="2429" ht="15.75" customHeight="1"/>
    <row r="2430" ht="15.75" customHeight="1"/>
    <row r="2431" ht="15.75" customHeight="1"/>
    <row r="2432" ht="15.75" customHeight="1"/>
    <row r="2433" ht="15.75" customHeight="1"/>
    <row r="2434" ht="15.75" customHeight="1"/>
    <row r="2435" ht="15.75" customHeight="1"/>
    <row r="2436" ht="15.75" customHeight="1"/>
    <row r="2437" ht="15.75" customHeight="1"/>
    <row r="2438" ht="15.75" customHeight="1"/>
    <row r="2439" ht="15.75" customHeight="1"/>
    <row r="2440" ht="15.75" customHeight="1"/>
    <row r="2441" ht="15.75" customHeight="1"/>
    <row r="2442" ht="15.75" customHeight="1"/>
    <row r="2443" ht="15.75" customHeight="1"/>
    <row r="2444" ht="15.75" customHeight="1"/>
    <row r="2445" ht="15.75" customHeight="1"/>
    <row r="2446" ht="15.75" customHeight="1"/>
    <row r="2447" ht="15.75" customHeight="1"/>
    <row r="2448" ht="15.75" customHeight="1"/>
    <row r="2449" ht="15.75" customHeight="1"/>
    <row r="2450" ht="15.75" customHeight="1"/>
    <row r="2451" ht="15.75" customHeight="1"/>
    <row r="2452" ht="15.75" customHeight="1"/>
    <row r="2453" ht="15.75" customHeight="1"/>
    <row r="2454" ht="15.75" customHeight="1"/>
    <row r="2455" ht="15.75" customHeight="1"/>
    <row r="2456" ht="15.75" customHeight="1"/>
    <row r="2457" ht="15.75" customHeight="1"/>
    <row r="2458" ht="15.75" customHeight="1"/>
    <row r="2459" ht="15.75" customHeight="1"/>
    <row r="2460" ht="15.75" customHeight="1"/>
    <row r="2461" ht="15.75" customHeight="1"/>
    <row r="2462" ht="15.75" customHeight="1"/>
    <row r="2463" ht="15.75" customHeight="1"/>
    <row r="2464" ht="15.75" customHeight="1"/>
    <row r="2465" ht="15.75" customHeight="1"/>
    <row r="2466" ht="15.75" customHeight="1"/>
    <row r="2467" ht="15.75" customHeight="1"/>
    <row r="2468" ht="15.75" customHeight="1"/>
    <row r="2469" ht="15.75" customHeight="1"/>
    <row r="2470" ht="15.75" customHeight="1"/>
    <row r="2471" ht="15.75" customHeight="1"/>
    <row r="2472" ht="15.75" customHeight="1"/>
    <row r="2473" ht="15.75" customHeight="1"/>
    <row r="2474" ht="15.75" customHeight="1"/>
    <row r="2475" ht="15.75" customHeight="1"/>
    <row r="2476" ht="15.75" customHeight="1"/>
    <row r="2477" ht="15.75" customHeight="1"/>
    <row r="2478" ht="15.75" customHeight="1"/>
    <row r="2479" ht="15.75" customHeight="1"/>
    <row r="2480" ht="15.75" customHeight="1"/>
    <row r="2481" ht="15.75" customHeight="1"/>
    <row r="2482" ht="15.75" customHeight="1"/>
    <row r="2483" ht="15.75" customHeight="1"/>
    <row r="2484" ht="15.75" customHeight="1"/>
    <row r="2485" ht="15.75" customHeight="1"/>
    <row r="2486" ht="15.75" customHeight="1"/>
    <row r="2487" ht="15.75" customHeight="1"/>
    <row r="2488" ht="15.75" customHeight="1"/>
    <row r="2489" ht="15.75" customHeight="1"/>
    <row r="2490" ht="15.75" customHeight="1"/>
    <row r="2491" ht="15.75" customHeight="1"/>
    <row r="2492" ht="15.75" customHeight="1"/>
    <row r="2493" ht="15.75" customHeight="1"/>
    <row r="2494" ht="15.75" customHeight="1"/>
    <row r="2495" ht="15.75" customHeight="1"/>
    <row r="2496" ht="15.75" customHeight="1"/>
    <row r="2497" ht="15.75" customHeight="1"/>
    <row r="2498" ht="15.75" customHeight="1"/>
    <row r="2499" ht="15.75" customHeight="1"/>
    <row r="2500" ht="15.75" customHeight="1"/>
    <row r="2501" ht="15.75" customHeight="1"/>
    <row r="2502" ht="15.75" customHeight="1"/>
    <row r="2503" ht="15.75" customHeight="1"/>
    <row r="2504" ht="15.75" customHeight="1"/>
    <row r="2505" ht="15.75" customHeight="1"/>
    <row r="2506" ht="15.75" customHeight="1"/>
    <row r="2507" ht="15.75" customHeight="1"/>
    <row r="2508" ht="15.75" customHeight="1"/>
    <row r="2509" ht="15.75" customHeight="1"/>
    <row r="2510" ht="15.75" customHeight="1"/>
    <row r="2511" ht="15.75" customHeight="1"/>
    <row r="2512" ht="15.75" customHeight="1"/>
    <row r="2513" ht="15.75" customHeight="1"/>
    <row r="2514" ht="15.75" customHeight="1"/>
    <row r="2515" ht="15.75" customHeight="1"/>
    <row r="2516" ht="15.75" customHeight="1"/>
    <row r="2517" ht="15.75" customHeight="1"/>
    <row r="2518" ht="15.75" customHeight="1"/>
    <row r="2519" ht="15.75" customHeight="1"/>
    <row r="2520" ht="15.75" customHeight="1"/>
    <row r="2521" ht="15.75" customHeight="1"/>
    <row r="2522" ht="15.75" customHeight="1"/>
    <row r="2523" ht="15.75" customHeight="1"/>
    <row r="2524" ht="15.75" customHeight="1"/>
    <row r="2525" ht="15.75" customHeight="1"/>
    <row r="2526" ht="15.75" customHeight="1"/>
    <row r="2527" ht="15.75" customHeight="1"/>
    <row r="2528" ht="15.75" customHeight="1"/>
    <row r="2529" ht="15.75" customHeight="1"/>
    <row r="2530" ht="15.75" customHeight="1"/>
    <row r="2531" ht="15.75" customHeight="1"/>
    <row r="2532" ht="15.75" customHeight="1"/>
    <row r="2533" ht="15.75" customHeight="1"/>
    <row r="2534" ht="15.75" customHeight="1"/>
    <row r="2535" ht="15.75" customHeight="1"/>
    <row r="2536" ht="15.75" customHeight="1"/>
    <row r="2537" ht="15.75" customHeight="1"/>
    <row r="2538" ht="15.75" customHeight="1"/>
    <row r="2539" ht="15.75" customHeight="1"/>
    <row r="2540" ht="15.75" customHeight="1"/>
    <row r="2541" ht="15.75" customHeight="1"/>
    <row r="2542" ht="15.75" customHeight="1"/>
    <row r="2543" ht="15.75" customHeight="1"/>
    <row r="2544" ht="15.75" customHeight="1"/>
    <row r="2545" ht="15.75" customHeight="1"/>
    <row r="2546" ht="15.75" customHeight="1"/>
    <row r="2547" ht="15.75" customHeight="1"/>
    <row r="2548" ht="15.75" customHeight="1"/>
    <row r="2549" ht="15.75" customHeight="1"/>
    <row r="2550" ht="15.75" customHeight="1"/>
    <row r="2551" ht="15.75" customHeight="1"/>
    <row r="2552" ht="15.75" customHeight="1"/>
    <row r="2553" ht="15.75" customHeight="1"/>
    <row r="2554" ht="15.75" customHeight="1"/>
    <row r="2555" ht="15.75" customHeight="1"/>
    <row r="2556" ht="15.75" customHeight="1"/>
    <row r="2557" ht="15.75" customHeight="1"/>
    <row r="2558" ht="15.75" customHeight="1"/>
    <row r="2559" ht="15.75" customHeight="1"/>
    <row r="2560" ht="15.75" customHeight="1"/>
    <row r="2561" ht="15.75" customHeight="1"/>
    <row r="2562" ht="15.75" customHeight="1"/>
    <row r="2563" ht="15.75" customHeight="1"/>
    <row r="2564" ht="15.75" customHeight="1"/>
    <row r="2565" ht="15.75" customHeight="1"/>
    <row r="2566" ht="15.75" customHeight="1"/>
    <row r="2567" ht="15.75" customHeight="1"/>
    <row r="2568" ht="15.75" customHeight="1"/>
    <row r="2569" ht="15.75" customHeight="1"/>
    <row r="2570" ht="15.75" customHeight="1"/>
    <row r="2571" ht="15.75" customHeight="1"/>
    <row r="2572" ht="15.75" customHeight="1"/>
    <row r="2573" ht="15.75" customHeight="1"/>
    <row r="2574" ht="15.75" customHeight="1"/>
    <row r="2575" ht="15.75" customHeight="1"/>
    <row r="2576" ht="15.75" customHeight="1"/>
    <row r="2577" ht="15.75" customHeight="1"/>
    <row r="2578" ht="15.75" customHeight="1"/>
    <row r="2579" ht="15.75" customHeight="1"/>
    <row r="2580" ht="15.75" customHeight="1"/>
    <row r="2581" ht="15.75" customHeight="1"/>
    <row r="2582" ht="15.75" customHeight="1"/>
    <row r="2583" ht="15.75" customHeight="1"/>
    <row r="2584" ht="15.75" customHeight="1"/>
    <row r="2585" ht="15.75" customHeight="1"/>
    <row r="2586" ht="15.75" customHeight="1"/>
    <row r="2587" ht="15.75" customHeight="1"/>
    <row r="2588" ht="15.75" customHeight="1"/>
    <row r="2589" ht="15.75" customHeight="1"/>
    <row r="2590" ht="15.75" customHeight="1"/>
    <row r="2591" ht="15.75" customHeight="1"/>
    <row r="2592" ht="15.75" customHeight="1"/>
    <row r="2593" ht="15.75" customHeight="1"/>
    <row r="2594" ht="15.75" customHeight="1"/>
    <row r="2595" ht="15.75" customHeight="1"/>
    <row r="2596" ht="15.75" customHeight="1"/>
    <row r="2597" ht="15.75" customHeight="1"/>
    <row r="2598" ht="15.75" customHeight="1"/>
    <row r="2599" ht="15.75" customHeight="1"/>
    <row r="2600" ht="15.75" customHeight="1"/>
    <row r="2601" ht="15.75" customHeight="1"/>
    <row r="2602" ht="15.75" customHeight="1"/>
    <row r="2603" ht="15.75" customHeight="1"/>
    <row r="2604" ht="15.75" customHeight="1"/>
    <row r="2605" ht="15.75" customHeight="1"/>
    <row r="2606" ht="15.75" customHeight="1"/>
    <row r="2607" ht="15.75" customHeight="1"/>
    <row r="2608" ht="15.75" customHeight="1"/>
    <row r="2609" ht="15.75" customHeight="1"/>
    <row r="2610" ht="15.75" customHeight="1"/>
    <row r="2611" ht="15.75" customHeight="1"/>
    <row r="2612" ht="15.75" customHeight="1"/>
    <row r="2613" ht="15.75" customHeight="1"/>
    <row r="2614" ht="15.75" customHeight="1"/>
    <row r="2615" ht="15.75" customHeight="1"/>
    <row r="2616" ht="15.75" customHeight="1"/>
    <row r="2617" ht="15.75" customHeight="1"/>
    <row r="2618" ht="15.75" customHeight="1"/>
    <row r="2619" ht="15.75" customHeight="1"/>
    <row r="2620" ht="15.75" customHeight="1"/>
    <row r="2621" ht="15.75" customHeight="1"/>
    <row r="2622" ht="15.75" customHeight="1"/>
    <row r="2623" ht="15.75" customHeight="1"/>
    <row r="2624" ht="15.75" customHeight="1"/>
    <row r="2625" ht="15.75" customHeight="1"/>
    <row r="2626" ht="15.75" customHeight="1"/>
    <row r="2627" ht="15.75" customHeight="1"/>
    <row r="2628" ht="15.75" customHeight="1"/>
    <row r="2629" ht="15.75" customHeight="1"/>
    <row r="2630" ht="15.75" customHeight="1"/>
    <row r="2631" ht="15.75" customHeight="1"/>
    <row r="2632" ht="15.75" customHeight="1"/>
    <row r="2633" ht="15.75" customHeight="1"/>
    <row r="2634" ht="15.75" customHeight="1"/>
    <row r="2635" ht="15.75" customHeight="1"/>
    <row r="2636" ht="15.75" customHeight="1"/>
    <row r="2637" ht="15.75" customHeight="1"/>
    <row r="2638" ht="15.75" customHeight="1"/>
    <row r="2639" ht="15.75" customHeight="1"/>
    <row r="2640" ht="15.75" customHeight="1"/>
    <row r="2641" ht="15.75" customHeight="1"/>
    <row r="2642" ht="15.75" customHeight="1"/>
    <row r="2643" ht="15.75" customHeight="1"/>
    <row r="2644" ht="15.75" customHeight="1"/>
    <row r="2645" ht="15.75" customHeight="1"/>
    <row r="2646" ht="15.75" customHeight="1"/>
    <row r="2647" ht="15.75" customHeight="1"/>
    <row r="2648" ht="15.75" customHeight="1"/>
    <row r="2649" ht="15.75" customHeight="1"/>
    <row r="2650" ht="15.75" customHeight="1"/>
    <row r="2651" ht="15.75" customHeight="1"/>
    <row r="2652" ht="15.75" customHeight="1"/>
    <row r="2653" ht="15.75" customHeight="1"/>
    <row r="2654" ht="15.75" customHeight="1"/>
    <row r="2655" ht="15.75" customHeight="1"/>
    <row r="2656" ht="15.75" customHeight="1"/>
    <row r="2657" ht="15.75" customHeight="1"/>
    <row r="2658" ht="15.75" customHeight="1"/>
    <row r="2659" ht="15.75" customHeight="1"/>
    <row r="2660" ht="15.75" customHeight="1"/>
    <row r="2661" ht="15.75" customHeight="1"/>
    <row r="2662" ht="15.75" customHeight="1"/>
    <row r="2663" ht="15.75" customHeight="1"/>
    <row r="2664" ht="15.75" customHeight="1"/>
    <row r="2665" ht="15.75" customHeight="1"/>
    <row r="2666" ht="15.75" customHeight="1"/>
    <row r="2667" ht="15.75" customHeight="1"/>
    <row r="2668" ht="15.75" customHeight="1"/>
    <row r="2669" ht="15.75" customHeight="1"/>
    <row r="2670" ht="15.75" customHeight="1"/>
    <row r="2671" ht="15.75" customHeight="1"/>
    <row r="2672" ht="15.75" customHeight="1"/>
    <row r="2673" ht="15.75" customHeight="1"/>
    <row r="2674" ht="15.75" customHeight="1"/>
    <row r="2675" ht="15.75" customHeight="1"/>
    <row r="2676" ht="15.75" customHeight="1"/>
    <row r="2677" ht="15.75" customHeight="1"/>
    <row r="2678" ht="15.75" customHeight="1"/>
    <row r="2679" ht="15.75" customHeight="1"/>
    <row r="2680" ht="15.75" customHeight="1"/>
    <row r="2681" ht="15.75" customHeight="1"/>
    <row r="2682" ht="15.75" customHeight="1"/>
    <row r="2683" ht="15.75" customHeight="1"/>
    <row r="2684" ht="15.75" customHeight="1"/>
    <row r="2685" ht="15.75" customHeight="1"/>
    <row r="2686" ht="15.75" customHeight="1"/>
    <row r="2687" ht="15.75" customHeight="1"/>
    <row r="2688" ht="15.75" customHeight="1"/>
    <row r="2689" ht="15.75" customHeight="1"/>
    <row r="2690" ht="15.75" customHeight="1"/>
    <row r="2691" ht="15.75" customHeight="1"/>
    <row r="2692" ht="15.75" customHeight="1"/>
    <row r="2693" ht="15.75" customHeight="1"/>
    <row r="2694" ht="15.75" customHeight="1"/>
    <row r="2695" ht="15.75" customHeight="1"/>
    <row r="2696" ht="15.75" customHeight="1"/>
    <row r="2697" ht="15.75" customHeight="1"/>
    <row r="2698" ht="15.75" customHeight="1"/>
    <row r="2699" ht="15.75" customHeight="1"/>
    <row r="2700" ht="15.75" customHeight="1"/>
    <row r="2701" ht="15.75" customHeight="1"/>
    <row r="2702" ht="15.75" customHeight="1"/>
    <row r="2703" ht="15.75" customHeight="1"/>
    <row r="2704" ht="15.75" customHeight="1"/>
    <row r="2705" ht="15.75" customHeight="1"/>
    <row r="2706" ht="15.75" customHeight="1"/>
    <row r="2707" ht="15.75" customHeight="1"/>
    <row r="2708" ht="15.75" customHeight="1"/>
    <row r="2709" ht="15.75" customHeight="1"/>
    <row r="2710" ht="15.75" customHeight="1"/>
    <row r="2711" ht="15.75" customHeight="1"/>
    <row r="2712" ht="15.75" customHeight="1"/>
    <row r="2713" ht="15.75" customHeight="1"/>
    <row r="2714" ht="15.75" customHeight="1"/>
    <row r="2715" ht="15.75" customHeight="1"/>
    <row r="2716" ht="15.75" customHeight="1"/>
    <row r="2717" ht="15.75" customHeight="1"/>
    <row r="2718" ht="15.75" customHeight="1"/>
    <row r="2719" ht="15.75" customHeight="1"/>
    <row r="2720" ht="15.75" customHeight="1"/>
    <row r="2721" ht="15.75" customHeight="1"/>
    <row r="2722" ht="15.75" customHeight="1"/>
    <row r="2723" ht="15.75" customHeight="1"/>
    <row r="2724" ht="15.75" customHeight="1"/>
    <row r="2725" ht="15.75" customHeight="1"/>
    <row r="2726" ht="15.75" customHeight="1"/>
    <row r="2727" ht="15.75" customHeight="1"/>
    <row r="2728" ht="15.75" customHeight="1"/>
    <row r="2729" ht="15.75" customHeight="1"/>
    <row r="2730" ht="15.75" customHeight="1"/>
    <row r="2731" ht="15.75" customHeight="1"/>
    <row r="2732" ht="15.75" customHeight="1"/>
    <row r="2733" ht="15.75" customHeight="1"/>
    <row r="2734" ht="15.75" customHeight="1"/>
    <row r="2735" ht="15.75" customHeight="1"/>
    <row r="2736" ht="15.75" customHeight="1"/>
    <row r="2737" ht="15.75" customHeight="1"/>
    <row r="2738" ht="15.75" customHeight="1"/>
    <row r="2739" ht="15.75" customHeight="1"/>
    <row r="2740" ht="15.75" customHeight="1"/>
    <row r="2741" ht="15.75" customHeight="1"/>
    <row r="2742" ht="15.75" customHeight="1"/>
    <row r="2743" ht="15.75" customHeight="1"/>
    <row r="2744" ht="15.75" customHeight="1"/>
    <row r="2745" ht="15.75" customHeight="1"/>
    <row r="2746" ht="15.75" customHeight="1"/>
    <row r="2747" ht="15.75" customHeight="1"/>
    <row r="2748" ht="15.75" customHeight="1"/>
    <row r="2749" ht="15.75" customHeight="1"/>
    <row r="2750" ht="15.75" customHeight="1"/>
    <row r="2751" ht="15.75" customHeight="1"/>
    <row r="2752" ht="15.75" customHeight="1"/>
    <row r="2753" ht="15.75" customHeight="1"/>
    <row r="2754" ht="15.75" customHeight="1"/>
    <row r="2755" ht="15.75" customHeight="1"/>
    <row r="2756" ht="15.75" customHeight="1"/>
    <row r="2757" ht="15.75" customHeight="1"/>
    <row r="2758" ht="15.75" customHeight="1"/>
    <row r="2759" ht="15.75" customHeight="1"/>
    <row r="2760" ht="15.75" customHeight="1"/>
    <row r="2761" ht="15.75" customHeight="1"/>
    <row r="2762" ht="15.75" customHeight="1"/>
    <row r="2763" ht="15.75" customHeight="1"/>
    <row r="2764" ht="15.75" customHeight="1"/>
    <row r="2765" ht="15.75" customHeight="1"/>
    <row r="2766" ht="15.75" customHeight="1"/>
    <row r="2767" ht="15.75" customHeight="1"/>
    <row r="2768" ht="15.75" customHeight="1"/>
    <row r="2769" ht="15.75" customHeight="1"/>
    <row r="2770" ht="15.75" customHeight="1"/>
    <row r="2771" ht="15.75" customHeight="1"/>
    <row r="2772" ht="15.75" customHeight="1"/>
    <row r="2773" ht="15.75" customHeight="1"/>
    <row r="2774" ht="15.75" customHeight="1"/>
    <row r="2775" ht="15.75" customHeight="1"/>
    <row r="2776" ht="15.75" customHeight="1"/>
    <row r="2777" ht="15.75" customHeight="1"/>
    <row r="2778" ht="15.75" customHeight="1"/>
    <row r="2779" ht="15.75" customHeight="1"/>
    <row r="2780" ht="15.75" customHeight="1"/>
    <row r="2781" ht="15.75" customHeight="1"/>
    <row r="2782" ht="15.75" customHeight="1"/>
    <row r="2783" ht="15.75" customHeight="1"/>
    <row r="2784" ht="15.75" customHeight="1"/>
    <row r="2785" ht="15.75" customHeight="1"/>
    <row r="2786" ht="15.75" customHeight="1"/>
    <row r="2787" ht="15.75" customHeight="1"/>
    <row r="2788" ht="15.75" customHeight="1"/>
    <row r="2789" ht="15.75" customHeight="1"/>
    <row r="2790" ht="15.75" customHeight="1"/>
    <row r="2791" ht="15.75" customHeight="1"/>
    <row r="2792" ht="15.75" customHeight="1"/>
    <row r="2793" ht="15.75" customHeight="1"/>
    <row r="2794" ht="15.75" customHeight="1"/>
    <row r="2795" ht="15.75" customHeight="1"/>
    <row r="2796" ht="15.75" customHeight="1"/>
    <row r="2797" ht="15.75" customHeight="1"/>
    <row r="2798" ht="15.75" customHeight="1"/>
    <row r="2799" ht="15.75" customHeight="1"/>
    <row r="2800" ht="15.75" customHeight="1"/>
    <row r="2801" ht="15.75" customHeight="1"/>
    <row r="2802" ht="15.75" customHeight="1"/>
    <row r="2803" ht="15.75" customHeight="1"/>
    <row r="2804" ht="15.75" customHeight="1"/>
    <row r="2805" ht="15.75" customHeight="1"/>
    <row r="2806" ht="15.75" customHeight="1"/>
    <row r="2807" ht="15.75" customHeight="1"/>
    <row r="2808" ht="15.75" customHeight="1"/>
    <row r="2809" ht="15.75" customHeight="1"/>
    <row r="2810" ht="15.75" customHeight="1"/>
    <row r="2811" ht="15.75" customHeight="1"/>
    <row r="2812" ht="15.75" customHeight="1"/>
    <row r="2813" ht="15.75" customHeight="1"/>
    <row r="2814" ht="15.75" customHeight="1"/>
    <row r="2815" ht="15.75" customHeight="1"/>
    <row r="2816" ht="15.75" customHeight="1"/>
    <row r="2817" ht="15.75" customHeight="1"/>
    <row r="2818" ht="15.75" customHeight="1"/>
    <row r="2819" ht="15.75" customHeight="1"/>
    <row r="2820" ht="15.75" customHeight="1"/>
    <row r="2821" ht="15.75" customHeight="1"/>
    <row r="2822" ht="15.75" customHeight="1"/>
    <row r="2823" ht="15.75" customHeight="1"/>
    <row r="2824" ht="15.75" customHeight="1"/>
    <row r="2825" ht="15.75" customHeight="1"/>
    <row r="2826" ht="15.75" customHeight="1"/>
    <row r="2827" ht="15.75" customHeight="1"/>
    <row r="2828" ht="15.75" customHeight="1"/>
    <row r="2829" ht="15.75" customHeight="1"/>
    <row r="2830" ht="15.75" customHeight="1"/>
    <row r="2831" ht="15.75" customHeight="1"/>
    <row r="2832" ht="15.75" customHeight="1"/>
    <row r="2833" ht="15.75" customHeight="1"/>
    <row r="2834" ht="15.75" customHeight="1"/>
    <row r="2835" ht="15.75" customHeight="1"/>
    <row r="2836" ht="15.75" customHeight="1"/>
    <row r="2837" ht="15.75" customHeight="1"/>
    <row r="2838" ht="15.75" customHeight="1"/>
    <row r="2839" ht="15.75" customHeight="1"/>
    <row r="2840" ht="15.75" customHeight="1"/>
    <row r="2841" ht="15.75" customHeight="1"/>
    <row r="2842" ht="15.75" customHeight="1"/>
    <row r="2843" ht="15.75" customHeight="1"/>
    <row r="2844" ht="15.75" customHeight="1"/>
    <row r="2845" ht="15.75" customHeight="1"/>
    <row r="2846" ht="15.75" customHeight="1"/>
    <row r="2847" ht="15.75" customHeight="1"/>
    <row r="2848" ht="15.75" customHeight="1"/>
    <row r="2849" ht="15.75" customHeight="1"/>
    <row r="2850" ht="15.75" customHeight="1"/>
    <row r="2851" ht="15.75" customHeight="1"/>
    <row r="2852" ht="15.75" customHeight="1"/>
    <row r="2853" ht="15.75" customHeight="1"/>
    <row r="2854" ht="15.75" customHeight="1"/>
    <row r="2855" ht="15.75" customHeight="1"/>
    <row r="2856" ht="15.75" customHeight="1"/>
    <row r="2857" ht="15.75" customHeight="1"/>
    <row r="2858" ht="15.75" customHeight="1"/>
    <row r="2859" ht="15.75" customHeight="1"/>
    <row r="2860" ht="15.75" customHeight="1"/>
    <row r="2861" ht="15.75" customHeight="1"/>
    <row r="2862" ht="15.75" customHeight="1"/>
    <row r="2863" ht="15.75" customHeight="1"/>
    <row r="2864" ht="15.75" customHeight="1"/>
    <row r="2865" ht="15.75" customHeight="1"/>
    <row r="2866" ht="15.75" customHeight="1"/>
    <row r="2867" ht="15.75" customHeight="1"/>
    <row r="2868" ht="15.75" customHeight="1"/>
    <row r="2869" ht="15.75" customHeight="1"/>
    <row r="2870" ht="15.75" customHeight="1"/>
    <row r="2871" ht="15.75" customHeight="1"/>
    <row r="2872" ht="15.75" customHeight="1"/>
    <row r="2873" ht="15.75" customHeight="1"/>
    <row r="2874" ht="15.75" customHeight="1"/>
    <row r="2875" ht="15.75" customHeight="1"/>
    <row r="2876" ht="15.75" customHeight="1"/>
    <row r="2877" ht="15.75" customHeight="1"/>
    <row r="2878" ht="15.75" customHeight="1"/>
    <row r="2879" ht="15.75" customHeight="1"/>
    <row r="2880" ht="15.75" customHeight="1"/>
    <row r="2881" ht="15.75" customHeight="1"/>
    <row r="2882" ht="15.75" customHeight="1"/>
    <row r="2883" ht="15.75" customHeight="1"/>
    <row r="2884" ht="15.75" customHeight="1"/>
    <row r="2885" ht="15.75" customHeight="1"/>
    <row r="2886" ht="15.75" customHeight="1"/>
    <row r="2887" ht="15.75" customHeight="1"/>
    <row r="2888" ht="15.75" customHeight="1"/>
    <row r="2889" ht="15.75" customHeight="1"/>
    <row r="2890" ht="15.75" customHeight="1"/>
    <row r="2891" ht="15.75" customHeight="1"/>
    <row r="2892" ht="15.75" customHeight="1"/>
    <row r="2893" ht="15.75" customHeight="1"/>
    <row r="2894" ht="15.75" customHeight="1"/>
    <row r="2895" ht="15.75" customHeight="1"/>
    <row r="2896" ht="15.75" customHeight="1"/>
    <row r="2897" ht="15.75" customHeight="1"/>
    <row r="2898" ht="15.75" customHeight="1"/>
    <row r="2899" ht="15.75" customHeight="1"/>
    <row r="2900" ht="15.75" customHeight="1"/>
    <row r="2901" ht="15.75" customHeight="1"/>
    <row r="2902" ht="15.75" customHeight="1"/>
    <row r="2903" ht="15.75" customHeight="1"/>
    <row r="2904" ht="15.75" customHeight="1"/>
    <row r="2905" ht="15.75" customHeight="1"/>
    <row r="2906" ht="15.75" customHeight="1"/>
    <row r="2907" ht="15.75" customHeight="1"/>
    <row r="2908" ht="15.75" customHeight="1"/>
    <row r="2909" ht="15.75" customHeight="1"/>
    <row r="2910" ht="15.75" customHeight="1"/>
    <row r="2911" ht="15.75" customHeight="1"/>
    <row r="2912" ht="15.75" customHeight="1"/>
    <row r="2913" ht="15.75" customHeight="1"/>
    <row r="2914" ht="15.75" customHeight="1"/>
    <row r="2915" ht="15.75" customHeight="1"/>
    <row r="2916" ht="15.75" customHeight="1"/>
    <row r="2917" ht="15.75" customHeight="1"/>
    <row r="2918" ht="15.75" customHeight="1"/>
    <row r="2919" ht="15.75" customHeight="1"/>
    <row r="2920" ht="15.75" customHeight="1"/>
    <row r="2921" ht="15.75" customHeight="1"/>
    <row r="2922" ht="15.75" customHeight="1"/>
    <row r="2923" ht="15.75" customHeight="1"/>
    <row r="2924" ht="15.75" customHeight="1"/>
    <row r="2925" ht="15.75" customHeight="1"/>
    <row r="2926" ht="15.75" customHeight="1"/>
    <row r="2927" ht="15.75" customHeight="1"/>
    <row r="2928" ht="15.75" customHeight="1"/>
    <row r="2929" ht="15.75" customHeight="1"/>
    <row r="2930" ht="15.75" customHeight="1"/>
    <row r="2931" ht="15.75" customHeight="1"/>
    <row r="2932" ht="15.75" customHeight="1"/>
    <row r="2933" ht="15.75" customHeight="1"/>
    <row r="2934" ht="15.75" customHeight="1"/>
    <row r="2935" ht="15.75" customHeight="1"/>
    <row r="2936" ht="15.75" customHeight="1"/>
    <row r="2937" ht="15.75" customHeight="1"/>
    <row r="2938" ht="15.75" customHeight="1"/>
    <row r="2939" ht="15.75" customHeight="1"/>
    <row r="2940" ht="15.75" customHeight="1"/>
    <row r="2941" ht="15.75" customHeight="1"/>
    <row r="2942" ht="15.75" customHeight="1"/>
    <row r="2943" ht="15.75" customHeight="1"/>
    <row r="2944" ht="15.75" customHeight="1"/>
    <row r="2945" ht="15.75" customHeight="1"/>
    <row r="2946" ht="15.75" customHeight="1"/>
    <row r="2947" ht="15.75" customHeight="1"/>
    <row r="2948" ht="15.75" customHeight="1"/>
    <row r="2949" ht="15.75" customHeight="1"/>
    <row r="2950" ht="15.75" customHeight="1"/>
    <row r="2951" ht="15.75" customHeight="1"/>
    <row r="2952" ht="15.75" customHeight="1"/>
    <row r="2953" ht="15.75" customHeight="1"/>
    <row r="2954" ht="15.75" customHeight="1"/>
    <row r="2955" ht="15.75" customHeight="1"/>
    <row r="2956" ht="15.75" customHeight="1"/>
    <row r="2957" ht="15.75" customHeight="1"/>
    <row r="2958" ht="15.75" customHeight="1"/>
    <row r="2959" ht="15.75" customHeight="1"/>
    <row r="2960" ht="15.75" customHeight="1"/>
    <row r="2961" ht="15.75" customHeight="1"/>
    <row r="2962" ht="15.75" customHeight="1"/>
    <row r="2963" ht="15.75" customHeight="1"/>
    <row r="2964" ht="15.75" customHeight="1"/>
    <row r="2965" ht="15.75" customHeight="1"/>
    <row r="2966" ht="15.75" customHeight="1"/>
    <row r="2967" ht="15.75" customHeight="1"/>
    <row r="2968" ht="15.75" customHeight="1"/>
    <row r="2969" ht="15.75" customHeight="1"/>
    <row r="2970" ht="15.75" customHeight="1"/>
    <row r="2971" ht="15.75" customHeight="1"/>
    <row r="2972" ht="15.75" customHeight="1"/>
    <row r="2973" ht="15.75" customHeight="1"/>
    <row r="2974" ht="15.75" customHeight="1"/>
    <row r="2975" ht="15.75" customHeight="1"/>
    <row r="2976" ht="15.75" customHeight="1"/>
    <row r="2977" ht="15.75" customHeight="1"/>
    <row r="2978" ht="15.75" customHeight="1"/>
    <row r="2979" ht="15.75" customHeight="1"/>
    <row r="2980" ht="15.75" customHeight="1"/>
    <row r="2981" ht="15.75" customHeight="1"/>
    <row r="2982" ht="15.75" customHeight="1"/>
    <row r="2983" ht="15.75" customHeight="1"/>
    <row r="2984" ht="15.75" customHeight="1"/>
    <row r="2985" ht="15.75" customHeight="1"/>
    <row r="2986" ht="15.75" customHeight="1"/>
    <row r="2987" ht="15.75" customHeight="1"/>
    <row r="2988" ht="15.75" customHeight="1"/>
    <row r="2989" ht="15.75" customHeight="1"/>
    <row r="2990" ht="15.75" customHeight="1"/>
    <row r="2991" ht="15.75" customHeight="1"/>
    <row r="2992" ht="15.75" customHeight="1"/>
    <row r="2993" ht="15.75" customHeight="1"/>
    <row r="2994" ht="15.75" customHeight="1"/>
    <row r="2995" ht="15.75" customHeight="1"/>
    <row r="2996" ht="15.75" customHeight="1"/>
    <row r="2997" ht="15.75" customHeight="1"/>
    <row r="2998" ht="15.75" customHeight="1"/>
    <row r="2999" ht="15.75" customHeight="1"/>
    <row r="3000" ht="15.75" customHeight="1"/>
    <row r="3001" ht="15.75" customHeight="1"/>
    <row r="3002" ht="15.75" customHeight="1"/>
    <row r="3003" ht="15.75" customHeight="1"/>
    <row r="3004" ht="15.75" customHeight="1"/>
    <row r="3005" ht="15.75" customHeight="1"/>
    <row r="3006" ht="15.75" customHeight="1"/>
    <row r="3007" ht="15.75" customHeight="1"/>
    <row r="3008" ht="15.75" customHeight="1"/>
    <row r="3009" ht="15.75" customHeight="1"/>
    <row r="3010" ht="15.75" customHeight="1"/>
    <row r="3011" ht="15.75" customHeight="1"/>
    <row r="3012" ht="15.75" customHeight="1"/>
    <row r="3013" ht="15.75" customHeight="1"/>
    <row r="3014" ht="15.75" customHeight="1"/>
    <row r="3015" ht="15.75" customHeight="1"/>
    <row r="3016" ht="15.75" customHeight="1"/>
    <row r="3017" ht="15.75" customHeight="1"/>
    <row r="3018" ht="15.75" customHeight="1"/>
    <row r="3019" ht="15.75" customHeight="1"/>
    <row r="3020" ht="15.75" customHeight="1"/>
    <row r="3021" ht="15.75" customHeight="1"/>
    <row r="3022" ht="15.75" customHeight="1"/>
    <row r="3023" ht="15.75" customHeight="1"/>
    <row r="3024" ht="15.75" customHeight="1"/>
    <row r="3025" ht="15.75" customHeight="1"/>
    <row r="3026" ht="15.75" customHeight="1"/>
    <row r="3027" ht="15.75" customHeight="1"/>
    <row r="3028" ht="15.75" customHeight="1"/>
    <row r="3029" ht="15.75" customHeight="1"/>
    <row r="3030" ht="15.75" customHeight="1"/>
    <row r="3031" ht="15.75" customHeight="1"/>
    <row r="3032" ht="15.75" customHeight="1"/>
    <row r="3033" ht="15.75" customHeight="1"/>
    <row r="3034" ht="15.75" customHeight="1"/>
    <row r="3035" ht="15.75" customHeight="1"/>
    <row r="3036" ht="15.75" customHeight="1"/>
    <row r="3037" ht="15.75" customHeight="1"/>
    <row r="3038" ht="15.75" customHeight="1"/>
    <row r="3039" ht="15.75" customHeight="1"/>
    <row r="3040" ht="15.75" customHeight="1"/>
    <row r="3041" ht="15.75" customHeight="1"/>
    <row r="3042" ht="15.75" customHeight="1"/>
    <row r="3043" ht="15.75" customHeight="1"/>
    <row r="3044" ht="15.75" customHeight="1"/>
    <row r="3045" ht="15.75" customHeight="1"/>
    <row r="3046" ht="15.75" customHeight="1"/>
    <row r="3047" ht="15.75" customHeight="1"/>
    <row r="3048" ht="15.75" customHeight="1"/>
    <row r="3049" ht="15.75" customHeight="1"/>
    <row r="3050" ht="15.75" customHeight="1"/>
    <row r="3051" ht="15.75" customHeight="1"/>
    <row r="3052" ht="15.75" customHeight="1"/>
    <row r="3053" ht="15.75" customHeight="1"/>
    <row r="3054" ht="15.75" customHeight="1"/>
    <row r="3055" ht="15.75" customHeight="1"/>
    <row r="3056" ht="15.75" customHeight="1"/>
    <row r="3057" ht="15.75" customHeight="1"/>
    <row r="3058" ht="15.75" customHeight="1"/>
    <row r="3059" ht="15.75" customHeight="1"/>
    <row r="3060" ht="15.75" customHeight="1"/>
    <row r="3061" ht="15.75" customHeight="1"/>
    <row r="3062" ht="15.75" customHeight="1"/>
    <row r="3063" ht="15.75" customHeight="1"/>
    <row r="3064" ht="15.75" customHeight="1"/>
    <row r="3065" ht="15.75" customHeight="1"/>
    <row r="3066" ht="15.75" customHeight="1"/>
    <row r="3067" ht="15.75" customHeight="1"/>
    <row r="3068" ht="15.75" customHeight="1"/>
    <row r="3069" ht="15.75" customHeight="1"/>
    <row r="3070" ht="15.75" customHeight="1"/>
    <row r="3071" ht="15.75" customHeight="1"/>
    <row r="3072" ht="15.75" customHeight="1"/>
    <row r="3073" ht="15.75" customHeight="1"/>
    <row r="3074" ht="15.75" customHeight="1"/>
    <row r="3075" ht="15.75" customHeight="1"/>
    <row r="3076" ht="15.75" customHeight="1"/>
    <row r="3077" ht="15.75" customHeight="1"/>
    <row r="3078" ht="15.75" customHeight="1"/>
    <row r="3079" ht="15.75" customHeight="1"/>
    <row r="3080" ht="15.75" customHeight="1"/>
    <row r="3081" ht="15.75" customHeight="1"/>
    <row r="3082" ht="15.75" customHeight="1"/>
    <row r="3083" ht="15.75" customHeight="1"/>
    <row r="3084" ht="15.75" customHeight="1"/>
    <row r="3085" ht="15.75" customHeight="1"/>
    <row r="3086" ht="15.75" customHeight="1"/>
    <row r="3087" ht="15.75" customHeight="1"/>
    <row r="3088" ht="15.75" customHeight="1"/>
    <row r="3089" ht="15.75" customHeight="1"/>
    <row r="3090" ht="15.75" customHeight="1"/>
    <row r="3091" ht="15.75" customHeight="1"/>
    <row r="3092" ht="15.75" customHeight="1"/>
    <row r="3093" ht="15.75" customHeight="1"/>
    <row r="3094" ht="15.75" customHeight="1"/>
    <row r="3095" ht="15.75" customHeight="1"/>
    <row r="3096" ht="15.75" customHeight="1"/>
    <row r="3097" ht="15.75" customHeight="1"/>
    <row r="3098" ht="15.75" customHeight="1"/>
    <row r="3099" ht="15.75" customHeight="1"/>
    <row r="3100" ht="15.75" customHeight="1"/>
    <row r="3101" ht="15.75" customHeight="1"/>
    <row r="3102" ht="15.75" customHeight="1"/>
    <row r="3103" ht="15.75" customHeight="1"/>
    <row r="3104" ht="15.75" customHeight="1"/>
    <row r="3105" ht="15.75" customHeight="1"/>
    <row r="3106" ht="15.75" customHeight="1"/>
    <row r="3107" ht="15.75" customHeight="1"/>
    <row r="3108" ht="15.75" customHeight="1"/>
    <row r="3109" ht="15.75" customHeight="1"/>
    <row r="3110" ht="15.75" customHeight="1"/>
    <row r="3111" ht="15.75" customHeight="1"/>
    <row r="3112" ht="15.75" customHeight="1"/>
    <row r="3113" ht="15.75" customHeight="1"/>
    <row r="3114" ht="15.75" customHeight="1"/>
    <row r="3115" ht="15.75" customHeight="1"/>
    <row r="3116" ht="15.75" customHeight="1"/>
    <row r="3117" ht="15.75" customHeight="1"/>
    <row r="3118" ht="15.75" customHeight="1"/>
    <row r="3119" ht="15.75" customHeight="1"/>
    <row r="3120" ht="15.75" customHeight="1"/>
    <row r="3121" ht="15.75" customHeight="1"/>
    <row r="3122" ht="15.75" customHeight="1"/>
    <row r="3123" ht="15.75" customHeight="1"/>
    <row r="3124" ht="15.75" customHeight="1"/>
    <row r="3125" ht="15.75" customHeight="1"/>
    <row r="3126" ht="15.75" customHeight="1"/>
    <row r="3127" ht="15.75" customHeight="1"/>
    <row r="3128" ht="15.75" customHeight="1"/>
    <row r="3129" ht="15.75" customHeight="1"/>
    <row r="3130" ht="15.75" customHeight="1"/>
    <row r="3131" ht="15.75" customHeight="1"/>
    <row r="3132" ht="15.75" customHeight="1"/>
    <row r="3133" ht="15.75" customHeight="1"/>
    <row r="3134" ht="15.75" customHeight="1"/>
    <row r="3135" ht="15.75" customHeight="1"/>
    <row r="3136" ht="15.75" customHeight="1"/>
    <row r="3137" ht="15.75" customHeight="1"/>
    <row r="3138" ht="15.75" customHeight="1"/>
    <row r="3139" ht="15.75" customHeight="1"/>
    <row r="3140" ht="15.75" customHeight="1"/>
    <row r="3141" ht="15.75" customHeight="1"/>
    <row r="3142" ht="15.75" customHeight="1"/>
    <row r="3143" ht="15.75" customHeight="1"/>
    <row r="3144" ht="15.75" customHeight="1"/>
    <row r="3145" ht="15.75" customHeight="1"/>
    <row r="3146" ht="15.75" customHeight="1"/>
    <row r="3147" ht="15.75" customHeight="1"/>
    <row r="3148" ht="15.75" customHeight="1"/>
    <row r="3149" ht="15.75" customHeight="1"/>
    <row r="3150" ht="15.75" customHeight="1"/>
    <row r="3151" ht="15.75" customHeight="1"/>
    <row r="3152" ht="15.75" customHeight="1"/>
    <row r="3153" ht="15.75" customHeight="1"/>
    <row r="3154" ht="15.75" customHeight="1"/>
    <row r="3155" ht="15.75" customHeight="1"/>
    <row r="3156" ht="15.75" customHeight="1"/>
    <row r="3157" ht="15.75" customHeight="1"/>
    <row r="3158" ht="15.75" customHeight="1"/>
    <row r="3159" ht="15.75" customHeight="1"/>
    <row r="3160" ht="15.75" customHeight="1"/>
    <row r="3161" ht="15.75" customHeight="1"/>
    <row r="3162" ht="15.75" customHeight="1"/>
    <row r="3163" ht="15.75" customHeight="1"/>
    <row r="3164" ht="15.75" customHeight="1"/>
    <row r="3165" ht="15.75" customHeight="1"/>
    <row r="3166" ht="15.75" customHeight="1"/>
    <row r="3167" ht="15.75" customHeight="1"/>
    <row r="3168" ht="15.75" customHeight="1"/>
    <row r="3169" ht="15.75" customHeight="1"/>
    <row r="3170" ht="15.75" customHeight="1"/>
    <row r="3171" ht="15.75" customHeight="1"/>
    <row r="3172" ht="15.75" customHeight="1"/>
    <row r="3173" ht="15.75" customHeight="1"/>
    <row r="3174" ht="15.75" customHeight="1"/>
    <row r="3175" ht="15.75" customHeight="1"/>
    <row r="3176" ht="15.75" customHeight="1"/>
    <row r="3177" ht="15.75" customHeight="1"/>
    <row r="3178" ht="15.75" customHeight="1"/>
    <row r="3179" ht="15.75" customHeight="1"/>
    <row r="3180" ht="15.75" customHeight="1"/>
    <row r="3181" ht="15.75" customHeight="1"/>
    <row r="3182" ht="15.75" customHeight="1"/>
    <row r="3183" ht="15.75" customHeight="1"/>
    <row r="3184" ht="15.75" customHeight="1"/>
    <row r="3185" ht="15.75" customHeight="1"/>
    <row r="3186" ht="15.75" customHeight="1"/>
    <row r="3187" ht="15.75" customHeight="1"/>
    <row r="3188" ht="15.75" customHeight="1"/>
    <row r="3189" ht="15.75" customHeight="1"/>
    <row r="3190" ht="15.75" customHeight="1"/>
    <row r="3191" ht="15.75" customHeight="1"/>
    <row r="3192" ht="15.75" customHeight="1"/>
    <row r="3193" ht="15.75" customHeight="1"/>
    <row r="3194" ht="15.75" customHeight="1"/>
    <row r="3195" ht="15.75" customHeight="1"/>
    <row r="3196" ht="15.75" customHeight="1"/>
    <row r="3197" ht="15.75" customHeight="1"/>
    <row r="3198" ht="15.75" customHeight="1"/>
    <row r="3199" ht="15.75" customHeight="1"/>
    <row r="3200" ht="15.75" customHeight="1"/>
    <row r="3201" ht="15.75" customHeight="1"/>
    <row r="3202" ht="15.75" customHeight="1"/>
    <row r="3203" ht="15.75" customHeight="1"/>
    <row r="3204" ht="15.75" customHeight="1"/>
    <row r="3205" ht="15.75" customHeight="1"/>
    <row r="3206" ht="15.75" customHeight="1"/>
    <row r="3207" ht="15.75" customHeight="1"/>
    <row r="3208" ht="15.75" customHeight="1"/>
    <row r="3209" ht="15.75" customHeight="1"/>
    <row r="3210" ht="15.75" customHeight="1"/>
    <row r="3211" ht="15.75" customHeight="1"/>
    <row r="3212" ht="15.75" customHeight="1"/>
    <row r="3213" ht="15.75" customHeight="1"/>
    <row r="3214" ht="15.75" customHeight="1"/>
    <row r="3215" ht="15.75" customHeight="1"/>
    <row r="3216" ht="15.75" customHeight="1"/>
    <row r="3217" ht="15.75" customHeight="1"/>
    <row r="3218" ht="15.75" customHeight="1"/>
    <row r="3219" ht="15.75" customHeight="1"/>
    <row r="3220" ht="15.75" customHeight="1"/>
    <row r="3221" ht="15.75" customHeight="1"/>
    <row r="3222" ht="15.75" customHeight="1"/>
    <row r="3223" ht="15.75" customHeight="1"/>
    <row r="3224" ht="15.75" customHeight="1"/>
    <row r="3225" ht="15.75" customHeight="1"/>
    <row r="3226" ht="15.75" customHeight="1"/>
    <row r="3227" ht="15.75" customHeight="1"/>
    <row r="3228" ht="15.75" customHeight="1"/>
    <row r="3229" ht="15.75" customHeight="1"/>
    <row r="3230" ht="15.75" customHeight="1"/>
    <row r="3231" ht="15.75" customHeight="1"/>
    <row r="3232" ht="15.75" customHeight="1"/>
    <row r="3233" ht="15.75" customHeight="1"/>
    <row r="3234" ht="15.75" customHeight="1"/>
    <row r="3235" ht="15.75" customHeight="1"/>
    <row r="3236" ht="15.75" customHeight="1"/>
    <row r="3237" ht="15.75" customHeight="1"/>
    <row r="3238" ht="15.75" customHeight="1"/>
    <row r="3239" ht="15.75" customHeight="1"/>
    <row r="3240" ht="15.75" customHeight="1"/>
    <row r="3241" ht="15.75" customHeight="1"/>
    <row r="3242" ht="15.75" customHeight="1"/>
    <row r="3243" ht="15.75" customHeight="1"/>
    <row r="3244" ht="15.75" customHeight="1"/>
    <row r="3245" ht="15.75" customHeight="1"/>
    <row r="3246" ht="15.75" customHeight="1"/>
    <row r="3247" ht="15.75" customHeight="1"/>
    <row r="3248" ht="15.75" customHeight="1"/>
    <row r="3249" ht="15.75" customHeight="1"/>
    <row r="3250" ht="15.75" customHeight="1"/>
    <row r="3251" ht="15.75" customHeight="1"/>
    <row r="3252" ht="15.75" customHeight="1"/>
    <row r="3253" ht="15.75" customHeight="1"/>
    <row r="3254" ht="15.75" customHeight="1"/>
    <row r="3255" ht="15.75" customHeight="1"/>
    <row r="3256" ht="15.75" customHeight="1"/>
    <row r="3257" ht="15.75" customHeight="1"/>
    <row r="3258" ht="15.75" customHeight="1"/>
    <row r="3259" ht="15.75" customHeight="1"/>
    <row r="3260" ht="15.75" customHeight="1"/>
    <row r="3261" ht="15.75" customHeight="1"/>
    <row r="3262" ht="15.75" customHeight="1"/>
    <row r="3263" ht="15.75" customHeight="1"/>
    <row r="3264" ht="15.75" customHeight="1"/>
    <row r="3265" ht="15.75" customHeight="1"/>
    <row r="3266" ht="15.75" customHeight="1"/>
    <row r="3267" ht="15.75" customHeight="1"/>
    <row r="3268" ht="15.75" customHeight="1"/>
    <row r="3269" ht="15.75" customHeight="1"/>
    <row r="3270" ht="15.75" customHeight="1"/>
    <row r="3271" ht="15.75" customHeight="1"/>
    <row r="3272" ht="15.75" customHeight="1"/>
    <row r="3273" ht="15.75" customHeight="1"/>
    <row r="3274" ht="15.75" customHeight="1"/>
    <row r="3275" ht="15.75" customHeight="1"/>
    <row r="3276" ht="15.75" customHeight="1"/>
    <row r="3277" ht="15.75" customHeight="1"/>
    <row r="3278" ht="15.75" customHeight="1"/>
    <row r="3279" ht="15.75" customHeight="1"/>
    <row r="3280" ht="15.75" customHeight="1"/>
    <row r="3281" ht="15.75" customHeight="1"/>
    <row r="3282" ht="15.75" customHeight="1"/>
    <row r="3283" ht="15.75" customHeight="1"/>
    <row r="3284" ht="15.75" customHeight="1"/>
    <row r="3285" ht="15.75" customHeight="1"/>
    <row r="3286" ht="15.75" customHeight="1"/>
    <row r="3287" ht="15.75" customHeight="1"/>
    <row r="3288" ht="15.75" customHeight="1"/>
    <row r="3289" ht="15.75" customHeight="1"/>
    <row r="3290" ht="15.75" customHeight="1"/>
    <row r="3291" ht="15.75" customHeight="1"/>
    <row r="3292" ht="15.75" customHeight="1"/>
    <row r="3293" ht="15.75" customHeight="1"/>
    <row r="3294" ht="15.75" customHeight="1"/>
    <row r="3295" ht="15.75" customHeight="1"/>
    <row r="3296" ht="15.75" customHeight="1"/>
    <row r="3297" ht="15.75" customHeight="1"/>
    <row r="3298" ht="15.75" customHeight="1"/>
    <row r="3299" ht="15.75" customHeight="1"/>
    <row r="3300" ht="15.75" customHeight="1"/>
    <row r="3301" ht="15.75" customHeight="1"/>
    <row r="3302" ht="15.75" customHeight="1"/>
    <row r="3303" ht="15.75" customHeight="1"/>
    <row r="3304" ht="15.75" customHeight="1"/>
    <row r="3305" ht="15.75" customHeight="1"/>
    <row r="3306" ht="15.75" customHeight="1"/>
    <row r="3307" ht="15.75" customHeight="1"/>
    <row r="3308" ht="15.75" customHeight="1"/>
    <row r="3309" ht="15.75" customHeight="1"/>
    <row r="3310" ht="15.75" customHeight="1"/>
    <row r="3311" ht="15.75" customHeight="1"/>
    <row r="3312" ht="15.75" customHeight="1"/>
    <row r="3313" ht="15.75" customHeight="1"/>
    <row r="3314" ht="15.75" customHeight="1"/>
    <row r="3315" ht="15.75" customHeight="1"/>
    <row r="3316" ht="15.75" customHeight="1"/>
    <row r="3317" ht="15.75" customHeight="1"/>
    <row r="3318" ht="15.75" customHeight="1"/>
    <row r="3319" ht="15.75" customHeight="1"/>
    <row r="3320" ht="15.75" customHeight="1"/>
    <row r="3321" ht="15.75" customHeight="1"/>
    <row r="3322" ht="15.75" customHeight="1"/>
    <row r="3323" ht="15.75" customHeight="1"/>
    <row r="3324" ht="15.75" customHeight="1"/>
    <row r="3325" ht="15.75" customHeight="1"/>
    <row r="3326" ht="15.75" customHeight="1"/>
    <row r="3327" ht="15.75" customHeight="1"/>
    <row r="3328" ht="15.75" customHeight="1"/>
    <row r="3329" ht="15.75" customHeight="1"/>
    <row r="3330" ht="15.75" customHeight="1"/>
    <row r="3331" ht="15.75" customHeight="1"/>
    <row r="3332" ht="15.75" customHeight="1"/>
    <row r="3333" ht="15.75" customHeight="1"/>
    <row r="3334" ht="15.75" customHeight="1"/>
    <row r="3335" ht="15.75" customHeight="1"/>
    <row r="3336" ht="15.75" customHeight="1"/>
    <row r="3337" ht="15.75" customHeight="1"/>
    <row r="3338" ht="15.75" customHeight="1"/>
    <row r="3339" ht="15.75" customHeight="1"/>
    <row r="3340" ht="15.75" customHeight="1"/>
    <row r="3341" ht="15.75" customHeight="1"/>
    <row r="3342" ht="15.75" customHeight="1"/>
    <row r="3343" ht="15.75" customHeight="1"/>
    <row r="3344" ht="15.75" customHeight="1"/>
    <row r="3345" ht="15.75" customHeight="1"/>
    <row r="3346" ht="15.75" customHeight="1"/>
    <row r="3347" ht="15.75" customHeight="1"/>
    <row r="3348" ht="15.75" customHeight="1"/>
    <row r="3349" ht="15.75" customHeight="1"/>
    <row r="3350" ht="15.75" customHeight="1"/>
    <row r="3351" ht="15.75" customHeight="1"/>
    <row r="3352" ht="15.75" customHeight="1"/>
    <row r="3353" ht="15.75" customHeight="1"/>
    <row r="3354" ht="15.75" customHeight="1"/>
    <row r="3355" ht="15.75" customHeight="1"/>
    <row r="3356" ht="15.75" customHeight="1"/>
    <row r="3357" ht="15.75" customHeight="1"/>
    <row r="3358" ht="15.75" customHeight="1"/>
    <row r="3359" ht="15.75" customHeight="1"/>
    <row r="3360" ht="15.75" customHeight="1"/>
    <row r="3361" ht="15.75" customHeight="1"/>
    <row r="3362" ht="15.75" customHeight="1"/>
    <row r="3363" ht="15.75" customHeight="1"/>
    <row r="3364" ht="15.75" customHeight="1"/>
    <row r="3365" ht="15.75" customHeight="1"/>
    <row r="3366" ht="15.75" customHeight="1"/>
    <row r="3367" ht="15.75" customHeight="1"/>
    <row r="3368" ht="15.75" customHeight="1"/>
    <row r="3369" ht="15.75" customHeight="1"/>
    <row r="3370" ht="15.75" customHeight="1"/>
    <row r="3371" ht="15.75" customHeight="1"/>
    <row r="3372" ht="15.75" customHeight="1"/>
  </sheetData>
  <mergeCells count="4">
    <mergeCell ref="G5:L5"/>
    <mergeCell ref="C5:E5"/>
    <mergeCell ref="O5:T5"/>
    <mergeCell ref="G2:L2"/>
  </mergeCells>
  <conditionalFormatting sqref="U266:U278 M266:N277 V266:Y277 F266:F277 M261:N263 U261:Y263 F261:F263">
    <cfRule type="cellIs" priority="1" dxfId="0" operator="equal" stopIfTrue="1">
      <formula>0</formula>
    </cfRule>
  </conditionalFormatting>
  <conditionalFormatting sqref="F10:F217 M10:N217 U10:Y217">
    <cfRule type="cellIs" priority="2" dxfId="1" operator="equal" stopIfTrue="1">
      <formula>0</formula>
    </cfRule>
  </conditionalFormatting>
  <printOptions gridLines="1"/>
  <pageMargins left="0.75" right="0.6" top="0.35" bottom="0.51" header="0.5" footer="0.5"/>
  <pageSetup fitToHeight="4" fitToWidth="1" horizontalDpi="600" verticalDpi="600" orientation="landscape" paperSize="17" scale="56" r:id="rId1"/>
</worksheet>
</file>

<file path=xl/worksheets/sheet6.xml><?xml version="1.0" encoding="utf-8"?>
<worksheet xmlns="http://schemas.openxmlformats.org/spreadsheetml/2006/main" xmlns:r="http://schemas.openxmlformats.org/officeDocument/2006/relationships">
  <sheetPr>
    <pageSetUpPr fitToPage="1"/>
  </sheetPr>
  <dimension ref="A1:AD523"/>
  <sheetViews>
    <sheetView showZeros="0" zoomScale="75" zoomScaleNormal="75" workbookViewId="0" topLeftCell="A1">
      <pane xSplit="2" ySplit="7" topLeftCell="K77" activePane="bottomRight" state="frozen"/>
      <selection pane="topLeft" activeCell="A1" sqref="A1"/>
      <selection pane="topRight" activeCell="C1" sqref="C1"/>
      <selection pane="bottomLeft" activeCell="A8" sqref="A8"/>
      <selection pane="bottomRight" activeCell="T88" sqref="T88"/>
    </sheetView>
  </sheetViews>
  <sheetFormatPr defaultColWidth="9.140625" defaultRowHeight="12.75"/>
  <cols>
    <col min="1" max="1" width="18.8515625" style="0" customWidth="1"/>
    <col min="2" max="2" width="31.140625" style="0" customWidth="1"/>
    <col min="3" max="3" width="13.421875" style="0" customWidth="1"/>
    <col min="4" max="4" width="13.00390625" style="0" customWidth="1"/>
    <col min="5" max="5" width="9.8515625" style="0" customWidth="1"/>
    <col min="6" max="6" width="16.140625" style="0" customWidth="1"/>
    <col min="7" max="7" width="12.421875" style="0" customWidth="1"/>
    <col min="8" max="8" width="12.00390625" style="0" customWidth="1"/>
    <col min="9" max="9" width="11.8515625" style="0" customWidth="1"/>
    <col min="10" max="10" width="12.421875" style="0" customWidth="1"/>
    <col min="11" max="11" width="12.00390625" style="0" customWidth="1"/>
    <col min="12" max="12" width="12.140625" style="0" customWidth="1"/>
    <col min="13" max="13" width="15.8515625" style="0" customWidth="1"/>
    <col min="14" max="14" width="16.00390625" style="0" customWidth="1"/>
    <col min="15" max="15" width="5.28125" style="0" customWidth="1"/>
    <col min="16" max="16" width="4.00390625" style="0" customWidth="1"/>
    <col min="17" max="17" width="6.8515625" style="0" customWidth="1"/>
    <col min="18" max="18" width="5.140625" style="0" customWidth="1"/>
    <col min="19" max="19" width="3.8515625" style="0" customWidth="1"/>
    <col min="20" max="20" width="6.7109375" style="0" customWidth="1"/>
    <col min="21" max="21" width="5.28125" style="0" customWidth="1"/>
    <col min="22" max="22" width="15.140625" style="0" customWidth="1"/>
    <col min="23" max="23" width="14.00390625" style="0" customWidth="1"/>
    <col min="24" max="24" width="21.140625" style="0" customWidth="1"/>
    <col min="25" max="25" width="101.140625" style="0" customWidth="1"/>
    <col min="30" max="30" width="26.7109375" style="0" customWidth="1"/>
  </cols>
  <sheetData>
    <row r="1" ht="18">
      <c r="A1" s="36" t="s">
        <v>239</v>
      </c>
    </row>
    <row r="2" spans="1:12" ht="12.75">
      <c r="A2" s="57">
        <v>38278</v>
      </c>
      <c r="B2" t="s">
        <v>1495</v>
      </c>
      <c r="G2" s="339" t="s">
        <v>815</v>
      </c>
      <c r="H2" s="339"/>
      <c r="I2" s="339"/>
      <c r="J2" s="339"/>
      <c r="K2" s="339"/>
      <c r="L2" s="339"/>
    </row>
    <row r="3" spans="7:12" ht="12.75">
      <c r="G3" s="41">
        <f>'Labor and Indirect Rates (NSF)'!$C$130</f>
        <v>67.15</v>
      </c>
      <c r="H3" s="41">
        <f>'Labor and Indirect Rates (NSF)'!$C$132</f>
        <v>89.65</v>
      </c>
      <c r="I3" s="41">
        <f>'Labor and Indirect Rates (NSF)'!$C$131</f>
        <v>56.25</v>
      </c>
      <c r="J3" s="41">
        <f>'Labor and Indirect Rates (NSF)'!$C$129</f>
        <v>52.5</v>
      </c>
      <c r="K3" s="41">
        <f>'Labor and Indirect Rates (NSF)'!$C$141</f>
        <v>67.05</v>
      </c>
      <c r="L3" s="41">
        <f>'Labor and Indirect Rates (NSF)'!$C$140</f>
        <v>101</v>
      </c>
    </row>
    <row r="4" spans="1:25" ht="12.75">
      <c r="A4" s="42"/>
      <c r="B4" s="42"/>
      <c r="C4" s="42"/>
      <c r="D4" s="42"/>
      <c r="E4" s="42"/>
      <c r="F4" s="42"/>
      <c r="G4" s="42"/>
      <c r="H4" s="42"/>
      <c r="I4" s="43"/>
      <c r="J4" s="43"/>
      <c r="K4" s="43"/>
      <c r="L4" s="43"/>
      <c r="M4" s="44" t="s">
        <v>643</v>
      </c>
      <c r="N4" s="44"/>
      <c r="O4" s="42"/>
      <c r="P4" s="42"/>
      <c r="Q4" s="42"/>
      <c r="R4" s="42"/>
      <c r="S4" s="42"/>
      <c r="T4" s="42"/>
      <c r="U4" s="42"/>
      <c r="V4" s="42"/>
      <c r="W4" s="43"/>
      <c r="X4" s="45"/>
      <c r="Y4" s="45"/>
    </row>
    <row r="5" spans="1:25" ht="12.75">
      <c r="A5" s="44" t="s">
        <v>816</v>
      </c>
      <c r="B5" s="42"/>
      <c r="C5" s="338" t="s">
        <v>647</v>
      </c>
      <c r="D5" s="338"/>
      <c r="E5" s="338"/>
      <c r="F5" s="44" t="s">
        <v>643</v>
      </c>
      <c r="G5" s="338" t="s">
        <v>666</v>
      </c>
      <c r="H5" s="338"/>
      <c r="I5" s="338"/>
      <c r="J5" s="338"/>
      <c r="K5" s="338"/>
      <c r="L5" s="338"/>
      <c r="M5" s="44" t="s">
        <v>642</v>
      </c>
      <c r="N5" s="44" t="s">
        <v>643</v>
      </c>
      <c r="O5" s="338" t="s">
        <v>817</v>
      </c>
      <c r="P5" s="338"/>
      <c r="Q5" s="338"/>
      <c r="R5" s="338"/>
      <c r="S5" s="338"/>
      <c r="T5" s="338"/>
      <c r="U5" s="42"/>
      <c r="V5" s="42"/>
      <c r="W5" s="44" t="s">
        <v>643</v>
      </c>
      <c r="X5" s="44" t="s">
        <v>498</v>
      </c>
      <c r="Y5" s="45"/>
    </row>
    <row r="6" spans="1:25" ht="12.75">
      <c r="A6" s="44" t="s">
        <v>818</v>
      </c>
      <c r="B6" s="42" t="s">
        <v>819</v>
      </c>
      <c r="C6" s="44" t="s">
        <v>820</v>
      </c>
      <c r="D6" s="44" t="s">
        <v>821</v>
      </c>
      <c r="E6" s="44" t="s">
        <v>822</v>
      </c>
      <c r="F6" s="44" t="s">
        <v>823</v>
      </c>
      <c r="G6" s="42" t="s">
        <v>824</v>
      </c>
      <c r="H6" s="42" t="s">
        <v>825</v>
      </c>
      <c r="I6" s="43" t="s">
        <v>826</v>
      </c>
      <c r="J6" s="43" t="s">
        <v>667</v>
      </c>
      <c r="K6" s="43" t="s">
        <v>827</v>
      </c>
      <c r="L6" s="43" t="s">
        <v>702</v>
      </c>
      <c r="M6" s="44" t="s">
        <v>697</v>
      </c>
      <c r="N6" s="44" t="s">
        <v>876</v>
      </c>
      <c r="O6" s="42" t="s">
        <v>667</v>
      </c>
      <c r="P6" s="42" t="s">
        <v>828</v>
      </c>
      <c r="Q6" s="42" t="s">
        <v>826</v>
      </c>
      <c r="R6" s="42" t="s">
        <v>697</v>
      </c>
      <c r="S6" s="42" t="s">
        <v>828</v>
      </c>
      <c r="T6" s="42" t="s">
        <v>829</v>
      </c>
      <c r="U6" s="42" t="s">
        <v>830</v>
      </c>
      <c r="V6" s="44" t="s">
        <v>831</v>
      </c>
      <c r="W6" s="46" t="s">
        <v>832</v>
      </c>
      <c r="X6" s="44" t="s">
        <v>499</v>
      </c>
      <c r="Y6" s="44" t="s">
        <v>833</v>
      </c>
    </row>
    <row r="7" spans="1:23" ht="12.75">
      <c r="A7" s="37"/>
      <c r="B7" s="38"/>
      <c r="C7" s="39"/>
      <c r="D7" s="39"/>
      <c r="E7" s="39"/>
      <c r="F7" s="39"/>
      <c r="G7" s="39"/>
      <c r="H7" s="39"/>
      <c r="I7" s="39"/>
      <c r="J7" s="39"/>
      <c r="K7" s="39"/>
      <c r="L7" s="39"/>
      <c r="M7" s="39"/>
      <c r="N7" s="39"/>
      <c r="O7" s="39"/>
      <c r="P7" s="39"/>
      <c r="Q7" s="39"/>
      <c r="R7" s="39"/>
      <c r="S7" s="39"/>
      <c r="T7" s="39"/>
      <c r="U7" s="39"/>
      <c r="V7" s="39"/>
      <c r="W7" s="39"/>
    </row>
    <row r="8" spans="1:23" ht="12.75">
      <c r="A8" t="s">
        <v>1062</v>
      </c>
      <c r="B8" s="8" t="s">
        <v>1768</v>
      </c>
      <c r="C8" s="217">
        <v>0</v>
      </c>
      <c r="D8" s="217">
        <v>0</v>
      </c>
      <c r="E8" s="217">
        <v>0</v>
      </c>
      <c r="F8" s="47">
        <f aca="true" t="shared" si="0" ref="F8:F71">SUM(C8:E8)</f>
        <v>0</v>
      </c>
      <c r="G8" s="40">
        <v>0</v>
      </c>
      <c r="H8" s="40">
        <v>0</v>
      </c>
      <c r="I8" s="40">
        <v>0</v>
      </c>
      <c r="J8" s="40">
        <v>0</v>
      </c>
      <c r="K8" s="40">
        <v>0</v>
      </c>
      <c r="L8" s="40">
        <v>0</v>
      </c>
      <c r="M8" s="47">
        <f aca="true" t="shared" si="1" ref="M8:M71">$G$3*G8+$H$3*H8+$I$3*I8+$J$3*J8+$K$3*K8+$L$3*L8</f>
        <v>0</v>
      </c>
      <c r="N8" s="47">
        <f aca="true" t="shared" si="2" ref="N8:N71">M8+F8</f>
        <v>0</v>
      </c>
      <c r="O8">
        <v>0</v>
      </c>
      <c r="P8">
        <v>0</v>
      </c>
      <c r="Q8">
        <v>0</v>
      </c>
      <c r="R8">
        <v>0</v>
      </c>
      <c r="S8">
        <v>0</v>
      </c>
      <c r="T8">
        <v>0</v>
      </c>
      <c r="U8" s="48">
        <f aca="true" t="shared" si="3" ref="U8:U16">((O8*P8)+Q8+(R8*S8)+T8)/100</f>
        <v>0</v>
      </c>
      <c r="V8" s="47">
        <f aca="true" t="shared" si="4" ref="V8:V16">+(F8+M8)*U8</f>
        <v>0</v>
      </c>
      <c r="W8" s="47">
        <f aca="true" t="shared" si="5" ref="W8:W16">+F8+M8+V8</f>
        <v>0</v>
      </c>
    </row>
    <row r="9" spans="1:25" ht="12.75">
      <c r="A9" s="223" t="s">
        <v>1226</v>
      </c>
      <c r="B9" s="60" t="s">
        <v>998</v>
      </c>
      <c r="C9" s="217">
        <v>0</v>
      </c>
      <c r="D9" s="217">
        <v>0</v>
      </c>
      <c r="E9" s="217">
        <v>0</v>
      </c>
      <c r="F9" s="47">
        <f t="shared" si="0"/>
        <v>0</v>
      </c>
      <c r="G9" s="40">
        <v>0</v>
      </c>
      <c r="H9" s="40">
        <v>0</v>
      </c>
      <c r="I9" s="40">
        <v>0</v>
      </c>
      <c r="J9" s="40">
        <v>0</v>
      </c>
      <c r="K9" s="40">
        <v>0</v>
      </c>
      <c r="L9" s="40">
        <v>0</v>
      </c>
      <c r="M9" s="47">
        <f t="shared" si="1"/>
        <v>0</v>
      </c>
      <c r="N9" s="47">
        <f t="shared" si="2"/>
        <v>0</v>
      </c>
      <c r="O9">
        <v>0</v>
      </c>
      <c r="P9">
        <v>0</v>
      </c>
      <c r="Q9">
        <v>0</v>
      </c>
      <c r="R9">
        <v>0</v>
      </c>
      <c r="S9">
        <v>0</v>
      </c>
      <c r="T9">
        <v>0</v>
      </c>
      <c r="U9" s="48">
        <f t="shared" si="3"/>
        <v>0</v>
      </c>
      <c r="V9" s="47">
        <f t="shared" si="4"/>
        <v>0</v>
      </c>
      <c r="W9" s="47">
        <f t="shared" si="5"/>
        <v>0</v>
      </c>
      <c r="X9" s="132">
        <f>SUM(W10:W12)</f>
        <v>1198265.1520000002</v>
      </c>
      <c r="Y9" t="s">
        <v>1330</v>
      </c>
    </row>
    <row r="10" spans="1:24" ht="12.75">
      <c r="A10" t="s">
        <v>3</v>
      </c>
      <c r="B10" s="242" t="s">
        <v>1769</v>
      </c>
      <c r="C10" s="217">
        <v>0</v>
      </c>
      <c r="D10" s="217">
        <v>0</v>
      </c>
      <c r="E10" s="217">
        <v>0</v>
      </c>
      <c r="F10" s="47">
        <f t="shared" si="0"/>
        <v>0</v>
      </c>
      <c r="G10" s="40">
        <v>0</v>
      </c>
      <c r="H10" s="40">
        <v>5704</v>
      </c>
      <c r="I10" s="40">
        <v>0</v>
      </c>
      <c r="J10" s="40">
        <v>0</v>
      </c>
      <c r="K10" s="40">
        <v>0</v>
      </c>
      <c r="L10" s="40">
        <v>0</v>
      </c>
      <c r="M10" s="47">
        <f t="shared" si="1"/>
        <v>511363.60000000003</v>
      </c>
      <c r="N10" s="47">
        <f t="shared" si="2"/>
        <v>511363.60000000003</v>
      </c>
      <c r="O10">
        <v>1</v>
      </c>
      <c r="P10">
        <v>2</v>
      </c>
      <c r="Q10">
        <v>10</v>
      </c>
      <c r="R10">
        <v>2</v>
      </c>
      <c r="S10">
        <v>1</v>
      </c>
      <c r="T10">
        <v>2</v>
      </c>
      <c r="U10" s="48">
        <f t="shared" si="3"/>
        <v>0.16</v>
      </c>
      <c r="V10" s="47">
        <f t="shared" si="4"/>
        <v>81818.176</v>
      </c>
      <c r="W10" s="47">
        <f t="shared" si="5"/>
        <v>593181.7760000001</v>
      </c>
      <c r="X10" s="8"/>
    </row>
    <row r="11" spans="1:24" ht="12.75">
      <c r="A11" t="s">
        <v>4</v>
      </c>
      <c r="B11" s="242" t="s">
        <v>1770</v>
      </c>
      <c r="C11" s="217">
        <v>0</v>
      </c>
      <c r="D11" s="217">
        <v>0</v>
      </c>
      <c r="E11" s="217">
        <v>0</v>
      </c>
      <c r="F11" s="47">
        <f t="shared" si="0"/>
        <v>0</v>
      </c>
      <c r="G11" s="40">
        <v>5704</v>
      </c>
      <c r="H11" s="40">
        <v>0</v>
      </c>
      <c r="I11" s="40">
        <v>0</v>
      </c>
      <c r="J11" s="40">
        <v>0</v>
      </c>
      <c r="K11" s="40">
        <v>0</v>
      </c>
      <c r="L11" s="40">
        <v>0</v>
      </c>
      <c r="M11" s="47">
        <f t="shared" si="1"/>
        <v>383023.60000000003</v>
      </c>
      <c r="N11" s="47">
        <f t="shared" si="2"/>
        <v>383023.60000000003</v>
      </c>
      <c r="O11">
        <v>1</v>
      </c>
      <c r="P11">
        <v>2</v>
      </c>
      <c r="Q11">
        <v>10</v>
      </c>
      <c r="R11">
        <v>2</v>
      </c>
      <c r="S11">
        <v>1</v>
      </c>
      <c r="T11">
        <v>2</v>
      </c>
      <c r="U11" s="48">
        <f t="shared" si="3"/>
        <v>0.16</v>
      </c>
      <c r="V11" s="47">
        <f t="shared" si="4"/>
        <v>61283.776000000005</v>
      </c>
      <c r="W11" s="47">
        <f t="shared" si="5"/>
        <v>444307.37600000005</v>
      </c>
      <c r="X11" s="8"/>
    </row>
    <row r="12" spans="1:25" ht="12.75">
      <c r="A12" t="s">
        <v>5</v>
      </c>
      <c r="B12" s="242" t="s">
        <v>1771</v>
      </c>
      <c r="C12" s="217">
        <v>0</v>
      </c>
      <c r="D12" s="217">
        <v>0</v>
      </c>
      <c r="E12" s="217">
        <v>0</v>
      </c>
      <c r="F12" s="47">
        <f t="shared" si="0"/>
        <v>0</v>
      </c>
      <c r="G12" s="40">
        <v>0</v>
      </c>
      <c r="H12" s="40">
        <v>0</v>
      </c>
      <c r="I12" s="40">
        <v>0</v>
      </c>
      <c r="J12" s="40">
        <v>2640</v>
      </c>
      <c r="K12" s="40">
        <v>0</v>
      </c>
      <c r="L12" s="40">
        <v>0</v>
      </c>
      <c r="M12" s="47">
        <f t="shared" si="1"/>
        <v>138600</v>
      </c>
      <c r="N12" s="47">
        <f t="shared" si="2"/>
        <v>138600</v>
      </c>
      <c r="O12">
        <v>1</v>
      </c>
      <c r="P12">
        <v>2</v>
      </c>
      <c r="Q12">
        <v>10</v>
      </c>
      <c r="R12">
        <v>2</v>
      </c>
      <c r="S12">
        <v>1</v>
      </c>
      <c r="T12">
        <v>2</v>
      </c>
      <c r="U12" s="48">
        <f t="shared" si="3"/>
        <v>0.16</v>
      </c>
      <c r="V12" s="47">
        <f t="shared" si="4"/>
        <v>22176</v>
      </c>
      <c r="W12" s="47">
        <f t="shared" si="5"/>
        <v>160776</v>
      </c>
      <c r="X12" s="8"/>
      <c r="Y12" t="s">
        <v>1331</v>
      </c>
    </row>
    <row r="13" spans="1:25" ht="12.75">
      <c r="A13" s="223" t="s">
        <v>1227</v>
      </c>
      <c r="B13" s="60" t="s">
        <v>1772</v>
      </c>
      <c r="C13" s="217">
        <v>0</v>
      </c>
      <c r="D13" s="217">
        <v>0</v>
      </c>
      <c r="E13" s="217">
        <v>0</v>
      </c>
      <c r="F13" s="47">
        <f t="shared" si="0"/>
        <v>0</v>
      </c>
      <c r="G13" s="40">
        <v>0</v>
      </c>
      <c r="H13" s="40">
        <v>0</v>
      </c>
      <c r="I13" s="40">
        <v>0</v>
      </c>
      <c r="J13" s="40">
        <v>0</v>
      </c>
      <c r="K13" s="40">
        <v>0</v>
      </c>
      <c r="L13" s="40">
        <v>0</v>
      </c>
      <c r="M13" s="47">
        <f t="shared" si="1"/>
        <v>0</v>
      </c>
      <c r="N13" s="47">
        <f t="shared" si="2"/>
        <v>0</v>
      </c>
      <c r="O13">
        <v>0</v>
      </c>
      <c r="P13">
        <v>0</v>
      </c>
      <c r="Q13">
        <v>0</v>
      </c>
      <c r="R13">
        <v>0</v>
      </c>
      <c r="S13">
        <v>0</v>
      </c>
      <c r="T13">
        <v>0</v>
      </c>
      <c r="U13" s="48">
        <f t="shared" si="3"/>
        <v>0</v>
      </c>
      <c r="V13" s="47">
        <f t="shared" si="4"/>
        <v>0</v>
      </c>
      <c r="W13" s="47">
        <f t="shared" si="5"/>
        <v>0</v>
      </c>
      <c r="X13" s="132">
        <f>SUM(W14:W291)</f>
        <v>5036411.598</v>
      </c>
      <c r="Y13" t="s">
        <v>1983</v>
      </c>
    </row>
    <row r="14" spans="1:25" ht="12.75">
      <c r="A14" s="324" t="s">
        <v>1228</v>
      </c>
      <c r="B14" s="241" t="s">
        <v>1773</v>
      </c>
      <c r="C14" s="217">
        <v>0</v>
      </c>
      <c r="D14" s="217">
        <v>0</v>
      </c>
      <c r="E14" s="217">
        <v>0</v>
      </c>
      <c r="F14" s="47">
        <f t="shared" si="0"/>
        <v>0</v>
      </c>
      <c r="G14" s="40">
        <v>0</v>
      </c>
      <c r="H14" s="40">
        <v>0</v>
      </c>
      <c r="I14" s="40">
        <v>0</v>
      </c>
      <c r="J14" s="40">
        <v>0</v>
      </c>
      <c r="K14" s="40">
        <v>0</v>
      </c>
      <c r="L14" s="40">
        <v>0</v>
      </c>
      <c r="M14" s="47">
        <f t="shared" si="1"/>
        <v>0</v>
      </c>
      <c r="N14" s="47">
        <f t="shared" si="2"/>
        <v>0</v>
      </c>
      <c r="O14">
        <v>0</v>
      </c>
      <c r="P14">
        <v>0</v>
      </c>
      <c r="Q14">
        <v>0</v>
      </c>
      <c r="R14">
        <v>0</v>
      </c>
      <c r="S14">
        <v>0</v>
      </c>
      <c r="T14">
        <v>0</v>
      </c>
      <c r="U14" s="48">
        <f t="shared" si="3"/>
        <v>0</v>
      </c>
      <c r="V14" s="47">
        <f t="shared" si="4"/>
        <v>0</v>
      </c>
      <c r="W14" s="47">
        <f t="shared" si="5"/>
        <v>0</v>
      </c>
      <c r="X14" s="8"/>
      <c r="Y14" t="s">
        <v>1984</v>
      </c>
    </row>
    <row r="15" spans="1:24" ht="12.75">
      <c r="A15" t="s">
        <v>6</v>
      </c>
      <c r="B15" s="242" t="s">
        <v>1774</v>
      </c>
      <c r="C15" s="217">
        <v>0</v>
      </c>
      <c r="D15" s="217">
        <v>0</v>
      </c>
      <c r="E15" s="217">
        <v>0</v>
      </c>
      <c r="F15" s="47">
        <f t="shared" si="0"/>
        <v>0</v>
      </c>
      <c r="G15" s="40">
        <v>0</v>
      </c>
      <c r="H15" s="40">
        <v>1755</v>
      </c>
      <c r="I15" s="40">
        <v>0</v>
      </c>
      <c r="J15" s="40">
        <v>0</v>
      </c>
      <c r="K15" s="40">
        <v>0</v>
      </c>
      <c r="L15" s="40">
        <v>0</v>
      </c>
      <c r="M15" s="47">
        <f t="shared" si="1"/>
        <v>157335.75</v>
      </c>
      <c r="N15" s="47">
        <f t="shared" si="2"/>
        <v>157335.75</v>
      </c>
      <c r="O15">
        <v>1</v>
      </c>
      <c r="P15">
        <v>2</v>
      </c>
      <c r="Q15">
        <v>10</v>
      </c>
      <c r="R15">
        <v>2</v>
      </c>
      <c r="S15">
        <v>1</v>
      </c>
      <c r="T15">
        <v>2</v>
      </c>
      <c r="U15" s="48">
        <f t="shared" si="3"/>
        <v>0.16</v>
      </c>
      <c r="V15" s="47">
        <f t="shared" si="4"/>
        <v>25173.72</v>
      </c>
      <c r="W15" s="47">
        <f t="shared" si="5"/>
        <v>182509.47</v>
      </c>
      <c r="X15" s="8"/>
    </row>
    <row r="16" spans="1:24" ht="12.75">
      <c r="A16" t="s">
        <v>7</v>
      </c>
      <c r="B16" s="242" t="s">
        <v>826</v>
      </c>
      <c r="C16" s="217">
        <v>0</v>
      </c>
      <c r="D16" s="217">
        <v>0</v>
      </c>
      <c r="E16" s="217">
        <v>0</v>
      </c>
      <c r="F16" s="47">
        <f t="shared" si="0"/>
        <v>0</v>
      </c>
      <c r="G16" s="40">
        <v>0</v>
      </c>
      <c r="H16" s="40">
        <v>0</v>
      </c>
      <c r="I16" s="40">
        <v>1755</v>
      </c>
      <c r="J16" s="40">
        <v>0</v>
      </c>
      <c r="K16" s="40">
        <v>0</v>
      </c>
      <c r="L16" s="40">
        <v>0</v>
      </c>
      <c r="M16" s="47">
        <f t="shared" si="1"/>
        <v>98718.75</v>
      </c>
      <c r="N16" s="47">
        <f t="shared" si="2"/>
        <v>98718.75</v>
      </c>
      <c r="O16">
        <v>1</v>
      </c>
      <c r="P16">
        <v>2</v>
      </c>
      <c r="Q16">
        <v>10</v>
      </c>
      <c r="R16">
        <v>2</v>
      </c>
      <c r="S16">
        <v>1</v>
      </c>
      <c r="T16">
        <v>2</v>
      </c>
      <c r="U16" s="48">
        <f t="shared" si="3"/>
        <v>0.16</v>
      </c>
      <c r="V16" s="47">
        <f t="shared" si="4"/>
        <v>15795</v>
      </c>
      <c r="W16" s="47">
        <f t="shared" si="5"/>
        <v>114513.75</v>
      </c>
      <c r="X16" s="8"/>
    </row>
    <row r="17" spans="1:25" ht="12.75">
      <c r="A17" s="324" t="s">
        <v>1229</v>
      </c>
      <c r="B17" s="241" t="s">
        <v>889</v>
      </c>
      <c r="C17" s="217">
        <v>0</v>
      </c>
      <c r="D17" s="217">
        <v>0</v>
      </c>
      <c r="E17" s="217">
        <v>0</v>
      </c>
      <c r="F17" s="47">
        <f t="shared" si="0"/>
        <v>0</v>
      </c>
      <c r="G17" s="40">
        <v>0</v>
      </c>
      <c r="H17" s="40">
        <v>0</v>
      </c>
      <c r="I17" s="40">
        <v>0</v>
      </c>
      <c r="J17" s="40">
        <v>0</v>
      </c>
      <c r="K17" s="40">
        <v>0</v>
      </c>
      <c r="L17" s="40">
        <v>0</v>
      </c>
      <c r="M17" s="47">
        <f t="shared" si="1"/>
        <v>0</v>
      </c>
      <c r="N17" s="47">
        <f t="shared" si="2"/>
        <v>0</v>
      </c>
      <c r="O17">
        <v>0</v>
      </c>
      <c r="P17">
        <v>0</v>
      </c>
      <c r="Q17">
        <v>0</v>
      </c>
      <c r="R17">
        <v>0</v>
      </c>
      <c r="S17">
        <v>0</v>
      </c>
      <c r="T17">
        <v>0</v>
      </c>
      <c r="U17" s="48">
        <f aca="true" t="shared" si="6" ref="U17:U24">((O17*P17)+Q17+(R17*S17)+T17)/100</f>
        <v>0</v>
      </c>
      <c r="V17" s="47">
        <f aca="true" t="shared" si="7" ref="V17:V24">+(F17+M17)*U17</f>
        <v>0</v>
      </c>
      <c r="W17" s="47">
        <f aca="true" t="shared" si="8" ref="W17:W24">+F17+M17+V17</f>
        <v>0</v>
      </c>
      <c r="X17" s="8"/>
      <c r="Y17" t="s">
        <v>1985</v>
      </c>
    </row>
    <row r="18" spans="1:25" ht="12.75">
      <c r="A18" s="325" t="s">
        <v>8</v>
      </c>
      <c r="B18" s="240" t="s">
        <v>890</v>
      </c>
      <c r="C18" s="217">
        <v>0</v>
      </c>
      <c r="D18" s="217">
        <v>0</v>
      </c>
      <c r="E18" s="217">
        <v>0</v>
      </c>
      <c r="F18" s="47">
        <f t="shared" si="0"/>
        <v>0</v>
      </c>
      <c r="G18" s="40">
        <v>0</v>
      </c>
      <c r="H18" s="40">
        <v>0</v>
      </c>
      <c r="I18" s="40">
        <v>0</v>
      </c>
      <c r="J18" s="40">
        <v>0</v>
      </c>
      <c r="K18" s="40">
        <v>0</v>
      </c>
      <c r="L18" s="40">
        <v>0</v>
      </c>
      <c r="M18" s="47">
        <f t="shared" si="1"/>
        <v>0</v>
      </c>
      <c r="N18" s="47">
        <f t="shared" si="2"/>
        <v>0</v>
      </c>
      <c r="O18">
        <v>0</v>
      </c>
      <c r="P18">
        <v>0</v>
      </c>
      <c r="Q18">
        <v>0</v>
      </c>
      <c r="R18">
        <v>0</v>
      </c>
      <c r="S18">
        <v>0</v>
      </c>
      <c r="T18">
        <v>0</v>
      </c>
      <c r="U18" s="48">
        <f t="shared" si="6"/>
        <v>0</v>
      </c>
      <c r="V18" s="47">
        <f t="shared" si="7"/>
        <v>0</v>
      </c>
      <c r="W18" s="47">
        <f t="shared" si="8"/>
        <v>0</v>
      </c>
      <c r="X18" s="8"/>
      <c r="Y18" t="s">
        <v>1332</v>
      </c>
    </row>
    <row r="19" spans="1:24" ht="12.75">
      <c r="A19" t="s">
        <v>9</v>
      </c>
      <c r="B19" s="242" t="s">
        <v>1775</v>
      </c>
      <c r="C19" s="217">
        <v>0</v>
      </c>
      <c r="D19" s="217">
        <v>0</v>
      </c>
      <c r="E19" s="217">
        <v>0</v>
      </c>
      <c r="F19" s="47">
        <f t="shared" si="0"/>
        <v>0</v>
      </c>
      <c r="G19" s="40">
        <v>20</v>
      </c>
      <c r="H19" s="40">
        <v>0</v>
      </c>
      <c r="I19" s="40">
        <v>0</v>
      </c>
      <c r="J19" s="40">
        <v>0</v>
      </c>
      <c r="K19" s="40">
        <v>0</v>
      </c>
      <c r="L19" s="40">
        <v>0</v>
      </c>
      <c r="M19" s="47">
        <f t="shared" si="1"/>
        <v>1343</v>
      </c>
      <c r="N19" s="47">
        <f t="shared" si="2"/>
        <v>1343</v>
      </c>
      <c r="O19">
        <v>1</v>
      </c>
      <c r="P19">
        <v>2</v>
      </c>
      <c r="Q19">
        <v>10</v>
      </c>
      <c r="R19">
        <v>2</v>
      </c>
      <c r="S19">
        <v>1</v>
      </c>
      <c r="T19">
        <v>4</v>
      </c>
      <c r="U19" s="48">
        <f t="shared" si="6"/>
        <v>0.18</v>
      </c>
      <c r="V19" s="47">
        <f t="shared" si="7"/>
        <v>241.73999999999998</v>
      </c>
      <c r="W19" s="47">
        <f t="shared" si="8"/>
        <v>1584.74</v>
      </c>
      <c r="X19" s="8"/>
    </row>
    <row r="20" spans="1:24" ht="12.75">
      <c r="A20" t="s">
        <v>10</v>
      </c>
      <c r="B20" s="242" t="s">
        <v>826</v>
      </c>
      <c r="C20" s="217">
        <v>0</v>
      </c>
      <c r="D20" s="217">
        <v>0</v>
      </c>
      <c r="E20" s="217">
        <v>0</v>
      </c>
      <c r="F20" s="47">
        <f t="shared" si="0"/>
        <v>0</v>
      </c>
      <c r="G20" s="40">
        <v>0</v>
      </c>
      <c r="H20" s="40">
        <v>0</v>
      </c>
      <c r="I20" s="40">
        <v>80</v>
      </c>
      <c r="J20" s="40">
        <v>0</v>
      </c>
      <c r="K20" s="40">
        <v>0</v>
      </c>
      <c r="L20" s="40">
        <v>0</v>
      </c>
      <c r="M20" s="47">
        <f t="shared" si="1"/>
        <v>4500</v>
      </c>
      <c r="N20" s="47">
        <f t="shared" si="2"/>
        <v>4500</v>
      </c>
      <c r="O20">
        <v>1</v>
      </c>
      <c r="P20">
        <v>2</v>
      </c>
      <c r="Q20">
        <v>10</v>
      </c>
      <c r="R20">
        <v>2</v>
      </c>
      <c r="S20">
        <v>1</v>
      </c>
      <c r="T20">
        <v>4</v>
      </c>
      <c r="U20" s="48">
        <f t="shared" si="6"/>
        <v>0.18</v>
      </c>
      <c r="V20" s="47">
        <f t="shared" si="7"/>
        <v>810</v>
      </c>
      <c r="W20" s="47">
        <f t="shared" si="8"/>
        <v>5310</v>
      </c>
      <c r="X20" s="8"/>
    </row>
    <row r="21" spans="1:24" ht="12.75">
      <c r="A21" t="s">
        <v>11</v>
      </c>
      <c r="B21" s="242" t="s">
        <v>1776</v>
      </c>
      <c r="C21" s="217">
        <v>1000</v>
      </c>
      <c r="D21" s="217">
        <v>0</v>
      </c>
      <c r="E21" s="217">
        <v>0</v>
      </c>
      <c r="F21" s="47">
        <f t="shared" si="0"/>
        <v>1000</v>
      </c>
      <c r="G21" s="40">
        <v>0</v>
      </c>
      <c r="H21" s="40">
        <v>0</v>
      </c>
      <c r="I21" s="40">
        <v>0</v>
      </c>
      <c r="J21" s="40">
        <v>200</v>
      </c>
      <c r="K21" s="40">
        <v>0</v>
      </c>
      <c r="L21" s="40">
        <v>0</v>
      </c>
      <c r="M21" s="47">
        <f t="shared" si="1"/>
        <v>10500</v>
      </c>
      <c r="N21" s="47">
        <f t="shared" si="2"/>
        <v>11500</v>
      </c>
      <c r="O21">
        <v>1</v>
      </c>
      <c r="P21">
        <v>2</v>
      </c>
      <c r="Q21">
        <v>10</v>
      </c>
      <c r="R21">
        <v>4</v>
      </c>
      <c r="S21">
        <v>1</v>
      </c>
      <c r="T21">
        <v>4</v>
      </c>
      <c r="U21" s="48">
        <f t="shared" si="6"/>
        <v>0.2</v>
      </c>
      <c r="V21" s="47">
        <f t="shared" si="7"/>
        <v>2300</v>
      </c>
      <c r="W21" s="47">
        <f t="shared" si="8"/>
        <v>13800</v>
      </c>
      <c r="X21" s="8"/>
    </row>
    <row r="22" spans="1:24" ht="12.75">
      <c r="A22" t="s">
        <v>12</v>
      </c>
      <c r="B22" s="242" t="s">
        <v>1777</v>
      </c>
      <c r="C22" s="217">
        <v>0</v>
      </c>
      <c r="D22" s="217">
        <v>0</v>
      </c>
      <c r="E22" s="217">
        <v>0</v>
      </c>
      <c r="F22" s="47">
        <f t="shared" si="0"/>
        <v>0</v>
      </c>
      <c r="G22" s="40">
        <v>0</v>
      </c>
      <c r="H22" s="40">
        <v>0</v>
      </c>
      <c r="I22" s="40">
        <v>0</v>
      </c>
      <c r="J22" s="40">
        <v>0</v>
      </c>
      <c r="K22" s="40">
        <v>48</v>
      </c>
      <c r="L22" s="40">
        <v>0</v>
      </c>
      <c r="M22" s="47">
        <f t="shared" si="1"/>
        <v>3218.3999999999996</v>
      </c>
      <c r="N22" s="47">
        <f t="shared" si="2"/>
        <v>3218.3999999999996</v>
      </c>
      <c r="O22">
        <v>1</v>
      </c>
      <c r="P22">
        <v>2</v>
      </c>
      <c r="Q22">
        <v>10</v>
      </c>
      <c r="R22">
        <v>2</v>
      </c>
      <c r="S22">
        <v>1</v>
      </c>
      <c r="T22">
        <v>4</v>
      </c>
      <c r="U22" s="48">
        <f t="shared" si="6"/>
        <v>0.18</v>
      </c>
      <c r="V22" s="47">
        <f t="shared" si="7"/>
        <v>579.3119999999999</v>
      </c>
      <c r="W22" s="47">
        <f t="shared" si="8"/>
        <v>3797.7119999999995</v>
      </c>
      <c r="X22" s="8"/>
    </row>
    <row r="23" spans="1:24" ht="12.75">
      <c r="A23" t="s">
        <v>13</v>
      </c>
      <c r="B23" s="242" t="s">
        <v>1778</v>
      </c>
      <c r="C23" s="217">
        <v>0</v>
      </c>
      <c r="D23" s="217">
        <v>0</v>
      </c>
      <c r="E23" s="217">
        <v>0</v>
      </c>
      <c r="F23" s="47">
        <f t="shared" si="0"/>
        <v>0</v>
      </c>
      <c r="G23" s="40">
        <v>0</v>
      </c>
      <c r="H23" s="40">
        <v>0</v>
      </c>
      <c r="I23" s="40">
        <v>0</v>
      </c>
      <c r="J23" s="40">
        <v>8</v>
      </c>
      <c r="K23" s="40">
        <v>0</v>
      </c>
      <c r="L23" s="40">
        <v>0</v>
      </c>
      <c r="M23" s="47">
        <f t="shared" si="1"/>
        <v>420</v>
      </c>
      <c r="N23" s="47">
        <f t="shared" si="2"/>
        <v>420</v>
      </c>
      <c r="O23">
        <v>1</v>
      </c>
      <c r="P23">
        <v>2</v>
      </c>
      <c r="Q23">
        <v>10</v>
      </c>
      <c r="R23">
        <v>4</v>
      </c>
      <c r="S23">
        <v>1</v>
      </c>
      <c r="T23">
        <v>4</v>
      </c>
      <c r="U23" s="48">
        <f t="shared" si="6"/>
        <v>0.2</v>
      </c>
      <c r="V23" s="47">
        <f t="shared" si="7"/>
        <v>84</v>
      </c>
      <c r="W23" s="47">
        <f t="shared" si="8"/>
        <v>504</v>
      </c>
      <c r="X23" s="8"/>
    </row>
    <row r="24" spans="1:25" ht="12.75">
      <c r="A24" s="325" t="s">
        <v>14</v>
      </c>
      <c r="B24" s="240" t="s">
        <v>1779</v>
      </c>
      <c r="C24" s="217">
        <v>0</v>
      </c>
      <c r="D24" s="217">
        <v>0</v>
      </c>
      <c r="E24" s="217">
        <v>0</v>
      </c>
      <c r="F24" s="47">
        <f t="shared" si="0"/>
        <v>0</v>
      </c>
      <c r="G24" s="40">
        <v>0</v>
      </c>
      <c r="H24" s="40">
        <v>0</v>
      </c>
      <c r="I24" s="40">
        <v>0</v>
      </c>
      <c r="J24" s="40">
        <v>0</v>
      </c>
      <c r="K24" s="40">
        <v>0</v>
      </c>
      <c r="L24" s="40">
        <v>0</v>
      </c>
      <c r="M24" s="47">
        <f t="shared" si="1"/>
        <v>0</v>
      </c>
      <c r="N24" s="47">
        <f t="shared" si="2"/>
        <v>0</v>
      </c>
      <c r="O24">
        <v>0</v>
      </c>
      <c r="P24">
        <v>0</v>
      </c>
      <c r="Q24">
        <v>0</v>
      </c>
      <c r="R24">
        <v>0</v>
      </c>
      <c r="S24">
        <v>0</v>
      </c>
      <c r="T24">
        <v>0</v>
      </c>
      <c r="U24" s="48">
        <f t="shared" si="6"/>
        <v>0</v>
      </c>
      <c r="V24" s="47">
        <f t="shared" si="7"/>
        <v>0</v>
      </c>
      <c r="W24" s="47">
        <f t="shared" si="8"/>
        <v>0</v>
      </c>
      <c r="X24" s="8"/>
      <c r="Y24" t="s">
        <v>1333</v>
      </c>
    </row>
    <row r="25" spans="1:25" s="215" customFormat="1" ht="12.75">
      <c r="A25" t="s">
        <v>15</v>
      </c>
      <c r="B25" s="242" t="s">
        <v>1775</v>
      </c>
      <c r="C25" s="217">
        <v>0</v>
      </c>
      <c r="D25" s="217">
        <v>0</v>
      </c>
      <c r="E25" s="217">
        <v>0</v>
      </c>
      <c r="F25" s="47">
        <f t="shared" si="0"/>
        <v>0</v>
      </c>
      <c r="G25" s="214">
        <v>80</v>
      </c>
      <c r="H25" s="214">
        <v>0</v>
      </c>
      <c r="I25" s="214">
        <v>0</v>
      </c>
      <c r="J25" s="214">
        <v>0</v>
      </c>
      <c r="K25" s="214">
        <v>0</v>
      </c>
      <c r="L25" s="214">
        <v>0</v>
      </c>
      <c r="M25" s="47">
        <f t="shared" si="1"/>
        <v>5372</v>
      </c>
      <c r="N25" s="47">
        <f t="shared" si="2"/>
        <v>5372</v>
      </c>
      <c r="O25">
        <v>1</v>
      </c>
      <c r="P25">
        <v>2</v>
      </c>
      <c r="Q25">
        <v>10</v>
      </c>
      <c r="R25">
        <v>2</v>
      </c>
      <c r="S25">
        <v>1</v>
      </c>
      <c r="T25">
        <v>4</v>
      </c>
      <c r="U25" s="216">
        <f aca="true" t="shared" si="9" ref="U25:U50">((O25*P25)+Q25+(R25*S25)+T25)/100</f>
        <v>0.18</v>
      </c>
      <c r="V25" s="213">
        <f aca="true" t="shared" si="10" ref="V25:V76">+(F25+M25)*U25</f>
        <v>966.9599999999999</v>
      </c>
      <c r="W25" s="213">
        <f aca="true" t="shared" si="11" ref="W25:W76">+F25+M25+V25</f>
        <v>6338.96</v>
      </c>
      <c r="X25" s="233"/>
      <c r="Y25"/>
    </row>
    <row r="26" spans="1:24" ht="12.75">
      <c r="A26" t="s">
        <v>16</v>
      </c>
      <c r="B26" s="242" t="s">
        <v>826</v>
      </c>
      <c r="C26" s="217">
        <v>0</v>
      </c>
      <c r="D26" s="217">
        <v>0</v>
      </c>
      <c r="E26" s="217">
        <v>0</v>
      </c>
      <c r="F26" s="47">
        <f t="shared" si="0"/>
        <v>0</v>
      </c>
      <c r="G26" s="40">
        <v>0</v>
      </c>
      <c r="H26" s="40">
        <v>0</v>
      </c>
      <c r="I26" s="40">
        <v>120</v>
      </c>
      <c r="J26" s="40">
        <v>0</v>
      </c>
      <c r="K26" s="40">
        <v>0</v>
      </c>
      <c r="L26" s="40">
        <v>0</v>
      </c>
      <c r="M26" s="47">
        <f t="shared" si="1"/>
        <v>6750</v>
      </c>
      <c r="N26" s="47">
        <f t="shared" si="2"/>
        <v>6750</v>
      </c>
      <c r="O26">
        <v>1</v>
      </c>
      <c r="P26">
        <v>2</v>
      </c>
      <c r="Q26">
        <v>10</v>
      </c>
      <c r="R26">
        <v>2</v>
      </c>
      <c r="S26">
        <v>1</v>
      </c>
      <c r="T26">
        <v>4</v>
      </c>
      <c r="U26" s="48">
        <f t="shared" si="9"/>
        <v>0.18</v>
      </c>
      <c r="V26" s="47">
        <f t="shared" si="10"/>
        <v>1215</v>
      </c>
      <c r="W26" s="47">
        <f t="shared" si="11"/>
        <v>7965</v>
      </c>
      <c r="X26" s="8"/>
    </row>
    <row r="27" spans="1:24" ht="12.75">
      <c r="A27" t="s">
        <v>17</v>
      </c>
      <c r="B27" s="242" t="s">
        <v>1780</v>
      </c>
      <c r="C27" s="217">
        <v>5000</v>
      </c>
      <c r="D27" s="217">
        <v>0</v>
      </c>
      <c r="E27" s="217">
        <v>0</v>
      </c>
      <c r="F27" s="47">
        <f t="shared" si="0"/>
        <v>5000</v>
      </c>
      <c r="G27" s="40">
        <v>0</v>
      </c>
      <c r="H27" s="40">
        <v>0</v>
      </c>
      <c r="I27" s="40">
        <v>0</v>
      </c>
      <c r="J27" s="40">
        <v>0</v>
      </c>
      <c r="K27" s="40">
        <v>0</v>
      </c>
      <c r="L27" s="40">
        <v>400</v>
      </c>
      <c r="M27" s="47">
        <f t="shared" si="1"/>
        <v>40400</v>
      </c>
      <c r="N27" s="47">
        <f t="shared" si="2"/>
        <v>45400</v>
      </c>
      <c r="O27">
        <v>4</v>
      </c>
      <c r="P27">
        <v>4</v>
      </c>
      <c r="Q27">
        <v>10</v>
      </c>
      <c r="R27">
        <v>4</v>
      </c>
      <c r="S27">
        <v>1</v>
      </c>
      <c r="T27">
        <v>4</v>
      </c>
      <c r="U27" s="48">
        <f t="shared" si="9"/>
        <v>0.34</v>
      </c>
      <c r="V27" s="47">
        <f t="shared" si="10"/>
        <v>15436.000000000002</v>
      </c>
      <c r="W27" s="47">
        <f t="shared" si="11"/>
        <v>60836</v>
      </c>
      <c r="X27" s="8"/>
    </row>
    <row r="28" spans="1:24" ht="12.75">
      <c r="A28" t="s">
        <v>18</v>
      </c>
      <c r="B28" s="242" t="s">
        <v>1781</v>
      </c>
      <c r="C28" s="217">
        <v>1000</v>
      </c>
      <c r="D28" s="217">
        <v>0</v>
      </c>
      <c r="E28" s="217">
        <v>0</v>
      </c>
      <c r="F28" s="47">
        <f t="shared" si="0"/>
        <v>1000</v>
      </c>
      <c r="G28" s="40">
        <v>0</v>
      </c>
      <c r="H28" s="40">
        <v>0</v>
      </c>
      <c r="I28" s="40">
        <v>0</v>
      </c>
      <c r="J28" s="40">
        <v>400</v>
      </c>
      <c r="K28" s="40">
        <v>0</v>
      </c>
      <c r="L28" s="40">
        <v>0</v>
      </c>
      <c r="M28" s="47">
        <f t="shared" si="1"/>
        <v>21000</v>
      </c>
      <c r="N28" s="47">
        <f t="shared" si="2"/>
        <v>22000</v>
      </c>
      <c r="O28">
        <v>1</v>
      </c>
      <c r="P28">
        <v>2</v>
      </c>
      <c r="Q28">
        <v>10</v>
      </c>
      <c r="R28">
        <v>4</v>
      </c>
      <c r="S28">
        <v>1</v>
      </c>
      <c r="T28">
        <v>4</v>
      </c>
      <c r="U28" s="48">
        <f t="shared" si="9"/>
        <v>0.2</v>
      </c>
      <c r="V28" s="47">
        <f t="shared" si="10"/>
        <v>4400</v>
      </c>
      <c r="W28" s="47">
        <f t="shared" si="11"/>
        <v>26400</v>
      </c>
      <c r="X28" s="8"/>
    </row>
    <row r="29" spans="1:24" ht="12.75">
      <c r="A29" t="s">
        <v>19</v>
      </c>
      <c r="B29" s="242" t="s">
        <v>1782</v>
      </c>
      <c r="C29" s="217">
        <v>0</v>
      </c>
      <c r="D29" s="217">
        <v>0</v>
      </c>
      <c r="E29" s="217">
        <v>0</v>
      </c>
      <c r="F29" s="47">
        <f t="shared" si="0"/>
        <v>0</v>
      </c>
      <c r="G29" s="40">
        <v>0</v>
      </c>
      <c r="H29" s="40">
        <v>0</v>
      </c>
      <c r="I29" s="40">
        <v>0</v>
      </c>
      <c r="J29" s="40">
        <v>40</v>
      </c>
      <c r="K29" s="40">
        <v>0</v>
      </c>
      <c r="L29" s="40">
        <v>0</v>
      </c>
      <c r="M29" s="47">
        <f t="shared" si="1"/>
        <v>2100</v>
      </c>
      <c r="N29" s="47">
        <f t="shared" si="2"/>
        <v>2100</v>
      </c>
      <c r="O29">
        <v>1</v>
      </c>
      <c r="P29">
        <v>2</v>
      </c>
      <c r="Q29">
        <v>10</v>
      </c>
      <c r="R29">
        <v>2</v>
      </c>
      <c r="S29">
        <v>1</v>
      </c>
      <c r="T29">
        <v>4</v>
      </c>
      <c r="U29" s="48">
        <f t="shared" si="9"/>
        <v>0.18</v>
      </c>
      <c r="V29" s="47">
        <f t="shared" si="10"/>
        <v>378</v>
      </c>
      <c r="W29" s="47">
        <f t="shared" si="11"/>
        <v>2478</v>
      </c>
      <c r="X29" s="8"/>
    </row>
    <row r="30" spans="1:24" ht="12.75">
      <c r="A30" t="s">
        <v>20</v>
      </c>
      <c r="B30" s="242" t="s">
        <v>1777</v>
      </c>
      <c r="C30" s="217">
        <v>0</v>
      </c>
      <c r="D30" s="217">
        <v>0</v>
      </c>
      <c r="E30" s="217">
        <v>0</v>
      </c>
      <c r="F30" s="47">
        <f t="shared" si="0"/>
        <v>0</v>
      </c>
      <c r="G30" s="40">
        <v>0</v>
      </c>
      <c r="H30" s="40">
        <v>0</v>
      </c>
      <c r="I30" s="40">
        <v>0</v>
      </c>
      <c r="J30" s="40">
        <v>0</v>
      </c>
      <c r="K30" s="40">
        <v>48</v>
      </c>
      <c r="L30" s="40">
        <v>0</v>
      </c>
      <c r="M30" s="47">
        <f t="shared" si="1"/>
        <v>3218.3999999999996</v>
      </c>
      <c r="N30" s="47">
        <f t="shared" si="2"/>
        <v>3218.3999999999996</v>
      </c>
      <c r="O30">
        <v>1</v>
      </c>
      <c r="P30">
        <v>2</v>
      </c>
      <c r="Q30">
        <v>10</v>
      </c>
      <c r="R30">
        <v>2</v>
      </c>
      <c r="S30">
        <v>1</v>
      </c>
      <c r="T30">
        <v>4</v>
      </c>
      <c r="U30" s="48">
        <f t="shared" si="9"/>
        <v>0.18</v>
      </c>
      <c r="V30" s="47">
        <f t="shared" si="10"/>
        <v>579.3119999999999</v>
      </c>
      <c r="W30" s="47">
        <f t="shared" si="11"/>
        <v>3797.7119999999995</v>
      </c>
      <c r="X30" s="8"/>
    </row>
    <row r="31" spans="1:24" ht="12.75">
      <c r="A31" t="s">
        <v>21</v>
      </c>
      <c r="B31" s="242" t="s">
        <v>1778</v>
      </c>
      <c r="C31" s="217">
        <v>0</v>
      </c>
      <c r="D31" s="217">
        <v>0</v>
      </c>
      <c r="E31" s="217">
        <v>0</v>
      </c>
      <c r="F31" s="47">
        <f t="shared" si="0"/>
        <v>0</v>
      </c>
      <c r="G31" s="40">
        <v>0</v>
      </c>
      <c r="H31" s="40">
        <v>0</v>
      </c>
      <c r="I31" s="40">
        <v>0</v>
      </c>
      <c r="J31" s="40">
        <v>8</v>
      </c>
      <c r="K31" s="40">
        <v>0</v>
      </c>
      <c r="L31" s="40">
        <v>0</v>
      </c>
      <c r="M31" s="47">
        <f t="shared" si="1"/>
        <v>420</v>
      </c>
      <c r="N31" s="47">
        <f t="shared" si="2"/>
        <v>420</v>
      </c>
      <c r="O31">
        <v>1</v>
      </c>
      <c r="P31">
        <v>2</v>
      </c>
      <c r="Q31">
        <v>10</v>
      </c>
      <c r="R31">
        <v>2</v>
      </c>
      <c r="S31">
        <v>1</v>
      </c>
      <c r="T31">
        <v>4</v>
      </c>
      <c r="U31" s="48">
        <f t="shared" si="9"/>
        <v>0.18</v>
      </c>
      <c r="V31" s="47">
        <f t="shared" si="10"/>
        <v>75.6</v>
      </c>
      <c r="W31" s="47">
        <f t="shared" si="11"/>
        <v>495.6</v>
      </c>
      <c r="X31" s="8"/>
    </row>
    <row r="32" spans="1:24" ht="12.75">
      <c r="A32" t="s">
        <v>22</v>
      </c>
      <c r="B32" s="242" t="s">
        <v>1783</v>
      </c>
      <c r="C32" s="217">
        <v>0</v>
      </c>
      <c r="D32" s="217">
        <v>0</v>
      </c>
      <c r="E32" s="217">
        <v>0</v>
      </c>
      <c r="F32" s="47">
        <f t="shared" si="0"/>
        <v>0</v>
      </c>
      <c r="G32" s="40">
        <v>0</v>
      </c>
      <c r="H32" s="40">
        <v>0</v>
      </c>
      <c r="I32" s="40">
        <v>0</v>
      </c>
      <c r="J32" s="40">
        <v>160</v>
      </c>
      <c r="K32" s="40">
        <v>0</v>
      </c>
      <c r="L32" s="40">
        <v>0</v>
      </c>
      <c r="M32" s="47">
        <f t="shared" si="1"/>
        <v>8400</v>
      </c>
      <c r="N32" s="47">
        <f t="shared" si="2"/>
        <v>8400</v>
      </c>
      <c r="O32">
        <v>1</v>
      </c>
      <c r="P32">
        <v>2</v>
      </c>
      <c r="Q32">
        <v>10</v>
      </c>
      <c r="R32">
        <v>4</v>
      </c>
      <c r="S32">
        <v>1</v>
      </c>
      <c r="T32">
        <v>4</v>
      </c>
      <c r="U32" s="48">
        <f t="shared" si="9"/>
        <v>0.2</v>
      </c>
      <c r="V32" s="47">
        <f t="shared" si="10"/>
        <v>1680</v>
      </c>
      <c r="W32" s="47">
        <f t="shared" si="11"/>
        <v>10080</v>
      </c>
      <c r="X32" s="8"/>
    </row>
    <row r="33" spans="1:25" ht="12.75">
      <c r="A33" s="324" t="s">
        <v>23</v>
      </c>
      <c r="B33" s="241" t="s">
        <v>1784</v>
      </c>
      <c r="C33" s="217">
        <v>0</v>
      </c>
      <c r="D33" s="217">
        <v>0</v>
      </c>
      <c r="E33" s="217">
        <v>0</v>
      </c>
      <c r="F33" s="47">
        <f t="shared" si="0"/>
        <v>0</v>
      </c>
      <c r="G33" s="40">
        <v>0</v>
      </c>
      <c r="H33" s="40">
        <v>0</v>
      </c>
      <c r="I33" s="40">
        <v>0</v>
      </c>
      <c r="J33" s="40">
        <v>0</v>
      </c>
      <c r="K33" s="40">
        <v>0</v>
      </c>
      <c r="L33" s="40">
        <v>0</v>
      </c>
      <c r="M33" s="47">
        <f t="shared" si="1"/>
        <v>0</v>
      </c>
      <c r="N33" s="47">
        <f t="shared" si="2"/>
        <v>0</v>
      </c>
      <c r="O33">
        <v>0</v>
      </c>
      <c r="P33">
        <v>0</v>
      </c>
      <c r="Q33">
        <v>0</v>
      </c>
      <c r="R33">
        <v>0</v>
      </c>
      <c r="S33">
        <v>0</v>
      </c>
      <c r="T33">
        <v>0</v>
      </c>
      <c r="U33" s="48">
        <f t="shared" si="9"/>
        <v>0</v>
      </c>
      <c r="V33" s="47">
        <f t="shared" si="10"/>
        <v>0</v>
      </c>
      <c r="W33" s="47">
        <f t="shared" si="11"/>
        <v>0</v>
      </c>
      <c r="X33" s="8"/>
      <c r="Y33" t="s">
        <v>1983</v>
      </c>
    </row>
    <row r="34" spans="1:25" ht="12.75">
      <c r="A34" s="325" t="s">
        <v>24</v>
      </c>
      <c r="B34" s="240" t="s">
        <v>891</v>
      </c>
      <c r="C34" s="217">
        <v>0</v>
      </c>
      <c r="D34" s="217">
        <v>0</v>
      </c>
      <c r="E34" s="217">
        <v>0</v>
      </c>
      <c r="F34" s="47">
        <f t="shared" si="0"/>
        <v>0</v>
      </c>
      <c r="G34" s="40">
        <v>0</v>
      </c>
      <c r="H34" s="40">
        <v>0</v>
      </c>
      <c r="I34" s="40">
        <v>0</v>
      </c>
      <c r="J34" s="40">
        <v>0</v>
      </c>
      <c r="K34" s="40">
        <v>0</v>
      </c>
      <c r="L34" s="40">
        <v>0</v>
      </c>
      <c r="M34" s="47">
        <f t="shared" si="1"/>
        <v>0</v>
      </c>
      <c r="N34" s="47">
        <f t="shared" si="2"/>
        <v>0</v>
      </c>
      <c r="O34">
        <v>0</v>
      </c>
      <c r="P34">
        <v>0</v>
      </c>
      <c r="Q34">
        <v>0</v>
      </c>
      <c r="R34">
        <v>0</v>
      </c>
      <c r="S34">
        <v>0</v>
      </c>
      <c r="T34">
        <v>0</v>
      </c>
      <c r="U34" s="48">
        <f t="shared" si="9"/>
        <v>0</v>
      </c>
      <c r="V34" s="47">
        <f t="shared" si="10"/>
        <v>0</v>
      </c>
      <c r="W34" s="47">
        <f t="shared" si="11"/>
        <v>0</v>
      </c>
      <c r="X34" s="8"/>
      <c r="Y34" t="s">
        <v>1986</v>
      </c>
    </row>
    <row r="35" spans="1:24" ht="12.75">
      <c r="A35" t="s">
        <v>25</v>
      </c>
      <c r="B35" t="s">
        <v>1785</v>
      </c>
      <c r="C35" s="217">
        <v>0</v>
      </c>
      <c r="D35" s="217">
        <v>0</v>
      </c>
      <c r="E35" s="217">
        <v>0</v>
      </c>
      <c r="F35" s="47">
        <f t="shared" si="0"/>
        <v>0</v>
      </c>
      <c r="G35" s="40">
        <v>0</v>
      </c>
      <c r="H35" s="40">
        <v>0</v>
      </c>
      <c r="I35" s="40">
        <v>0</v>
      </c>
      <c r="J35" s="40">
        <v>0</v>
      </c>
      <c r="K35" s="40">
        <v>0</v>
      </c>
      <c r="L35" s="40">
        <v>0</v>
      </c>
      <c r="M35" s="47">
        <f t="shared" si="1"/>
        <v>0</v>
      </c>
      <c r="N35" s="47">
        <f t="shared" si="2"/>
        <v>0</v>
      </c>
      <c r="O35">
        <v>0</v>
      </c>
      <c r="P35">
        <v>0</v>
      </c>
      <c r="Q35">
        <v>0</v>
      </c>
      <c r="R35">
        <v>0</v>
      </c>
      <c r="S35">
        <v>0</v>
      </c>
      <c r="T35">
        <v>0</v>
      </c>
      <c r="U35" s="48">
        <f t="shared" si="9"/>
        <v>0</v>
      </c>
      <c r="V35" s="47">
        <f t="shared" si="10"/>
        <v>0</v>
      </c>
      <c r="W35" s="47">
        <f t="shared" si="11"/>
        <v>0</v>
      </c>
      <c r="X35" s="8"/>
    </row>
    <row r="36" spans="1:24" ht="12.75">
      <c r="A36" t="s">
        <v>26</v>
      </c>
      <c r="B36" s="242" t="s">
        <v>1836</v>
      </c>
      <c r="C36" s="217">
        <v>0</v>
      </c>
      <c r="D36" s="217">
        <v>0</v>
      </c>
      <c r="E36" s="217">
        <v>0</v>
      </c>
      <c r="F36" s="47">
        <f t="shared" si="0"/>
        <v>0</v>
      </c>
      <c r="G36" s="40">
        <v>0</v>
      </c>
      <c r="H36" s="40">
        <v>0</v>
      </c>
      <c r="I36" s="40">
        <v>0</v>
      </c>
      <c r="J36" s="40">
        <v>32</v>
      </c>
      <c r="K36" s="40">
        <v>0</v>
      </c>
      <c r="L36" s="40">
        <v>0</v>
      </c>
      <c r="M36" s="47">
        <f t="shared" si="1"/>
        <v>1680</v>
      </c>
      <c r="N36" s="47">
        <f t="shared" si="2"/>
        <v>1680</v>
      </c>
      <c r="O36">
        <v>1</v>
      </c>
      <c r="P36">
        <v>2</v>
      </c>
      <c r="Q36">
        <v>8</v>
      </c>
      <c r="R36">
        <v>4</v>
      </c>
      <c r="S36">
        <v>1</v>
      </c>
      <c r="T36">
        <v>4</v>
      </c>
      <c r="U36" s="48">
        <f t="shared" si="9"/>
        <v>0.18</v>
      </c>
      <c r="V36" s="47">
        <f t="shared" si="10"/>
        <v>302.4</v>
      </c>
      <c r="W36" s="47">
        <f t="shared" si="11"/>
        <v>1982.4</v>
      </c>
      <c r="X36" s="8"/>
    </row>
    <row r="37" spans="1:24" ht="13.5" thickBot="1">
      <c r="A37" t="s">
        <v>27</v>
      </c>
      <c r="B37" s="242" t="s">
        <v>1837</v>
      </c>
      <c r="C37" s="217">
        <v>500</v>
      </c>
      <c r="D37" s="217">
        <v>0</v>
      </c>
      <c r="E37" s="217">
        <v>0</v>
      </c>
      <c r="F37" s="47">
        <f t="shared" si="0"/>
        <v>500</v>
      </c>
      <c r="G37" s="40">
        <v>0</v>
      </c>
      <c r="H37" s="40">
        <v>0</v>
      </c>
      <c r="I37" s="40">
        <v>0</v>
      </c>
      <c r="J37" s="40">
        <v>96</v>
      </c>
      <c r="K37" s="40">
        <v>0</v>
      </c>
      <c r="L37" s="40">
        <v>0</v>
      </c>
      <c r="M37" s="47">
        <f t="shared" si="1"/>
        <v>5040</v>
      </c>
      <c r="N37" s="47">
        <f t="shared" si="2"/>
        <v>5540</v>
      </c>
      <c r="O37">
        <v>1</v>
      </c>
      <c r="P37">
        <v>2</v>
      </c>
      <c r="Q37">
        <v>8</v>
      </c>
      <c r="R37">
        <v>4</v>
      </c>
      <c r="S37">
        <v>1</v>
      </c>
      <c r="T37">
        <v>4</v>
      </c>
      <c r="U37" s="48">
        <f t="shared" si="9"/>
        <v>0.18</v>
      </c>
      <c r="V37" s="47">
        <f t="shared" si="10"/>
        <v>997.1999999999999</v>
      </c>
      <c r="W37" s="47">
        <f t="shared" si="11"/>
        <v>6537.2</v>
      </c>
      <c r="X37" s="8"/>
    </row>
    <row r="38" spans="1:30" ht="15.75">
      <c r="A38" t="s">
        <v>28</v>
      </c>
      <c r="B38" s="242" t="s">
        <v>1838</v>
      </c>
      <c r="C38" s="217">
        <v>0</v>
      </c>
      <c r="D38" s="217">
        <v>0</v>
      </c>
      <c r="E38" s="217">
        <v>0</v>
      </c>
      <c r="F38" s="47">
        <f t="shared" si="0"/>
        <v>0</v>
      </c>
      <c r="G38" s="40">
        <v>0</v>
      </c>
      <c r="H38" s="40">
        <v>0</v>
      </c>
      <c r="I38" s="40">
        <v>0</v>
      </c>
      <c r="J38" s="40">
        <v>0</v>
      </c>
      <c r="K38" s="40">
        <v>24</v>
      </c>
      <c r="L38" s="40">
        <v>0</v>
      </c>
      <c r="M38" s="47">
        <f t="shared" si="1"/>
        <v>1609.1999999999998</v>
      </c>
      <c r="N38" s="47">
        <f t="shared" si="2"/>
        <v>1609.1999999999998</v>
      </c>
      <c r="O38">
        <v>1</v>
      </c>
      <c r="P38">
        <v>2</v>
      </c>
      <c r="Q38">
        <v>8</v>
      </c>
      <c r="R38">
        <v>4</v>
      </c>
      <c r="S38">
        <v>1</v>
      </c>
      <c r="T38">
        <v>4</v>
      </c>
      <c r="U38" s="48">
        <f t="shared" si="9"/>
        <v>0.18</v>
      </c>
      <c r="V38" s="47">
        <f t="shared" si="10"/>
        <v>289.65599999999995</v>
      </c>
      <c r="W38" s="47">
        <f t="shared" si="11"/>
        <v>1898.8559999999998</v>
      </c>
      <c r="X38" s="8"/>
      <c r="Z38" s="318" t="s">
        <v>941</v>
      </c>
      <c r="AA38" s="319"/>
      <c r="AB38" s="319"/>
      <c r="AC38" s="319"/>
      <c r="AD38" s="320" t="s">
        <v>996</v>
      </c>
    </row>
    <row r="39" spans="1:30" ht="12.75">
      <c r="A39" t="s">
        <v>29</v>
      </c>
      <c r="B39" s="242" t="s">
        <v>1839</v>
      </c>
      <c r="C39" s="217">
        <v>0</v>
      </c>
      <c r="D39" s="217">
        <v>0</v>
      </c>
      <c r="E39" s="217">
        <v>0</v>
      </c>
      <c r="F39" s="47">
        <f t="shared" si="0"/>
        <v>0</v>
      </c>
      <c r="G39" s="40">
        <v>0</v>
      </c>
      <c r="H39" s="40">
        <v>0</v>
      </c>
      <c r="I39" s="40">
        <v>0</v>
      </c>
      <c r="J39" s="40">
        <v>64</v>
      </c>
      <c r="K39" s="40">
        <v>0</v>
      </c>
      <c r="L39" s="40">
        <v>0</v>
      </c>
      <c r="M39" s="47">
        <f t="shared" si="1"/>
        <v>3360</v>
      </c>
      <c r="N39" s="47">
        <f t="shared" si="2"/>
        <v>3360</v>
      </c>
      <c r="O39">
        <v>1</v>
      </c>
      <c r="P39">
        <v>2</v>
      </c>
      <c r="Q39">
        <v>8</v>
      </c>
      <c r="R39">
        <v>4</v>
      </c>
      <c r="S39">
        <v>1</v>
      </c>
      <c r="T39">
        <v>4</v>
      </c>
      <c r="U39" s="48">
        <f t="shared" si="9"/>
        <v>0.18</v>
      </c>
      <c r="V39" s="47">
        <f t="shared" si="10"/>
        <v>604.8</v>
      </c>
      <c r="W39" s="47">
        <f t="shared" si="11"/>
        <v>3964.8</v>
      </c>
      <c r="X39" s="8"/>
      <c r="Z39" s="140"/>
      <c r="AA39" s="70"/>
      <c r="AB39" s="70"/>
      <c r="AC39" s="70"/>
      <c r="AD39" s="135"/>
    </row>
    <row r="40" spans="1:30" ht="15.75">
      <c r="A40" t="s">
        <v>30</v>
      </c>
      <c r="B40" s="242" t="s">
        <v>1840</v>
      </c>
      <c r="C40" s="217">
        <v>0</v>
      </c>
      <c r="D40" s="217">
        <v>0</v>
      </c>
      <c r="E40" s="217">
        <v>0</v>
      </c>
      <c r="F40" s="47">
        <f t="shared" si="0"/>
        <v>0</v>
      </c>
      <c r="G40" s="40">
        <v>0</v>
      </c>
      <c r="H40" s="40">
        <v>0</v>
      </c>
      <c r="I40" s="40">
        <v>0</v>
      </c>
      <c r="J40" s="40">
        <v>0</v>
      </c>
      <c r="K40" s="40">
        <v>24</v>
      </c>
      <c r="L40" s="40">
        <v>0</v>
      </c>
      <c r="M40" s="47">
        <f t="shared" si="1"/>
        <v>1609.1999999999998</v>
      </c>
      <c r="N40" s="47">
        <f t="shared" si="2"/>
        <v>1609.1999999999998</v>
      </c>
      <c r="O40">
        <v>1</v>
      </c>
      <c r="P40">
        <v>2</v>
      </c>
      <c r="Q40">
        <v>8</v>
      </c>
      <c r="R40">
        <v>4</v>
      </c>
      <c r="S40">
        <v>1</v>
      </c>
      <c r="T40">
        <v>4</v>
      </c>
      <c r="U40" s="48">
        <f t="shared" si="9"/>
        <v>0.18</v>
      </c>
      <c r="V40" s="47">
        <f t="shared" si="10"/>
        <v>289.65599999999995</v>
      </c>
      <c r="W40" s="47">
        <f t="shared" si="11"/>
        <v>1898.8559999999998</v>
      </c>
      <c r="X40" s="8"/>
      <c r="Z40" s="306" t="s">
        <v>910</v>
      </c>
      <c r="AA40" s="307"/>
      <c r="AB40" s="307"/>
      <c r="AC40" s="307"/>
      <c r="AD40" s="308">
        <f>X13-SUM(V14:V291)</f>
        <v>4086794.2500000005</v>
      </c>
    </row>
    <row r="41" spans="1:30" ht="15.75">
      <c r="A41" t="s">
        <v>31</v>
      </c>
      <c r="B41" s="242" t="s">
        <v>1841</v>
      </c>
      <c r="C41" s="217">
        <v>0</v>
      </c>
      <c r="D41" s="217">
        <v>0</v>
      </c>
      <c r="E41" s="217">
        <v>0</v>
      </c>
      <c r="F41" s="47">
        <f t="shared" si="0"/>
        <v>0</v>
      </c>
      <c r="G41" s="40">
        <v>0</v>
      </c>
      <c r="H41" s="40">
        <v>0</v>
      </c>
      <c r="I41" s="40">
        <v>0</v>
      </c>
      <c r="J41" s="40">
        <v>0</v>
      </c>
      <c r="K41" s="40">
        <v>8</v>
      </c>
      <c r="L41" s="40">
        <v>0</v>
      </c>
      <c r="M41" s="47">
        <f t="shared" si="1"/>
        <v>536.4</v>
      </c>
      <c r="N41" s="47">
        <f t="shared" si="2"/>
        <v>536.4</v>
      </c>
      <c r="O41">
        <v>1</v>
      </c>
      <c r="P41">
        <v>2</v>
      </c>
      <c r="Q41">
        <v>8</v>
      </c>
      <c r="R41">
        <v>4</v>
      </c>
      <c r="S41">
        <v>1</v>
      </c>
      <c r="T41">
        <v>4</v>
      </c>
      <c r="U41" s="48">
        <f t="shared" si="9"/>
        <v>0.18</v>
      </c>
      <c r="V41" s="47">
        <f t="shared" si="10"/>
        <v>96.55199999999999</v>
      </c>
      <c r="W41" s="47">
        <f t="shared" si="11"/>
        <v>632.952</v>
      </c>
      <c r="X41" s="8"/>
      <c r="Z41" s="309" t="s">
        <v>1439</v>
      </c>
      <c r="AA41" s="307"/>
      <c r="AB41" s="307"/>
      <c r="AC41" s="307"/>
      <c r="AD41" s="308">
        <f>X378-SUM(V379:V513)</f>
        <v>1345623.4000000001</v>
      </c>
    </row>
    <row r="42" spans="1:30" ht="15.75">
      <c r="A42" t="s">
        <v>32</v>
      </c>
      <c r="B42" s="242" t="s">
        <v>1842</v>
      </c>
      <c r="C42" s="217">
        <v>0</v>
      </c>
      <c r="D42" s="217">
        <v>0</v>
      </c>
      <c r="E42" s="217">
        <v>0</v>
      </c>
      <c r="F42" s="47">
        <f t="shared" si="0"/>
        <v>0</v>
      </c>
      <c r="G42" s="40">
        <v>0</v>
      </c>
      <c r="H42" s="40">
        <v>0</v>
      </c>
      <c r="I42" s="40">
        <v>0</v>
      </c>
      <c r="J42" s="40">
        <v>0</v>
      </c>
      <c r="K42" s="40">
        <v>32</v>
      </c>
      <c r="L42" s="40">
        <v>0</v>
      </c>
      <c r="M42" s="47">
        <f t="shared" si="1"/>
        <v>2145.6</v>
      </c>
      <c r="N42" s="47">
        <f t="shared" si="2"/>
        <v>2145.6</v>
      </c>
      <c r="O42">
        <v>1</v>
      </c>
      <c r="P42">
        <v>2</v>
      </c>
      <c r="Q42">
        <v>8</v>
      </c>
      <c r="R42">
        <v>4</v>
      </c>
      <c r="S42">
        <v>1</v>
      </c>
      <c r="T42">
        <v>4</v>
      </c>
      <c r="U42" s="48">
        <f t="shared" si="9"/>
        <v>0.18</v>
      </c>
      <c r="V42" s="47">
        <f t="shared" si="10"/>
        <v>386.20799999999997</v>
      </c>
      <c r="W42" s="47">
        <f t="shared" si="11"/>
        <v>2531.808</v>
      </c>
      <c r="X42" s="8"/>
      <c r="Z42" s="309" t="s">
        <v>888</v>
      </c>
      <c r="AA42" s="307"/>
      <c r="AB42" s="307"/>
      <c r="AC42" s="307"/>
      <c r="AD42" s="308">
        <f>X9-SUM(V10:V12)</f>
        <v>1032987.2000000002</v>
      </c>
    </row>
    <row r="43" spans="1:30" ht="15.75">
      <c r="A43" t="s">
        <v>33</v>
      </c>
      <c r="B43" t="s">
        <v>892</v>
      </c>
      <c r="C43" s="217">
        <v>0</v>
      </c>
      <c r="D43" s="217">
        <v>0</v>
      </c>
      <c r="E43" s="217">
        <v>0</v>
      </c>
      <c r="F43" s="47">
        <f t="shared" si="0"/>
        <v>0</v>
      </c>
      <c r="G43" s="40">
        <v>0</v>
      </c>
      <c r="H43" s="40">
        <v>0</v>
      </c>
      <c r="I43" s="40">
        <v>0</v>
      </c>
      <c r="J43" s="40">
        <v>0</v>
      </c>
      <c r="K43" s="40">
        <v>0</v>
      </c>
      <c r="L43" s="40">
        <v>0</v>
      </c>
      <c r="M43" s="47">
        <f t="shared" si="1"/>
        <v>0</v>
      </c>
      <c r="N43" s="47">
        <f t="shared" si="2"/>
        <v>0</v>
      </c>
      <c r="O43">
        <v>0</v>
      </c>
      <c r="P43">
        <v>0</v>
      </c>
      <c r="Q43">
        <v>0</v>
      </c>
      <c r="R43">
        <v>0</v>
      </c>
      <c r="S43">
        <v>0</v>
      </c>
      <c r="T43">
        <v>0</v>
      </c>
      <c r="U43" s="48">
        <f t="shared" si="9"/>
        <v>0</v>
      </c>
      <c r="V43" s="47">
        <f t="shared" si="10"/>
        <v>0</v>
      </c>
      <c r="W43" s="47">
        <f t="shared" si="11"/>
        <v>0</v>
      </c>
      <c r="X43" s="8"/>
      <c r="Z43" s="309" t="s">
        <v>639</v>
      </c>
      <c r="AA43" s="307"/>
      <c r="AB43" s="307"/>
      <c r="AC43" s="307"/>
      <c r="AD43" s="308">
        <f>X293-SUM(V294:V335)</f>
        <v>763503</v>
      </c>
    </row>
    <row r="44" spans="1:30" ht="15.75">
      <c r="A44" t="s">
        <v>34</v>
      </c>
      <c r="B44" s="242" t="s">
        <v>1843</v>
      </c>
      <c r="C44" s="217">
        <v>0</v>
      </c>
      <c r="D44" s="217">
        <v>0</v>
      </c>
      <c r="E44" s="217">
        <v>0</v>
      </c>
      <c r="F44" s="47">
        <f t="shared" si="0"/>
        <v>0</v>
      </c>
      <c r="G44" s="40">
        <v>0</v>
      </c>
      <c r="H44" s="40">
        <v>0</v>
      </c>
      <c r="I44" s="40">
        <v>0</v>
      </c>
      <c r="J44" s="40">
        <v>80</v>
      </c>
      <c r="K44" s="40">
        <v>0</v>
      </c>
      <c r="L44" s="40">
        <v>0</v>
      </c>
      <c r="M44" s="47">
        <f t="shared" si="1"/>
        <v>4200</v>
      </c>
      <c r="N44" s="47">
        <f t="shared" si="2"/>
        <v>4200</v>
      </c>
      <c r="O44">
        <v>1</v>
      </c>
      <c r="P44">
        <v>2</v>
      </c>
      <c r="Q44">
        <v>8</v>
      </c>
      <c r="R44">
        <v>4</v>
      </c>
      <c r="S44">
        <v>1</v>
      </c>
      <c r="T44">
        <v>4</v>
      </c>
      <c r="U44" s="48">
        <f t="shared" si="9"/>
        <v>0.18</v>
      </c>
      <c r="V44" s="47">
        <f t="shared" si="10"/>
        <v>756</v>
      </c>
      <c r="W44" s="47">
        <f t="shared" si="11"/>
        <v>4956</v>
      </c>
      <c r="X44" s="8"/>
      <c r="Z44" s="309" t="s">
        <v>1003</v>
      </c>
      <c r="AA44" s="307"/>
      <c r="AB44" s="307"/>
      <c r="AC44" s="307"/>
      <c r="AD44" s="308">
        <f>X336-SUM(V337:V372)</f>
        <v>222675.6</v>
      </c>
    </row>
    <row r="45" spans="1:30" ht="15.75">
      <c r="A45" t="s">
        <v>35</v>
      </c>
      <c r="B45" s="242" t="s">
        <v>1837</v>
      </c>
      <c r="C45" s="217">
        <v>500</v>
      </c>
      <c r="D45" s="217">
        <v>0</v>
      </c>
      <c r="E45" s="217">
        <v>0</v>
      </c>
      <c r="F45" s="47">
        <f t="shared" si="0"/>
        <v>500</v>
      </c>
      <c r="G45" s="40">
        <v>0</v>
      </c>
      <c r="H45" s="40">
        <v>0</v>
      </c>
      <c r="I45" s="40">
        <v>0</v>
      </c>
      <c r="J45" s="40">
        <v>240</v>
      </c>
      <c r="K45" s="40">
        <v>0</v>
      </c>
      <c r="L45" s="40">
        <v>0</v>
      </c>
      <c r="M45" s="47">
        <f t="shared" si="1"/>
        <v>12600</v>
      </c>
      <c r="N45" s="47">
        <f t="shared" si="2"/>
        <v>13100</v>
      </c>
      <c r="O45">
        <v>1</v>
      </c>
      <c r="P45">
        <v>2</v>
      </c>
      <c r="Q45">
        <v>8</v>
      </c>
      <c r="R45">
        <v>4</v>
      </c>
      <c r="S45">
        <v>1</v>
      </c>
      <c r="T45">
        <v>4</v>
      </c>
      <c r="U45" s="48">
        <f t="shared" si="9"/>
        <v>0.18</v>
      </c>
      <c r="V45" s="47">
        <f t="shared" si="10"/>
        <v>2358</v>
      </c>
      <c r="W45" s="47">
        <f t="shared" si="11"/>
        <v>15458</v>
      </c>
      <c r="X45" s="8"/>
      <c r="Z45" s="306" t="s">
        <v>641</v>
      </c>
      <c r="AA45" s="307"/>
      <c r="AB45" s="307"/>
      <c r="AC45" s="307"/>
      <c r="AD45" s="308">
        <f>X373-SUM(V374:V377)</f>
        <v>183395.3</v>
      </c>
    </row>
    <row r="46" spans="1:30" ht="15.75">
      <c r="A46" t="s">
        <v>36</v>
      </c>
      <c r="B46" s="242" t="s">
        <v>1838</v>
      </c>
      <c r="C46" s="217">
        <v>0</v>
      </c>
      <c r="D46" s="217">
        <v>0</v>
      </c>
      <c r="E46" s="217">
        <v>0</v>
      </c>
      <c r="F46" s="47">
        <f t="shared" si="0"/>
        <v>0</v>
      </c>
      <c r="G46" s="40">
        <v>0</v>
      </c>
      <c r="H46" s="40">
        <v>0</v>
      </c>
      <c r="I46" s="40">
        <v>0</v>
      </c>
      <c r="J46" s="40">
        <v>0</v>
      </c>
      <c r="K46" s="40">
        <v>72</v>
      </c>
      <c r="L46" s="40">
        <v>0</v>
      </c>
      <c r="M46" s="47">
        <f t="shared" si="1"/>
        <v>4827.599999999999</v>
      </c>
      <c r="N46" s="47">
        <f t="shared" si="2"/>
        <v>4827.599999999999</v>
      </c>
      <c r="O46">
        <v>1</v>
      </c>
      <c r="P46">
        <v>2</v>
      </c>
      <c r="Q46">
        <v>8</v>
      </c>
      <c r="R46">
        <v>4</v>
      </c>
      <c r="S46">
        <v>1</v>
      </c>
      <c r="T46">
        <v>4</v>
      </c>
      <c r="U46" s="48">
        <f t="shared" si="9"/>
        <v>0.18</v>
      </c>
      <c r="V46" s="47">
        <f t="shared" si="10"/>
        <v>868.9679999999998</v>
      </c>
      <c r="W46" s="47">
        <f t="shared" si="11"/>
        <v>5696.567999999999</v>
      </c>
      <c r="X46" s="8"/>
      <c r="Z46" s="306"/>
      <c r="AA46" s="307"/>
      <c r="AB46" s="307"/>
      <c r="AC46" s="307"/>
      <c r="AD46" s="308"/>
    </row>
    <row r="47" spans="1:30" ht="15.75">
      <c r="A47" t="s">
        <v>37</v>
      </c>
      <c r="B47" s="242" t="s">
        <v>1839</v>
      </c>
      <c r="C47" s="217">
        <v>0</v>
      </c>
      <c r="D47" s="217">
        <v>0</v>
      </c>
      <c r="E47" s="217">
        <v>0</v>
      </c>
      <c r="F47" s="47">
        <f t="shared" si="0"/>
        <v>0</v>
      </c>
      <c r="G47" s="40">
        <v>0</v>
      </c>
      <c r="H47" s="40">
        <v>0</v>
      </c>
      <c r="I47" s="40">
        <v>0</v>
      </c>
      <c r="J47" s="40">
        <v>160</v>
      </c>
      <c r="K47" s="40">
        <v>0</v>
      </c>
      <c r="L47" s="40">
        <v>0</v>
      </c>
      <c r="M47" s="47">
        <f t="shared" si="1"/>
        <v>8400</v>
      </c>
      <c r="N47" s="47">
        <f t="shared" si="2"/>
        <v>8400</v>
      </c>
      <c r="O47">
        <v>1</v>
      </c>
      <c r="P47">
        <v>2</v>
      </c>
      <c r="Q47">
        <v>8</v>
      </c>
      <c r="R47">
        <v>4</v>
      </c>
      <c r="S47">
        <v>1</v>
      </c>
      <c r="T47">
        <v>4</v>
      </c>
      <c r="U47" s="48">
        <f t="shared" si="9"/>
        <v>0.18</v>
      </c>
      <c r="V47" s="47">
        <f t="shared" si="10"/>
        <v>1512</v>
      </c>
      <c r="W47" s="47">
        <f t="shared" si="11"/>
        <v>9912</v>
      </c>
      <c r="X47" s="8"/>
      <c r="Z47" s="309"/>
      <c r="AA47" s="307"/>
      <c r="AB47" s="307"/>
      <c r="AC47" s="307"/>
      <c r="AD47" s="308"/>
    </row>
    <row r="48" spans="1:30" ht="16.5" thickBot="1">
      <c r="A48" t="s">
        <v>38</v>
      </c>
      <c r="B48" s="242" t="s">
        <v>1840</v>
      </c>
      <c r="C48" s="217">
        <v>0</v>
      </c>
      <c r="D48" s="217">
        <v>0</v>
      </c>
      <c r="E48" s="217">
        <v>0</v>
      </c>
      <c r="F48" s="47">
        <f t="shared" si="0"/>
        <v>0</v>
      </c>
      <c r="G48" s="40">
        <v>0</v>
      </c>
      <c r="H48" s="40">
        <v>0</v>
      </c>
      <c r="I48" s="40">
        <v>0</v>
      </c>
      <c r="J48" s="40">
        <v>0</v>
      </c>
      <c r="K48" s="40">
        <v>72</v>
      </c>
      <c r="L48" s="40">
        <v>0</v>
      </c>
      <c r="M48" s="47">
        <f t="shared" si="1"/>
        <v>4827.599999999999</v>
      </c>
      <c r="N48" s="47">
        <f t="shared" si="2"/>
        <v>4827.599999999999</v>
      </c>
      <c r="O48">
        <v>1</v>
      </c>
      <c r="P48">
        <v>2</v>
      </c>
      <c r="Q48">
        <v>8</v>
      </c>
      <c r="R48">
        <v>4</v>
      </c>
      <c r="S48">
        <v>1</v>
      </c>
      <c r="T48">
        <v>4</v>
      </c>
      <c r="U48" s="48">
        <f t="shared" si="9"/>
        <v>0.18</v>
      </c>
      <c r="V48" s="47">
        <f t="shared" si="10"/>
        <v>868.9679999999998</v>
      </c>
      <c r="W48" s="47">
        <f t="shared" si="11"/>
        <v>5696.567999999999</v>
      </c>
      <c r="X48" s="8"/>
      <c r="Z48" s="310"/>
      <c r="AA48" s="307"/>
      <c r="AB48" s="307"/>
      <c r="AC48" s="307"/>
      <c r="AD48" s="311"/>
    </row>
    <row r="49" spans="1:30" ht="16.5" thickBot="1">
      <c r="A49" t="s">
        <v>39</v>
      </c>
      <c r="B49" s="242" t="s">
        <v>1841</v>
      </c>
      <c r="C49" s="217">
        <v>0</v>
      </c>
      <c r="D49" s="217">
        <v>0</v>
      </c>
      <c r="E49" s="217">
        <v>0</v>
      </c>
      <c r="F49" s="47">
        <f t="shared" si="0"/>
        <v>0</v>
      </c>
      <c r="G49" s="40">
        <v>0</v>
      </c>
      <c r="H49" s="40">
        <v>0</v>
      </c>
      <c r="I49" s="40">
        <v>0</v>
      </c>
      <c r="J49" s="40">
        <v>0</v>
      </c>
      <c r="K49" s="40">
        <v>32</v>
      </c>
      <c r="L49" s="40">
        <v>0</v>
      </c>
      <c r="M49" s="47">
        <f t="shared" si="1"/>
        <v>2145.6</v>
      </c>
      <c r="N49" s="47">
        <f t="shared" si="2"/>
        <v>2145.6</v>
      </c>
      <c r="O49">
        <v>1</v>
      </c>
      <c r="P49">
        <v>2</v>
      </c>
      <c r="Q49">
        <v>8</v>
      </c>
      <c r="R49">
        <v>4</v>
      </c>
      <c r="S49">
        <v>1</v>
      </c>
      <c r="T49">
        <v>4</v>
      </c>
      <c r="U49" s="48">
        <f t="shared" si="9"/>
        <v>0.18</v>
      </c>
      <c r="V49" s="47">
        <f t="shared" si="10"/>
        <v>386.20799999999997</v>
      </c>
      <c r="W49" s="47">
        <f t="shared" si="11"/>
        <v>2531.808</v>
      </c>
      <c r="X49" s="8"/>
      <c r="Z49" s="315" t="s">
        <v>1002</v>
      </c>
      <c r="AA49" s="316"/>
      <c r="AB49" s="316"/>
      <c r="AC49" s="316"/>
      <c r="AD49" s="317">
        <f>SUM(AD40:AD48)</f>
        <v>7634978.75</v>
      </c>
    </row>
    <row r="50" spans="1:24" ht="12.75">
      <c r="A50" t="s">
        <v>40</v>
      </c>
      <c r="B50" s="242" t="s">
        <v>1842</v>
      </c>
      <c r="C50" s="217">
        <v>0</v>
      </c>
      <c r="D50" s="217">
        <v>0</v>
      </c>
      <c r="E50" s="217">
        <v>0</v>
      </c>
      <c r="F50" s="47">
        <f t="shared" si="0"/>
        <v>0</v>
      </c>
      <c r="G50" s="40">
        <v>0</v>
      </c>
      <c r="H50" s="40">
        <v>0</v>
      </c>
      <c r="I50" s="40">
        <v>0</v>
      </c>
      <c r="J50" s="40">
        <v>0</v>
      </c>
      <c r="K50" s="40">
        <v>80</v>
      </c>
      <c r="L50" s="40">
        <v>0</v>
      </c>
      <c r="M50" s="47">
        <f t="shared" si="1"/>
        <v>5364</v>
      </c>
      <c r="N50" s="47">
        <f t="shared" si="2"/>
        <v>5364</v>
      </c>
      <c r="O50">
        <v>1</v>
      </c>
      <c r="P50">
        <v>2</v>
      </c>
      <c r="Q50">
        <v>8</v>
      </c>
      <c r="R50">
        <v>4</v>
      </c>
      <c r="S50">
        <v>1</v>
      </c>
      <c r="T50">
        <v>4</v>
      </c>
      <c r="U50" s="48">
        <f t="shared" si="9"/>
        <v>0.18</v>
      </c>
      <c r="V50" s="47">
        <f t="shared" si="10"/>
        <v>965.52</v>
      </c>
      <c r="W50" s="47">
        <f t="shared" si="11"/>
        <v>6329.52</v>
      </c>
      <c r="X50" s="8"/>
    </row>
    <row r="51" spans="1:24" ht="12.75">
      <c r="A51" t="s">
        <v>133</v>
      </c>
      <c r="B51" s="242" t="s">
        <v>1902</v>
      </c>
      <c r="C51" s="217">
        <v>0</v>
      </c>
      <c r="D51" s="217">
        <v>0</v>
      </c>
      <c r="E51" s="217">
        <v>0</v>
      </c>
      <c r="F51" s="47">
        <f t="shared" si="0"/>
        <v>0</v>
      </c>
      <c r="G51" s="40">
        <v>0</v>
      </c>
      <c r="H51" s="40">
        <v>0</v>
      </c>
      <c r="I51" s="40">
        <v>0</v>
      </c>
      <c r="J51" s="40">
        <v>0</v>
      </c>
      <c r="K51" s="40">
        <v>960</v>
      </c>
      <c r="L51" s="40">
        <v>0</v>
      </c>
      <c r="M51" s="47">
        <f t="shared" si="1"/>
        <v>64368</v>
      </c>
      <c r="N51" s="47">
        <f t="shared" si="2"/>
        <v>64368</v>
      </c>
      <c r="O51">
        <v>1</v>
      </c>
      <c r="P51">
        <v>2</v>
      </c>
      <c r="Q51">
        <v>10</v>
      </c>
      <c r="R51">
        <v>4</v>
      </c>
      <c r="S51">
        <v>1</v>
      </c>
      <c r="T51">
        <v>4</v>
      </c>
      <c r="U51" s="48">
        <f>((O51*P51)+Q51+(R51*S51)+T51)/100</f>
        <v>0.2</v>
      </c>
      <c r="V51" s="47">
        <f>+(F51+M51)*U51</f>
        <v>12873.6</v>
      </c>
      <c r="W51" s="47">
        <f>+F51+M51+V51</f>
        <v>77241.6</v>
      </c>
      <c r="X51" s="8"/>
    </row>
    <row r="52" spans="1:24" ht="12.75">
      <c r="A52" t="s">
        <v>41</v>
      </c>
      <c r="B52" t="s">
        <v>893</v>
      </c>
      <c r="C52" s="217">
        <v>0</v>
      </c>
      <c r="D52" s="217">
        <v>0</v>
      </c>
      <c r="E52" s="217">
        <v>0</v>
      </c>
      <c r="F52" s="47">
        <f t="shared" si="0"/>
        <v>0</v>
      </c>
      <c r="G52" s="40">
        <v>0</v>
      </c>
      <c r="H52" s="40">
        <v>0</v>
      </c>
      <c r="I52" s="40">
        <v>0</v>
      </c>
      <c r="J52" s="40">
        <v>0</v>
      </c>
      <c r="K52" s="40">
        <v>0</v>
      </c>
      <c r="L52" s="40">
        <v>0</v>
      </c>
      <c r="M52" s="47">
        <f t="shared" si="1"/>
        <v>0</v>
      </c>
      <c r="N52" s="47">
        <f t="shared" si="2"/>
        <v>0</v>
      </c>
      <c r="O52">
        <v>0</v>
      </c>
      <c r="P52">
        <v>0</v>
      </c>
      <c r="Q52">
        <v>0</v>
      </c>
      <c r="R52">
        <v>0</v>
      </c>
      <c r="S52">
        <v>0</v>
      </c>
      <c r="T52">
        <v>0</v>
      </c>
      <c r="U52" s="48">
        <f aca="true" t="shared" si="12" ref="U52:U76">((O52*P52)+Q52+(R52*S52)+T52)/100</f>
        <v>0</v>
      </c>
      <c r="V52" s="47">
        <f t="shared" si="10"/>
        <v>0</v>
      </c>
      <c r="W52" s="47">
        <f t="shared" si="11"/>
        <v>0</v>
      </c>
      <c r="X52" s="8"/>
    </row>
    <row r="53" spans="1:24" ht="12.75">
      <c r="A53" t="s">
        <v>42</v>
      </c>
      <c r="B53" s="242" t="s">
        <v>1844</v>
      </c>
      <c r="C53" s="217">
        <v>0</v>
      </c>
      <c r="D53" s="217">
        <v>0</v>
      </c>
      <c r="E53" s="217">
        <v>0</v>
      </c>
      <c r="F53" s="47">
        <f t="shared" si="0"/>
        <v>0</v>
      </c>
      <c r="G53" s="40">
        <v>0</v>
      </c>
      <c r="H53" s="40">
        <v>0</v>
      </c>
      <c r="I53" s="40">
        <v>0</v>
      </c>
      <c r="J53" s="40">
        <v>16</v>
      </c>
      <c r="K53" s="40">
        <v>0</v>
      </c>
      <c r="L53" s="40">
        <v>0</v>
      </c>
      <c r="M53" s="47">
        <f t="shared" si="1"/>
        <v>840</v>
      </c>
      <c r="N53" s="47">
        <f t="shared" si="2"/>
        <v>840</v>
      </c>
      <c r="O53">
        <v>1</v>
      </c>
      <c r="P53">
        <v>2</v>
      </c>
      <c r="Q53">
        <v>8</v>
      </c>
      <c r="R53">
        <v>4</v>
      </c>
      <c r="S53">
        <v>1</v>
      </c>
      <c r="T53">
        <v>4</v>
      </c>
      <c r="U53" s="48">
        <f t="shared" si="12"/>
        <v>0.18</v>
      </c>
      <c r="V53" s="47">
        <f t="shared" si="10"/>
        <v>151.2</v>
      </c>
      <c r="W53" s="47">
        <f t="shared" si="11"/>
        <v>991.2</v>
      </c>
      <c r="X53" s="8"/>
    </row>
    <row r="54" spans="1:24" ht="12.75">
      <c r="A54" t="s">
        <v>43</v>
      </c>
      <c r="B54" s="242" t="s">
        <v>1837</v>
      </c>
      <c r="C54" s="217">
        <v>500</v>
      </c>
      <c r="D54" s="217">
        <v>0</v>
      </c>
      <c r="E54" s="217">
        <v>0</v>
      </c>
      <c r="F54" s="47">
        <f t="shared" si="0"/>
        <v>500</v>
      </c>
      <c r="G54" s="40">
        <v>0</v>
      </c>
      <c r="H54" s="40">
        <v>0</v>
      </c>
      <c r="I54" s="40">
        <v>0</v>
      </c>
      <c r="J54" s="40">
        <v>48</v>
      </c>
      <c r="K54" s="40">
        <v>0</v>
      </c>
      <c r="L54" s="40">
        <v>0</v>
      </c>
      <c r="M54" s="47">
        <f t="shared" si="1"/>
        <v>2520</v>
      </c>
      <c r="N54" s="47">
        <f t="shared" si="2"/>
        <v>3020</v>
      </c>
      <c r="O54">
        <v>1</v>
      </c>
      <c r="P54">
        <v>2</v>
      </c>
      <c r="Q54">
        <v>8</v>
      </c>
      <c r="R54">
        <v>4</v>
      </c>
      <c r="S54">
        <v>1</v>
      </c>
      <c r="T54">
        <v>4</v>
      </c>
      <c r="U54" s="48">
        <f t="shared" si="12"/>
        <v>0.18</v>
      </c>
      <c r="V54" s="47">
        <f t="shared" si="10"/>
        <v>543.6</v>
      </c>
      <c r="W54" s="47">
        <f t="shared" si="11"/>
        <v>3563.6</v>
      </c>
      <c r="X54" s="8"/>
    </row>
    <row r="55" spans="1:24" ht="12.75">
      <c r="A55" t="s">
        <v>44</v>
      </c>
      <c r="B55" s="242" t="s">
        <v>1838</v>
      </c>
      <c r="C55" s="217">
        <v>0</v>
      </c>
      <c r="D55" s="217">
        <v>0</v>
      </c>
      <c r="E55" s="217">
        <v>0</v>
      </c>
      <c r="F55" s="47">
        <f t="shared" si="0"/>
        <v>0</v>
      </c>
      <c r="G55" s="40">
        <v>0</v>
      </c>
      <c r="H55" s="40">
        <v>0</v>
      </c>
      <c r="I55" s="40">
        <v>0</v>
      </c>
      <c r="J55" s="40">
        <v>0</v>
      </c>
      <c r="K55" s="40">
        <v>120</v>
      </c>
      <c r="L55" s="40">
        <v>0</v>
      </c>
      <c r="M55" s="47">
        <f t="shared" si="1"/>
        <v>8046</v>
      </c>
      <c r="N55" s="47">
        <f t="shared" si="2"/>
        <v>8046</v>
      </c>
      <c r="O55">
        <v>1</v>
      </c>
      <c r="P55">
        <v>2</v>
      </c>
      <c r="Q55">
        <v>8</v>
      </c>
      <c r="R55">
        <v>4</v>
      </c>
      <c r="S55">
        <v>1</v>
      </c>
      <c r="T55">
        <v>4</v>
      </c>
      <c r="U55" s="48">
        <f t="shared" si="12"/>
        <v>0.18</v>
      </c>
      <c r="V55" s="47">
        <f t="shared" si="10"/>
        <v>1448.28</v>
      </c>
      <c r="W55" s="47">
        <f t="shared" si="11"/>
        <v>9494.28</v>
      </c>
      <c r="X55" s="8"/>
    </row>
    <row r="56" spans="1:24" ht="12.75">
      <c r="A56" t="s">
        <v>45</v>
      </c>
      <c r="B56" s="242" t="s">
        <v>1840</v>
      </c>
      <c r="C56" s="217">
        <v>0</v>
      </c>
      <c r="D56" s="217">
        <v>0</v>
      </c>
      <c r="E56" s="217">
        <v>0</v>
      </c>
      <c r="F56" s="47">
        <f t="shared" si="0"/>
        <v>0</v>
      </c>
      <c r="G56" s="40">
        <v>0</v>
      </c>
      <c r="H56" s="40">
        <v>0</v>
      </c>
      <c r="I56" s="40">
        <v>0</v>
      </c>
      <c r="J56" s="40">
        <v>0</v>
      </c>
      <c r="K56" s="40">
        <v>48</v>
      </c>
      <c r="L56" s="40">
        <v>0</v>
      </c>
      <c r="M56" s="47">
        <f t="shared" si="1"/>
        <v>3218.3999999999996</v>
      </c>
      <c r="N56" s="47">
        <f t="shared" si="2"/>
        <v>3218.3999999999996</v>
      </c>
      <c r="O56">
        <v>1</v>
      </c>
      <c r="P56">
        <v>2</v>
      </c>
      <c r="Q56">
        <v>8</v>
      </c>
      <c r="R56">
        <v>4</v>
      </c>
      <c r="S56">
        <v>1</v>
      </c>
      <c r="T56">
        <v>4</v>
      </c>
      <c r="U56" s="48">
        <f t="shared" si="12"/>
        <v>0.18</v>
      </c>
      <c r="V56" s="47">
        <f t="shared" si="10"/>
        <v>579.3119999999999</v>
      </c>
      <c r="W56" s="47">
        <f t="shared" si="11"/>
        <v>3797.7119999999995</v>
      </c>
      <c r="X56" s="8"/>
    </row>
    <row r="57" spans="1:24" ht="12.75">
      <c r="A57" t="s">
        <v>46</v>
      </c>
      <c r="B57" s="242" t="s">
        <v>1842</v>
      </c>
      <c r="C57" s="217">
        <v>0</v>
      </c>
      <c r="D57" s="217">
        <v>0</v>
      </c>
      <c r="E57" s="217">
        <v>0</v>
      </c>
      <c r="F57" s="47">
        <f t="shared" si="0"/>
        <v>0</v>
      </c>
      <c r="G57" s="40">
        <v>0</v>
      </c>
      <c r="H57" s="40">
        <v>0</v>
      </c>
      <c r="I57" s="40">
        <v>0</v>
      </c>
      <c r="J57" s="40">
        <v>0</v>
      </c>
      <c r="K57" s="40">
        <v>48</v>
      </c>
      <c r="L57" s="40">
        <v>0</v>
      </c>
      <c r="M57" s="47">
        <f t="shared" si="1"/>
        <v>3218.3999999999996</v>
      </c>
      <c r="N57" s="47">
        <f t="shared" si="2"/>
        <v>3218.3999999999996</v>
      </c>
      <c r="O57">
        <v>1</v>
      </c>
      <c r="P57">
        <v>2</v>
      </c>
      <c r="Q57">
        <v>8</v>
      </c>
      <c r="R57">
        <v>4</v>
      </c>
      <c r="S57">
        <v>1</v>
      </c>
      <c r="T57">
        <v>4</v>
      </c>
      <c r="U57" s="48">
        <f t="shared" si="12"/>
        <v>0.18</v>
      </c>
      <c r="V57" s="47">
        <f t="shared" si="10"/>
        <v>579.3119999999999</v>
      </c>
      <c r="W57" s="47">
        <f t="shared" si="11"/>
        <v>3797.7119999999995</v>
      </c>
      <c r="X57" s="8"/>
    </row>
    <row r="58" spans="1:24" ht="12.75">
      <c r="A58" t="s">
        <v>47</v>
      </c>
      <c r="B58" t="s">
        <v>894</v>
      </c>
      <c r="C58" s="217">
        <v>0</v>
      </c>
      <c r="D58" s="217">
        <v>0</v>
      </c>
      <c r="E58" s="217">
        <v>0</v>
      </c>
      <c r="F58" s="47">
        <f t="shared" si="0"/>
        <v>0</v>
      </c>
      <c r="G58" s="40">
        <v>0</v>
      </c>
      <c r="H58" s="40">
        <v>0</v>
      </c>
      <c r="I58" s="40">
        <v>0</v>
      </c>
      <c r="J58" s="40">
        <v>0</v>
      </c>
      <c r="K58" s="40">
        <v>0</v>
      </c>
      <c r="L58" s="40">
        <v>0</v>
      </c>
      <c r="M58" s="47">
        <f t="shared" si="1"/>
        <v>0</v>
      </c>
      <c r="N58" s="47">
        <f t="shared" si="2"/>
        <v>0</v>
      </c>
      <c r="O58">
        <v>0</v>
      </c>
      <c r="P58">
        <v>0</v>
      </c>
      <c r="Q58">
        <v>0</v>
      </c>
      <c r="R58">
        <v>0</v>
      </c>
      <c r="S58">
        <v>0</v>
      </c>
      <c r="T58">
        <v>0</v>
      </c>
      <c r="U58" s="48">
        <f t="shared" si="12"/>
        <v>0</v>
      </c>
      <c r="V58" s="47">
        <f t="shared" si="10"/>
        <v>0</v>
      </c>
      <c r="W58" s="47">
        <f t="shared" si="11"/>
        <v>0</v>
      </c>
      <c r="X58" s="8"/>
    </row>
    <row r="59" spans="1:24" ht="12.75">
      <c r="A59" t="s">
        <v>48</v>
      </c>
      <c r="B59" s="242" t="s">
        <v>1845</v>
      </c>
      <c r="C59" s="217">
        <v>0</v>
      </c>
      <c r="D59" s="217">
        <v>0</v>
      </c>
      <c r="E59" s="217">
        <v>0</v>
      </c>
      <c r="F59" s="47">
        <f t="shared" si="0"/>
        <v>0</v>
      </c>
      <c r="G59" s="40">
        <v>0</v>
      </c>
      <c r="H59" s="40">
        <v>0</v>
      </c>
      <c r="I59" s="40">
        <v>0</v>
      </c>
      <c r="J59" s="40">
        <v>96</v>
      </c>
      <c r="K59" s="40">
        <v>0</v>
      </c>
      <c r="L59" s="40">
        <v>0</v>
      </c>
      <c r="M59" s="47">
        <f t="shared" si="1"/>
        <v>5040</v>
      </c>
      <c r="N59" s="47">
        <f t="shared" si="2"/>
        <v>5040</v>
      </c>
      <c r="O59">
        <v>1</v>
      </c>
      <c r="P59">
        <v>2</v>
      </c>
      <c r="Q59">
        <v>8</v>
      </c>
      <c r="R59">
        <v>4</v>
      </c>
      <c r="S59">
        <v>1</v>
      </c>
      <c r="T59">
        <v>4</v>
      </c>
      <c r="U59" s="48">
        <f t="shared" si="12"/>
        <v>0.18</v>
      </c>
      <c r="V59" s="47">
        <f t="shared" si="10"/>
        <v>907.1999999999999</v>
      </c>
      <c r="W59" s="47">
        <f t="shared" si="11"/>
        <v>5947.2</v>
      </c>
      <c r="X59" s="8"/>
    </row>
    <row r="60" spans="1:24" ht="12.75">
      <c r="A60" t="s">
        <v>49</v>
      </c>
      <c r="B60" s="242" t="s">
        <v>1837</v>
      </c>
      <c r="C60" s="217">
        <v>500</v>
      </c>
      <c r="D60" s="217">
        <v>0</v>
      </c>
      <c r="E60" s="217">
        <v>0</v>
      </c>
      <c r="F60" s="47">
        <f t="shared" si="0"/>
        <v>500</v>
      </c>
      <c r="G60" s="40">
        <v>0</v>
      </c>
      <c r="H60" s="40">
        <v>0</v>
      </c>
      <c r="I60" s="40">
        <v>0</v>
      </c>
      <c r="J60" s="40">
        <v>240</v>
      </c>
      <c r="K60" s="40">
        <v>0</v>
      </c>
      <c r="L60" s="40">
        <v>0</v>
      </c>
      <c r="M60" s="47">
        <f t="shared" si="1"/>
        <v>12600</v>
      </c>
      <c r="N60" s="47">
        <f t="shared" si="2"/>
        <v>13100</v>
      </c>
      <c r="O60">
        <v>1</v>
      </c>
      <c r="P60">
        <v>2</v>
      </c>
      <c r="Q60">
        <v>8</v>
      </c>
      <c r="R60">
        <v>4</v>
      </c>
      <c r="S60">
        <v>1</v>
      </c>
      <c r="T60">
        <v>4</v>
      </c>
      <c r="U60" s="48">
        <f t="shared" si="12"/>
        <v>0.18</v>
      </c>
      <c r="V60" s="47">
        <f t="shared" si="10"/>
        <v>2358</v>
      </c>
      <c r="W60" s="47">
        <f t="shared" si="11"/>
        <v>15458</v>
      </c>
      <c r="X60" s="8"/>
    </row>
    <row r="61" spans="1:24" ht="12.75">
      <c r="A61" t="s">
        <v>50</v>
      </c>
      <c r="B61" s="242" t="s">
        <v>1838</v>
      </c>
      <c r="C61" s="217">
        <v>0</v>
      </c>
      <c r="D61" s="217">
        <v>0</v>
      </c>
      <c r="E61" s="217">
        <v>0</v>
      </c>
      <c r="F61" s="47">
        <f t="shared" si="0"/>
        <v>0</v>
      </c>
      <c r="G61" s="40">
        <v>0</v>
      </c>
      <c r="H61" s="40">
        <v>0</v>
      </c>
      <c r="I61" s="40">
        <v>0</v>
      </c>
      <c r="J61" s="40">
        <v>0</v>
      </c>
      <c r="K61" s="40">
        <v>72</v>
      </c>
      <c r="L61" s="40">
        <v>0</v>
      </c>
      <c r="M61" s="47">
        <f t="shared" si="1"/>
        <v>4827.599999999999</v>
      </c>
      <c r="N61" s="47">
        <f t="shared" si="2"/>
        <v>4827.599999999999</v>
      </c>
      <c r="O61">
        <v>1</v>
      </c>
      <c r="P61">
        <v>2</v>
      </c>
      <c r="Q61">
        <v>8</v>
      </c>
      <c r="R61">
        <v>4</v>
      </c>
      <c r="S61">
        <v>1</v>
      </c>
      <c r="T61">
        <v>4</v>
      </c>
      <c r="U61" s="48">
        <f t="shared" si="12"/>
        <v>0.18</v>
      </c>
      <c r="V61" s="47">
        <f t="shared" si="10"/>
        <v>868.9679999999998</v>
      </c>
      <c r="W61" s="47">
        <f t="shared" si="11"/>
        <v>5696.567999999999</v>
      </c>
      <c r="X61" s="8"/>
    </row>
    <row r="62" spans="1:24" ht="12.75">
      <c r="A62" t="s">
        <v>51</v>
      </c>
      <c r="B62" s="242" t="s">
        <v>1839</v>
      </c>
      <c r="C62" s="217">
        <v>0</v>
      </c>
      <c r="D62" s="217">
        <v>0</v>
      </c>
      <c r="E62" s="217">
        <v>0</v>
      </c>
      <c r="F62" s="47">
        <f t="shared" si="0"/>
        <v>0</v>
      </c>
      <c r="G62" s="40">
        <v>0</v>
      </c>
      <c r="H62" s="40">
        <v>0</v>
      </c>
      <c r="I62" s="40">
        <v>0</v>
      </c>
      <c r="J62" s="40">
        <v>160</v>
      </c>
      <c r="K62" s="40">
        <v>0</v>
      </c>
      <c r="L62" s="40">
        <v>0</v>
      </c>
      <c r="M62" s="47">
        <f t="shared" si="1"/>
        <v>8400</v>
      </c>
      <c r="N62" s="47">
        <f t="shared" si="2"/>
        <v>8400</v>
      </c>
      <c r="O62">
        <v>1</v>
      </c>
      <c r="P62">
        <v>2</v>
      </c>
      <c r="Q62">
        <v>8</v>
      </c>
      <c r="R62">
        <v>4</v>
      </c>
      <c r="S62">
        <v>1</v>
      </c>
      <c r="T62">
        <v>4</v>
      </c>
      <c r="U62" s="48">
        <f t="shared" si="12"/>
        <v>0.18</v>
      </c>
      <c r="V62" s="47">
        <f t="shared" si="10"/>
        <v>1512</v>
      </c>
      <c r="W62" s="47">
        <f t="shared" si="11"/>
        <v>9912</v>
      </c>
      <c r="X62" s="8"/>
    </row>
    <row r="63" spans="1:24" ht="12.75">
      <c r="A63" t="s">
        <v>52</v>
      </c>
      <c r="B63" s="242" t="s">
        <v>1840</v>
      </c>
      <c r="C63" s="217">
        <v>0</v>
      </c>
      <c r="D63" s="217">
        <v>0</v>
      </c>
      <c r="E63" s="217">
        <v>0</v>
      </c>
      <c r="F63" s="47">
        <f t="shared" si="0"/>
        <v>0</v>
      </c>
      <c r="G63" s="40">
        <v>0</v>
      </c>
      <c r="H63" s="40">
        <v>0</v>
      </c>
      <c r="I63" s="40">
        <v>0</v>
      </c>
      <c r="J63" s="40">
        <v>0</v>
      </c>
      <c r="K63" s="40">
        <v>48</v>
      </c>
      <c r="L63" s="40">
        <v>0</v>
      </c>
      <c r="M63" s="47">
        <f t="shared" si="1"/>
        <v>3218.3999999999996</v>
      </c>
      <c r="N63" s="47">
        <f t="shared" si="2"/>
        <v>3218.3999999999996</v>
      </c>
      <c r="O63">
        <v>1</v>
      </c>
      <c r="P63">
        <v>2</v>
      </c>
      <c r="Q63">
        <v>8</v>
      </c>
      <c r="R63">
        <v>4</v>
      </c>
      <c r="S63">
        <v>1</v>
      </c>
      <c r="T63">
        <v>4</v>
      </c>
      <c r="U63" s="48">
        <f t="shared" si="12"/>
        <v>0.18</v>
      </c>
      <c r="V63" s="47">
        <f t="shared" si="10"/>
        <v>579.3119999999999</v>
      </c>
      <c r="W63" s="47">
        <f t="shared" si="11"/>
        <v>3797.7119999999995</v>
      </c>
      <c r="X63" s="8"/>
    </row>
    <row r="64" spans="1:24" ht="12.75">
      <c r="A64" t="s">
        <v>53</v>
      </c>
      <c r="B64" s="242" t="s">
        <v>1841</v>
      </c>
      <c r="C64" s="217">
        <v>0</v>
      </c>
      <c r="D64" s="217">
        <v>0</v>
      </c>
      <c r="E64" s="217">
        <v>0</v>
      </c>
      <c r="F64" s="47">
        <f t="shared" si="0"/>
        <v>0</v>
      </c>
      <c r="G64" s="40">
        <v>0</v>
      </c>
      <c r="H64" s="40">
        <v>0</v>
      </c>
      <c r="I64" s="40">
        <v>0</v>
      </c>
      <c r="J64" s="40">
        <v>0</v>
      </c>
      <c r="K64" s="40">
        <v>32</v>
      </c>
      <c r="L64" s="40">
        <v>0</v>
      </c>
      <c r="M64" s="47">
        <f t="shared" si="1"/>
        <v>2145.6</v>
      </c>
      <c r="N64" s="47">
        <f t="shared" si="2"/>
        <v>2145.6</v>
      </c>
      <c r="O64">
        <v>1</v>
      </c>
      <c r="P64">
        <v>2</v>
      </c>
      <c r="Q64">
        <v>8</v>
      </c>
      <c r="R64">
        <v>4</v>
      </c>
      <c r="S64">
        <v>1</v>
      </c>
      <c r="T64">
        <v>4</v>
      </c>
      <c r="U64" s="48">
        <f t="shared" si="12"/>
        <v>0.18</v>
      </c>
      <c r="V64" s="47">
        <f t="shared" si="10"/>
        <v>386.20799999999997</v>
      </c>
      <c r="W64" s="47">
        <f t="shared" si="11"/>
        <v>2531.808</v>
      </c>
      <c r="X64" s="8"/>
    </row>
    <row r="65" spans="1:24" ht="12.75">
      <c r="A65" t="s">
        <v>54</v>
      </c>
      <c r="B65" s="242" t="s">
        <v>1842</v>
      </c>
      <c r="C65" s="217">
        <v>0</v>
      </c>
      <c r="D65" s="217">
        <v>0</v>
      </c>
      <c r="E65" s="217">
        <v>0</v>
      </c>
      <c r="F65" s="47">
        <f t="shared" si="0"/>
        <v>0</v>
      </c>
      <c r="G65">
        <v>0</v>
      </c>
      <c r="H65">
        <v>0</v>
      </c>
      <c r="I65">
        <v>0</v>
      </c>
      <c r="J65">
        <v>0</v>
      </c>
      <c r="K65" s="40">
        <v>80</v>
      </c>
      <c r="L65">
        <v>0</v>
      </c>
      <c r="M65" s="47">
        <f t="shared" si="1"/>
        <v>5364</v>
      </c>
      <c r="N65" s="47">
        <f t="shared" si="2"/>
        <v>5364</v>
      </c>
      <c r="O65">
        <v>1</v>
      </c>
      <c r="P65">
        <v>2</v>
      </c>
      <c r="Q65">
        <v>8</v>
      </c>
      <c r="R65">
        <v>4</v>
      </c>
      <c r="S65">
        <v>1</v>
      </c>
      <c r="T65">
        <v>4</v>
      </c>
      <c r="U65" s="48">
        <f t="shared" si="12"/>
        <v>0.18</v>
      </c>
      <c r="V65" s="47">
        <f t="shared" si="10"/>
        <v>965.52</v>
      </c>
      <c r="W65" s="47">
        <f t="shared" si="11"/>
        <v>6329.52</v>
      </c>
      <c r="X65" s="8"/>
    </row>
    <row r="66" spans="1:24" ht="12.75">
      <c r="A66" t="s">
        <v>55</v>
      </c>
      <c r="B66" s="242" t="s">
        <v>1846</v>
      </c>
      <c r="C66" s="217">
        <v>0</v>
      </c>
      <c r="D66" s="217">
        <v>0</v>
      </c>
      <c r="E66" s="217">
        <v>0</v>
      </c>
      <c r="F66" s="47">
        <f t="shared" si="0"/>
        <v>0</v>
      </c>
      <c r="G66">
        <v>0</v>
      </c>
      <c r="H66">
        <v>0</v>
      </c>
      <c r="I66">
        <v>0</v>
      </c>
      <c r="J66">
        <v>0</v>
      </c>
      <c r="K66">
        <v>24</v>
      </c>
      <c r="L66">
        <v>0</v>
      </c>
      <c r="M66" s="47">
        <f t="shared" si="1"/>
        <v>1609.1999999999998</v>
      </c>
      <c r="N66" s="47">
        <f t="shared" si="2"/>
        <v>1609.1999999999998</v>
      </c>
      <c r="O66">
        <v>1</v>
      </c>
      <c r="P66">
        <v>2</v>
      </c>
      <c r="Q66">
        <v>8</v>
      </c>
      <c r="R66">
        <v>4</v>
      </c>
      <c r="S66">
        <v>1</v>
      </c>
      <c r="T66">
        <v>4</v>
      </c>
      <c r="U66" s="48">
        <f t="shared" si="12"/>
        <v>0.18</v>
      </c>
      <c r="V66" s="47">
        <f t="shared" si="10"/>
        <v>289.65599999999995</v>
      </c>
      <c r="W66" s="47">
        <f t="shared" si="11"/>
        <v>1898.8559999999998</v>
      </c>
      <c r="X66" s="8"/>
    </row>
    <row r="67" spans="1:24" ht="12.75">
      <c r="A67" t="s">
        <v>134</v>
      </c>
      <c r="B67" s="242" t="s">
        <v>1899</v>
      </c>
      <c r="C67" s="217">
        <v>0</v>
      </c>
      <c r="D67" s="217">
        <v>0</v>
      </c>
      <c r="E67" s="217">
        <v>0</v>
      </c>
      <c r="F67" s="47">
        <f t="shared" si="0"/>
        <v>0</v>
      </c>
      <c r="G67" s="40">
        <v>0</v>
      </c>
      <c r="H67" s="40">
        <v>0</v>
      </c>
      <c r="I67" s="40">
        <v>0</v>
      </c>
      <c r="J67" s="40">
        <v>0</v>
      </c>
      <c r="K67" s="40">
        <v>240</v>
      </c>
      <c r="L67" s="40">
        <v>0</v>
      </c>
      <c r="M67" s="47">
        <f t="shared" si="1"/>
        <v>16092</v>
      </c>
      <c r="N67" s="47">
        <f t="shared" si="2"/>
        <v>16092</v>
      </c>
      <c r="O67">
        <v>1</v>
      </c>
      <c r="P67">
        <v>2</v>
      </c>
      <c r="Q67">
        <v>10</v>
      </c>
      <c r="R67">
        <v>4</v>
      </c>
      <c r="S67">
        <v>1</v>
      </c>
      <c r="T67">
        <v>4</v>
      </c>
      <c r="U67" s="48">
        <f t="shared" si="12"/>
        <v>0.2</v>
      </c>
      <c r="V67" s="47">
        <f t="shared" si="10"/>
        <v>3218.4</v>
      </c>
      <c r="W67" s="47">
        <f t="shared" si="11"/>
        <v>19310.4</v>
      </c>
      <c r="X67" s="8"/>
    </row>
    <row r="68" spans="1:24" ht="12.75">
      <c r="A68" t="s">
        <v>135</v>
      </c>
      <c r="B68" s="242" t="s">
        <v>1901</v>
      </c>
      <c r="C68" s="217">
        <v>0</v>
      </c>
      <c r="D68" s="217">
        <v>0</v>
      </c>
      <c r="E68" s="217">
        <v>0</v>
      </c>
      <c r="F68" s="47">
        <f t="shared" si="0"/>
        <v>0</v>
      </c>
      <c r="G68" s="40">
        <v>0</v>
      </c>
      <c r="H68" s="40">
        <v>0</v>
      </c>
      <c r="I68" s="40">
        <v>0</v>
      </c>
      <c r="J68" s="40">
        <v>0</v>
      </c>
      <c r="K68" s="40">
        <v>560</v>
      </c>
      <c r="L68" s="40">
        <v>0</v>
      </c>
      <c r="M68" s="47">
        <f t="shared" si="1"/>
        <v>37548</v>
      </c>
      <c r="N68" s="47">
        <f t="shared" si="2"/>
        <v>37548</v>
      </c>
      <c r="O68">
        <v>1</v>
      </c>
      <c r="P68">
        <v>2</v>
      </c>
      <c r="Q68">
        <v>10</v>
      </c>
      <c r="R68">
        <v>4</v>
      </c>
      <c r="S68">
        <v>1</v>
      </c>
      <c r="T68">
        <v>4</v>
      </c>
      <c r="U68" s="48">
        <f t="shared" si="12"/>
        <v>0.2</v>
      </c>
      <c r="V68" s="47">
        <f t="shared" si="10"/>
        <v>7509.6</v>
      </c>
      <c r="W68" s="47">
        <f t="shared" si="11"/>
        <v>45057.6</v>
      </c>
      <c r="X68" s="8"/>
    </row>
    <row r="69" spans="1:24" ht="12.75">
      <c r="A69" t="s">
        <v>136</v>
      </c>
      <c r="B69" s="242" t="s">
        <v>1900</v>
      </c>
      <c r="C69" s="217">
        <v>0</v>
      </c>
      <c r="D69" s="217">
        <v>0</v>
      </c>
      <c r="E69" s="217">
        <v>0</v>
      </c>
      <c r="F69" s="47">
        <f t="shared" si="0"/>
        <v>0</v>
      </c>
      <c r="G69" s="40">
        <v>0</v>
      </c>
      <c r="H69" s="40">
        <v>0</v>
      </c>
      <c r="I69" s="40">
        <v>0</v>
      </c>
      <c r="J69" s="40">
        <v>0</v>
      </c>
      <c r="K69" s="40">
        <v>480</v>
      </c>
      <c r="L69" s="40">
        <v>0</v>
      </c>
      <c r="M69" s="47">
        <f t="shared" si="1"/>
        <v>32184</v>
      </c>
      <c r="N69" s="47">
        <f t="shared" si="2"/>
        <v>32184</v>
      </c>
      <c r="O69">
        <v>1</v>
      </c>
      <c r="P69">
        <v>2</v>
      </c>
      <c r="Q69">
        <v>10</v>
      </c>
      <c r="R69">
        <v>4</v>
      </c>
      <c r="S69">
        <v>1</v>
      </c>
      <c r="T69">
        <v>4</v>
      </c>
      <c r="U69" s="48">
        <f t="shared" si="12"/>
        <v>0.2</v>
      </c>
      <c r="V69" s="47">
        <f t="shared" si="10"/>
        <v>6436.8</v>
      </c>
      <c r="W69" s="47">
        <f t="shared" si="11"/>
        <v>38620.8</v>
      </c>
      <c r="X69" s="8"/>
    </row>
    <row r="70" spans="1:24" ht="12.75">
      <c r="A70" t="s">
        <v>56</v>
      </c>
      <c r="B70" s="242" t="s">
        <v>1847</v>
      </c>
      <c r="C70" s="217">
        <v>48000</v>
      </c>
      <c r="D70" s="217">
        <v>0</v>
      </c>
      <c r="E70" s="217">
        <v>0</v>
      </c>
      <c r="F70" s="47">
        <f t="shared" si="0"/>
        <v>48000</v>
      </c>
      <c r="G70" s="40">
        <v>0</v>
      </c>
      <c r="H70" s="40">
        <v>0</v>
      </c>
      <c r="I70" s="40">
        <v>0</v>
      </c>
      <c r="J70" s="40">
        <v>800</v>
      </c>
      <c r="K70" s="40">
        <v>0</v>
      </c>
      <c r="L70" s="40">
        <v>0</v>
      </c>
      <c r="M70" s="47">
        <f t="shared" si="1"/>
        <v>42000</v>
      </c>
      <c r="N70" s="47">
        <f t="shared" si="2"/>
        <v>90000</v>
      </c>
      <c r="O70">
        <v>1</v>
      </c>
      <c r="P70">
        <v>2</v>
      </c>
      <c r="Q70">
        <v>8</v>
      </c>
      <c r="R70">
        <v>4</v>
      </c>
      <c r="S70">
        <v>1</v>
      </c>
      <c r="T70">
        <v>2</v>
      </c>
      <c r="U70" s="48">
        <f t="shared" si="12"/>
        <v>0.16</v>
      </c>
      <c r="V70" s="47">
        <f t="shared" si="10"/>
        <v>14400</v>
      </c>
      <c r="W70" s="47">
        <f t="shared" si="11"/>
        <v>104400</v>
      </c>
      <c r="X70" s="8"/>
    </row>
    <row r="71" spans="1:25" ht="12.75">
      <c r="A71" s="325" t="s">
        <v>57</v>
      </c>
      <c r="B71" s="240" t="s">
        <v>1848</v>
      </c>
      <c r="C71" s="217">
        <v>0</v>
      </c>
      <c r="D71" s="217">
        <v>0</v>
      </c>
      <c r="E71" s="217">
        <v>0</v>
      </c>
      <c r="F71" s="47">
        <f t="shared" si="0"/>
        <v>0</v>
      </c>
      <c r="G71" s="40">
        <v>0</v>
      </c>
      <c r="H71" s="40">
        <v>0</v>
      </c>
      <c r="I71" s="40">
        <v>0</v>
      </c>
      <c r="J71" s="40">
        <v>0</v>
      </c>
      <c r="K71" s="40">
        <v>0</v>
      </c>
      <c r="L71" s="40">
        <v>0</v>
      </c>
      <c r="M71" s="47">
        <f t="shared" si="1"/>
        <v>0</v>
      </c>
      <c r="N71" s="47">
        <f t="shared" si="2"/>
        <v>0</v>
      </c>
      <c r="O71">
        <v>0</v>
      </c>
      <c r="P71">
        <v>0</v>
      </c>
      <c r="Q71">
        <v>0</v>
      </c>
      <c r="R71">
        <v>0</v>
      </c>
      <c r="S71">
        <v>0</v>
      </c>
      <c r="T71">
        <v>0</v>
      </c>
      <c r="U71" s="48">
        <f t="shared" si="12"/>
        <v>0</v>
      </c>
      <c r="V71" s="47">
        <f t="shared" si="10"/>
        <v>0</v>
      </c>
      <c r="W71" s="47">
        <f t="shared" si="11"/>
        <v>0</v>
      </c>
      <c r="X71" s="8"/>
      <c r="Y71" t="s">
        <v>1334</v>
      </c>
    </row>
    <row r="72" spans="1:25" ht="12.75">
      <c r="A72" t="s">
        <v>58</v>
      </c>
      <c r="B72" s="242" t="s">
        <v>1849</v>
      </c>
      <c r="C72" s="217">
        <v>0</v>
      </c>
      <c r="D72" s="217">
        <v>56700</v>
      </c>
      <c r="E72" s="217">
        <v>0</v>
      </c>
      <c r="F72" s="47">
        <f aca="true" t="shared" si="13" ref="F72:F135">SUM(C72:E72)</f>
        <v>56700</v>
      </c>
      <c r="G72" s="40">
        <v>0</v>
      </c>
      <c r="H72" s="40">
        <v>0</v>
      </c>
      <c r="I72" s="40">
        <v>0</v>
      </c>
      <c r="J72" s="40">
        <v>0</v>
      </c>
      <c r="K72" s="40">
        <v>0</v>
      </c>
      <c r="L72" s="40">
        <v>0</v>
      </c>
      <c r="M72" s="47">
        <f aca="true" t="shared" si="14" ref="M72:M135">$G$3*G72+$H$3*H72+$I$3*I72+$J$3*J72+$K$3*K72+$L$3*L72</f>
        <v>0</v>
      </c>
      <c r="N72" s="47">
        <f aca="true" t="shared" si="15" ref="N72:N135">M72+F72</f>
        <v>56700</v>
      </c>
      <c r="O72">
        <v>1</v>
      </c>
      <c r="P72">
        <v>2</v>
      </c>
      <c r="Q72">
        <v>10</v>
      </c>
      <c r="R72">
        <v>4</v>
      </c>
      <c r="S72">
        <v>2</v>
      </c>
      <c r="T72">
        <v>4</v>
      </c>
      <c r="U72" s="48">
        <f t="shared" si="12"/>
        <v>0.24</v>
      </c>
      <c r="V72" s="47">
        <f t="shared" si="10"/>
        <v>13608</v>
      </c>
      <c r="W72" s="47">
        <f t="shared" si="11"/>
        <v>70308</v>
      </c>
      <c r="X72" s="8"/>
      <c r="Y72" t="s">
        <v>1335</v>
      </c>
    </row>
    <row r="73" spans="1:25" ht="12.75">
      <c r="A73" t="s">
        <v>61</v>
      </c>
      <c r="B73" s="242" t="s">
        <v>1850</v>
      </c>
      <c r="C73" s="217">
        <v>13200</v>
      </c>
      <c r="D73" s="217">
        <v>0</v>
      </c>
      <c r="E73" s="217">
        <v>0</v>
      </c>
      <c r="F73" s="47">
        <f t="shared" si="13"/>
        <v>13200</v>
      </c>
      <c r="G73" s="40">
        <v>0</v>
      </c>
      <c r="H73" s="40">
        <v>0</v>
      </c>
      <c r="I73" s="40">
        <v>0</v>
      </c>
      <c r="J73" s="40">
        <v>0</v>
      </c>
      <c r="K73" s="40">
        <v>0</v>
      </c>
      <c r="L73" s="40">
        <v>0</v>
      </c>
      <c r="M73" s="47">
        <f t="shared" si="14"/>
        <v>0</v>
      </c>
      <c r="N73" s="47">
        <f t="shared" si="15"/>
        <v>13200</v>
      </c>
      <c r="O73">
        <v>1</v>
      </c>
      <c r="P73">
        <v>2</v>
      </c>
      <c r="Q73">
        <v>10</v>
      </c>
      <c r="R73">
        <v>4</v>
      </c>
      <c r="S73">
        <v>2</v>
      </c>
      <c r="T73">
        <v>4</v>
      </c>
      <c r="U73" s="48">
        <f t="shared" si="12"/>
        <v>0.24</v>
      </c>
      <c r="V73" s="47">
        <f t="shared" si="10"/>
        <v>3168</v>
      </c>
      <c r="W73" s="47">
        <f t="shared" si="11"/>
        <v>16368</v>
      </c>
      <c r="X73" s="8"/>
      <c r="Y73" t="s">
        <v>1336</v>
      </c>
    </row>
    <row r="74" spans="1:25" ht="12.75">
      <c r="A74" t="s">
        <v>62</v>
      </c>
      <c r="B74" s="242" t="s">
        <v>1851</v>
      </c>
      <c r="C74" s="217">
        <v>33000</v>
      </c>
      <c r="D74" s="217">
        <v>0</v>
      </c>
      <c r="E74" s="217">
        <v>0</v>
      </c>
      <c r="F74" s="47">
        <f t="shared" si="13"/>
        <v>33000</v>
      </c>
      <c r="G74" s="40">
        <v>0</v>
      </c>
      <c r="H74" s="40">
        <v>0</v>
      </c>
      <c r="I74" s="40">
        <v>0</v>
      </c>
      <c r="J74" s="40">
        <v>0</v>
      </c>
      <c r="K74" s="40">
        <v>0</v>
      </c>
      <c r="L74" s="40">
        <v>0</v>
      </c>
      <c r="M74" s="47">
        <f t="shared" si="14"/>
        <v>0</v>
      </c>
      <c r="N74" s="47">
        <f t="shared" si="15"/>
        <v>33000</v>
      </c>
      <c r="O74">
        <v>1</v>
      </c>
      <c r="P74">
        <v>2</v>
      </c>
      <c r="Q74">
        <v>10</v>
      </c>
      <c r="R74">
        <v>4</v>
      </c>
      <c r="S74">
        <v>2</v>
      </c>
      <c r="T74">
        <v>4</v>
      </c>
      <c r="U74" s="48">
        <f t="shared" si="12"/>
        <v>0.24</v>
      </c>
      <c r="V74" s="47">
        <f t="shared" si="10"/>
        <v>7920</v>
      </c>
      <c r="W74" s="47">
        <f t="shared" si="11"/>
        <v>40920</v>
      </c>
      <c r="X74" s="8"/>
      <c r="Y74" t="s">
        <v>1337</v>
      </c>
    </row>
    <row r="75" spans="1:25" ht="12.75">
      <c r="A75" t="s">
        <v>63</v>
      </c>
      <c r="B75" s="242" t="s">
        <v>1852</v>
      </c>
      <c r="C75" s="217">
        <v>20000</v>
      </c>
      <c r="D75" s="217">
        <v>0</v>
      </c>
      <c r="E75" s="217">
        <v>0</v>
      </c>
      <c r="F75" s="47">
        <f t="shared" si="13"/>
        <v>20000</v>
      </c>
      <c r="G75" s="40">
        <v>0</v>
      </c>
      <c r="H75" s="40">
        <v>0</v>
      </c>
      <c r="I75" s="40">
        <v>0</v>
      </c>
      <c r="J75" s="40">
        <v>0</v>
      </c>
      <c r="K75" s="40">
        <v>0</v>
      </c>
      <c r="L75" s="40">
        <v>0</v>
      </c>
      <c r="M75" s="47">
        <f t="shared" si="14"/>
        <v>0</v>
      </c>
      <c r="N75" s="47">
        <f t="shared" si="15"/>
        <v>20000</v>
      </c>
      <c r="O75">
        <v>1</v>
      </c>
      <c r="P75">
        <v>2</v>
      </c>
      <c r="Q75">
        <v>10</v>
      </c>
      <c r="R75">
        <v>4</v>
      </c>
      <c r="S75">
        <v>2</v>
      </c>
      <c r="T75">
        <v>4</v>
      </c>
      <c r="U75" s="48">
        <f t="shared" si="12"/>
        <v>0.24</v>
      </c>
      <c r="V75" s="47">
        <f t="shared" si="10"/>
        <v>4800</v>
      </c>
      <c r="W75" s="47">
        <f t="shared" si="11"/>
        <v>24800</v>
      </c>
      <c r="X75" s="8"/>
      <c r="Y75" t="s">
        <v>1338</v>
      </c>
    </row>
    <row r="76" spans="1:25" ht="12.75">
      <c r="A76" t="s">
        <v>64</v>
      </c>
      <c r="B76" s="242" t="s">
        <v>1853</v>
      </c>
      <c r="C76" s="217">
        <v>0</v>
      </c>
      <c r="D76" s="217">
        <v>30000</v>
      </c>
      <c r="E76" s="217">
        <v>0</v>
      </c>
      <c r="F76" s="47">
        <f t="shared" si="13"/>
        <v>30000</v>
      </c>
      <c r="G76" s="40">
        <v>0</v>
      </c>
      <c r="H76" s="40">
        <v>0</v>
      </c>
      <c r="I76" s="40">
        <v>0</v>
      </c>
      <c r="J76" s="40">
        <v>0</v>
      </c>
      <c r="K76" s="40">
        <v>0</v>
      </c>
      <c r="L76" s="40">
        <v>0</v>
      </c>
      <c r="M76" s="47">
        <f t="shared" si="14"/>
        <v>0</v>
      </c>
      <c r="N76" s="47">
        <f t="shared" si="15"/>
        <v>30000</v>
      </c>
      <c r="O76">
        <v>1</v>
      </c>
      <c r="P76">
        <v>2</v>
      </c>
      <c r="Q76">
        <v>10</v>
      </c>
      <c r="R76">
        <v>4</v>
      </c>
      <c r="S76">
        <v>2</v>
      </c>
      <c r="T76">
        <v>4</v>
      </c>
      <c r="U76" s="48">
        <f t="shared" si="12"/>
        <v>0.24</v>
      </c>
      <c r="V76" s="47">
        <f t="shared" si="10"/>
        <v>7200</v>
      </c>
      <c r="W76" s="47">
        <f t="shared" si="11"/>
        <v>37200</v>
      </c>
      <c r="X76" s="8"/>
      <c r="Y76" t="s">
        <v>1339</v>
      </c>
    </row>
    <row r="77" spans="1:25" ht="12.75">
      <c r="A77" t="s">
        <v>65</v>
      </c>
      <c r="B77" s="242" t="s">
        <v>1854</v>
      </c>
      <c r="C77" s="217">
        <v>0</v>
      </c>
      <c r="D77" s="217">
        <v>144000</v>
      </c>
      <c r="E77" s="217">
        <v>0</v>
      </c>
      <c r="F77" s="47">
        <f t="shared" si="13"/>
        <v>144000</v>
      </c>
      <c r="G77" s="40">
        <v>0</v>
      </c>
      <c r="H77" s="40">
        <v>0</v>
      </c>
      <c r="I77" s="40">
        <v>0</v>
      </c>
      <c r="J77" s="40">
        <v>0</v>
      </c>
      <c r="K77" s="40">
        <v>0</v>
      </c>
      <c r="L77" s="40">
        <v>0</v>
      </c>
      <c r="M77" s="47">
        <f t="shared" si="14"/>
        <v>0</v>
      </c>
      <c r="N77" s="47">
        <f t="shared" si="15"/>
        <v>144000</v>
      </c>
      <c r="O77">
        <v>1</v>
      </c>
      <c r="P77">
        <v>2</v>
      </c>
      <c r="Q77">
        <v>10</v>
      </c>
      <c r="R77">
        <v>4</v>
      </c>
      <c r="S77">
        <v>2</v>
      </c>
      <c r="T77">
        <v>4</v>
      </c>
      <c r="U77" s="48">
        <f aca="true" t="shared" si="16" ref="U77:U128">((O77*P77)+Q77+(R77*S77)+T77)/100</f>
        <v>0.24</v>
      </c>
      <c r="V77" s="47">
        <f aca="true" t="shared" si="17" ref="V77:V140">+(F77+M77)*U77</f>
        <v>34560</v>
      </c>
      <c r="W77" s="47">
        <f aca="true" t="shared" si="18" ref="W77:W140">+F77+M77+V77</f>
        <v>178560</v>
      </c>
      <c r="X77" s="8"/>
      <c r="Y77" t="s">
        <v>1340</v>
      </c>
    </row>
    <row r="78" spans="1:25" ht="12.75">
      <c r="A78" t="s">
        <v>953</v>
      </c>
      <c r="B78" s="242" t="s">
        <v>954</v>
      </c>
      <c r="C78" s="217">
        <v>0</v>
      </c>
      <c r="D78" s="217">
        <v>39200</v>
      </c>
      <c r="E78" s="217">
        <v>0</v>
      </c>
      <c r="F78" s="47">
        <f t="shared" si="13"/>
        <v>39200</v>
      </c>
      <c r="G78" s="40">
        <v>0</v>
      </c>
      <c r="H78" s="40">
        <v>0</v>
      </c>
      <c r="I78" s="40">
        <v>0</v>
      </c>
      <c r="J78" s="40">
        <v>0</v>
      </c>
      <c r="K78" s="40">
        <v>0</v>
      </c>
      <c r="L78" s="40">
        <v>40</v>
      </c>
      <c r="M78" s="47">
        <f t="shared" si="14"/>
        <v>4040</v>
      </c>
      <c r="N78" s="47">
        <f t="shared" si="15"/>
        <v>43240</v>
      </c>
      <c r="O78">
        <v>4</v>
      </c>
      <c r="P78">
        <v>2</v>
      </c>
      <c r="Q78">
        <v>10</v>
      </c>
      <c r="R78">
        <v>6</v>
      </c>
      <c r="S78">
        <v>2</v>
      </c>
      <c r="T78">
        <v>4</v>
      </c>
      <c r="U78" s="48">
        <f t="shared" si="16"/>
        <v>0.34</v>
      </c>
      <c r="V78" s="47">
        <f t="shared" si="17"/>
        <v>14701.6</v>
      </c>
      <c r="W78" s="47">
        <f t="shared" si="18"/>
        <v>57941.6</v>
      </c>
      <c r="X78" s="8"/>
      <c r="Y78" t="s">
        <v>1341</v>
      </c>
    </row>
    <row r="79" spans="1:25" ht="12.75">
      <c r="A79" t="s">
        <v>955</v>
      </c>
      <c r="B79" s="242" t="s">
        <v>956</v>
      </c>
      <c r="C79" s="217">
        <v>0</v>
      </c>
      <c r="D79" s="217">
        <v>161000</v>
      </c>
      <c r="E79" s="217">
        <v>0</v>
      </c>
      <c r="F79" s="47">
        <f t="shared" si="13"/>
        <v>161000</v>
      </c>
      <c r="G79" s="40">
        <v>0</v>
      </c>
      <c r="H79" s="40">
        <v>0</v>
      </c>
      <c r="I79" s="40">
        <v>0</v>
      </c>
      <c r="J79" s="40">
        <v>0</v>
      </c>
      <c r="K79" s="40">
        <v>0</v>
      </c>
      <c r="L79" s="40">
        <v>120</v>
      </c>
      <c r="M79" s="47">
        <f t="shared" si="14"/>
        <v>12120</v>
      </c>
      <c r="N79" s="47">
        <f t="shared" si="15"/>
        <v>173120</v>
      </c>
      <c r="O79">
        <v>4</v>
      </c>
      <c r="P79">
        <v>2</v>
      </c>
      <c r="Q79">
        <v>10</v>
      </c>
      <c r="R79">
        <v>6</v>
      </c>
      <c r="S79">
        <v>2</v>
      </c>
      <c r="T79">
        <v>4</v>
      </c>
      <c r="U79" s="48">
        <f t="shared" si="16"/>
        <v>0.34</v>
      </c>
      <c r="V79" s="47">
        <f t="shared" si="17"/>
        <v>58860.8</v>
      </c>
      <c r="W79" s="47">
        <f t="shared" si="18"/>
        <v>231980.8</v>
      </c>
      <c r="X79" s="8"/>
      <c r="Y79" t="s">
        <v>1342</v>
      </c>
    </row>
    <row r="80" spans="1:25" ht="12.75">
      <c r="A80" t="s">
        <v>957</v>
      </c>
      <c r="B80" s="242" t="s">
        <v>144</v>
      </c>
      <c r="C80" s="217">
        <v>0</v>
      </c>
      <c r="D80" s="217">
        <v>248400</v>
      </c>
      <c r="E80" s="217">
        <v>0</v>
      </c>
      <c r="F80" s="47">
        <f t="shared" si="13"/>
        <v>248400</v>
      </c>
      <c r="G80" s="40">
        <v>0</v>
      </c>
      <c r="H80" s="40">
        <v>0</v>
      </c>
      <c r="I80" s="40">
        <v>0</v>
      </c>
      <c r="J80" s="40">
        <v>0</v>
      </c>
      <c r="K80" s="40">
        <v>0</v>
      </c>
      <c r="L80" s="40">
        <v>0</v>
      </c>
      <c r="M80" s="47">
        <f t="shared" si="14"/>
        <v>0</v>
      </c>
      <c r="N80" s="47">
        <f t="shared" si="15"/>
        <v>248400</v>
      </c>
      <c r="O80">
        <v>1</v>
      </c>
      <c r="P80">
        <v>2</v>
      </c>
      <c r="Q80">
        <v>15</v>
      </c>
      <c r="R80">
        <v>4</v>
      </c>
      <c r="S80">
        <v>2</v>
      </c>
      <c r="T80">
        <v>4</v>
      </c>
      <c r="U80" s="48">
        <f t="shared" si="16"/>
        <v>0.29</v>
      </c>
      <c r="V80" s="47">
        <f t="shared" si="17"/>
        <v>72036</v>
      </c>
      <c r="W80" s="47">
        <f t="shared" si="18"/>
        <v>320436</v>
      </c>
      <c r="X80" s="8"/>
      <c r="Y80" t="s">
        <v>1343</v>
      </c>
    </row>
    <row r="81" spans="1:25" ht="12.75">
      <c r="A81" t="s">
        <v>958</v>
      </c>
      <c r="B81" s="242" t="s">
        <v>145</v>
      </c>
      <c r="C81" s="217">
        <v>0</v>
      </c>
      <c r="D81" s="217">
        <v>226700</v>
      </c>
      <c r="E81" s="217">
        <v>0</v>
      </c>
      <c r="F81" s="47">
        <f t="shared" si="13"/>
        <v>226700</v>
      </c>
      <c r="G81">
        <v>0</v>
      </c>
      <c r="H81">
        <v>0</v>
      </c>
      <c r="I81">
        <v>0</v>
      </c>
      <c r="J81">
        <v>0</v>
      </c>
      <c r="K81" s="40">
        <v>0</v>
      </c>
      <c r="L81">
        <v>0</v>
      </c>
      <c r="M81" s="47">
        <f t="shared" si="14"/>
        <v>0</v>
      </c>
      <c r="N81" s="47">
        <f t="shared" si="15"/>
        <v>226700</v>
      </c>
      <c r="O81">
        <v>1</v>
      </c>
      <c r="P81">
        <v>2</v>
      </c>
      <c r="Q81">
        <v>15</v>
      </c>
      <c r="R81">
        <v>4</v>
      </c>
      <c r="S81">
        <v>2</v>
      </c>
      <c r="T81">
        <v>4</v>
      </c>
      <c r="U81" s="48">
        <f t="shared" si="16"/>
        <v>0.29</v>
      </c>
      <c r="V81" s="47">
        <f t="shared" si="17"/>
        <v>65743</v>
      </c>
      <c r="W81" s="47">
        <f t="shared" si="18"/>
        <v>292443</v>
      </c>
      <c r="X81" s="8"/>
      <c r="Y81" t="s">
        <v>1344</v>
      </c>
    </row>
    <row r="82" spans="1:25" ht="12.75">
      <c r="A82" s="325" t="s">
        <v>66</v>
      </c>
      <c r="B82" s="240" t="s">
        <v>895</v>
      </c>
      <c r="C82" s="217">
        <v>0</v>
      </c>
      <c r="D82" s="217">
        <v>0</v>
      </c>
      <c r="E82" s="217">
        <v>0</v>
      </c>
      <c r="F82" s="47">
        <f t="shared" si="13"/>
        <v>0</v>
      </c>
      <c r="G82">
        <v>0</v>
      </c>
      <c r="H82">
        <v>0</v>
      </c>
      <c r="I82">
        <v>0</v>
      </c>
      <c r="J82">
        <v>0</v>
      </c>
      <c r="K82">
        <v>0</v>
      </c>
      <c r="L82">
        <v>0</v>
      </c>
      <c r="M82" s="47">
        <f t="shared" si="14"/>
        <v>0</v>
      </c>
      <c r="N82" s="47">
        <f t="shared" si="15"/>
        <v>0</v>
      </c>
      <c r="O82">
        <v>0</v>
      </c>
      <c r="P82">
        <v>0</v>
      </c>
      <c r="Q82">
        <v>0</v>
      </c>
      <c r="R82">
        <v>0</v>
      </c>
      <c r="S82">
        <v>0</v>
      </c>
      <c r="T82">
        <v>0</v>
      </c>
      <c r="U82" s="48">
        <f t="shared" si="16"/>
        <v>0</v>
      </c>
      <c r="V82" s="47">
        <f t="shared" si="17"/>
        <v>0</v>
      </c>
      <c r="W82" s="47">
        <f t="shared" si="18"/>
        <v>0</v>
      </c>
      <c r="X82" s="8"/>
      <c r="Y82" t="s">
        <v>1987</v>
      </c>
    </row>
    <row r="83" spans="1:25" ht="12.75">
      <c r="A83" t="s">
        <v>67</v>
      </c>
      <c r="B83" t="s">
        <v>896</v>
      </c>
      <c r="C83" s="217">
        <v>0</v>
      </c>
      <c r="D83" s="217">
        <v>0</v>
      </c>
      <c r="E83" s="217">
        <v>0</v>
      </c>
      <c r="F83" s="47">
        <f t="shared" si="13"/>
        <v>0</v>
      </c>
      <c r="G83" s="40">
        <v>0</v>
      </c>
      <c r="H83" s="40">
        <v>0</v>
      </c>
      <c r="I83" s="40">
        <v>0</v>
      </c>
      <c r="J83" s="40">
        <v>0</v>
      </c>
      <c r="K83" s="40">
        <v>0</v>
      </c>
      <c r="L83" s="40">
        <v>0</v>
      </c>
      <c r="M83" s="47">
        <f t="shared" si="14"/>
        <v>0</v>
      </c>
      <c r="N83" s="47">
        <f t="shared" si="15"/>
        <v>0</v>
      </c>
      <c r="O83">
        <v>0</v>
      </c>
      <c r="P83">
        <v>0</v>
      </c>
      <c r="Q83">
        <v>0</v>
      </c>
      <c r="R83">
        <v>0</v>
      </c>
      <c r="S83">
        <v>0</v>
      </c>
      <c r="T83">
        <v>0</v>
      </c>
      <c r="U83" s="48">
        <f t="shared" si="16"/>
        <v>0</v>
      </c>
      <c r="V83" s="47">
        <f t="shared" si="17"/>
        <v>0</v>
      </c>
      <c r="W83" s="47">
        <f t="shared" si="18"/>
        <v>0</v>
      </c>
      <c r="X83" s="8"/>
      <c r="Y83" t="s">
        <v>1988</v>
      </c>
    </row>
    <row r="84" spans="1:25" ht="12.75">
      <c r="A84" t="s">
        <v>68</v>
      </c>
      <c r="B84" s="242" t="s">
        <v>1855</v>
      </c>
      <c r="C84" s="217"/>
      <c r="D84" s="217">
        <v>90000</v>
      </c>
      <c r="E84" s="217">
        <v>0</v>
      </c>
      <c r="F84" s="47">
        <f t="shared" si="13"/>
        <v>90000</v>
      </c>
      <c r="G84" s="40">
        <v>0</v>
      </c>
      <c r="H84" s="40">
        <v>0</v>
      </c>
      <c r="I84" s="40">
        <v>0</v>
      </c>
      <c r="J84" s="40">
        <v>0</v>
      </c>
      <c r="K84" s="40">
        <v>0</v>
      </c>
      <c r="L84" s="40">
        <v>0</v>
      </c>
      <c r="M84" s="47">
        <f t="shared" si="14"/>
        <v>0</v>
      </c>
      <c r="N84" s="47">
        <f t="shared" si="15"/>
        <v>90000</v>
      </c>
      <c r="O84">
        <v>2</v>
      </c>
      <c r="P84">
        <v>2</v>
      </c>
      <c r="Q84">
        <v>10</v>
      </c>
      <c r="R84">
        <v>4</v>
      </c>
      <c r="S84">
        <v>2</v>
      </c>
      <c r="T84">
        <v>4</v>
      </c>
      <c r="U84" s="48">
        <f t="shared" si="16"/>
        <v>0.26</v>
      </c>
      <c r="V84" s="47">
        <f t="shared" si="17"/>
        <v>23400</v>
      </c>
      <c r="W84" s="47">
        <f t="shared" si="18"/>
        <v>113400</v>
      </c>
      <c r="X84" s="8"/>
      <c r="Y84" t="s">
        <v>1989</v>
      </c>
    </row>
    <row r="85" spans="1:24" ht="12.75">
      <c r="A85" t="s">
        <v>69</v>
      </c>
      <c r="B85" s="242" t="s">
        <v>1856</v>
      </c>
      <c r="C85" s="217">
        <v>0</v>
      </c>
      <c r="D85" s="217">
        <v>0</v>
      </c>
      <c r="E85" s="217">
        <v>0</v>
      </c>
      <c r="F85" s="47">
        <f t="shared" si="13"/>
        <v>0</v>
      </c>
      <c r="G85" s="40">
        <v>0</v>
      </c>
      <c r="H85" s="40">
        <v>0</v>
      </c>
      <c r="I85" s="40">
        <v>0</v>
      </c>
      <c r="J85" s="40">
        <v>0</v>
      </c>
      <c r="K85" s="40">
        <v>96</v>
      </c>
      <c r="L85" s="40">
        <v>0</v>
      </c>
      <c r="M85" s="47">
        <f t="shared" si="14"/>
        <v>6436.799999999999</v>
      </c>
      <c r="N85" s="47">
        <f t="shared" si="15"/>
        <v>6436.799999999999</v>
      </c>
      <c r="O85">
        <v>2</v>
      </c>
      <c r="P85">
        <v>2</v>
      </c>
      <c r="Q85">
        <v>10</v>
      </c>
      <c r="R85">
        <v>4</v>
      </c>
      <c r="S85">
        <v>2</v>
      </c>
      <c r="T85">
        <v>4</v>
      </c>
      <c r="U85" s="48">
        <f t="shared" si="16"/>
        <v>0.26</v>
      </c>
      <c r="V85" s="47">
        <f t="shared" si="17"/>
        <v>1673.5679999999998</v>
      </c>
      <c r="W85" s="47">
        <f t="shared" si="18"/>
        <v>8110.367999999999</v>
      </c>
      <c r="X85" s="8"/>
    </row>
    <row r="86" spans="1:24" ht="12.75">
      <c r="A86" t="s">
        <v>70</v>
      </c>
      <c r="B86" s="242" t="s">
        <v>1857</v>
      </c>
      <c r="C86" s="217">
        <v>0</v>
      </c>
      <c r="D86" s="217">
        <v>0</v>
      </c>
      <c r="E86" s="217">
        <v>0</v>
      </c>
      <c r="F86" s="47">
        <f t="shared" si="13"/>
        <v>0</v>
      </c>
      <c r="G86" s="40">
        <v>0</v>
      </c>
      <c r="H86" s="40">
        <v>0</v>
      </c>
      <c r="I86" s="40">
        <v>0</v>
      </c>
      <c r="J86" s="40">
        <v>0</v>
      </c>
      <c r="K86" s="40">
        <v>72</v>
      </c>
      <c r="L86" s="40">
        <v>0</v>
      </c>
      <c r="M86" s="47">
        <f t="shared" si="14"/>
        <v>4827.599999999999</v>
      </c>
      <c r="N86" s="47">
        <f t="shared" si="15"/>
        <v>4827.599999999999</v>
      </c>
      <c r="O86">
        <v>2</v>
      </c>
      <c r="P86">
        <v>2</v>
      </c>
      <c r="Q86">
        <v>10</v>
      </c>
      <c r="R86">
        <v>4</v>
      </c>
      <c r="S86">
        <v>2</v>
      </c>
      <c r="T86">
        <v>4</v>
      </c>
      <c r="U86" s="48">
        <f t="shared" si="16"/>
        <v>0.26</v>
      </c>
      <c r="V86" s="47">
        <f t="shared" si="17"/>
        <v>1255.176</v>
      </c>
      <c r="W86" s="47">
        <f t="shared" si="18"/>
        <v>6082.776</v>
      </c>
      <c r="X86" s="8"/>
    </row>
    <row r="87" spans="1:25" ht="12.75">
      <c r="A87" t="s">
        <v>71</v>
      </c>
      <c r="B87" t="s">
        <v>1709</v>
      </c>
      <c r="C87" s="217">
        <v>0</v>
      </c>
      <c r="D87" s="217">
        <v>0</v>
      </c>
      <c r="E87" s="217">
        <v>0</v>
      </c>
      <c r="F87" s="47">
        <f t="shared" si="13"/>
        <v>0</v>
      </c>
      <c r="G87" s="40">
        <v>0</v>
      </c>
      <c r="H87" s="40">
        <v>0</v>
      </c>
      <c r="I87" s="40">
        <v>0</v>
      </c>
      <c r="J87" s="40">
        <v>0</v>
      </c>
      <c r="K87" s="40">
        <v>0</v>
      </c>
      <c r="L87" s="40">
        <v>0</v>
      </c>
      <c r="M87" s="47">
        <f t="shared" si="14"/>
        <v>0</v>
      </c>
      <c r="N87" s="47">
        <f t="shared" si="15"/>
        <v>0</v>
      </c>
      <c r="O87">
        <v>0</v>
      </c>
      <c r="P87">
        <v>0</v>
      </c>
      <c r="Q87">
        <v>0</v>
      </c>
      <c r="R87">
        <v>0</v>
      </c>
      <c r="S87">
        <v>0</v>
      </c>
      <c r="T87">
        <v>0</v>
      </c>
      <c r="U87" s="48">
        <f t="shared" si="16"/>
        <v>0</v>
      </c>
      <c r="V87" s="47">
        <f t="shared" si="17"/>
        <v>0</v>
      </c>
      <c r="W87" s="47">
        <f t="shared" si="18"/>
        <v>0</v>
      </c>
      <c r="X87" s="8"/>
      <c r="Y87" t="s">
        <v>1990</v>
      </c>
    </row>
    <row r="88" spans="1:24" ht="12.75">
      <c r="A88" t="s">
        <v>72</v>
      </c>
      <c r="B88" s="242" t="s">
        <v>1775</v>
      </c>
      <c r="C88" s="217">
        <v>0</v>
      </c>
      <c r="D88" s="217">
        <v>0</v>
      </c>
      <c r="E88" s="217">
        <v>0</v>
      </c>
      <c r="F88" s="47">
        <f t="shared" si="13"/>
        <v>0</v>
      </c>
      <c r="G88" s="40">
        <v>190</v>
      </c>
      <c r="H88" s="40">
        <v>0</v>
      </c>
      <c r="I88" s="40">
        <v>0</v>
      </c>
      <c r="J88" s="40">
        <v>0</v>
      </c>
      <c r="K88" s="40">
        <v>0</v>
      </c>
      <c r="L88" s="40">
        <v>0</v>
      </c>
      <c r="M88" s="47">
        <f t="shared" si="14"/>
        <v>12758.500000000002</v>
      </c>
      <c r="N88" s="47">
        <f t="shared" si="15"/>
        <v>12758.500000000002</v>
      </c>
      <c r="O88">
        <v>3</v>
      </c>
      <c r="P88">
        <v>2</v>
      </c>
      <c r="Q88">
        <v>8</v>
      </c>
      <c r="R88">
        <v>1</v>
      </c>
      <c r="S88">
        <v>2</v>
      </c>
      <c r="T88">
        <v>4</v>
      </c>
      <c r="U88" s="48">
        <f t="shared" si="16"/>
        <v>0.2</v>
      </c>
      <c r="V88" s="47">
        <f t="shared" si="17"/>
        <v>2551.7000000000007</v>
      </c>
      <c r="W88" s="47">
        <f t="shared" si="18"/>
        <v>15310.200000000003</v>
      </c>
      <c r="X88" s="8"/>
    </row>
    <row r="89" spans="1:24" ht="12.75">
      <c r="A89" t="s">
        <v>73</v>
      </c>
      <c r="B89" s="242" t="s">
        <v>826</v>
      </c>
      <c r="C89" s="217">
        <v>0</v>
      </c>
      <c r="D89" s="217">
        <v>0</v>
      </c>
      <c r="E89" s="217">
        <v>0</v>
      </c>
      <c r="F89" s="47">
        <f t="shared" si="13"/>
        <v>0</v>
      </c>
      <c r="G89" s="40">
        <v>0</v>
      </c>
      <c r="H89" s="40">
        <v>0</v>
      </c>
      <c r="I89" s="40">
        <v>152</v>
      </c>
      <c r="J89" s="40">
        <v>0</v>
      </c>
      <c r="K89" s="40">
        <v>0</v>
      </c>
      <c r="L89" s="40">
        <v>0</v>
      </c>
      <c r="M89" s="47">
        <f t="shared" si="14"/>
        <v>8550</v>
      </c>
      <c r="N89" s="47">
        <f t="shared" si="15"/>
        <v>8550</v>
      </c>
      <c r="O89">
        <v>3</v>
      </c>
      <c r="P89">
        <v>2</v>
      </c>
      <c r="Q89">
        <v>8</v>
      </c>
      <c r="R89">
        <v>1</v>
      </c>
      <c r="S89">
        <v>2</v>
      </c>
      <c r="T89">
        <v>4</v>
      </c>
      <c r="U89" s="48">
        <f t="shared" si="16"/>
        <v>0.2</v>
      </c>
      <c r="V89" s="47">
        <f t="shared" si="17"/>
        <v>1710</v>
      </c>
      <c r="W89" s="47">
        <f t="shared" si="18"/>
        <v>10260</v>
      </c>
      <c r="X89" s="8"/>
    </row>
    <row r="90" spans="1:24" ht="12.75">
      <c r="A90" t="s">
        <v>959</v>
      </c>
      <c r="B90" s="242" t="s">
        <v>647</v>
      </c>
      <c r="C90" s="217">
        <v>32775</v>
      </c>
      <c r="D90" s="217">
        <v>41230</v>
      </c>
      <c r="E90" s="217">
        <v>0</v>
      </c>
      <c r="F90" s="47">
        <f t="shared" si="13"/>
        <v>74005</v>
      </c>
      <c r="G90" s="40">
        <v>0</v>
      </c>
      <c r="H90" s="40">
        <v>0</v>
      </c>
      <c r="I90" s="40">
        <v>0</v>
      </c>
      <c r="J90" s="40">
        <v>0</v>
      </c>
      <c r="K90" s="40">
        <v>0</v>
      </c>
      <c r="L90" s="40">
        <v>0</v>
      </c>
      <c r="M90" s="47">
        <f t="shared" si="14"/>
        <v>0</v>
      </c>
      <c r="N90" s="47">
        <f t="shared" si="15"/>
        <v>74005</v>
      </c>
      <c r="O90">
        <v>3</v>
      </c>
      <c r="P90">
        <v>2</v>
      </c>
      <c r="Q90">
        <v>8</v>
      </c>
      <c r="R90">
        <v>1</v>
      </c>
      <c r="S90">
        <v>2</v>
      </c>
      <c r="T90">
        <v>4</v>
      </c>
      <c r="U90" s="48">
        <f t="shared" si="16"/>
        <v>0.2</v>
      </c>
      <c r="V90" s="47">
        <f t="shared" si="17"/>
        <v>14801</v>
      </c>
      <c r="W90" s="47">
        <f t="shared" si="18"/>
        <v>88806</v>
      </c>
      <c r="X90" s="8"/>
    </row>
    <row r="91" spans="1:24" ht="12.75">
      <c r="A91" t="s">
        <v>960</v>
      </c>
      <c r="B91" s="242" t="s">
        <v>1858</v>
      </c>
      <c r="C91" s="217">
        <v>0</v>
      </c>
      <c r="D91" s="217">
        <v>0</v>
      </c>
      <c r="E91" s="217">
        <v>0</v>
      </c>
      <c r="F91" s="47">
        <f t="shared" si="13"/>
        <v>0</v>
      </c>
      <c r="G91" s="40">
        <v>0</v>
      </c>
      <c r="H91" s="40">
        <v>0</v>
      </c>
      <c r="I91" s="40">
        <v>0</v>
      </c>
      <c r="J91" s="40">
        <v>3952</v>
      </c>
      <c r="K91" s="40">
        <v>0</v>
      </c>
      <c r="L91" s="40">
        <v>0</v>
      </c>
      <c r="M91" s="47">
        <f t="shared" si="14"/>
        <v>207480</v>
      </c>
      <c r="N91" s="47">
        <f t="shared" si="15"/>
        <v>207480</v>
      </c>
      <c r="O91">
        <v>3</v>
      </c>
      <c r="P91">
        <v>2</v>
      </c>
      <c r="Q91">
        <v>8</v>
      </c>
      <c r="R91">
        <v>1</v>
      </c>
      <c r="S91">
        <v>2</v>
      </c>
      <c r="T91">
        <v>4</v>
      </c>
      <c r="U91" s="48">
        <f t="shared" si="16"/>
        <v>0.2</v>
      </c>
      <c r="V91" s="47">
        <f t="shared" si="17"/>
        <v>41496</v>
      </c>
      <c r="W91" s="47">
        <f t="shared" si="18"/>
        <v>248976</v>
      </c>
      <c r="X91" s="8"/>
    </row>
    <row r="92" spans="1:24" ht="12.75">
      <c r="A92" t="s">
        <v>961</v>
      </c>
      <c r="B92" s="242" t="s">
        <v>962</v>
      </c>
      <c r="C92" s="217">
        <v>0</v>
      </c>
      <c r="D92" s="217">
        <v>0</v>
      </c>
      <c r="E92" s="217">
        <v>0</v>
      </c>
      <c r="F92" s="47">
        <f t="shared" si="13"/>
        <v>0</v>
      </c>
      <c r="G92" s="40">
        <v>0</v>
      </c>
      <c r="H92" s="40">
        <v>0</v>
      </c>
      <c r="I92" s="40">
        <v>0</v>
      </c>
      <c r="J92" s="40">
        <v>0</v>
      </c>
      <c r="K92" s="40">
        <v>0</v>
      </c>
      <c r="L92" s="40">
        <v>95</v>
      </c>
      <c r="M92" s="47">
        <f t="shared" si="14"/>
        <v>9595</v>
      </c>
      <c r="N92" s="47">
        <f t="shared" si="15"/>
        <v>9595</v>
      </c>
      <c r="O92">
        <v>3</v>
      </c>
      <c r="P92">
        <v>2</v>
      </c>
      <c r="Q92">
        <v>8</v>
      </c>
      <c r="R92">
        <v>1</v>
      </c>
      <c r="S92">
        <v>2</v>
      </c>
      <c r="T92">
        <v>4</v>
      </c>
      <c r="U92" s="48">
        <f t="shared" si="16"/>
        <v>0.2</v>
      </c>
      <c r="V92" s="47">
        <f t="shared" si="17"/>
        <v>1919</v>
      </c>
      <c r="W92" s="47">
        <f t="shared" si="18"/>
        <v>11514</v>
      </c>
      <c r="X92" s="8"/>
    </row>
    <row r="93" spans="1:24" ht="12.75">
      <c r="A93" t="s">
        <v>963</v>
      </c>
      <c r="B93" s="242" t="s">
        <v>1777</v>
      </c>
      <c r="C93" s="217">
        <v>0</v>
      </c>
      <c r="D93" s="217">
        <v>0</v>
      </c>
      <c r="E93" s="217">
        <v>0</v>
      </c>
      <c r="F93" s="47">
        <f t="shared" si="13"/>
        <v>0</v>
      </c>
      <c r="G93" s="40">
        <v>0</v>
      </c>
      <c r="H93" s="40">
        <v>0</v>
      </c>
      <c r="I93" s="40">
        <v>0</v>
      </c>
      <c r="J93" s="40">
        <v>0</v>
      </c>
      <c r="K93" s="40">
        <v>57</v>
      </c>
      <c r="L93" s="40">
        <v>0</v>
      </c>
      <c r="M93" s="47">
        <f t="shared" si="14"/>
        <v>3821.85</v>
      </c>
      <c r="N93" s="47">
        <f t="shared" si="15"/>
        <v>3821.85</v>
      </c>
      <c r="O93">
        <v>3</v>
      </c>
      <c r="P93">
        <v>2</v>
      </c>
      <c r="Q93">
        <v>8</v>
      </c>
      <c r="R93">
        <v>1</v>
      </c>
      <c r="S93">
        <v>2</v>
      </c>
      <c r="T93">
        <v>4</v>
      </c>
      <c r="U93" s="48">
        <f t="shared" si="16"/>
        <v>0.2</v>
      </c>
      <c r="V93" s="47">
        <f t="shared" si="17"/>
        <v>764.37</v>
      </c>
      <c r="W93" s="47">
        <f t="shared" si="18"/>
        <v>4586.22</v>
      </c>
      <c r="X93" s="8"/>
    </row>
    <row r="94" spans="1:25" ht="12.75">
      <c r="A94" t="s">
        <v>74</v>
      </c>
      <c r="B94" t="s">
        <v>897</v>
      </c>
      <c r="C94" s="217">
        <v>0</v>
      </c>
      <c r="D94" s="217">
        <v>0</v>
      </c>
      <c r="E94" s="217">
        <v>0</v>
      </c>
      <c r="F94" s="47">
        <f t="shared" si="13"/>
        <v>0</v>
      </c>
      <c r="G94" s="40">
        <v>0</v>
      </c>
      <c r="H94" s="40">
        <v>0</v>
      </c>
      <c r="I94" s="40">
        <v>0</v>
      </c>
      <c r="J94" s="40">
        <v>0</v>
      </c>
      <c r="K94" s="40">
        <v>0</v>
      </c>
      <c r="L94" s="40">
        <v>0</v>
      </c>
      <c r="M94" s="47">
        <f t="shared" si="14"/>
        <v>0</v>
      </c>
      <c r="N94" s="47">
        <f t="shared" si="15"/>
        <v>0</v>
      </c>
      <c r="O94">
        <v>0</v>
      </c>
      <c r="P94">
        <v>0</v>
      </c>
      <c r="Q94">
        <v>0</v>
      </c>
      <c r="R94">
        <v>0</v>
      </c>
      <c r="S94">
        <v>0</v>
      </c>
      <c r="T94">
        <v>0</v>
      </c>
      <c r="U94" s="48">
        <f t="shared" si="16"/>
        <v>0</v>
      </c>
      <c r="V94" s="47">
        <f t="shared" si="17"/>
        <v>0</v>
      </c>
      <c r="W94" s="47">
        <f t="shared" si="18"/>
        <v>0</v>
      </c>
      <c r="X94" s="8"/>
      <c r="Y94" t="s">
        <v>1991</v>
      </c>
    </row>
    <row r="95" spans="1:24" ht="12.75">
      <c r="A95" t="s">
        <v>75</v>
      </c>
      <c r="B95" s="242" t="s">
        <v>1859</v>
      </c>
      <c r="C95" s="217">
        <v>0</v>
      </c>
      <c r="D95" s="217">
        <v>0</v>
      </c>
      <c r="E95" s="217">
        <v>0</v>
      </c>
      <c r="F95" s="47">
        <f t="shared" si="13"/>
        <v>0</v>
      </c>
      <c r="G95" s="40">
        <v>0</v>
      </c>
      <c r="H95" s="40">
        <v>0</v>
      </c>
      <c r="I95" s="40">
        <v>0</v>
      </c>
      <c r="J95" s="40">
        <v>380</v>
      </c>
      <c r="K95" s="40">
        <v>0</v>
      </c>
      <c r="L95" s="40">
        <v>0</v>
      </c>
      <c r="M95" s="47">
        <f t="shared" si="14"/>
        <v>19950</v>
      </c>
      <c r="N95" s="47">
        <f t="shared" si="15"/>
        <v>19950</v>
      </c>
      <c r="O95">
        <v>2</v>
      </c>
      <c r="P95">
        <v>2</v>
      </c>
      <c r="Q95">
        <v>10</v>
      </c>
      <c r="R95">
        <v>4</v>
      </c>
      <c r="S95">
        <v>2</v>
      </c>
      <c r="T95">
        <v>2</v>
      </c>
      <c r="U95" s="48">
        <f t="shared" si="16"/>
        <v>0.24</v>
      </c>
      <c r="V95" s="47">
        <f t="shared" si="17"/>
        <v>4788</v>
      </c>
      <c r="W95" s="47">
        <f t="shared" si="18"/>
        <v>24738</v>
      </c>
      <c r="X95" s="8"/>
    </row>
    <row r="96" spans="1:24" ht="12.75">
      <c r="A96" t="s">
        <v>76</v>
      </c>
      <c r="B96" s="242" t="s">
        <v>1860</v>
      </c>
      <c r="C96" s="217">
        <v>19000</v>
      </c>
      <c r="D96" s="217">
        <v>0</v>
      </c>
      <c r="E96" s="217">
        <v>0</v>
      </c>
      <c r="F96" s="47">
        <f t="shared" si="13"/>
        <v>19000</v>
      </c>
      <c r="G96" s="40">
        <v>0</v>
      </c>
      <c r="H96" s="40">
        <v>0</v>
      </c>
      <c r="I96" s="40">
        <v>0</v>
      </c>
      <c r="J96" s="40">
        <v>0</v>
      </c>
      <c r="K96" s="40">
        <v>0</v>
      </c>
      <c r="L96" s="40">
        <v>0</v>
      </c>
      <c r="M96" s="47">
        <f t="shared" si="14"/>
        <v>0</v>
      </c>
      <c r="N96" s="47">
        <f t="shared" si="15"/>
        <v>19000</v>
      </c>
      <c r="O96">
        <v>2</v>
      </c>
      <c r="P96">
        <v>2</v>
      </c>
      <c r="Q96">
        <v>10</v>
      </c>
      <c r="R96">
        <v>4</v>
      </c>
      <c r="S96">
        <v>2</v>
      </c>
      <c r="T96">
        <v>2</v>
      </c>
      <c r="U96" s="48">
        <f t="shared" si="16"/>
        <v>0.24</v>
      </c>
      <c r="V96" s="47">
        <f t="shared" si="17"/>
        <v>4560</v>
      </c>
      <c r="W96" s="47">
        <f t="shared" si="18"/>
        <v>23560</v>
      </c>
      <c r="X96" s="8"/>
    </row>
    <row r="97" spans="1:25" ht="12.75">
      <c r="A97" t="s">
        <v>77</v>
      </c>
      <c r="B97" t="s">
        <v>1861</v>
      </c>
      <c r="C97" s="217">
        <v>0</v>
      </c>
      <c r="D97" s="217">
        <v>0</v>
      </c>
      <c r="E97" s="217">
        <v>0</v>
      </c>
      <c r="F97" s="47">
        <f t="shared" si="13"/>
        <v>0</v>
      </c>
      <c r="G97" s="40">
        <v>0</v>
      </c>
      <c r="H97" s="40">
        <v>0</v>
      </c>
      <c r="I97" s="40">
        <v>0</v>
      </c>
      <c r="J97" s="40">
        <v>0</v>
      </c>
      <c r="K97" s="40">
        <v>0</v>
      </c>
      <c r="L97" s="40">
        <v>0</v>
      </c>
      <c r="M97" s="47">
        <f t="shared" si="14"/>
        <v>0</v>
      </c>
      <c r="N97" s="47">
        <f t="shared" si="15"/>
        <v>0</v>
      </c>
      <c r="O97">
        <v>0</v>
      </c>
      <c r="P97">
        <v>0</v>
      </c>
      <c r="Q97">
        <v>0</v>
      </c>
      <c r="R97">
        <v>0</v>
      </c>
      <c r="S97">
        <v>0</v>
      </c>
      <c r="T97">
        <v>0</v>
      </c>
      <c r="U97" s="48">
        <f t="shared" si="16"/>
        <v>0</v>
      </c>
      <c r="V97" s="47">
        <f t="shared" si="17"/>
        <v>0</v>
      </c>
      <c r="W97" s="47">
        <f t="shared" si="18"/>
        <v>0</v>
      </c>
      <c r="X97" s="8"/>
      <c r="Y97" t="s">
        <v>1345</v>
      </c>
    </row>
    <row r="98" spans="1:24" ht="12.75">
      <c r="A98" t="s">
        <v>78</v>
      </c>
      <c r="B98" s="242" t="s">
        <v>1775</v>
      </c>
      <c r="C98" s="217">
        <v>0</v>
      </c>
      <c r="D98" s="217">
        <v>0</v>
      </c>
      <c r="E98" s="217">
        <v>0</v>
      </c>
      <c r="F98" s="47">
        <f t="shared" si="13"/>
        <v>0</v>
      </c>
      <c r="G98" s="40">
        <v>48</v>
      </c>
      <c r="H98" s="40">
        <v>0</v>
      </c>
      <c r="I98" s="40">
        <v>0</v>
      </c>
      <c r="J98" s="40">
        <v>0</v>
      </c>
      <c r="K98" s="40">
        <v>0</v>
      </c>
      <c r="L98" s="40">
        <v>0</v>
      </c>
      <c r="M98" s="47">
        <f t="shared" si="14"/>
        <v>3223.2000000000003</v>
      </c>
      <c r="N98" s="47">
        <f t="shared" si="15"/>
        <v>3223.2000000000003</v>
      </c>
      <c r="O98">
        <v>2</v>
      </c>
      <c r="P98">
        <v>2</v>
      </c>
      <c r="Q98">
        <v>10</v>
      </c>
      <c r="R98">
        <v>4</v>
      </c>
      <c r="S98">
        <v>1</v>
      </c>
      <c r="T98">
        <v>2</v>
      </c>
      <c r="U98" s="48">
        <f t="shared" si="16"/>
        <v>0.2</v>
      </c>
      <c r="V98" s="47">
        <f t="shared" si="17"/>
        <v>644.6400000000001</v>
      </c>
      <c r="W98" s="47">
        <f t="shared" si="18"/>
        <v>3867.84</v>
      </c>
      <c r="X98" s="8"/>
    </row>
    <row r="99" spans="1:24" ht="12.75">
      <c r="A99" t="s">
        <v>79</v>
      </c>
      <c r="B99" s="242" t="s">
        <v>826</v>
      </c>
      <c r="C99" s="217">
        <v>0</v>
      </c>
      <c r="D99" s="217">
        <v>0</v>
      </c>
      <c r="E99" s="217">
        <v>0</v>
      </c>
      <c r="F99" s="47">
        <f t="shared" si="13"/>
        <v>0</v>
      </c>
      <c r="G99" s="40">
        <v>0</v>
      </c>
      <c r="H99" s="40">
        <v>0</v>
      </c>
      <c r="I99" s="40">
        <v>80</v>
      </c>
      <c r="J99" s="40">
        <v>0</v>
      </c>
      <c r="K99" s="40">
        <v>0</v>
      </c>
      <c r="L99" s="40">
        <v>0</v>
      </c>
      <c r="M99" s="47">
        <f t="shared" si="14"/>
        <v>4500</v>
      </c>
      <c r="N99" s="47">
        <f t="shared" si="15"/>
        <v>4500</v>
      </c>
      <c r="O99">
        <v>2</v>
      </c>
      <c r="P99">
        <v>2</v>
      </c>
      <c r="Q99">
        <v>10</v>
      </c>
      <c r="R99">
        <v>4</v>
      </c>
      <c r="S99">
        <v>1</v>
      </c>
      <c r="T99">
        <v>2</v>
      </c>
      <c r="U99" s="48">
        <f t="shared" si="16"/>
        <v>0.2</v>
      </c>
      <c r="V99" s="47">
        <f t="shared" si="17"/>
        <v>900</v>
      </c>
      <c r="W99" s="47">
        <f t="shared" si="18"/>
        <v>5400</v>
      </c>
      <c r="X99" s="8"/>
    </row>
    <row r="100" spans="1:24" ht="12.75">
      <c r="A100" t="s">
        <v>80</v>
      </c>
      <c r="B100" s="242" t="s">
        <v>1862</v>
      </c>
      <c r="C100" s="217">
        <v>15200</v>
      </c>
      <c r="D100" s="217">
        <v>0</v>
      </c>
      <c r="E100" s="217">
        <v>0</v>
      </c>
      <c r="F100" s="47">
        <f t="shared" si="13"/>
        <v>15200</v>
      </c>
      <c r="G100" s="40">
        <v>0</v>
      </c>
      <c r="H100" s="40">
        <v>0</v>
      </c>
      <c r="I100" s="40">
        <v>0</v>
      </c>
      <c r="J100" s="40">
        <v>0</v>
      </c>
      <c r="K100" s="40">
        <v>0</v>
      </c>
      <c r="L100" s="40">
        <v>0</v>
      </c>
      <c r="M100" s="47">
        <f t="shared" si="14"/>
        <v>0</v>
      </c>
      <c r="N100" s="47">
        <f t="shared" si="15"/>
        <v>15200</v>
      </c>
      <c r="O100">
        <v>2</v>
      </c>
      <c r="P100">
        <v>2</v>
      </c>
      <c r="Q100">
        <v>10</v>
      </c>
      <c r="R100">
        <v>4</v>
      </c>
      <c r="S100">
        <v>1</v>
      </c>
      <c r="T100">
        <v>2</v>
      </c>
      <c r="U100" s="48">
        <f t="shared" si="16"/>
        <v>0.2</v>
      </c>
      <c r="V100" s="47">
        <f t="shared" si="17"/>
        <v>3040</v>
      </c>
      <c r="W100" s="47">
        <f t="shared" si="18"/>
        <v>18240</v>
      </c>
      <c r="X100" s="8"/>
    </row>
    <row r="101" spans="1:24" ht="12.75">
      <c r="A101" t="s">
        <v>81</v>
      </c>
      <c r="B101" s="242" t="s">
        <v>550</v>
      </c>
      <c r="C101" s="217">
        <v>0</v>
      </c>
      <c r="D101" s="217">
        <v>0</v>
      </c>
      <c r="E101" s="217">
        <v>0</v>
      </c>
      <c r="F101" s="47">
        <f t="shared" si="13"/>
        <v>0</v>
      </c>
      <c r="G101" s="214">
        <v>0</v>
      </c>
      <c r="H101" s="214">
        <v>0</v>
      </c>
      <c r="I101" s="214">
        <v>0</v>
      </c>
      <c r="J101" s="214">
        <v>200</v>
      </c>
      <c r="K101" s="214">
        <v>0</v>
      </c>
      <c r="L101" s="214">
        <v>0</v>
      </c>
      <c r="M101" s="47">
        <f t="shared" si="14"/>
        <v>10500</v>
      </c>
      <c r="N101" s="47">
        <f t="shared" si="15"/>
        <v>10500</v>
      </c>
      <c r="O101">
        <v>2</v>
      </c>
      <c r="P101">
        <v>2</v>
      </c>
      <c r="Q101">
        <v>10</v>
      </c>
      <c r="R101">
        <v>4</v>
      </c>
      <c r="S101">
        <v>1</v>
      </c>
      <c r="T101">
        <v>2</v>
      </c>
      <c r="U101" s="48">
        <f t="shared" si="16"/>
        <v>0.2</v>
      </c>
      <c r="V101" s="47">
        <f t="shared" si="17"/>
        <v>2100</v>
      </c>
      <c r="W101" s="47">
        <f t="shared" si="18"/>
        <v>12600</v>
      </c>
      <c r="X101" s="8"/>
    </row>
    <row r="102" spans="1:24" ht="12.75">
      <c r="A102" t="s">
        <v>82</v>
      </c>
      <c r="B102" s="242" t="s">
        <v>1863</v>
      </c>
      <c r="C102" s="217">
        <v>0</v>
      </c>
      <c r="D102" s="217">
        <v>0</v>
      </c>
      <c r="E102" s="217">
        <v>0</v>
      </c>
      <c r="F102" s="47">
        <f t="shared" si="13"/>
        <v>0</v>
      </c>
      <c r="G102" s="40">
        <v>0</v>
      </c>
      <c r="H102" s="40">
        <v>0</v>
      </c>
      <c r="I102" s="40">
        <v>0</v>
      </c>
      <c r="J102" s="40">
        <v>120</v>
      </c>
      <c r="K102" s="40">
        <v>0</v>
      </c>
      <c r="L102" s="40">
        <v>0</v>
      </c>
      <c r="M102" s="47">
        <f t="shared" si="14"/>
        <v>6300</v>
      </c>
      <c r="N102" s="47">
        <f t="shared" si="15"/>
        <v>6300</v>
      </c>
      <c r="O102">
        <v>2</v>
      </c>
      <c r="P102">
        <v>2</v>
      </c>
      <c r="Q102">
        <v>10</v>
      </c>
      <c r="R102">
        <v>4</v>
      </c>
      <c r="S102">
        <v>1</v>
      </c>
      <c r="T102">
        <v>2</v>
      </c>
      <c r="U102" s="48">
        <f t="shared" si="16"/>
        <v>0.2</v>
      </c>
      <c r="V102" s="47">
        <f t="shared" si="17"/>
        <v>1260</v>
      </c>
      <c r="W102" s="47">
        <f t="shared" si="18"/>
        <v>7560</v>
      </c>
      <c r="X102" s="8"/>
    </row>
    <row r="103" spans="1:30" s="215" customFormat="1" ht="12.75">
      <c r="A103" s="325" t="s">
        <v>83</v>
      </c>
      <c r="B103" s="240" t="s">
        <v>899</v>
      </c>
      <c r="C103" s="217">
        <v>0</v>
      </c>
      <c r="D103" s="217">
        <v>0</v>
      </c>
      <c r="E103" s="217">
        <v>0</v>
      </c>
      <c r="F103" s="47">
        <f t="shared" si="13"/>
        <v>0</v>
      </c>
      <c r="G103" s="40">
        <v>0</v>
      </c>
      <c r="H103" s="40">
        <v>0</v>
      </c>
      <c r="I103" s="40">
        <v>0</v>
      </c>
      <c r="J103" s="40">
        <v>0</v>
      </c>
      <c r="K103" s="40">
        <v>0</v>
      </c>
      <c r="L103" s="40">
        <v>0</v>
      </c>
      <c r="M103" s="47">
        <f t="shared" si="14"/>
        <v>0</v>
      </c>
      <c r="N103" s="47">
        <f t="shared" si="15"/>
        <v>0</v>
      </c>
      <c r="O103">
        <v>0</v>
      </c>
      <c r="P103">
        <v>0</v>
      </c>
      <c r="Q103">
        <v>0</v>
      </c>
      <c r="R103">
        <v>0</v>
      </c>
      <c r="S103">
        <v>0</v>
      </c>
      <c r="T103">
        <v>0</v>
      </c>
      <c r="U103" s="216">
        <f t="shared" si="16"/>
        <v>0</v>
      </c>
      <c r="V103" s="213">
        <f t="shared" si="17"/>
        <v>0</v>
      </c>
      <c r="W103" s="213">
        <f t="shared" si="18"/>
        <v>0</v>
      </c>
      <c r="X103" s="233"/>
      <c r="Y103" t="s">
        <v>1346</v>
      </c>
      <c r="Z103"/>
      <c r="AA103"/>
      <c r="AB103"/>
      <c r="AC103"/>
      <c r="AD103"/>
    </row>
    <row r="104" spans="1:30" ht="12.75">
      <c r="A104" t="s">
        <v>84</v>
      </c>
      <c r="B104" t="s">
        <v>900</v>
      </c>
      <c r="C104" s="217">
        <v>0</v>
      </c>
      <c r="D104" s="217">
        <v>0</v>
      </c>
      <c r="E104" s="217">
        <v>0</v>
      </c>
      <c r="F104" s="47">
        <f t="shared" si="13"/>
        <v>0</v>
      </c>
      <c r="G104" s="40">
        <v>0</v>
      </c>
      <c r="H104" s="40">
        <v>0</v>
      </c>
      <c r="I104" s="40">
        <v>0</v>
      </c>
      <c r="J104" s="40">
        <v>0</v>
      </c>
      <c r="K104" s="40">
        <v>0</v>
      </c>
      <c r="L104" s="40">
        <v>0</v>
      </c>
      <c r="M104" s="47">
        <f t="shared" si="14"/>
        <v>0</v>
      </c>
      <c r="N104" s="47">
        <f t="shared" si="15"/>
        <v>0</v>
      </c>
      <c r="O104">
        <v>0</v>
      </c>
      <c r="P104">
        <v>0</v>
      </c>
      <c r="Q104">
        <v>0</v>
      </c>
      <c r="R104">
        <v>0</v>
      </c>
      <c r="S104">
        <v>0</v>
      </c>
      <c r="T104">
        <v>0</v>
      </c>
      <c r="U104" s="48">
        <f t="shared" si="16"/>
        <v>0</v>
      </c>
      <c r="V104" s="47">
        <f t="shared" si="17"/>
        <v>0</v>
      </c>
      <c r="W104" s="47">
        <f t="shared" si="18"/>
        <v>0</v>
      </c>
      <c r="X104" s="8"/>
      <c r="Y104" t="s">
        <v>1347</v>
      </c>
      <c r="Z104" s="215"/>
      <c r="AA104" s="215"/>
      <c r="AB104" s="215"/>
      <c r="AC104" s="215"/>
      <c r="AD104" s="215"/>
    </row>
    <row r="105" spans="1:24" ht="12.75">
      <c r="A105" t="s">
        <v>85</v>
      </c>
      <c r="B105" s="242" t="s">
        <v>900</v>
      </c>
      <c r="C105" s="217">
        <v>0</v>
      </c>
      <c r="D105" s="217">
        <v>0</v>
      </c>
      <c r="E105" s="217">
        <v>0</v>
      </c>
      <c r="F105" s="47">
        <f t="shared" si="13"/>
        <v>0</v>
      </c>
      <c r="G105" s="40">
        <v>0</v>
      </c>
      <c r="H105" s="40">
        <v>0</v>
      </c>
      <c r="I105" s="40">
        <v>0</v>
      </c>
      <c r="J105" s="40">
        <v>2240</v>
      </c>
      <c r="K105" s="40">
        <v>0</v>
      </c>
      <c r="L105" s="40">
        <v>0</v>
      </c>
      <c r="M105" s="47">
        <f t="shared" si="14"/>
        <v>117600</v>
      </c>
      <c r="N105" s="47">
        <f t="shared" si="15"/>
        <v>117600</v>
      </c>
      <c r="O105">
        <v>1</v>
      </c>
      <c r="P105">
        <v>2</v>
      </c>
      <c r="Q105">
        <v>10</v>
      </c>
      <c r="R105">
        <v>4</v>
      </c>
      <c r="S105">
        <v>1</v>
      </c>
      <c r="T105">
        <v>4</v>
      </c>
      <c r="U105" s="48">
        <f t="shared" si="16"/>
        <v>0.2</v>
      </c>
      <c r="V105" s="47">
        <f t="shared" si="17"/>
        <v>23520</v>
      </c>
      <c r="W105" s="47">
        <f t="shared" si="18"/>
        <v>141120</v>
      </c>
      <c r="X105" s="8"/>
    </row>
    <row r="106" spans="1:24" ht="12.75">
      <c r="A106" t="s">
        <v>86</v>
      </c>
      <c r="B106" s="242" t="s">
        <v>1865</v>
      </c>
      <c r="C106" s="217">
        <v>0</v>
      </c>
      <c r="D106" s="217">
        <v>0</v>
      </c>
      <c r="E106" s="217">
        <v>0</v>
      </c>
      <c r="F106" s="47">
        <f t="shared" si="13"/>
        <v>0</v>
      </c>
      <c r="G106" s="40">
        <v>0</v>
      </c>
      <c r="H106" s="40">
        <v>0</v>
      </c>
      <c r="I106" s="40">
        <v>0</v>
      </c>
      <c r="J106" s="40">
        <v>0</v>
      </c>
      <c r="K106" s="40">
        <v>0</v>
      </c>
      <c r="L106" s="40">
        <v>112</v>
      </c>
      <c r="M106" s="47">
        <f t="shared" si="14"/>
        <v>11312</v>
      </c>
      <c r="N106" s="47">
        <f t="shared" si="15"/>
        <v>11312</v>
      </c>
      <c r="O106">
        <v>1</v>
      </c>
      <c r="P106">
        <v>2</v>
      </c>
      <c r="Q106">
        <v>10</v>
      </c>
      <c r="R106">
        <v>4</v>
      </c>
      <c r="S106">
        <v>1</v>
      </c>
      <c r="T106">
        <v>4</v>
      </c>
      <c r="U106" s="48">
        <f t="shared" si="16"/>
        <v>0.2</v>
      </c>
      <c r="V106" s="47">
        <f t="shared" si="17"/>
        <v>2262.4</v>
      </c>
      <c r="W106" s="47">
        <f t="shared" si="18"/>
        <v>13574.4</v>
      </c>
      <c r="X106" s="8"/>
    </row>
    <row r="107" spans="1:24" ht="12.75">
      <c r="A107" t="s">
        <v>87</v>
      </c>
      <c r="B107" s="242" t="s">
        <v>1866</v>
      </c>
      <c r="C107" s="217">
        <v>0</v>
      </c>
      <c r="D107" s="217">
        <v>0</v>
      </c>
      <c r="E107" s="217">
        <v>0</v>
      </c>
      <c r="F107" s="47">
        <f t="shared" si="13"/>
        <v>0</v>
      </c>
      <c r="G107" s="40">
        <v>0</v>
      </c>
      <c r="H107" s="40">
        <v>0</v>
      </c>
      <c r="I107" s="40">
        <v>0</v>
      </c>
      <c r="J107" s="40">
        <v>0</v>
      </c>
      <c r="K107" s="40">
        <v>168</v>
      </c>
      <c r="L107" s="40">
        <v>0</v>
      </c>
      <c r="M107" s="47">
        <f t="shared" si="14"/>
        <v>11264.4</v>
      </c>
      <c r="N107" s="47">
        <f t="shared" si="15"/>
        <v>11264.4</v>
      </c>
      <c r="O107">
        <v>1</v>
      </c>
      <c r="P107">
        <v>2</v>
      </c>
      <c r="Q107">
        <v>10</v>
      </c>
      <c r="R107">
        <v>4</v>
      </c>
      <c r="S107">
        <v>1</v>
      </c>
      <c r="T107">
        <v>4</v>
      </c>
      <c r="U107" s="48">
        <f t="shared" si="16"/>
        <v>0.2</v>
      </c>
      <c r="V107" s="47">
        <f t="shared" si="17"/>
        <v>2252.88</v>
      </c>
      <c r="W107" s="47">
        <f t="shared" si="18"/>
        <v>13517.279999999999</v>
      </c>
      <c r="X107" s="8"/>
    </row>
    <row r="108" spans="1:24" ht="12.75">
      <c r="A108" t="s">
        <v>88</v>
      </c>
      <c r="B108" s="242" t="s">
        <v>1867</v>
      </c>
      <c r="C108" s="217">
        <v>14000</v>
      </c>
      <c r="D108" s="217">
        <v>0</v>
      </c>
      <c r="E108" s="217">
        <v>0</v>
      </c>
      <c r="F108" s="47">
        <f t="shared" si="13"/>
        <v>14000</v>
      </c>
      <c r="G108" s="40">
        <v>0</v>
      </c>
      <c r="H108" s="40">
        <v>0</v>
      </c>
      <c r="I108" s="40">
        <v>0</v>
      </c>
      <c r="J108" s="40">
        <v>0</v>
      </c>
      <c r="K108" s="40">
        <v>0</v>
      </c>
      <c r="L108" s="40">
        <v>0</v>
      </c>
      <c r="M108" s="47">
        <f t="shared" si="14"/>
        <v>0</v>
      </c>
      <c r="N108" s="47">
        <f t="shared" si="15"/>
        <v>14000</v>
      </c>
      <c r="O108">
        <v>1</v>
      </c>
      <c r="P108">
        <v>2</v>
      </c>
      <c r="Q108">
        <v>10</v>
      </c>
      <c r="R108">
        <v>4</v>
      </c>
      <c r="S108">
        <v>1</v>
      </c>
      <c r="T108">
        <v>4</v>
      </c>
      <c r="U108" s="48">
        <f t="shared" si="16"/>
        <v>0.2</v>
      </c>
      <c r="V108" s="47">
        <f t="shared" si="17"/>
        <v>2800</v>
      </c>
      <c r="W108" s="47">
        <f t="shared" si="18"/>
        <v>16800</v>
      </c>
      <c r="X108" s="8"/>
    </row>
    <row r="109" spans="1:24" ht="12.75">
      <c r="A109" t="s">
        <v>89</v>
      </c>
      <c r="B109" s="242" t="s">
        <v>1868</v>
      </c>
      <c r="C109" s="217">
        <v>0</v>
      </c>
      <c r="D109" s="217">
        <v>0</v>
      </c>
      <c r="E109" s="217">
        <v>0</v>
      </c>
      <c r="F109" s="47">
        <f t="shared" si="13"/>
        <v>0</v>
      </c>
      <c r="G109" s="40">
        <v>0</v>
      </c>
      <c r="H109" s="40">
        <v>0</v>
      </c>
      <c r="I109" s="40">
        <v>0</v>
      </c>
      <c r="J109" s="40">
        <v>112</v>
      </c>
      <c r="K109" s="40">
        <v>0</v>
      </c>
      <c r="L109" s="40">
        <v>0</v>
      </c>
      <c r="M109" s="47">
        <f t="shared" si="14"/>
        <v>5880</v>
      </c>
      <c r="N109" s="47">
        <f t="shared" si="15"/>
        <v>5880</v>
      </c>
      <c r="O109">
        <v>1</v>
      </c>
      <c r="P109">
        <v>2</v>
      </c>
      <c r="Q109">
        <v>10</v>
      </c>
      <c r="R109">
        <v>4</v>
      </c>
      <c r="S109">
        <v>1</v>
      </c>
      <c r="T109">
        <v>4</v>
      </c>
      <c r="U109" s="48">
        <f t="shared" si="16"/>
        <v>0.2</v>
      </c>
      <c r="V109" s="47">
        <f t="shared" si="17"/>
        <v>1176</v>
      </c>
      <c r="W109" s="47">
        <f t="shared" si="18"/>
        <v>7056</v>
      </c>
      <c r="X109" s="8"/>
    </row>
    <row r="110" spans="1:25" ht="12.75">
      <c r="A110" t="s">
        <v>90</v>
      </c>
      <c r="B110" t="s">
        <v>146</v>
      </c>
      <c r="C110" s="217">
        <v>0</v>
      </c>
      <c r="D110" s="217">
        <v>0</v>
      </c>
      <c r="E110" s="217">
        <v>0</v>
      </c>
      <c r="F110" s="47">
        <f t="shared" si="13"/>
        <v>0</v>
      </c>
      <c r="G110" s="40">
        <v>0</v>
      </c>
      <c r="H110" s="40">
        <v>0</v>
      </c>
      <c r="I110" s="40">
        <v>0</v>
      </c>
      <c r="J110" s="40">
        <v>0</v>
      </c>
      <c r="K110" s="40">
        <v>0</v>
      </c>
      <c r="L110" s="40">
        <v>0</v>
      </c>
      <c r="M110" s="47">
        <f t="shared" si="14"/>
        <v>0</v>
      </c>
      <c r="N110" s="47">
        <f t="shared" si="15"/>
        <v>0</v>
      </c>
      <c r="O110">
        <v>0</v>
      </c>
      <c r="P110">
        <v>0</v>
      </c>
      <c r="Q110">
        <v>0</v>
      </c>
      <c r="R110">
        <v>0</v>
      </c>
      <c r="S110">
        <v>0</v>
      </c>
      <c r="T110">
        <v>0</v>
      </c>
      <c r="U110" s="48">
        <f t="shared" si="16"/>
        <v>0</v>
      </c>
      <c r="V110" s="47">
        <f t="shared" si="17"/>
        <v>0</v>
      </c>
      <c r="W110" s="47">
        <f t="shared" si="18"/>
        <v>0</v>
      </c>
      <c r="X110" s="8"/>
      <c r="Y110" t="s">
        <v>1993</v>
      </c>
    </row>
    <row r="111" spans="1:24" ht="12.75">
      <c r="A111" t="s">
        <v>91</v>
      </c>
      <c r="B111" t="s">
        <v>826</v>
      </c>
      <c r="C111" s="217">
        <v>0</v>
      </c>
      <c r="D111" s="217">
        <v>0</v>
      </c>
      <c r="E111" s="217">
        <v>0</v>
      </c>
      <c r="F111" s="47">
        <f t="shared" si="13"/>
        <v>0</v>
      </c>
      <c r="G111" s="40">
        <v>0</v>
      </c>
      <c r="H111" s="40">
        <v>0</v>
      </c>
      <c r="I111" s="40">
        <v>0</v>
      </c>
      <c r="J111" s="40">
        <v>0</v>
      </c>
      <c r="K111" s="40">
        <v>0</v>
      </c>
      <c r="L111" s="40">
        <v>0</v>
      </c>
      <c r="M111" s="47">
        <f t="shared" si="14"/>
        <v>0</v>
      </c>
      <c r="N111" s="47">
        <f t="shared" si="15"/>
        <v>0</v>
      </c>
      <c r="O111">
        <v>0</v>
      </c>
      <c r="P111">
        <v>0</v>
      </c>
      <c r="Q111">
        <v>0</v>
      </c>
      <c r="R111">
        <v>0</v>
      </c>
      <c r="S111">
        <v>0</v>
      </c>
      <c r="T111">
        <v>0</v>
      </c>
      <c r="U111" s="48">
        <f t="shared" si="16"/>
        <v>0</v>
      </c>
      <c r="V111" s="47">
        <f t="shared" si="17"/>
        <v>0</v>
      </c>
      <c r="W111" s="47">
        <f t="shared" si="18"/>
        <v>0</v>
      </c>
      <c r="X111" s="8"/>
    </row>
    <row r="112" spans="1:24" ht="12.75">
      <c r="A112" t="s">
        <v>92</v>
      </c>
      <c r="B112" s="242" t="s">
        <v>1869</v>
      </c>
      <c r="C112" s="217">
        <v>0</v>
      </c>
      <c r="D112" s="217">
        <v>0</v>
      </c>
      <c r="E112" s="217">
        <v>0</v>
      </c>
      <c r="F112" s="47">
        <f t="shared" si="13"/>
        <v>0</v>
      </c>
      <c r="G112" s="40">
        <v>0</v>
      </c>
      <c r="H112" s="40">
        <v>24</v>
      </c>
      <c r="I112" s="40">
        <v>0</v>
      </c>
      <c r="J112" s="40">
        <v>0</v>
      </c>
      <c r="K112" s="40">
        <v>0</v>
      </c>
      <c r="L112" s="40">
        <v>0</v>
      </c>
      <c r="M112" s="47">
        <f t="shared" si="14"/>
        <v>2151.6000000000004</v>
      </c>
      <c r="N112" s="47">
        <f t="shared" si="15"/>
        <v>2151.6000000000004</v>
      </c>
      <c r="O112">
        <v>2</v>
      </c>
      <c r="P112">
        <v>2</v>
      </c>
      <c r="Q112">
        <v>10</v>
      </c>
      <c r="R112">
        <v>4</v>
      </c>
      <c r="S112">
        <v>1</v>
      </c>
      <c r="T112">
        <v>4</v>
      </c>
      <c r="U112" s="48">
        <f t="shared" si="16"/>
        <v>0.22</v>
      </c>
      <c r="V112" s="47">
        <f t="shared" si="17"/>
        <v>473.3520000000001</v>
      </c>
      <c r="W112" s="47">
        <f t="shared" si="18"/>
        <v>2624.952</v>
      </c>
      <c r="X112" s="8"/>
    </row>
    <row r="113" spans="1:24" ht="12.75">
      <c r="A113" t="s">
        <v>93</v>
      </c>
      <c r="B113" s="242" t="s">
        <v>1775</v>
      </c>
      <c r="C113" s="217">
        <v>0</v>
      </c>
      <c r="D113" s="217">
        <v>0</v>
      </c>
      <c r="E113" s="217">
        <v>0</v>
      </c>
      <c r="F113" s="47">
        <f t="shared" si="13"/>
        <v>0</v>
      </c>
      <c r="G113" s="40">
        <v>40</v>
      </c>
      <c r="H113" s="40">
        <v>0</v>
      </c>
      <c r="I113" s="40">
        <v>0</v>
      </c>
      <c r="J113" s="40">
        <v>0</v>
      </c>
      <c r="K113" s="40">
        <v>0</v>
      </c>
      <c r="L113" s="40">
        <v>0</v>
      </c>
      <c r="M113" s="47">
        <f t="shared" si="14"/>
        <v>2686</v>
      </c>
      <c r="N113" s="47">
        <f t="shared" si="15"/>
        <v>2686</v>
      </c>
      <c r="O113">
        <v>2</v>
      </c>
      <c r="P113">
        <v>2</v>
      </c>
      <c r="Q113">
        <v>10</v>
      </c>
      <c r="R113">
        <v>4</v>
      </c>
      <c r="S113">
        <v>1</v>
      </c>
      <c r="T113">
        <v>4</v>
      </c>
      <c r="U113" s="48">
        <f t="shared" si="16"/>
        <v>0.22</v>
      </c>
      <c r="V113" s="47">
        <f t="shared" si="17"/>
        <v>590.92</v>
      </c>
      <c r="W113" s="47">
        <f t="shared" si="18"/>
        <v>3276.92</v>
      </c>
      <c r="X113" s="8"/>
    </row>
    <row r="114" spans="1:24" ht="12.75">
      <c r="A114" t="s">
        <v>94</v>
      </c>
      <c r="B114" s="242" t="s">
        <v>826</v>
      </c>
      <c r="C114" s="217">
        <v>0</v>
      </c>
      <c r="D114" s="217">
        <v>0</v>
      </c>
      <c r="E114" s="217">
        <v>0</v>
      </c>
      <c r="F114" s="47">
        <f t="shared" si="13"/>
        <v>0</v>
      </c>
      <c r="G114" s="40">
        <v>0</v>
      </c>
      <c r="H114" s="40">
        <v>0</v>
      </c>
      <c r="I114" s="40">
        <v>80</v>
      </c>
      <c r="J114" s="40">
        <v>0</v>
      </c>
      <c r="K114" s="40">
        <v>0</v>
      </c>
      <c r="L114" s="40">
        <v>0</v>
      </c>
      <c r="M114" s="47">
        <f t="shared" si="14"/>
        <v>4500</v>
      </c>
      <c r="N114" s="47">
        <f t="shared" si="15"/>
        <v>4500</v>
      </c>
      <c r="O114">
        <v>2</v>
      </c>
      <c r="P114">
        <v>2</v>
      </c>
      <c r="Q114">
        <v>10</v>
      </c>
      <c r="R114">
        <v>4</v>
      </c>
      <c r="S114">
        <v>1</v>
      </c>
      <c r="T114">
        <v>4</v>
      </c>
      <c r="U114" s="48">
        <f t="shared" si="16"/>
        <v>0.22</v>
      </c>
      <c r="V114" s="47">
        <f t="shared" si="17"/>
        <v>990</v>
      </c>
      <c r="W114" s="47">
        <f t="shared" si="18"/>
        <v>5490</v>
      </c>
      <c r="X114" s="8"/>
    </row>
    <row r="115" spans="1:24" ht="12.75">
      <c r="A115" t="s">
        <v>95</v>
      </c>
      <c r="B115" t="s">
        <v>1870</v>
      </c>
      <c r="C115" s="217">
        <v>0</v>
      </c>
      <c r="D115" s="217">
        <v>0</v>
      </c>
      <c r="E115" s="217">
        <v>0</v>
      </c>
      <c r="F115" s="47">
        <f t="shared" si="13"/>
        <v>0</v>
      </c>
      <c r="G115" s="40">
        <v>0</v>
      </c>
      <c r="H115" s="40">
        <v>0</v>
      </c>
      <c r="I115" s="40">
        <v>0</v>
      </c>
      <c r="J115" s="40">
        <v>0</v>
      </c>
      <c r="K115" s="40">
        <v>0</v>
      </c>
      <c r="L115" s="40">
        <v>0</v>
      </c>
      <c r="M115" s="47">
        <f t="shared" si="14"/>
        <v>0</v>
      </c>
      <c r="N115" s="47">
        <f t="shared" si="15"/>
        <v>0</v>
      </c>
      <c r="O115">
        <v>0</v>
      </c>
      <c r="P115">
        <v>0</v>
      </c>
      <c r="Q115">
        <v>0</v>
      </c>
      <c r="R115">
        <v>0</v>
      </c>
      <c r="S115">
        <v>0</v>
      </c>
      <c r="T115">
        <v>0</v>
      </c>
      <c r="U115" s="48">
        <f t="shared" si="16"/>
        <v>0</v>
      </c>
      <c r="V115" s="47">
        <f t="shared" si="17"/>
        <v>0</v>
      </c>
      <c r="W115" s="47">
        <f t="shared" si="18"/>
        <v>0</v>
      </c>
      <c r="X115" s="8"/>
    </row>
    <row r="116" spans="1:24" ht="12.75">
      <c r="A116" t="s">
        <v>96</v>
      </c>
      <c r="B116" s="242" t="s">
        <v>1871</v>
      </c>
      <c r="C116" s="217">
        <v>1000</v>
      </c>
      <c r="D116" s="217">
        <v>0</v>
      </c>
      <c r="E116" s="217">
        <v>0</v>
      </c>
      <c r="F116" s="47">
        <f t="shared" si="13"/>
        <v>1000</v>
      </c>
      <c r="G116" s="40">
        <v>0</v>
      </c>
      <c r="H116" s="40">
        <v>0</v>
      </c>
      <c r="I116" s="40">
        <v>0</v>
      </c>
      <c r="J116" s="40">
        <v>0</v>
      </c>
      <c r="K116" s="40">
        <v>0</v>
      </c>
      <c r="L116" s="40">
        <v>240</v>
      </c>
      <c r="M116" s="47">
        <f t="shared" si="14"/>
        <v>24240</v>
      </c>
      <c r="N116" s="47">
        <f t="shared" si="15"/>
        <v>25240</v>
      </c>
      <c r="O116">
        <v>2</v>
      </c>
      <c r="P116">
        <v>2</v>
      </c>
      <c r="Q116">
        <v>10</v>
      </c>
      <c r="R116">
        <v>4</v>
      </c>
      <c r="S116">
        <v>1</v>
      </c>
      <c r="T116">
        <v>4</v>
      </c>
      <c r="U116" s="48">
        <f t="shared" si="16"/>
        <v>0.22</v>
      </c>
      <c r="V116" s="47">
        <f t="shared" si="17"/>
        <v>5552.8</v>
      </c>
      <c r="W116" s="47">
        <f t="shared" si="18"/>
        <v>30792.8</v>
      </c>
      <c r="X116" s="8"/>
    </row>
    <row r="117" spans="1:24" ht="12.75">
      <c r="A117" t="s">
        <v>97</v>
      </c>
      <c r="B117" s="242" t="s">
        <v>1872</v>
      </c>
      <c r="C117" s="217">
        <v>200</v>
      </c>
      <c r="D117" s="217">
        <v>0</v>
      </c>
      <c r="E117" s="217">
        <v>0</v>
      </c>
      <c r="F117" s="47">
        <f t="shared" si="13"/>
        <v>200</v>
      </c>
      <c r="G117" s="40">
        <v>0</v>
      </c>
      <c r="H117" s="40">
        <v>0</v>
      </c>
      <c r="I117" s="40">
        <v>0</v>
      </c>
      <c r="J117" s="40">
        <v>0</v>
      </c>
      <c r="K117" s="40">
        <v>0</v>
      </c>
      <c r="L117" s="40">
        <v>160</v>
      </c>
      <c r="M117" s="47">
        <f t="shared" si="14"/>
        <v>16160</v>
      </c>
      <c r="N117" s="47">
        <f t="shared" si="15"/>
        <v>16360</v>
      </c>
      <c r="O117">
        <v>2</v>
      </c>
      <c r="P117">
        <v>2</v>
      </c>
      <c r="Q117">
        <v>10</v>
      </c>
      <c r="R117">
        <v>4</v>
      </c>
      <c r="S117">
        <v>1</v>
      </c>
      <c r="T117">
        <v>4</v>
      </c>
      <c r="U117" s="48">
        <f t="shared" si="16"/>
        <v>0.22</v>
      </c>
      <c r="V117" s="47">
        <f t="shared" si="17"/>
        <v>3599.2</v>
      </c>
      <c r="W117" s="47">
        <f t="shared" si="18"/>
        <v>19959.2</v>
      </c>
      <c r="X117" s="8"/>
    </row>
    <row r="118" spans="1:24" ht="12.75">
      <c r="A118" t="s">
        <v>98</v>
      </c>
      <c r="B118" s="242" t="s">
        <v>1873</v>
      </c>
      <c r="C118" s="217">
        <v>500</v>
      </c>
      <c r="D118" s="217">
        <v>0</v>
      </c>
      <c r="E118" s="217">
        <v>0</v>
      </c>
      <c r="F118" s="47">
        <f t="shared" si="13"/>
        <v>500</v>
      </c>
      <c r="G118" s="40">
        <v>0</v>
      </c>
      <c r="H118" s="40">
        <v>0</v>
      </c>
      <c r="I118" s="40">
        <v>0</v>
      </c>
      <c r="J118" s="40">
        <v>0</v>
      </c>
      <c r="K118" s="40">
        <v>0</v>
      </c>
      <c r="L118" s="40">
        <v>80</v>
      </c>
      <c r="M118" s="47">
        <f t="shared" si="14"/>
        <v>8080</v>
      </c>
      <c r="N118" s="47">
        <f t="shared" si="15"/>
        <v>8580</v>
      </c>
      <c r="O118">
        <v>2</v>
      </c>
      <c r="P118">
        <v>2</v>
      </c>
      <c r="Q118">
        <v>10</v>
      </c>
      <c r="R118">
        <v>4</v>
      </c>
      <c r="S118">
        <v>1</v>
      </c>
      <c r="T118">
        <v>4</v>
      </c>
      <c r="U118" s="48">
        <f t="shared" si="16"/>
        <v>0.22</v>
      </c>
      <c r="V118" s="47">
        <f t="shared" si="17"/>
        <v>1887.6</v>
      </c>
      <c r="W118" s="47">
        <f t="shared" si="18"/>
        <v>10467.6</v>
      </c>
      <c r="X118" s="8"/>
    </row>
    <row r="119" spans="1:24" ht="12.75">
      <c r="A119" t="s">
        <v>99</v>
      </c>
      <c r="B119" s="242" t="s">
        <v>1874</v>
      </c>
      <c r="C119" s="217">
        <v>0</v>
      </c>
      <c r="D119" s="217">
        <v>0</v>
      </c>
      <c r="E119" s="217">
        <v>0</v>
      </c>
      <c r="F119" s="47">
        <f t="shared" si="13"/>
        <v>0</v>
      </c>
      <c r="G119" s="40">
        <v>0</v>
      </c>
      <c r="H119" s="40">
        <v>0</v>
      </c>
      <c r="I119" s="40">
        <v>0</v>
      </c>
      <c r="J119" s="40">
        <v>16</v>
      </c>
      <c r="K119" s="40">
        <v>0</v>
      </c>
      <c r="L119" s="40">
        <v>0</v>
      </c>
      <c r="M119" s="47">
        <f t="shared" si="14"/>
        <v>840</v>
      </c>
      <c r="N119" s="47">
        <f t="shared" si="15"/>
        <v>840</v>
      </c>
      <c r="O119">
        <v>2</v>
      </c>
      <c r="P119">
        <v>2</v>
      </c>
      <c r="Q119">
        <v>10</v>
      </c>
      <c r="R119">
        <v>4</v>
      </c>
      <c r="S119">
        <v>1</v>
      </c>
      <c r="T119">
        <v>4</v>
      </c>
      <c r="U119" s="48">
        <f t="shared" si="16"/>
        <v>0.22</v>
      </c>
      <c r="V119" s="47">
        <f t="shared" si="17"/>
        <v>184.8</v>
      </c>
      <c r="W119" s="47">
        <f t="shared" si="18"/>
        <v>1024.8</v>
      </c>
      <c r="X119" s="8"/>
    </row>
    <row r="120" spans="1:24" ht="12.75">
      <c r="A120" t="s">
        <v>100</v>
      </c>
      <c r="B120" s="242" t="s">
        <v>1777</v>
      </c>
      <c r="C120" s="217">
        <v>0</v>
      </c>
      <c r="D120" s="217">
        <v>0</v>
      </c>
      <c r="E120" s="217">
        <v>0</v>
      </c>
      <c r="F120" s="47">
        <f t="shared" si="13"/>
        <v>0</v>
      </c>
      <c r="G120" s="40">
        <v>0</v>
      </c>
      <c r="H120" s="40">
        <v>0</v>
      </c>
      <c r="I120" s="40">
        <v>0</v>
      </c>
      <c r="J120" s="40">
        <v>0</v>
      </c>
      <c r="K120" s="40">
        <v>8</v>
      </c>
      <c r="L120" s="40">
        <v>0</v>
      </c>
      <c r="M120" s="47">
        <f t="shared" si="14"/>
        <v>536.4</v>
      </c>
      <c r="N120" s="47">
        <f t="shared" si="15"/>
        <v>536.4</v>
      </c>
      <c r="O120">
        <v>2</v>
      </c>
      <c r="P120">
        <v>2</v>
      </c>
      <c r="Q120">
        <v>10</v>
      </c>
      <c r="R120">
        <v>4</v>
      </c>
      <c r="S120">
        <v>1</v>
      </c>
      <c r="T120">
        <v>4</v>
      </c>
      <c r="U120" s="48">
        <f t="shared" si="16"/>
        <v>0.22</v>
      </c>
      <c r="V120" s="47">
        <f t="shared" si="17"/>
        <v>118.008</v>
      </c>
      <c r="W120" s="47">
        <f t="shared" si="18"/>
        <v>654.408</v>
      </c>
      <c r="X120" s="8"/>
    </row>
    <row r="121" spans="1:25" ht="12.75">
      <c r="A121" t="s">
        <v>101</v>
      </c>
      <c r="B121" t="s">
        <v>1875</v>
      </c>
      <c r="C121" s="217">
        <v>0</v>
      </c>
      <c r="D121" s="217">
        <v>0</v>
      </c>
      <c r="E121" s="217">
        <v>0</v>
      </c>
      <c r="F121" s="47">
        <f t="shared" si="13"/>
        <v>0</v>
      </c>
      <c r="G121" s="40">
        <v>0</v>
      </c>
      <c r="H121" s="40">
        <v>0</v>
      </c>
      <c r="I121" s="40">
        <v>0</v>
      </c>
      <c r="J121" s="40">
        <v>0</v>
      </c>
      <c r="K121" s="40">
        <v>0</v>
      </c>
      <c r="L121" s="40">
        <v>0</v>
      </c>
      <c r="M121" s="47">
        <f t="shared" si="14"/>
        <v>0</v>
      </c>
      <c r="N121" s="47">
        <f t="shared" si="15"/>
        <v>0</v>
      </c>
      <c r="O121">
        <v>0</v>
      </c>
      <c r="P121">
        <v>0</v>
      </c>
      <c r="Q121">
        <v>0</v>
      </c>
      <c r="R121">
        <v>0</v>
      </c>
      <c r="S121">
        <v>0</v>
      </c>
      <c r="T121">
        <v>0</v>
      </c>
      <c r="U121" s="48">
        <f t="shared" si="16"/>
        <v>0</v>
      </c>
      <c r="V121" s="47">
        <f t="shared" si="17"/>
        <v>0</v>
      </c>
      <c r="W121" s="47">
        <f t="shared" si="18"/>
        <v>0</v>
      </c>
      <c r="X121" s="8"/>
      <c r="Y121" t="s">
        <v>1348</v>
      </c>
    </row>
    <row r="122" spans="1:25" ht="12.75">
      <c r="A122" t="s">
        <v>102</v>
      </c>
      <c r="B122" t="s">
        <v>1876</v>
      </c>
      <c r="C122" s="217">
        <v>0</v>
      </c>
      <c r="D122" s="217">
        <v>0</v>
      </c>
      <c r="E122" s="217">
        <v>0</v>
      </c>
      <c r="F122" s="47">
        <f t="shared" si="13"/>
        <v>0</v>
      </c>
      <c r="G122" s="40">
        <v>0</v>
      </c>
      <c r="H122" s="40">
        <v>0</v>
      </c>
      <c r="I122" s="40">
        <v>0</v>
      </c>
      <c r="J122" s="40">
        <v>0</v>
      </c>
      <c r="K122" s="40">
        <v>0</v>
      </c>
      <c r="L122" s="40">
        <v>0</v>
      </c>
      <c r="M122" s="47">
        <f t="shared" si="14"/>
        <v>0</v>
      </c>
      <c r="N122" s="47">
        <f t="shared" si="15"/>
        <v>0</v>
      </c>
      <c r="O122">
        <v>0</v>
      </c>
      <c r="P122">
        <v>0</v>
      </c>
      <c r="Q122">
        <v>0</v>
      </c>
      <c r="R122">
        <v>0</v>
      </c>
      <c r="S122">
        <v>0</v>
      </c>
      <c r="T122">
        <v>0</v>
      </c>
      <c r="U122" s="48">
        <f t="shared" si="16"/>
        <v>0</v>
      </c>
      <c r="V122" s="47">
        <f t="shared" si="17"/>
        <v>0</v>
      </c>
      <c r="W122" s="47">
        <f t="shared" si="18"/>
        <v>0</v>
      </c>
      <c r="X122" s="8"/>
      <c r="Y122" t="s">
        <v>0</v>
      </c>
    </row>
    <row r="123" spans="1:24" ht="12.75">
      <c r="A123" t="s">
        <v>103</v>
      </c>
      <c r="B123" t="s">
        <v>826</v>
      </c>
      <c r="C123" s="217">
        <v>0</v>
      </c>
      <c r="D123" s="217">
        <v>0</v>
      </c>
      <c r="E123" s="217">
        <v>0</v>
      </c>
      <c r="F123" s="47">
        <f t="shared" si="13"/>
        <v>0</v>
      </c>
      <c r="G123" s="40">
        <v>0</v>
      </c>
      <c r="H123" s="40">
        <v>0</v>
      </c>
      <c r="I123" s="40">
        <v>0</v>
      </c>
      <c r="J123" s="40">
        <v>0</v>
      </c>
      <c r="K123" s="40">
        <v>0</v>
      </c>
      <c r="L123" s="40">
        <v>0</v>
      </c>
      <c r="M123" s="47">
        <f t="shared" si="14"/>
        <v>0</v>
      </c>
      <c r="N123" s="47">
        <f t="shared" si="15"/>
        <v>0</v>
      </c>
      <c r="O123">
        <v>0</v>
      </c>
      <c r="P123">
        <v>0</v>
      </c>
      <c r="Q123">
        <v>0</v>
      </c>
      <c r="R123">
        <v>0</v>
      </c>
      <c r="S123">
        <v>0</v>
      </c>
      <c r="T123">
        <v>0</v>
      </c>
      <c r="U123" s="48">
        <f t="shared" si="16"/>
        <v>0</v>
      </c>
      <c r="V123" s="47">
        <f t="shared" si="17"/>
        <v>0</v>
      </c>
      <c r="W123" s="47">
        <f t="shared" si="18"/>
        <v>0</v>
      </c>
      <c r="X123" s="8"/>
    </row>
    <row r="124" spans="1:24" ht="12.75">
      <c r="A124" t="s">
        <v>104</v>
      </c>
      <c r="B124" s="242" t="s">
        <v>1869</v>
      </c>
      <c r="C124" s="217">
        <v>0</v>
      </c>
      <c r="D124" s="217">
        <v>0</v>
      </c>
      <c r="E124" s="217">
        <v>0</v>
      </c>
      <c r="F124" s="47">
        <f t="shared" si="13"/>
        <v>0</v>
      </c>
      <c r="G124" s="40">
        <v>0</v>
      </c>
      <c r="H124" s="40">
        <v>40</v>
      </c>
      <c r="I124" s="40">
        <v>0</v>
      </c>
      <c r="J124" s="40">
        <v>0</v>
      </c>
      <c r="K124" s="40">
        <v>0</v>
      </c>
      <c r="L124" s="40">
        <v>0</v>
      </c>
      <c r="M124" s="47">
        <f t="shared" si="14"/>
        <v>3586</v>
      </c>
      <c r="N124" s="47">
        <f t="shared" si="15"/>
        <v>3586</v>
      </c>
      <c r="O124">
        <v>2</v>
      </c>
      <c r="P124">
        <v>2</v>
      </c>
      <c r="Q124">
        <v>10</v>
      </c>
      <c r="R124">
        <v>4</v>
      </c>
      <c r="S124">
        <v>1</v>
      </c>
      <c r="T124">
        <v>4</v>
      </c>
      <c r="U124" s="48">
        <f t="shared" si="16"/>
        <v>0.22</v>
      </c>
      <c r="V124" s="47">
        <f t="shared" si="17"/>
        <v>788.92</v>
      </c>
      <c r="W124" s="47">
        <f t="shared" si="18"/>
        <v>4374.92</v>
      </c>
      <c r="X124" s="8"/>
    </row>
    <row r="125" spans="1:24" ht="12.75">
      <c r="A125" t="s">
        <v>105</v>
      </c>
      <c r="B125" s="242" t="s">
        <v>1775</v>
      </c>
      <c r="C125" s="217">
        <v>0</v>
      </c>
      <c r="D125" s="217">
        <v>0</v>
      </c>
      <c r="E125" s="217">
        <v>0</v>
      </c>
      <c r="F125" s="47">
        <f t="shared" si="13"/>
        <v>0</v>
      </c>
      <c r="G125" s="40">
        <v>80</v>
      </c>
      <c r="H125" s="40">
        <v>0</v>
      </c>
      <c r="I125" s="40">
        <v>0</v>
      </c>
      <c r="J125" s="40">
        <v>0</v>
      </c>
      <c r="K125" s="40">
        <v>0</v>
      </c>
      <c r="L125" s="40">
        <v>0</v>
      </c>
      <c r="M125" s="47">
        <f t="shared" si="14"/>
        <v>5372</v>
      </c>
      <c r="N125" s="47">
        <f t="shared" si="15"/>
        <v>5372</v>
      </c>
      <c r="O125">
        <v>2</v>
      </c>
      <c r="P125">
        <v>2</v>
      </c>
      <c r="Q125">
        <v>10</v>
      </c>
      <c r="R125">
        <v>4</v>
      </c>
      <c r="S125">
        <v>1</v>
      </c>
      <c r="T125">
        <v>4</v>
      </c>
      <c r="U125" s="48">
        <f t="shared" si="16"/>
        <v>0.22</v>
      </c>
      <c r="V125" s="47">
        <f t="shared" si="17"/>
        <v>1181.84</v>
      </c>
      <c r="W125" s="47">
        <f t="shared" si="18"/>
        <v>6553.84</v>
      </c>
      <c r="X125" s="8"/>
    </row>
    <row r="126" spans="1:24" ht="12.75">
      <c r="A126" t="s">
        <v>106</v>
      </c>
      <c r="B126" s="242" t="s">
        <v>826</v>
      </c>
      <c r="C126" s="217">
        <v>0</v>
      </c>
      <c r="D126" s="217">
        <v>0</v>
      </c>
      <c r="E126" s="217">
        <v>0</v>
      </c>
      <c r="F126" s="47">
        <f t="shared" si="13"/>
        <v>0</v>
      </c>
      <c r="G126" s="40">
        <v>0</v>
      </c>
      <c r="H126" s="40">
        <v>0</v>
      </c>
      <c r="I126" s="40">
        <v>120</v>
      </c>
      <c r="J126" s="40">
        <v>0</v>
      </c>
      <c r="K126" s="40">
        <v>0</v>
      </c>
      <c r="L126" s="40">
        <v>0</v>
      </c>
      <c r="M126" s="47">
        <f t="shared" si="14"/>
        <v>6750</v>
      </c>
      <c r="N126" s="47">
        <f t="shared" si="15"/>
        <v>6750</v>
      </c>
      <c r="O126">
        <v>2</v>
      </c>
      <c r="P126">
        <v>2</v>
      </c>
      <c r="Q126">
        <v>10</v>
      </c>
      <c r="R126">
        <v>4</v>
      </c>
      <c r="S126">
        <v>1</v>
      </c>
      <c r="T126">
        <v>4</v>
      </c>
      <c r="U126" s="48">
        <f t="shared" si="16"/>
        <v>0.22</v>
      </c>
      <c r="V126" s="47">
        <f t="shared" si="17"/>
        <v>1485</v>
      </c>
      <c r="W126" s="47">
        <f t="shared" si="18"/>
        <v>8235</v>
      </c>
      <c r="X126" s="8"/>
    </row>
    <row r="127" spans="1:24" ht="12.75">
      <c r="A127" t="s">
        <v>107</v>
      </c>
      <c r="B127" t="s">
        <v>1870</v>
      </c>
      <c r="C127" s="217">
        <v>0</v>
      </c>
      <c r="D127" s="217">
        <v>0</v>
      </c>
      <c r="E127" s="217">
        <v>0</v>
      </c>
      <c r="F127" s="47">
        <f t="shared" si="13"/>
        <v>0</v>
      </c>
      <c r="G127" s="40">
        <v>0</v>
      </c>
      <c r="H127" s="40">
        <v>0</v>
      </c>
      <c r="I127" s="40">
        <v>0</v>
      </c>
      <c r="J127" s="40">
        <v>0</v>
      </c>
      <c r="K127" s="40">
        <v>0</v>
      </c>
      <c r="L127" s="40">
        <v>0</v>
      </c>
      <c r="M127" s="47">
        <f t="shared" si="14"/>
        <v>0</v>
      </c>
      <c r="N127" s="47">
        <f t="shared" si="15"/>
        <v>0</v>
      </c>
      <c r="O127">
        <v>0</v>
      </c>
      <c r="P127">
        <v>0</v>
      </c>
      <c r="Q127">
        <v>0</v>
      </c>
      <c r="R127">
        <v>0</v>
      </c>
      <c r="S127">
        <v>0</v>
      </c>
      <c r="T127">
        <v>0</v>
      </c>
      <c r="U127" s="48">
        <f t="shared" si="16"/>
        <v>0</v>
      </c>
      <c r="V127" s="47">
        <f t="shared" si="17"/>
        <v>0</v>
      </c>
      <c r="W127" s="47">
        <f t="shared" si="18"/>
        <v>0</v>
      </c>
      <c r="X127" s="8"/>
    </row>
    <row r="128" spans="1:24" ht="12.75">
      <c r="A128" t="s">
        <v>108</v>
      </c>
      <c r="B128" s="242" t="s">
        <v>1877</v>
      </c>
      <c r="C128" s="217">
        <v>3000</v>
      </c>
      <c r="D128" s="217">
        <v>0</v>
      </c>
      <c r="E128" s="217">
        <v>0</v>
      </c>
      <c r="F128" s="47">
        <f t="shared" si="13"/>
        <v>3000</v>
      </c>
      <c r="G128" s="40">
        <v>0</v>
      </c>
      <c r="H128" s="40">
        <v>0</v>
      </c>
      <c r="I128" s="40">
        <v>0</v>
      </c>
      <c r="J128" s="40">
        <v>0</v>
      </c>
      <c r="K128" s="40">
        <v>0</v>
      </c>
      <c r="L128" s="40">
        <v>120</v>
      </c>
      <c r="M128" s="47">
        <f t="shared" si="14"/>
        <v>12120</v>
      </c>
      <c r="N128" s="47">
        <f t="shared" si="15"/>
        <v>15120</v>
      </c>
      <c r="O128">
        <v>2</v>
      </c>
      <c r="P128">
        <v>2</v>
      </c>
      <c r="Q128">
        <v>10</v>
      </c>
      <c r="R128">
        <v>10</v>
      </c>
      <c r="S128">
        <v>1</v>
      </c>
      <c r="T128">
        <v>4</v>
      </c>
      <c r="U128" s="48">
        <f t="shared" si="16"/>
        <v>0.28</v>
      </c>
      <c r="V128" s="47">
        <f t="shared" si="17"/>
        <v>4233.6</v>
      </c>
      <c r="W128" s="47">
        <f t="shared" si="18"/>
        <v>19353.6</v>
      </c>
      <c r="X128" s="8"/>
    </row>
    <row r="129" spans="1:24" ht="12.75">
      <c r="A129" t="s">
        <v>109</v>
      </c>
      <c r="B129" s="242" t="s">
        <v>1878</v>
      </c>
      <c r="C129" s="217">
        <v>500</v>
      </c>
      <c r="D129" s="217">
        <v>0</v>
      </c>
      <c r="E129" s="217">
        <v>0</v>
      </c>
      <c r="F129" s="47">
        <f t="shared" si="13"/>
        <v>500</v>
      </c>
      <c r="G129" s="40">
        <v>0</v>
      </c>
      <c r="H129" s="40">
        <v>0</v>
      </c>
      <c r="I129" s="40">
        <v>0</v>
      </c>
      <c r="J129" s="40">
        <v>0</v>
      </c>
      <c r="K129" s="40">
        <v>0</v>
      </c>
      <c r="L129" s="40">
        <v>40</v>
      </c>
      <c r="M129" s="47">
        <f t="shared" si="14"/>
        <v>4040</v>
      </c>
      <c r="N129" s="47">
        <f t="shared" si="15"/>
        <v>4540</v>
      </c>
      <c r="O129">
        <v>2</v>
      </c>
      <c r="P129">
        <v>2</v>
      </c>
      <c r="Q129">
        <v>10</v>
      </c>
      <c r="R129">
        <v>10</v>
      </c>
      <c r="S129">
        <v>1</v>
      </c>
      <c r="T129">
        <v>4</v>
      </c>
      <c r="U129" s="48">
        <f>((O129*P129)+Q129+(R129*S129)+T129)/100</f>
        <v>0.28</v>
      </c>
      <c r="V129" s="47">
        <f>+(F129+M129)*U129</f>
        <v>1271.2</v>
      </c>
      <c r="W129" s="47">
        <f>+F129+M129+V129</f>
        <v>5811.2</v>
      </c>
      <c r="X129" s="8"/>
    </row>
    <row r="130" spans="1:24" ht="12.75">
      <c r="A130" t="s">
        <v>110</v>
      </c>
      <c r="B130" s="242" t="s">
        <v>147</v>
      </c>
      <c r="C130" s="217">
        <v>500</v>
      </c>
      <c r="D130" s="217">
        <v>0</v>
      </c>
      <c r="E130" s="217">
        <v>0</v>
      </c>
      <c r="F130" s="47">
        <f t="shared" si="13"/>
        <v>500</v>
      </c>
      <c r="G130" s="40">
        <v>0</v>
      </c>
      <c r="H130" s="40">
        <v>0</v>
      </c>
      <c r="I130" s="40">
        <v>0</v>
      </c>
      <c r="J130" s="40">
        <v>0</v>
      </c>
      <c r="K130" s="40">
        <v>0</v>
      </c>
      <c r="L130" s="40">
        <v>40</v>
      </c>
      <c r="M130" s="47">
        <f t="shared" si="14"/>
        <v>4040</v>
      </c>
      <c r="N130" s="47">
        <f t="shared" si="15"/>
        <v>4540</v>
      </c>
      <c r="O130">
        <v>2</v>
      </c>
      <c r="P130">
        <v>2</v>
      </c>
      <c r="Q130">
        <v>10</v>
      </c>
      <c r="R130">
        <v>10</v>
      </c>
      <c r="S130">
        <v>1</v>
      </c>
      <c r="T130">
        <v>4</v>
      </c>
      <c r="U130" s="48">
        <f aca="true" t="shared" si="19" ref="U130:U193">((O130*P130)+Q130+(R130*S130)+T130)/100</f>
        <v>0.28</v>
      </c>
      <c r="V130" s="47">
        <f t="shared" si="17"/>
        <v>1271.2</v>
      </c>
      <c r="W130" s="47">
        <f t="shared" si="18"/>
        <v>5811.2</v>
      </c>
      <c r="X130" s="8"/>
    </row>
    <row r="131" spans="1:24" ht="12.75">
      <c r="A131" t="s">
        <v>111</v>
      </c>
      <c r="B131" s="242" t="s">
        <v>1879</v>
      </c>
      <c r="C131" s="217">
        <v>2000</v>
      </c>
      <c r="D131" s="217">
        <v>0</v>
      </c>
      <c r="E131" s="217">
        <v>0</v>
      </c>
      <c r="F131" s="47">
        <f t="shared" si="13"/>
        <v>2000</v>
      </c>
      <c r="G131" s="40">
        <v>0</v>
      </c>
      <c r="H131" s="40">
        <v>0</v>
      </c>
      <c r="I131" s="40">
        <v>0</v>
      </c>
      <c r="J131" s="40">
        <v>160</v>
      </c>
      <c r="K131" s="40">
        <v>0</v>
      </c>
      <c r="L131" s="40">
        <v>0</v>
      </c>
      <c r="M131" s="47">
        <f t="shared" si="14"/>
        <v>8400</v>
      </c>
      <c r="N131" s="47">
        <f t="shared" si="15"/>
        <v>10400</v>
      </c>
      <c r="O131">
        <v>2</v>
      </c>
      <c r="P131">
        <v>2</v>
      </c>
      <c r="Q131">
        <v>10</v>
      </c>
      <c r="R131">
        <v>10</v>
      </c>
      <c r="S131">
        <v>1</v>
      </c>
      <c r="T131">
        <v>4</v>
      </c>
      <c r="U131" s="48">
        <f t="shared" si="19"/>
        <v>0.28</v>
      </c>
      <c r="V131" s="47">
        <f t="shared" si="17"/>
        <v>2912.0000000000005</v>
      </c>
      <c r="W131" s="47">
        <f t="shared" si="18"/>
        <v>13312</v>
      </c>
      <c r="X131" s="8"/>
    </row>
    <row r="132" spans="1:24" ht="12.75">
      <c r="A132" t="s">
        <v>112</v>
      </c>
      <c r="B132" t="s">
        <v>1880</v>
      </c>
      <c r="C132" s="217">
        <v>0</v>
      </c>
      <c r="D132" s="217">
        <v>0</v>
      </c>
      <c r="E132" s="217">
        <v>0</v>
      </c>
      <c r="F132" s="47">
        <f t="shared" si="13"/>
        <v>0</v>
      </c>
      <c r="G132" s="40">
        <v>0</v>
      </c>
      <c r="H132" s="40">
        <v>0</v>
      </c>
      <c r="I132" s="40">
        <v>0</v>
      </c>
      <c r="J132" s="40">
        <v>0</v>
      </c>
      <c r="K132" s="40">
        <v>0</v>
      </c>
      <c r="L132" s="40">
        <v>0</v>
      </c>
      <c r="M132" s="47">
        <f t="shared" si="14"/>
        <v>0</v>
      </c>
      <c r="N132" s="47">
        <f t="shared" si="15"/>
        <v>0</v>
      </c>
      <c r="O132">
        <v>0</v>
      </c>
      <c r="P132">
        <v>0</v>
      </c>
      <c r="Q132">
        <v>0</v>
      </c>
      <c r="R132">
        <v>0</v>
      </c>
      <c r="S132">
        <v>0</v>
      </c>
      <c r="T132">
        <v>0</v>
      </c>
      <c r="U132" s="48">
        <f t="shared" si="19"/>
        <v>0</v>
      </c>
      <c r="V132" s="47">
        <f t="shared" si="17"/>
        <v>0</v>
      </c>
      <c r="W132" s="47">
        <f t="shared" si="18"/>
        <v>0</v>
      </c>
      <c r="X132" s="8"/>
    </row>
    <row r="133" spans="1:24" ht="12.75">
      <c r="A133" t="s">
        <v>113</v>
      </c>
      <c r="B133" s="242" t="s">
        <v>1881</v>
      </c>
      <c r="C133" s="217">
        <v>800</v>
      </c>
      <c r="D133" s="217">
        <v>0</v>
      </c>
      <c r="E133" s="217">
        <v>0</v>
      </c>
      <c r="F133" s="47">
        <f t="shared" si="13"/>
        <v>800</v>
      </c>
      <c r="G133" s="40">
        <v>0</v>
      </c>
      <c r="H133" s="40">
        <v>0</v>
      </c>
      <c r="I133" s="40">
        <v>0</v>
      </c>
      <c r="J133" s="40">
        <v>160</v>
      </c>
      <c r="K133" s="40">
        <v>0</v>
      </c>
      <c r="L133" s="40">
        <v>0</v>
      </c>
      <c r="M133" s="47">
        <f t="shared" si="14"/>
        <v>8400</v>
      </c>
      <c r="N133" s="47">
        <f t="shared" si="15"/>
        <v>9200</v>
      </c>
      <c r="O133">
        <v>2</v>
      </c>
      <c r="P133">
        <v>2</v>
      </c>
      <c r="Q133">
        <v>10</v>
      </c>
      <c r="R133">
        <v>4</v>
      </c>
      <c r="S133">
        <v>1</v>
      </c>
      <c r="T133">
        <v>4</v>
      </c>
      <c r="U133" s="48">
        <f t="shared" si="19"/>
        <v>0.22</v>
      </c>
      <c r="V133" s="47">
        <f t="shared" si="17"/>
        <v>2024</v>
      </c>
      <c r="W133" s="47">
        <f t="shared" si="18"/>
        <v>11224</v>
      </c>
      <c r="X133" s="8"/>
    </row>
    <row r="134" spans="1:24" ht="12.75">
      <c r="A134" t="s">
        <v>114</v>
      </c>
      <c r="B134" s="242" t="s">
        <v>1882</v>
      </c>
      <c r="C134" s="217">
        <v>0</v>
      </c>
      <c r="D134" s="217">
        <v>0</v>
      </c>
      <c r="E134" s="217">
        <v>0</v>
      </c>
      <c r="F134" s="47">
        <f t="shared" si="13"/>
        <v>0</v>
      </c>
      <c r="G134" s="40">
        <v>0</v>
      </c>
      <c r="H134" s="40">
        <v>0</v>
      </c>
      <c r="I134" s="40">
        <v>0</v>
      </c>
      <c r="J134" s="40">
        <v>16</v>
      </c>
      <c r="K134" s="40">
        <v>0</v>
      </c>
      <c r="L134" s="40">
        <v>0</v>
      </c>
      <c r="M134" s="47">
        <f t="shared" si="14"/>
        <v>840</v>
      </c>
      <c r="N134" s="47">
        <f t="shared" si="15"/>
        <v>840</v>
      </c>
      <c r="O134">
        <v>2</v>
      </c>
      <c r="P134">
        <v>2</v>
      </c>
      <c r="Q134">
        <v>10</v>
      </c>
      <c r="R134">
        <v>4</v>
      </c>
      <c r="S134">
        <v>1</v>
      </c>
      <c r="T134">
        <v>4</v>
      </c>
      <c r="U134" s="48">
        <f t="shared" si="19"/>
        <v>0.22</v>
      </c>
      <c r="V134" s="47">
        <f t="shared" si="17"/>
        <v>184.8</v>
      </c>
      <c r="W134" s="47">
        <f t="shared" si="18"/>
        <v>1024.8</v>
      </c>
      <c r="X134" s="8"/>
    </row>
    <row r="135" spans="1:24" ht="12.75">
      <c r="A135" t="s">
        <v>115</v>
      </c>
      <c r="B135" s="242" t="s">
        <v>1883</v>
      </c>
      <c r="C135" s="217">
        <v>200</v>
      </c>
      <c r="D135" s="217">
        <v>0</v>
      </c>
      <c r="E135" s="217">
        <v>0</v>
      </c>
      <c r="F135" s="47">
        <f t="shared" si="13"/>
        <v>200</v>
      </c>
      <c r="G135" s="40">
        <v>0</v>
      </c>
      <c r="H135" s="40">
        <v>0</v>
      </c>
      <c r="I135" s="40">
        <v>0</v>
      </c>
      <c r="J135" s="40">
        <v>32</v>
      </c>
      <c r="K135" s="40">
        <v>0</v>
      </c>
      <c r="L135" s="40">
        <v>0</v>
      </c>
      <c r="M135" s="47">
        <f t="shared" si="14"/>
        <v>1680</v>
      </c>
      <c r="N135" s="47">
        <f t="shared" si="15"/>
        <v>1880</v>
      </c>
      <c r="O135">
        <v>2</v>
      </c>
      <c r="P135">
        <v>2</v>
      </c>
      <c r="Q135">
        <v>10</v>
      </c>
      <c r="R135">
        <v>4</v>
      </c>
      <c r="S135">
        <v>1</v>
      </c>
      <c r="T135">
        <v>4</v>
      </c>
      <c r="U135" s="48">
        <f t="shared" si="19"/>
        <v>0.22</v>
      </c>
      <c r="V135" s="47">
        <f t="shared" si="17"/>
        <v>413.6</v>
      </c>
      <c r="W135" s="47">
        <f t="shared" si="18"/>
        <v>2293.6</v>
      </c>
      <c r="X135" s="8"/>
    </row>
    <row r="136" spans="1:24" ht="12.75">
      <c r="A136" t="s">
        <v>116</v>
      </c>
      <c r="B136" s="242" t="s">
        <v>1884</v>
      </c>
      <c r="C136" s="217">
        <v>0</v>
      </c>
      <c r="D136" s="217">
        <v>0</v>
      </c>
      <c r="E136" s="217">
        <v>0</v>
      </c>
      <c r="F136" s="47">
        <f aca="true" t="shared" si="20" ref="F136:F199">SUM(C136:E136)</f>
        <v>0</v>
      </c>
      <c r="G136" s="40">
        <v>0</v>
      </c>
      <c r="H136" s="40">
        <v>0</v>
      </c>
      <c r="I136" s="40">
        <v>0</v>
      </c>
      <c r="J136" s="40">
        <v>0</v>
      </c>
      <c r="K136" s="40">
        <v>8</v>
      </c>
      <c r="L136" s="40">
        <v>0</v>
      </c>
      <c r="M136" s="47">
        <f aca="true" t="shared" si="21" ref="M136:M199">$G$3*G136+$H$3*H136+$I$3*I136+$J$3*J136+$K$3*K136+$L$3*L136</f>
        <v>536.4</v>
      </c>
      <c r="N136" s="47">
        <f aca="true" t="shared" si="22" ref="N136:N199">M136+F136</f>
        <v>536.4</v>
      </c>
      <c r="O136">
        <v>2</v>
      </c>
      <c r="P136">
        <v>2</v>
      </c>
      <c r="Q136">
        <v>10</v>
      </c>
      <c r="R136">
        <v>4</v>
      </c>
      <c r="S136">
        <v>1</v>
      </c>
      <c r="T136">
        <v>4</v>
      </c>
      <c r="U136" s="48">
        <f t="shared" si="19"/>
        <v>0.22</v>
      </c>
      <c r="V136" s="47">
        <f t="shared" si="17"/>
        <v>118.008</v>
      </c>
      <c r="W136" s="47">
        <f t="shared" si="18"/>
        <v>654.408</v>
      </c>
      <c r="X136" s="8"/>
    </row>
    <row r="137" spans="1:24" ht="12.75">
      <c r="A137" t="s">
        <v>117</v>
      </c>
      <c r="B137" t="s">
        <v>1783</v>
      </c>
      <c r="C137" s="217">
        <v>0</v>
      </c>
      <c r="D137" s="217">
        <v>0</v>
      </c>
      <c r="E137" s="217">
        <v>0</v>
      </c>
      <c r="F137" s="47">
        <f t="shared" si="20"/>
        <v>0</v>
      </c>
      <c r="G137" s="40">
        <v>0</v>
      </c>
      <c r="H137" s="40">
        <v>0</v>
      </c>
      <c r="I137" s="40">
        <v>0</v>
      </c>
      <c r="J137" s="40">
        <v>0</v>
      </c>
      <c r="K137" s="40">
        <v>0</v>
      </c>
      <c r="L137" s="40">
        <v>0</v>
      </c>
      <c r="M137" s="47">
        <f t="shared" si="21"/>
        <v>0</v>
      </c>
      <c r="N137" s="47">
        <f t="shared" si="22"/>
        <v>0</v>
      </c>
      <c r="O137">
        <v>0</v>
      </c>
      <c r="P137">
        <v>0</v>
      </c>
      <c r="Q137">
        <v>0</v>
      </c>
      <c r="R137">
        <v>0</v>
      </c>
      <c r="S137">
        <v>0</v>
      </c>
      <c r="T137">
        <v>0</v>
      </c>
      <c r="U137" s="48">
        <f t="shared" si="19"/>
        <v>0</v>
      </c>
      <c r="V137" s="47">
        <f t="shared" si="17"/>
        <v>0</v>
      </c>
      <c r="W137" s="47">
        <f t="shared" si="18"/>
        <v>0</v>
      </c>
      <c r="X137" s="8"/>
    </row>
    <row r="138" spans="1:24" ht="12.75">
      <c r="A138" t="s">
        <v>118</v>
      </c>
      <c r="B138" s="242" t="s">
        <v>1884</v>
      </c>
      <c r="C138" s="217">
        <v>0</v>
      </c>
      <c r="D138" s="217">
        <v>0</v>
      </c>
      <c r="E138" s="217">
        <v>0</v>
      </c>
      <c r="F138" s="47">
        <f t="shared" si="20"/>
        <v>0</v>
      </c>
      <c r="G138" s="40">
        <v>0</v>
      </c>
      <c r="H138" s="40">
        <v>0</v>
      </c>
      <c r="I138" s="40">
        <v>0</v>
      </c>
      <c r="J138" s="40">
        <v>0</v>
      </c>
      <c r="K138" s="40">
        <v>8</v>
      </c>
      <c r="L138" s="40">
        <v>0</v>
      </c>
      <c r="M138" s="47">
        <f t="shared" si="21"/>
        <v>536.4</v>
      </c>
      <c r="N138" s="47">
        <f t="shared" si="22"/>
        <v>536.4</v>
      </c>
      <c r="O138">
        <v>2</v>
      </c>
      <c r="P138">
        <v>2</v>
      </c>
      <c r="Q138">
        <v>10</v>
      </c>
      <c r="R138">
        <v>4</v>
      </c>
      <c r="S138">
        <v>1</v>
      </c>
      <c r="T138">
        <v>4</v>
      </c>
      <c r="U138" s="48">
        <f t="shared" si="19"/>
        <v>0.22</v>
      </c>
      <c r="V138" s="47">
        <f t="shared" si="17"/>
        <v>118.008</v>
      </c>
      <c r="W138" s="47">
        <f t="shared" si="18"/>
        <v>654.408</v>
      </c>
      <c r="X138" s="8"/>
    </row>
    <row r="139" spans="1:24" ht="12.75">
      <c r="A139" t="s">
        <v>119</v>
      </c>
      <c r="B139" s="242" t="s">
        <v>1885</v>
      </c>
      <c r="C139" s="217">
        <v>0</v>
      </c>
      <c r="D139" s="217">
        <v>0</v>
      </c>
      <c r="E139" s="217">
        <v>0</v>
      </c>
      <c r="F139" s="47">
        <f t="shared" si="20"/>
        <v>0</v>
      </c>
      <c r="G139" s="40">
        <v>0</v>
      </c>
      <c r="H139" s="40">
        <v>0</v>
      </c>
      <c r="I139" s="40">
        <v>0</v>
      </c>
      <c r="J139" s="40">
        <v>16</v>
      </c>
      <c r="K139" s="40">
        <v>0</v>
      </c>
      <c r="L139" s="40">
        <v>0</v>
      </c>
      <c r="M139" s="47">
        <f t="shared" si="21"/>
        <v>840</v>
      </c>
      <c r="N139" s="47">
        <f t="shared" si="22"/>
        <v>840</v>
      </c>
      <c r="O139">
        <v>2</v>
      </c>
      <c r="P139">
        <v>2</v>
      </c>
      <c r="Q139">
        <v>10</v>
      </c>
      <c r="R139">
        <v>4</v>
      </c>
      <c r="S139">
        <v>1</v>
      </c>
      <c r="T139">
        <v>4</v>
      </c>
      <c r="U139" s="48">
        <f t="shared" si="19"/>
        <v>0.22</v>
      </c>
      <c r="V139" s="47">
        <f t="shared" si="17"/>
        <v>184.8</v>
      </c>
      <c r="W139" s="47">
        <f t="shared" si="18"/>
        <v>1024.8</v>
      </c>
      <c r="X139" s="8"/>
    </row>
    <row r="140" spans="1:24" ht="12.75">
      <c r="A140" t="s">
        <v>120</v>
      </c>
      <c r="B140" s="242" t="s">
        <v>1886</v>
      </c>
      <c r="C140" s="217">
        <v>0</v>
      </c>
      <c r="D140" s="217">
        <v>0</v>
      </c>
      <c r="E140" s="217">
        <v>0</v>
      </c>
      <c r="F140" s="47">
        <f t="shared" si="20"/>
        <v>0</v>
      </c>
      <c r="G140" s="40">
        <v>0</v>
      </c>
      <c r="H140" s="40">
        <v>0</v>
      </c>
      <c r="I140" s="40">
        <v>0</v>
      </c>
      <c r="J140" s="40">
        <v>8</v>
      </c>
      <c r="K140" s="40">
        <v>0</v>
      </c>
      <c r="L140" s="40">
        <v>0</v>
      </c>
      <c r="M140" s="47">
        <f t="shared" si="21"/>
        <v>420</v>
      </c>
      <c r="N140" s="47">
        <f t="shared" si="22"/>
        <v>420</v>
      </c>
      <c r="O140">
        <v>2</v>
      </c>
      <c r="P140">
        <v>2</v>
      </c>
      <c r="Q140">
        <v>10</v>
      </c>
      <c r="R140">
        <v>4</v>
      </c>
      <c r="S140">
        <v>1</v>
      </c>
      <c r="T140">
        <v>4</v>
      </c>
      <c r="U140" s="48">
        <f t="shared" si="19"/>
        <v>0.22</v>
      </c>
      <c r="V140" s="47">
        <f t="shared" si="17"/>
        <v>92.4</v>
      </c>
      <c r="W140" s="47">
        <f t="shared" si="18"/>
        <v>512.4</v>
      </c>
      <c r="X140" s="8"/>
    </row>
    <row r="141" spans="1:24" ht="12.75">
      <c r="A141" t="s">
        <v>158</v>
      </c>
      <c r="B141" s="242" t="s">
        <v>447</v>
      </c>
      <c r="C141" s="217">
        <v>0</v>
      </c>
      <c r="D141" s="217">
        <v>0</v>
      </c>
      <c r="E141" s="217">
        <v>0</v>
      </c>
      <c r="F141" s="47">
        <f t="shared" si="20"/>
        <v>0</v>
      </c>
      <c r="G141">
        <v>0</v>
      </c>
      <c r="H141">
        <v>0</v>
      </c>
      <c r="I141">
        <v>0</v>
      </c>
      <c r="J141">
        <v>16</v>
      </c>
      <c r="K141" s="40">
        <v>0</v>
      </c>
      <c r="L141">
        <v>0</v>
      </c>
      <c r="M141" s="47">
        <f t="shared" si="21"/>
        <v>840</v>
      </c>
      <c r="N141" s="47">
        <f t="shared" si="22"/>
        <v>840</v>
      </c>
      <c r="O141">
        <v>2</v>
      </c>
      <c r="P141">
        <v>2</v>
      </c>
      <c r="Q141">
        <v>10</v>
      </c>
      <c r="R141">
        <v>4</v>
      </c>
      <c r="S141">
        <v>1</v>
      </c>
      <c r="T141">
        <v>4</v>
      </c>
      <c r="U141" s="48">
        <f t="shared" si="19"/>
        <v>0.22</v>
      </c>
      <c r="V141" s="47">
        <f aca="true" t="shared" si="23" ref="V141:V204">+(F141+M141)*U141</f>
        <v>184.8</v>
      </c>
      <c r="W141" s="47">
        <f aca="true" t="shared" si="24" ref="W141:W204">+F141+M141+V141</f>
        <v>1024.8</v>
      </c>
      <c r="X141" s="8"/>
    </row>
    <row r="142" spans="1:24" ht="12.75">
      <c r="A142" t="s">
        <v>159</v>
      </c>
      <c r="B142" s="242" t="s">
        <v>1783</v>
      </c>
      <c r="C142" s="217">
        <v>0</v>
      </c>
      <c r="D142" s="217">
        <v>0</v>
      </c>
      <c r="E142" s="217">
        <v>0</v>
      </c>
      <c r="F142" s="47">
        <f t="shared" si="20"/>
        <v>0</v>
      </c>
      <c r="G142">
        <v>0</v>
      </c>
      <c r="H142">
        <v>24</v>
      </c>
      <c r="I142">
        <v>0</v>
      </c>
      <c r="J142">
        <v>0</v>
      </c>
      <c r="K142">
        <v>0</v>
      </c>
      <c r="L142">
        <v>0</v>
      </c>
      <c r="M142" s="47">
        <f t="shared" si="21"/>
        <v>2151.6000000000004</v>
      </c>
      <c r="N142" s="47">
        <f t="shared" si="22"/>
        <v>2151.6000000000004</v>
      </c>
      <c r="O142">
        <v>2</v>
      </c>
      <c r="P142">
        <v>2</v>
      </c>
      <c r="Q142">
        <v>10</v>
      </c>
      <c r="R142">
        <v>4</v>
      </c>
      <c r="S142">
        <v>1</v>
      </c>
      <c r="T142">
        <v>4</v>
      </c>
      <c r="U142" s="48">
        <f t="shared" si="19"/>
        <v>0.22</v>
      </c>
      <c r="V142" s="47">
        <f t="shared" si="23"/>
        <v>473.3520000000001</v>
      </c>
      <c r="W142" s="47">
        <f t="shared" si="24"/>
        <v>2624.952</v>
      </c>
      <c r="X142" s="8"/>
    </row>
    <row r="143" spans="1:24" ht="12.75">
      <c r="A143" t="s">
        <v>160</v>
      </c>
      <c r="B143" s="242" t="s">
        <v>1783</v>
      </c>
      <c r="C143" s="217">
        <v>0</v>
      </c>
      <c r="D143" s="217">
        <v>0</v>
      </c>
      <c r="E143" s="217">
        <v>0</v>
      </c>
      <c r="F143" s="47">
        <f t="shared" si="20"/>
        <v>0</v>
      </c>
      <c r="G143" s="40">
        <v>0</v>
      </c>
      <c r="H143" s="40">
        <v>0</v>
      </c>
      <c r="I143" s="40">
        <v>0</v>
      </c>
      <c r="J143" s="40">
        <v>24</v>
      </c>
      <c r="K143" s="40">
        <v>0</v>
      </c>
      <c r="L143" s="40">
        <v>0</v>
      </c>
      <c r="M143" s="47">
        <f t="shared" si="21"/>
        <v>1260</v>
      </c>
      <c r="N143" s="47">
        <f t="shared" si="22"/>
        <v>1260</v>
      </c>
      <c r="O143">
        <v>2</v>
      </c>
      <c r="P143">
        <v>2</v>
      </c>
      <c r="Q143">
        <v>10</v>
      </c>
      <c r="R143">
        <v>4</v>
      </c>
      <c r="S143">
        <v>1</v>
      </c>
      <c r="T143">
        <v>4</v>
      </c>
      <c r="U143" s="48">
        <f t="shared" si="19"/>
        <v>0.22</v>
      </c>
      <c r="V143" s="47">
        <f t="shared" si="23"/>
        <v>277.2</v>
      </c>
      <c r="W143" s="47">
        <f t="shared" si="24"/>
        <v>1537.2</v>
      </c>
      <c r="X143" s="8"/>
    </row>
    <row r="144" spans="1:25" ht="12.75">
      <c r="A144" t="s">
        <v>161</v>
      </c>
      <c r="B144" t="s">
        <v>1887</v>
      </c>
      <c r="C144" s="217">
        <v>0</v>
      </c>
      <c r="D144" s="217">
        <v>0</v>
      </c>
      <c r="E144" s="217">
        <v>0</v>
      </c>
      <c r="F144" s="47">
        <f t="shared" si="20"/>
        <v>0</v>
      </c>
      <c r="G144" s="40">
        <v>0</v>
      </c>
      <c r="H144" s="40">
        <v>0</v>
      </c>
      <c r="I144" s="40">
        <v>0</v>
      </c>
      <c r="J144" s="40">
        <v>0</v>
      </c>
      <c r="K144" s="40">
        <v>0</v>
      </c>
      <c r="L144" s="40">
        <v>0</v>
      </c>
      <c r="M144" s="47">
        <f t="shared" si="21"/>
        <v>0</v>
      </c>
      <c r="N144" s="47">
        <f t="shared" si="22"/>
        <v>0</v>
      </c>
      <c r="O144">
        <v>0</v>
      </c>
      <c r="P144">
        <v>0</v>
      </c>
      <c r="Q144">
        <v>0</v>
      </c>
      <c r="R144">
        <v>0</v>
      </c>
      <c r="S144">
        <v>0</v>
      </c>
      <c r="T144">
        <v>0</v>
      </c>
      <c r="U144" s="48">
        <f t="shared" si="19"/>
        <v>0</v>
      </c>
      <c r="V144" s="47">
        <f t="shared" si="23"/>
        <v>0</v>
      </c>
      <c r="W144" s="47">
        <f t="shared" si="24"/>
        <v>0</v>
      </c>
      <c r="X144" s="8"/>
      <c r="Y144" t="s">
        <v>1</v>
      </c>
    </row>
    <row r="145" spans="1:24" ht="12.75">
      <c r="A145" t="s">
        <v>162</v>
      </c>
      <c r="B145" t="s">
        <v>826</v>
      </c>
      <c r="C145" s="217">
        <v>0</v>
      </c>
      <c r="D145" s="217">
        <v>0</v>
      </c>
      <c r="E145" s="217">
        <v>0</v>
      </c>
      <c r="F145" s="47">
        <f t="shared" si="20"/>
        <v>0</v>
      </c>
      <c r="G145" s="40">
        <v>0</v>
      </c>
      <c r="H145" s="40">
        <v>0</v>
      </c>
      <c r="I145" s="40">
        <v>0</v>
      </c>
      <c r="J145" s="40">
        <v>0</v>
      </c>
      <c r="K145" s="40">
        <v>0</v>
      </c>
      <c r="L145" s="40">
        <v>0</v>
      </c>
      <c r="M145" s="47">
        <f t="shared" si="21"/>
        <v>0</v>
      </c>
      <c r="N145" s="47">
        <f t="shared" si="22"/>
        <v>0</v>
      </c>
      <c r="O145">
        <v>0</v>
      </c>
      <c r="P145">
        <v>0</v>
      </c>
      <c r="Q145">
        <v>0</v>
      </c>
      <c r="R145">
        <v>0</v>
      </c>
      <c r="S145">
        <v>0</v>
      </c>
      <c r="T145">
        <v>0</v>
      </c>
      <c r="U145" s="48">
        <f t="shared" si="19"/>
        <v>0</v>
      </c>
      <c r="V145" s="47">
        <f t="shared" si="23"/>
        <v>0</v>
      </c>
      <c r="W145" s="47">
        <f t="shared" si="24"/>
        <v>0</v>
      </c>
      <c r="X145" s="8"/>
    </row>
    <row r="146" spans="1:24" ht="12.75">
      <c r="A146" t="s">
        <v>163</v>
      </c>
      <c r="B146" s="242" t="s">
        <v>1869</v>
      </c>
      <c r="C146" s="217">
        <v>0</v>
      </c>
      <c r="D146" s="217">
        <v>0</v>
      </c>
      <c r="E146" s="217">
        <v>0</v>
      </c>
      <c r="F146" s="47">
        <f t="shared" si="20"/>
        <v>0</v>
      </c>
      <c r="G146" s="40">
        <v>0</v>
      </c>
      <c r="H146" s="40">
        <v>40</v>
      </c>
      <c r="I146" s="40">
        <v>0</v>
      </c>
      <c r="J146" s="40">
        <v>0</v>
      </c>
      <c r="K146" s="40">
        <v>0</v>
      </c>
      <c r="L146" s="40">
        <v>0</v>
      </c>
      <c r="M146" s="47">
        <f t="shared" si="21"/>
        <v>3586</v>
      </c>
      <c r="N146" s="47">
        <f t="shared" si="22"/>
        <v>3586</v>
      </c>
      <c r="O146">
        <v>2</v>
      </c>
      <c r="P146">
        <v>2</v>
      </c>
      <c r="Q146">
        <v>10</v>
      </c>
      <c r="R146">
        <v>4</v>
      </c>
      <c r="S146">
        <v>1</v>
      </c>
      <c r="T146">
        <v>4</v>
      </c>
      <c r="U146" s="48">
        <f t="shared" si="19"/>
        <v>0.22</v>
      </c>
      <c r="V146" s="47">
        <f t="shared" si="23"/>
        <v>788.92</v>
      </c>
      <c r="W146" s="47">
        <f t="shared" si="24"/>
        <v>4374.92</v>
      </c>
      <c r="X146" s="8"/>
    </row>
    <row r="147" spans="1:24" ht="12.75">
      <c r="A147" t="s">
        <v>164</v>
      </c>
      <c r="B147" s="242" t="s">
        <v>1775</v>
      </c>
      <c r="C147" s="217">
        <v>0</v>
      </c>
      <c r="D147" s="217">
        <v>0</v>
      </c>
      <c r="E147" s="217">
        <v>0</v>
      </c>
      <c r="F147" s="47">
        <f t="shared" si="20"/>
        <v>0</v>
      </c>
      <c r="G147" s="40">
        <v>80</v>
      </c>
      <c r="H147" s="40">
        <v>0</v>
      </c>
      <c r="I147" s="40">
        <v>0</v>
      </c>
      <c r="J147" s="40">
        <v>0</v>
      </c>
      <c r="K147" s="40">
        <v>0</v>
      </c>
      <c r="L147" s="40">
        <v>0</v>
      </c>
      <c r="M147" s="47">
        <f t="shared" si="21"/>
        <v>5372</v>
      </c>
      <c r="N147" s="47">
        <f t="shared" si="22"/>
        <v>5372</v>
      </c>
      <c r="O147">
        <v>2</v>
      </c>
      <c r="P147">
        <v>2</v>
      </c>
      <c r="Q147">
        <v>10</v>
      </c>
      <c r="R147">
        <v>4</v>
      </c>
      <c r="S147">
        <v>1</v>
      </c>
      <c r="T147">
        <v>4</v>
      </c>
      <c r="U147" s="48">
        <f t="shared" si="19"/>
        <v>0.22</v>
      </c>
      <c r="V147" s="47">
        <f t="shared" si="23"/>
        <v>1181.84</v>
      </c>
      <c r="W147" s="47">
        <f t="shared" si="24"/>
        <v>6553.84</v>
      </c>
      <c r="X147" s="8"/>
    </row>
    <row r="148" spans="1:24" ht="12.75">
      <c r="A148" t="s">
        <v>165</v>
      </c>
      <c r="B148" s="242" t="s">
        <v>826</v>
      </c>
      <c r="C148" s="217">
        <v>0</v>
      </c>
      <c r="D148" s="217">
        <v>0</v>
      </c>
      <c r="E148" s="217">
        <v>0</v>
      </c>
      <c r="F148" s="47">
        <f t="shared" si="20"/>
        <v>0</v>
      </c>
      <c r="G148" s="40">
        <v>0</v>
      </c>
      <c r="H148" s="40">
        <v>0</v>
      </c>
      <c r="I148" s="40">
        <v>120</v>
      </c>
      <c r="J148" s="40">
        <v>0</v>
      </c>
      <c r="K148" s="40">
        <v>0</v>
      </c>
      <c r="L148" s="40">
        <v>0</v>
      </c>
      <c r="M148" s="47">
        <f t="shared" si="21"/>
        <v>6750</v>
      </c>
      <c r="N148" s="47">
        <f t="shared" si="22"/>
        <v>6750</v>
      </c>
      <c r="O148">
        <v>2</v>
      </c>
      <c r="P148">
        <v>2</v>
      </c>
      <c r="Q148">
        <v>10</v>
      </c>
      <c r="R148">
        <v>4</v>
      </c>
      <c r="S148">
        <v>1</v>
      </c>
      <c r="T148">
        <v>4</v>
      </c>
      <c r="U148" s="48">
        <f t="shared" si="19"/>
        <v>0.22</v>
      </c>
      <c r="V148" s="47">
        <f t="shared" si="23"/>
        <v>1485</v>
      </c>
      <c r="W148" s="47">
        <f t="shared" si="24"/>
        <v>8235</v>
      </c>
      <c r="X148" s="8"/>
    </row>
    <row r="149" spans="1:24" ht="12.75">
      <c r="A149" t="s">
        <v>166</v>
      </c>
      <c r="B149" t="s">
        <v>1870</v>
      </c>
      <c r="C149" s="217">
        <v>0</v>
      </c>
      <c r="D149" s="217">
        <v>0</v>
      </c>
      <c r="E149" s="217">
        <v>0</v>
      </c>
      <c r="F149" s="47">
        <f t="shared" si="20"/>
        <v>0</v>
      </c>
      <c r="G149" s="40">
        <v>0</v>
      </c>
      <c r="H149" s="40">
        <v>0</v>
      </c>
      <c r="I149" s="40">
        <v>0</v>
      </c>
      <c r="J149" s="40">
        <v>0</v>
      </c>
      <c r="K149" s="40">
        <v>0</v>
      </c>
      <c r="L149" s="40">
        <v>0</v>
      </c>
      <c r="M149" s="47">
        <f t="shared" si="21"/>
        <v>0</v>
      </c>
      <c r="N149" s="47">
        <f t="shared" si="22"/>
        <v>0</v>
      </c>
      <c r="O149">
        <v>0</v>
      </c>
      <c r="P149">
        <v>0</v>
      </c>
      <c r="Q149">
        <v>0</v>
      </c>
      <c r="R149">
        <v>0</v>
      </c>
      <c r="S149">
        <v>0</v>
      </c>
      <c r="T149">
        <v>0</v>
      </c>
      <c r="U149" s="48">
        <f t="shared" si="19"/>
        <v>0</v>
      </c>
      <c r="V149" s="47">
        <f t="shared" si="23"/>
        <v>0</v>
      </c>
      <c r="W149" s="47">
        <f t="shared" si="24"/>
        <v>0</v>
      </c>
      <c r="X149" s="8"/>
    </row>
    <row r="150" spans="1:24" ht="12.75">
      <c r="A150" t="s">
        <v>167</v>
      </c>
      <c r="B150" s="242" t="s">
        <v>1877</v>
      </c>
      <c r="C150" s="217">
        <v>3000</v>
      </c>
      <c r="D150" s="217">
        <v>0</v>
      </c>
      <c r="E150" s="217">
        <v>0</v>
      </c>
      <c r="F150" s="47">
        <f t="shared" si="20"/>
        <v>3000</v>
      </c>
      <c r="G150" s="40">
        <v>0</v>
      </c>
      <c r="H150" s="40">
        <v>0</v>
      </c>
      <c r="I150" s="40">
        <v>0</v>
      </c>
      <c r="J150" s="40">
        <v>0</v>
      </c>
      <c r="K150" s="40">
        <v>0</v>
      </c>
      <c r="L150" s="40">
        <v>120</v>
      </c>
      <c r="M150" s="47">
        <f t="shared" si="21"/>
        <v>12120</v>
      </c>
      <c r="N150" s="47">
        <f t="shared" si="22"/>
        <v>15120</v>
      </c>
      <c r="O150">
        <v>2</v>
      </c>
      <c r="P150">
        <v>2</v>
      </c>
      <c r="Q150">
        <v>10</v>
      </c>
      <c r="R150">
        <v>10</v>
      </c>
      <c r="S150">
        <v>1</v>
      </c>
      <c r="T150">
        <v>4</v>
      </c>
      <c r="U150" s="48">
        <f t="shared" si="19"/>
        <v>0.28</v>
      </c>
      <c r="V150" s="47">
        <f t="shared" si="23"/>
        <v>4233.6</v>
      </c>
      <c r="W150" s="47">
        <f t="shared" si="24"/>
        <v>19353.6</v>
      </c>
      <c r="X150" s="8"/>
    </row>
    <row r="151" spans="1:24" ht="12.75">
      <c r="A151" t="s">
        <v>168</v>
      </c>
      <c r="B151" s="242" t="s">
        <v>1878</v>
      </c>
      <c r="C151" s="217">
        <v>500</v>
      </c>
      <c r="D151" s="217">
        <v>0</v>
      </c>
      <c r="E151" s="217">
        <v>0</v>
      </c>
      <c r="F151" s="47">
        <f t="shared" si="20"/>
        <v>500</v>
      </c>
      <c r="G151" s="40">
        <v>0</v>
      </c>
      <c r="H151" s="40">
        <v>0</v>
      </c>
      <c r="I151" s="40">
        <v>0</v>
      </c>
      <c r="J151" s="40">
        <v>0</v>
      </c>
      <c r="K151" s="40">
        <v>0</v>
      </c>
      <c r="L151" s="40">
        <v>40</v>
      </c>
      <c r="M151" s="47">
        <f t="shared" si="21"/>
        <v>4040</v>
      </c>
      <c r="N151" s="47">
        <f t="shared" si="22"/>
        <v>4540</v>
      </c>
      <c r="O151">
        <v>2</v>
      </c>
      <c r="P151">
        <v>2</v>
      </c>
      <c r="Q151">
        <v>10</v>
      </c>
      <c r="R151">
        <v>10</v>
      </c>
      <c r="S151">
        <v>1</v>
      </c>
      <c r="T151">
        <v>4</v>
      </c>
      <c r="U151" s="48">
        <f t="shared" si="19"/>
        <v>0.28</v>
      </c>
      <c r="V151" s="47">
        <f t="shared" si="23"/>
        <v>1271.2</v>
      </c>
      <c r="W151" s="47">
        <f t="shared" si="24"/>
        <v>5811.2</v>
      </c>
      <c r="X151" s="8"/>
    </row>
    <row r="152" spans="1:24" ht="12.75">
      <c r="A152" t="s">
        <v>169</v>
      </c>
      <c r="B152" s="242" t="s">
        <v>147</v>
      </c>
      <c r="C152" s="217">
        <v>500</v>
      </c>
      <c r="D152" s="217">
        <v>0</v>
      </c>
      <c r="E152" s="217">
        <v>0</v>
      </c>
      <c r="F152" s="47">
        <f t="shared" si="20"/>
        <v>500</v>
      </c>
      <c r="G152" s="40">
        <v>0</v>
      </c>
      <c r="H152" s="40">
        <v>0</v>
      </c>
      <c r="I152" s="40">
        <v>0</v>
      </c>
      <c r="J152" s="40">
        <v>0</v>
      </c>
      <c r="K152" s="40">
        <v>0</v>
      </c>
      <c r="L152" s="40">
        <v>40</v>
      </c>
      <c r="M152" s="47">
        <f t="shared" si="21"/>
        <v>4040</v>
      </c>
      <c r="N152" s="47">
        <f t="shared" si="22"/>
        <v>4540</v>
      </c>
      <c r="O152">
        <v>2</v>
      </c>
      <c r="P152">
        <v>2</v>
      </c>
      <c r="Q152">
        <v>10</v>
      </c>
      <c r="R152">
        <v>10</v>
      </c>
      <c r="S152">
        <v>1</v>
      </c>
      <c r="T152">
        <v>4</v>
      </c>
      <c r="U152" s="48">
        <f t="shared" si="19"/>
        <v>0.28</v>
      </c>
      <c r="V152" s="47">
        <f t="shared" si="23"/>
        <v>1271.2</v>
      </c>
      <c r="W152" s="47">
        <f t="shared" si="24"/>
        <v>5811.2</v>
      </c>
      <c r="X152" s="8"/>
    </row>
    <row r="153" spans="1:24" ht="12.75">
      <c r="A153" t="s">
        <v>170</v>
      </c>
      <c r="B153" s="242" t="s">
        <v>1879</v>
      </c>
      <c r="C153" s="217">
        <v>2000</v>
      </c>
      <c r="D153" s="217">
        <v>0</v>
      </c>
      <c r="E153" s="217">
        <v>0</v>
      </c>
      <c r="F153" s="47">
        <f t="shared" si="20"/>
        <v>2000</v>
      </c>
      <c r="G153" s="40">
        <v>0</v>
      </c>
      <c r="H153" s="40">
        <v>0</v>
      </c>
      <c r="I153" s="40">
        <v>0</v>
      </c>
      <c r="J153" s="40">
        <v>160</v>
      </c>
      <c r="K153" s="40">
        <v>0</v>
      </c>
      <c r="L153" s="40">
        <v>0</v>
      </c>
      <c r="M153" s="47">
        <f t="shared" si="21"/>
        <v>8400</v>
      </c>
      <c r="N153" s="47">
        <f t="shared" si="22"/>
        <v>10400</v>
      </c>
      <c r="O153">
        <v>2</v>
      </c>
      <c r="P153">
        <v>2</v>
      </c>
      <c r="Q153">
        <v>10</v>
      </c>
      <c r="R153">
        <v>10</v>
      </c>
      <c r="S153">
        <v>1</v>
      </c>
      <c r="T153">
        <v>4</v>
      </c>
      <c r="U153" s="48">
        <f t="shared" si="19"/>
        <v>0.28</v>
      </c>
      <c r="V153" s="47">
        <f t="shared" si="23"/>
        <v>2912.0000000000005</v>
      </c>
      <c r="W153" s="47">
        <f t="shared" si="24"/>
        <v>13312</v>
      </c>
      <c r="X153" s="8"/>
    </row>
    <row r="154" spans="1:24" ht="12.75">
      <c r="A154" t="s">
        <v>171</v>
      </c>
      <c r="B154" t="s">
        <v>1880</v>
      </c>
      <c r="C154" s="217">
        <v>0</v>
      </c>
      <c r="D154" s="217">
        <v>0</v>
      </c>
      <c r="E154" s="217">
        <v>0</v>
      </c>
      <c r="F154" s="47">
        <f t="shared" si="20"/>
        <v>0</v>
      </c>
      <c r="G154" s="40">
        <v>0</v>
      </c>
      <c r="H154" s="40">
        <v>0</v>
      </c>
      <c r="I154" s="40">
        <v>0</v>
      </c>
      <c r="J154" s="40">
        <v>0</v>
      </c>
      <c r="K154" s="40">
        <v>0</v>
      </c>
      <c r="L154" s="40">
        <v>0</v>
      </c>
      <c r="M154" s="47">
        <f t="shared" si="21"/>
        <v>0</v>
      </c>
      <c r="N154" s="47">
        <f t="shared" si="22"/>
        <v>0</v>
      </c>
      <c r="O154">
        <v>0</v>
      </c>
      <c r="P154">
        <v>0</v>
      </c>
      <c r="Q154">
        <v>0</v>
      </c>
      <c r="R154">
        <v>0</v>
      </c>
      <c r="S154">
        <v>0</v>
      </c>
      <c r="T154">
        <v>0</v>
      </c>
      <c r="U154" s="48">
        <f t="shared" si="19"/>
        <v>0</v>
      </c>
      <c r="V154" s="47">
        <f t="shared" si="23"/>
        <v>0</v>
      </c>
      <c r="W154" s="47">
        <f t="shared" si="24"/>
        <v>0</v>
      </c>
      <c r="X154" s="8"/>
    </row>
    <row r="155" spans="1:24" ht="12.75">
      <c r="A155" t="s">
        <v>172</v>
      </c>
      <c r="B155" s="242" t="s">
        <v>1881</v>
      </c>
      <c r="C155" s="217">
        <v>800</v>
      </c>
      <c r="D155" s="217">
        <v>0</v>
      </c>
      <c r="E155" s="217">
        <v>0</v>
      </c>
      <c r="F155" s="47">
        <f t="shared" si="20"/>
        <v>800</v>
      </c>
      <c r="G155" s="40">
        <v>0</v>
      </c>
      <c r="H155" s="40">
        <v>0</v>
      </c>
      <c r="I155" s="40">
        <v>0</v>
      </c>
      <c r="J155" s="40">
        <v>160</v>
      </c>
      <c r="K155" s="40">
        <v>0</v>
      </c>
      <c r="L155" s="40">
        <v>0</v>
      </c>
      <c r="M155" s="47">
        <f t="shared" si="21"/>
        <v>8400</v>
      </c>
      <c r="N155" s="47">
        <f t="shared" si="22"/>
        <v>9200</v>
      </c>
      <c r="O155">
        <v>2</v>
      </c>
      <c r="P155">
        <v>2</v>
      </c>
      <c r="Q155">
        <v>10</v>
      </c>
      <c r="R155">
        <v>4</v>
      </c>
      <c r="S155">
        <v>1</v>
      </c>
      <c r="T155">
        <v>4</v>
      </c>
      <c r="U155" s="48">
        <f t="shared" si="19"/>
        <v>0.22</v>
      </c>
      <c r="V155" s="47">
        <f t="shared" si="23"/>
        <v>2024</v>
      </c>
      <c r="W155" s="47">
        <f t="shared" si="24"/>
        <v>11224</v>
      </c>
      <c r="X155" s="8"/>
    </row>
    <row r="156" spans="1:24" ht="12.75">
      <c r="A156" t="s">
        <v>173</v>
      </c>
      <c r="B156" s="242" t="s">
        <v>1882</v>
      </c>
      <c r="C156" s="217">
        <v>0</v>
      </c>
      <c r="D156" s="217">
        <v>0</v>
      </c>
      <c r="E156" s="217">
        <v>0</v>
      </c>
      <c r="F156" s="47">
        <f t="shared" si="20"/>
        <v>0</v>
      </c>
      <c r="G156" s="40">
        <v>0</v>
      </c>
      <c r="H156" s="40">
        <v>0</v>
      </c>
      <c r="I156" s="40">
        <v>0</v>
      </c>
      <c r="J156" s="40">
        <v>16</v>
      </c>
      <c r="K156" s="40">
        <v>0</v>
      </c>
      <c r="L156" s="40">
        <v>0</v>
      </c>
      <c r="M156" s="47">
        <f t="shared" si="21"/>
        <v>840</v>
      </c>
      <c r="N156" s="47">
        <f t="shared" si="22"/>
        <v>840</v>
      </c>
      <c r="O156">
        <v>2</v>
      </c>
      <c r="P156">
        <v>2</v>
      </c>
      <c r="Q156">
        <v>10</v>
      </c>
      <c r="R156">
        <v>4</v>
      </c>
      <c r="S156">
        <v>1</v>
      </c>
      <c r="T156">
        <v>4</v>
      </c>
      <c r="U156" s="48">
        <f t="shared" si="19"/>
        <v>0.22</v>
      </c>
      <c r="V156" s="47">
        <f t="shared" si="23"/>
        <v>184.8</v>
      </c>
      <c r="W156" s="47">
        <f t="shared" si="24"/>
        <v>1024.8</v>
      </c>
      <c r="X156" s="8"/>
    </row>
    <row r="157" spans="1:24" ht="12.75">
      <c r="A157" t="s">
        <v>174</v>
      </c>
      <c r="B157" s="242" t="s">
        <v>1883</v>
      </c>
      <c r="C157" s="217">
        <v>200</v>
      </c>
      <c r="D157" s="217">
        <v>0</v>
      </c>
      <c r="E157" s="217">
        <v>0</v>
      </c>
      <c r="F157" s="47">
        <f t="shared" si="20"/>
        <v>200</v>
      </c>
      <c r="G157">
        <v>0</v>
      </c>
      <c r="H157">
        <v>0</v>
      </c>
      <c r="I157">
        <v>0</v>
      </c>
      <c r="J157">
        <v>32</v>
      </c>
      <c r="K157" s="40">
        <v>0</v>
      </c>
      <c r="L157">
        <v>0</v>
      </c>
      <c r="M157" s="47">
        <f t="shared" si="21"/>
        <v>1680</v>
      </c>
      <c r="N157" s="47">
        <f t="shared" si="22"/>
        <v>1880</v>
      </c>
      <c r="O157">
        <v>2</v>
      </c>
      <c r="P157">
        <v>2</v>
      </c>
      <c r="Q157">
        <v>10</v>
      </c>
      <c r="R157">
        <v>4</v>
      </c>
      <c r="S157">
        <v>1</v>
      </c>
      <c r="T157">
        <v>4</v>
      </c>
      <c r="U157" s="48">
        <f t="shared" si="19"/>
        <v>0.22</v>
      </c>
      <c r="V157" s="47">
        <f t="shared" si="23"/>
        <v>413.6</v>
      </c>
      <c r="W157" s="47">
        <f t="shared" si="24"/>
        <v>2293.6</v>
      </c>
      <c r="X157" s="8"/>
    </row>
    <row r="158" spans="1:24" ht="12.75">
      <c r="A158" t="s">
        <v>175</v>
      </c>
      <c r="B158" s="242" t="s">
        <v>1884</v>
      </c>
      <c r="C158" s="217">
        <v>0</v>
      </c>
      <c r="D158" s="217">
        <v>0</v>
      </c>
      <c r="E158" s="217">
        <v>0</v>
      </c>
      <c r="F158" s="47">
        <f t="shared" si="20"/>
        <v>0</v>
      </c>
      <c r="G158">
        <v>0</v>
      </c>
      <c r="H158">
        <v>0</v>
      </c>
      <c r="I158">
        <v>0</v>
      </c>
      <c r="J158">
        <v>0</v>
      </c>
      <c r="K158">
        <v>8</v>
      </c>
      <c r="L158">
        <v>0</v>
      </c>
      <c r="M158" s="47">
        <f t="shared" si="21"/>
        <v>536.4</v>
      </c>
      <c r="N158" s="47">
        <f t="shared" si="22"/>
        <v>536.4</v>
      </c>
      <c r="O158">
        <v>2</v>
      </c>
      <c r="P158">
        <v>2</v>
      </c>
      <c r="Q158">
        <v>10</v>
      </c>
      <c r="R158">
        <v>4</v>
      </c>
      <c r="S158">
        <v>1</v>
      </c>
      <c r="T158">
        <v>4</v>
      </c>
      <c r="U158" s="48">
        <f t="shared" si="19"/>
        <v>0.22</v>
      </c>
      <c r="V158" s="47">
        <f t="shared" si="23"/>
        <v>118.008</v>
      </c>
      <c r="W158" s="47">
        <f t="shared" si="24"/>
        <v>654.408</v>
      </c>
      <c r="X158" s="8"/>
    </row>
    <row r="159" spans="1:24" ht="12.75">
      <c r="A159" t="s">
        <v>176</v>
      </c>
      <c r="B159" t="s">
        <v>1783</v>
      </c>
      <c r="C159" s="217">
        <v>0</v>
      </c>
      <c r="D159" s="217">
        <v>0</v>
      </c>
      <c r="E159" s="217">
        <v>0</v>
      </c>
      <c r="F159" s="47">
        <f t="shared" si="20"/>
        <v>0</v>
      </c>
      <c r="G159" s="40">
        <v>0</v>
      </c>
      <c r="H159" s="40">
        <v>0</v>
      </c>
      <c r="I159" s="40">
        <v>0</v>
      </c>
      <c r="J159" s="40">
        <v>0</v>
      </c>
      <c r="K159" s="40">
        <v>0</v>
      </c>
      <c r="L159" s="40">
        <v>0</v>
      </c>
      <c r="M159" s="47">
        <f t="shared" si="21"/>
        <v>0</v>
      </c>
      <c r="N159" s="47">
        <f t="shared" si="22"/>
        <v>0</v>
      </c>
      <c r="O159">
        <v>0</v>
      </c>
      <c r="P159">
        <v>0</v>
      </c>
      <c r="Q159">
        <v>0</v>
      </c>
      <c r="R159">
        <v>0</v>
      </c>
      <c r="S159">
        <v>0</v>
      </c>
      <c r="T159">
        <v>0</v>
      </c>
      <c r="U159" s="48">
        <f t="shared" si="19"/>
        <v>0</v>
      </c>
      <c r="V159" s="47">
        <f t="shared" si="23"/>
        <v>0</v>
      </c>
      <c r="W159" s="47">
        <f t="shared" si="24"/>
        <v>0</v>
      </c>
      <c r="X159" s="8"/>
    </row>
    <row r="160" spans="1:24" ht="12.75">
      <c r="A160" t="s">
        <v>177</v>
      </c>
      <c r="B160" s="242" t="s">
        <v>1884</v>
      </c>
      <c r="C160" s="217">
        <v>0</v>
      </c>
      <c r="D160" s="217">
        <v>0</v>
      </c>
      <c r="E160" s="217">
        <v>0</v>
      </c>
      <c r="F160" s="47">
        <f t="shared" si="20"/>
        <v>0</v>
      </c>
      <c r="G160" s="40">
        <v>0</v>
      </c>
      <c r="H160" s="40">
        <v>0</v>
      </c>
      <c r="I160" s="40">
        <v>0</v>
      </c>
      <c r="J160" s="40">
        <v>0</v>
      </c>
      <c r="K160" s="40">
        <v>8</v>
      </c>
      <c r="L160" s="40">
        <v>0</v>
      </c>
      <c r="M160" s="47">
        <f t="shared" si="21"/>
        <v>536.4</v>
      </c>
      <c r="N160" s="47">
        <f t="shared" si="22"/>
        <v>536.4</v>
      </c>
      <c r="O160">
        <v>2</v>
      </c>
      <c r="P160">
        <v>2</v>
      </c>
      <c r="Q160">
        <v>10</v>
      </c>
      <c r="R160">
        <v>4</v>
      </c>
      <c r="S160">
        <v>1</v>
      </c>
      <c r="T160">
        <v>4</v>
      </c>
      <c r="U160" s="48">
        <f t="shared" si="19"/>
        <v>0.22</v>
      </c>
      <c r="V160" s="47">
        <f t="shared" si="23"/>
        <v>118.008</v>
      </c>
      <c r="W160" s="47">
        <f t="shared" si="24"/>
        <v>654.408</v>
      </c>
      <c r="X160" s="8"/>
    </row>
    <row r="161" spans="1:24" ht="12.75">
      <c r="A161" t="s">
        <v>178</v>
      </c>
      <c r="B161" s="242" t="s">
        <v>1885</v>
      </c>
      <c r="C161" s="217">
        <v>0</v>
      </c>
      <c r="D161" s="217">
        <v>0</v>
      </c>
      <c r="E161" s="217">
        <v>0</v>
      </c>
      <c r="F161" s="47">
        <f t="shared" si="20"/>
        <v>0</v>
      </c>
      <c r="G161" s="40">
        <v>0</v>
      </c>
      <c r="H161" s="40">
        <v>0</v>
      </c>
      <c r="I161" s="40">
        <v>0</v>
      </c>
      <c r="J161" s="40">
        <v>16</v>
      </c>
      <c r="K161" s="40">
        <v>0</v>
      </c>
      <c r="L161" s="40">
        <v>0</v>
      </c>
      <c r="M161" s="47">
        <f t="shared" si="21"/>
        <v>840</v>
      </c>
      <c r="N161" s="47">
        <f t="shared" si="22"/>
        <v>840</v>
      </c>
      <c r="O161">
        <v>2</v>
      </c>
      <c r="P161">
        <v>2</v>
      </c>
      <c r="Q161">
        <v>10</v>
      </c>
      <c r="R161">
        <v>4</v>
      </c>
      <c r="S161">
        <v>1</v>
      </c>
      <c r="T161">
        <v>4</v>
      </c>
      <c r="U161" s="48">
        <f t="shared" si="19"/>
        <v>0.22</v>
      </c>
      <c r="V161" s="47">
        <f t="shared" si="23"/>
        <v>184.8</v>
      </c>
      <c r="W161" s="47">
        <f t="shared" si="24"/>
        <v>1024.8</v>
      </c>
      <c r="X161" s="8"/>
    </row>
    <row r="162" spans="1:24" ht="12.75">
      <c r="A162" t="s">
        <v>179</v>
      </c>
      <c r="B162" s="242" t="s">
        <v>1886</v>
      </c>
      <c r="C162" s="217">
        <v>0</v>
      </c>
      <c r="D162" s="217">
        <v>0</v>
      </c>
      <c r="E162" s="217">
        <v>0</v>
      </c>
      <c r="F162" s="47">
        <f t="shared" si="20"/>
        <v>0</v>
      </c>
      <c r="G162" s="40">
        <v>0</v>
      </c>
      <c r="H162" s="40">
        <v>0</v>
      </c>
      <c r="I162" s="40">
        <v>0</v>
      </c>
      <c r="J162" s="40">
        <v>8</v>
      </c>
      <c r="K162" s="40">
        <v>0</v>
      </c>
      <c r="L162" s="40">
        <v>0</v>
      </c>
      <c r="M162" s="47">
        <f t="shared" si="21"/>
        <v>420</v>
      </c>
      <c r="N162" s="47">
        <f t="shared" si="22"/>
        <v>420</v>
      </c>
      <c r="O162">
        <v>2</v>
      </c>
      <c r="P162">
        <v>2</v>
      </c>
      <c r="Q162">
        <v>10</v>
      </c>
      <c r="R162">
        <v>4</v>
      </c>
      <c r="S162">
        <v>1</v>
      </c>
      <c r="T162">
        <v>4</v>
      </c>
      <c r="U162" s="48">
        <f t="shared" si="19"/>
        <v>0.22</v>
      </c>
      <c r="V162" s="47">
        <f t="shared" si="23"/>
        <v>92.4</v>
      </c>
      <c r="W162" s="47">
        <f t="shared" si="24"/>
        <v>512.4</v>
      </c>
      <c r="X162" s="8"/>
    </row>
    <row r="163" spans="1:24" ht="12.75">
      <c r="A163" t="s">
        <v>180</v>
      </c>
      <c r="B163" s="242" t="s">
        <v>447</v>
      </c>
      <c r="C163" s="217">
        <v>0</v>
      </c>
      <c r="D163" s="217">
        <v>0</v>
      </c>
      <c r="E163" s="217">
        <v>0</v>
      </c>
      <c r="F163" s="47">
        <f t="shared" si="20"/>
        <v>0</v>
      </c>
      <c r="G163" s="40">
        <v>0</v>
      </c>
      <c r="H163" s="40">
        <v>0</v>
      </c>
      <c r="I163" s="40">
        <v>0</v>
      </c>
      <c r="J163" s="40">
        <v>16</v>
      </c>
      <c r="K163" s="40">
        <v>0</v>
      </c>
      <c r="L163" s="40">
        <v>0</v>
      </c>
      <c r="M163" s="47">
        <f t="shared" si="21"/>
        <v>840</v>
      </c>
      <c r="N163" s="47">
        <f t="shared" si="22"/>
        <v>840</v>
      </c>
      <c r="O163">
        <v>2</v>
      </c>
      <c r="P163">
        <v>2</v>
      </c>
      <c r="Q163">
        <v>10</v>
      </c>
      <c r="R163">
        <v>4</v>
      </c>
      <c r="S163">
        <v>1</v>
      </c>
      <c r="T163">
        <v>4</v>
      </c>
      <c r="U163" s="48">
        <f t="shared" si="19"/>
        <v>0.22</v>
      </c>
      <c r="V163" s="47">
        <f t="shared" si="23"/>
        <v>184.8</v>
      </c>
      <c r="W163" s="47">
        <f t="shared" si="24"/>
        <v>1024.8</v>
      </c>
      <c r="X163" s="8"/>
    </row>
    <row r="164" spans="1:24" ht="12.75">
      <c r="A164" t="s">
        <v>181</v>
      </c>
      <c r="B164" s="242" t="s">
        <v>1783</v>
      </c>
      <c r="C164" s="217">
        <v>0</v>
      </c>
      <c r="D164" s="217">
        <v>0</v>
      </c>
      <c r="E164" s="217">
        <v>0</v>
      </c>
      <c r="F164" s="47">
        <f t="shared" si="20"/>
        <v>0</v>
      </c>
      <c r="G164" s="40">
        <v>0</v>
      </c>
      <c r="H164" s="40">
        <v>24</v>
      </c>
      <c r="I164" s="40">
        <v>0</v>
      </c>
      <c r="J164" s="40">
        <v>0</v>
      </c>
      <c r="K164" s="40">
        <v>0</v>
      </c>
      <c r="L164" s="40">
        <v>0</v>
      </c>
      <c r="M164" s="47">
        <f t="shared" si="21"/>
        <v>2151.6000000000004</v>
      </c>
      <c r="N164" s="47">
        <f t="shared" si="22"/>
        <v>2151.6000000000004</v>
      </c>
      <c r="O164">
        <v>2</v>
      </c>
      <c r="P164">
        <v>2</v>
      </c>
      <c r="Q164">
        <v>10</v>
      </c>
      <c r="R164">
        <v>4</v>
      </c>
      <c r="S164">
        <v>1</v>
      </c>
      <c r="T164">
        <v>4</v>
      </c>
      <c r="U164" s="48">
        <f t="shared" si="19"/>
        <v>0.22</v>
      </c>
      <c r="V164" s="47">
        <f t="shared" si="23"/>
        <v>473.3520000000001</v>
      </c>
      <c r="W164" s="47">
        <f t="shared" si="24"/>
        <v>2624.952</v>
      </c>
      <c r="X164" s="8"/>
    </row>
    <row r="165" spans="1:24" ht="12.75">
      <c r="A165" t="s">
        <v>182</v>
      </c>
      <c r="B165" s="242" t="s">
        <v>1783</v>
      </c>
      <c r="C165" s="217">
        <v>0</v>
      </c>
      <c r="D165" s="217">
        <v>0</v>
      </c>
      <c r="E165" s="217">
        <v>0</v>
      </c>
      <c r="F165" s="47">
        <f t="shared" si="20"/>
        <v>0</v>
      </c>
      <c r="G165" s="40">
        <v>0</v>
      </c>
      <c r="H165" s="40">
        <v>0</v>
      </c>
      <c r="I165" s="40">
        <v>0</v>
      </c>
      <c r="J165" s="40">
        <v>24</v>
      </c>
      <c r="K165" s="40">
        <v>0</v>
      </c>
      <c r="L165" s="40">
        <v>0</v>
      </c>
      <c r="M165" s="47">
        <f t="shared" si="21"/>
        <v>1260</v>
      </c>
      <c r="N165" s="47">
        <f t="shared" si="22"/>
        <v>1260</v>
      </c>
      <c r="O165">
        <v>2</v>
      </c>
      <c r="P165">
        <v>2</v>
      </c>
      <c r="Q165">
        <v>10</v>
      </c>
      <c r="R165">
        <v>4</v>
      </c>
      <c r="S165">
        <v>1</v>
      </c>
      <c r="T165">
        <v>4</v>
      </c>
      <c r="U165" s="48">
        <f t="shared" si="19"/>
        <v>0.22</v>
      </c>
      <c r="V165" s="47">
        <f t="shared" si="23"/>
        <v>277.2</v>
      </c>
      <c r="W165" s="47">
        <f t="shared" si="24"/>
        <v>1537.2</v>
      </c>
      <c r="X165" s="8"/>
    </row>
    <row r="166" spans="1:25" ht="12.75">
      <c r="A166" s="325" t="s">
        <v>183</v>
      </c>
      <c r="B166" s="240" t="s">
        <v>635</v>
      </c>
      <c r="C166" s="217">
        <v>0</v>
      </c>
      <c r="D166" s="217">
        <v>0</v>
      </c>
      <c r="E166" s="217">
        <v>0</v>
      </c>
      <c r="F166" s="47">
        <f t="shared" si="20"/>
        <v>0</v>
      </c>
      <c r="G166" s="40">
        <v>0</v>
      </c>
      <c r="H166" s="40">
        <v>0</v>
      </c>
      <c r="I166" s="40">
        <v>0</v>
      </c>
      <c r="J166" s="40">
        <v>0</v>
      </c>
      <c r="K166" s="40">
        <v>0</v>
      </c>
      <c r="L166" s="40">
        <v>0</v>
      </c>
      <c r="M166" s="47">
        <f t="shared" si="21"/>
        <v>0</v>
      </c>
      <c r="N166" s="47">
        <f t="shared" si="22"/>
        <v>0</v>
      </c>
      <c r="O166">
        <v>0</v>
      </c>
      <c r="P166">
        <v>0</v>
      </c>
      <c r="Q166">
        <v>0</v>
      </c>
      <c r="R166">
        <v>0</v>
      </c>
      <c r="S166">
        <v>0</v>
      </c>
      <c r="T166">
        <v>0</v>
      </c>
      <c r="U166" s="48">
        <f t="shared" si="19"/>
        <v>0</v>
      </c>
      <c r="V166" s="47">
        <f t="shared" si="23"/>
        <v>0</v>
      </c>
      <c r="W166" s="47">
        <f t="shared" si="24"/>
        <v>0</v>
      </c>
      <c r="X166" s="8"/>
      <c r="Y166" t="s">
        <v>1349</v>
      </c>
    </row>
    <row r="167" spans="1:25" ht="12.75">
      <c r="A167" t="s">
        <v>184</v>
      </c>
      <c r="B167" t="s">
        <v>1888</v>
      </c>
      <c r="C167" s="217">
        <v>0</v>
      </c>
      <c r="D167" s="217">
        <v>0</v>
      </c>
      <c r="E167" s="217">
        <v>0</v>
      </c>
      <c r="F167" s="47">
        <f t="shared" si="20"/>
        <v>0</v>
      </c>
      <c r="G167" s="40">
        <v>0</v>
      </c>
      <c r="H167" s="40">
        <v>0</v>
      </c>
      <c r="I167" s="40">
        <v>0</v>
      </c>
      <c r="J167" s="40">
        <v>0</v>
      </c>
      <c r="K167" s="40">
        <v>0</v>
      </c>
      <c r="L167" s="40">
        <v>0</v>
      </c>
      <c r="M167" s="47">
        <f t="shared" si="21"/>
        <v>0</v>
      </c>
      <c r="N167" s="47">
        <f t="shared" si="22"/>
        <v>0</v>
      </c>
      <c r="O167">
        <v>0</v>
      </c>
      <c r="P167">
        <v>0</v>
      </c>
      <c r="Q167">
        <v>0</v>
      </c>
      <c r="R167">
        <v>0</v>
      </c>
      <c r="S167">
        <v>0</v>
      </c>
      <c r="T167">
        <v>0</v>
      </c>
      <c r="U167" s="48">
        <f t="shared" si="19"/>
        <v>0</v>
      </c>
      <c r="V167" s="47">
        <f t="shared" si="23"/>
        <v>0</v>
      </c>
      <c r="W167" s="47">
        <f t="shared" si="24"/>
        <v>0</v>
      </c>
      <c r="X167" s="8"/>
      <c r="Y167" t="s">
        <v>1350</v>
      </c>
    </row>
    <row r="168" spans="1:24" ht="12.75">
      <c r="A168" t="s">
        <v>185</v>
      </c>
      <c r="B168" t="s">
        <v>1889</v>
      </c>
      <c r="C168" s="217">
        <v>0</v>
      </c>
      <c r="D168" s="217">
        <v>0</v>
      </c>
      <c r="E168" s="217">
        <v>0</v>
      </c>
      <c r="F168" s="47">
        <f t="shared" si="20"/>
        <v>0</v>
      </c>
      <c r="G168" s="40">
        <v>0</v>
      </c>
      <c r="H168" s="40">
        <v>0</v>
      </c>
      <c r="I168" s="40">
        <v>0</v>
      </c>
      <c r="J168" s="40">
        <v>0</v>
      </c>
      <c r="K168" s="40">
        <v>0</v>
      </c>
      <c r="L168" s="40">
        <v>0</v>
      </c>
      <c r="M168" s="47">
        <f t="shared" si="21"/>
        <v>0</v>
      </c>
      <c r="N168" s="47">
        <f t="shared" si="22"/>
        <v>0</v>
      </c>
      <c r="O168">
        <v>0</v>
      </c>
      <c r="P168">
        <v>0</v>
      </c>
      <c r="Q168">
        <v>0</v>
      </c>
      <c r="R168">
        <v>0</v>
      </c>
      <c r="S168">
        <v>0</v>
      </c>
      <c r="T168">
        <v>0</v>
      </c>
      <c r="U168" s="48">
        <f t="shared" si="19"/>
        <v>0</v>
      </c>
      <c r="V168" s="47">
        <f t="shared" si="23"/>
        <v>0</v>
      </c>
      <c r="W168" s="47">
        <f t="shared" si="24"/>
        <v>0</v>
      </c>
      <c r="X168" s="8"/>
    </row>
    <row r="169" spans="1:24" ht="12.75">
      <c r="A169" t="s">
        <v>186</v>
      </c>
      <c r="B169" s="242" t="s">
        <v>1775</v>
      </c>
      <c r="C169" s="217">
        <v>0</v>
      </c>
      <c r="D169" s="217">
        <v>0</v>
      </c>
      <c r="E169" s="217">
        <v>0</v>
      </c>
      <c r="F169" s="47">
        <f t="shared" si="20"/>
        <v>0</v>
      </c>
      <c r="G169" s="40">
        <v>40</v>
      </c>
      <c r="H169" s="40">
        <v>0</v>
      </c>
      <c r="I169" s="40">
        <v>0</v>
      </c>
      <c r="J169" s="40">
        <v>0</v>
      </c>
      <c r="K169" s="40">
        <v>0</v>
      </c>
      <c r="L169" s="40">
        <v>0</v>
      </c>
      <c r="M169" s="47">
        <f t="shared" si="21"/>
        <v>2686</v>
      </c>
      <c r="N169" s="47">
        <f t="shared" si="22"/>
        <v>2686</v>
      </c>
      <c r="O169">
        <v>2</v>
      </c>
      <c r="P169">
        <v>2</v>
      </c>
      <c r="Q169">
        <v>10</v>
      </c>
      <c r="R169">
        <v>4</v>
      </c>
      <c r="S169">
        <v>1</v>
      </c>
      <c r="T169">
        <v>4</v>
      </c>
      <c r="U169" s="48">
        <f t="shared" si="19"/>
        <v>0.22</v>
      </c>
      <c r="V169" s="47">
        <f t="shared" si="23"/>
        <v>590.92</v>
      </c>
      <c r="W169" s="47">
        <f t="shared" si="24"/>
        <v>3276.92</v>
      </c>
      <c r="X169" s="8"/>
    </row>
    <row r="170" spans="1:24" ht="12.75">
      <c r="A170" t="s">
        <v>187</v>
      </c>
      <c r="B170" s="242" t="s">
        <v>826</v>
      </c>
      <c r="C170" s="217">
        <v>0</v>
      </c>
      <c r="D170" s="217">
        <v>0</v>
      </c>
      <c r="E170" s="217">
        <v>0</v>
      </c>
      <c r="F170" s="47">
        <f t="shared" si="20"/>
        <v>0</v>
      </c>
      <c r="G170" s="40">
        <v>0</v>
      </c>
      <c r="H170" s="40">
        <v>0</v>
      </c>
      <c r="I170" s="40">
        <v>120</v>
      </c>
      <c r="J170" s="40">
        <v>0</v>
      </c>
      <c r="K170" s="40">
        <v>0</v>
      </c>
      <c r="L170" s="40">
        <v>0</v>
      </c>
      <c r="M170" s="47">
        <f t="shared" si="21"/>
        <v>6750</v>
      </c>
      <c r="N170" s="47">
        <f t="shared" si="22"/>
        <v>6750</v>
      </c>
      <c r="O170">
        <v>2</v>
      </c>
      <c r="P170">
        <v>2</v>
      </c>
      <c r="Q170">
        <v>10</v>
      </c>
      <c r="R170">
        <v>4</v>
      </c>
      <c r="S170">
        <v>1</v>
      </c>
      <c r="T170">
        <v>4</v>
      </c>
      <c r="U170" s="48">
        <f t="shared" si="19"/>
        <v>0.22</v>
      </c>
      <c r="V170" s="47">
        <f t="shared" si="23"/>
        <v>1485</v>
      </c>
      <c r="W170" s="47">
        <f t="shared" si="24"/>
        <v>8235</v>
      </c>
      <c r="X170" s="8"/>
    </row>
    <row r="171" spans="1:24" ht="12.75">
      <c r="A171" t="s">
        <v>188</v>
      </c>
      <c r="B171" t="s">
        <v>1890</v>
      </c>
      <c r="C171" s="217">
        <v>0</v>
      </c>
      <c r="D171" s="217">
        <v>0</v>
      </c>
      <c r="E171" s="217">
        <v>0</v>
      </c>
      <c r="F171" s="47">
        <f t="shared" si="20"/>
        <v>0</v>
      </c>
      <c r="G171" s="40">
        <v>0</v>
      </c>
      <c r="H171" s="40">
        <v>0</v>
      </c>
      <c r="I171" s="40">
        <v>0</v>
      </c>
      <c r="J171" s="40">
        <v>0</v>
      </c>
      <c r="K171" s="40">
        <v>0</v>
      </c>
      <c r="L171" s="40">
        <v>0</v>
      </c>
      <c r="M171" s="47">
        <f t="shared" si="21"/>
        <v>0</v>
      </c>
      <c r="N171" s="47">
        <f t="shared" si="22"/>
        <v>0</v>
      </c>
      <c r="O171">
        <v>0</v>
      </c>
      <c r="P171">
        <v>0</v>
      </c>
      <c r="Q171">
        <v>0</v>
      </c>
      <c r="R171">
        <v>0</v>
      </c>
      <c r="S171">
        <v>0</v>
      </c>
      <c r="T171">
        <v>0</v>
      </c>
      <c r="U171" s="48">
        <f t="shared" si="19"/>
        <v>0</v>
      </c>
      <c r="V171" s="47">
        <f t="shared" si="23"/>
        <v>0</v>
      </c>
      <c r="W171" s="47">
        <f t="shared" si="24"/>
        <v>0</v>
      </c>
      <c r="X171" s="8"/>
    </row>
    <row r="172" spans="1:24" ht="12.75">
      <c r="A172" t="s">
        <v>189</v>
      </c>
      <c r="B172" s="242" t="s">
        <v>1775</v>
      </c>
      <c r="C172" s="217">
        <v>0</v>
      </c>
      <c r="D172" s="217">
        <v>0</v>
      </c>
      <c r="E172" s="217">
        <v>0</v>
      </c>
      <c r="F172" s="47">
        <f t="shared" si="20"/>
        <v>0</v>
      </c>
      <c r="G172" s="40">
        <v>40</v>
      </c>
      <c r="H172" s="40">
        <v>0</v>
      </c>
      <c r="I172" s="40">
        <v>0</v>
      </c>
      <c r="J172" s="40">
        <v>0</v>
      </c>
      <c r="K172" s="40">
        <v>0</v>
      </c>
      <c r="L172" s="40">
        <v>0</v>
      </c>
      <c r="M172" s="47">
        <f t="shared" si="21"/>
        <v>2686</v>
      </c>
      <c r="N172" s="47">
        <f t="shared" si="22"/>
        <v>2686</v>
      </c>
      <c r="O172">
        <v>2</v>
      </c>
      <c r="P172">
        <v>2</v>
      </c>
      <c r="Q172">
        <v>10</v>
      </c>
      <c r="R172">
        <v>4</v>
      </c>
      <c r="S172">
        <v>1</v>
      </c>
      <c r="T172">
        <v>4</v>
      </c>
      <c r="U172" s="48">
        <f t="shared" si="19"/>
        <v>0.22</v>
      </c>
      <c r="V172" s="47">
        <f t="shared" si="23"/>
        <v>590.92</v>
      </c>
      <c r="W172" s="47">
        <f t="shared" si="24"/>
        <v>3276.92</v>
      </c>
      <c r="X172" s="8"/>
    </row>
    <row r="173" spans="1:24" ht="12.75">
      <c r="A173" t="s">
        <v>190</v>
      </c>
      <c r="B173" s="242" t="s">
        <v>826</v>
      </c>
      <c r="C173" s="217">
        <v>0</v>
      </c>
      <c r="D173" s="217">
        <v>0</v>
      </c>
      <c r="E173" s="217">
        <v>0</v>
      </c>
      <c r="F173" s="47">
        <f t="shared" si="20"/>
        <v>0</v>
      </c>
      <c r="G173" s="40">
        <v>0</v>
      </c>
      <c r="H173" s="40">
        <v>0</v>
      </c>
      <c r="I173" s="40">
        <v>80</v>
      </c>
      <c r="J173" s="40">
        <v>0</v>
      </c>
      <c r="K173" s="40">
        <v>0</v>
      </c>
      <c r="L173" s="40">
        <v>0</v>
      </c>
      <c r="M173" s="47">
        <f t="shared" si="21"/>
        <v>4500</v>
      </c>
      <c r="N173" s="47">
        <f t="shared" si="22"/>
        <v>4500</v>
      </c>
      <c r="O173">
        <v>2</v>
      </c>
      <c r="P173">
        <v>2</v>
      </c>
      <c r="Q173">
        <v>10</v>
      </c>
      <c r="R173">
        <v>4</v>
      </c>
      <c r="S173">
        <v>1</v>
      </c>
      <c r="T173">
        <v>4</v>
      </c>
      <c r="U173" s="48">
        <f t="shared" si="19"/>
        <v>0.22</v>
      </c>
      <c r="V173" s="47">
        <f t="shared" si="23"/>
        <v>990</v>
      </c>
      <c r="W173" s="47">
        <f t="shared" si="24"/>
        <v>5490</v>
      </c>
      <c r="X173" s="8"/>
    </row>
    <row r="174" spans="1:24" ht="12.75">
      <c r="A174" t="s">
        <v>191</v>
      </c>
      <c r="B174" t="s">
        <v>1891</v>
      </c>
      <c r="C174" s="217">
        <v>0</v>
      </c>
      <c r="D174" s="217">
        <v>0</v>
      </c>
      <c r="E174" s="217">
        <v>0</v>
      </c>
      <c r="F174" s="47">
        <f t="shared" si="20"/>
        <v>0</v>
      </c>
      <c r="G174" s="40">
        <v>0</v>
      </c>
      <c r="H174" s="40">
        <v>0</v>
      </c>
      <c r="I174" s="40">
        <v>0</v>
      </c>
      <c r="J174" s="40">
        <v>0</v>
      </c>
      <c r="K174" s="40">
        <v>0</v>
      </c>
      <c r="L174" s="40">
        <v>0</v>
      </c>
      <c r="M174" s="47">
        <f t="shared" si="21"/>
        <v>0</v>
      </c>
      <c r="N174" s="47">
        <f t="shared" si="22"/>
        <v>0</v>
      </c>
      <c r="O174">
        <v>0</v>
      </c>
      <c r="P174">
        <v>0</v>
      </c>
      <c r="Q174">
        <v>0</v>
      </c>
      <c r="R174">
        <v>0</v>
      </c>
      <c r="S174">
        <v>0</v>
      </c>
      <c r="T174">
        <v>0</v>
      </c>
      <c r="U174" s="48">
        <f t="shared" si="19"/>
        <v>0</v>
      </c>
      <c r="V174" s="47">
        <f t="shared" si="23"/>
        <v>0</v>
      </c>
      <c r="W174" s="47">
        <f t="shared" si="24"/>
        <v>0</v>
      </c>
      <c r="X174" s="8"/>
    </row>
    <row r="175" spans="1:24" ht="12.75">
      <c r="A175" t="s">
        <v>192</v>
      </c>
      <c r="B175" s="242" t="s">
        <v>148</v>
      </c>
      <c r="C175" s="217">
        <v>25000</v>
      </c>
      <c r="D175" s="217">
        <v>0</v>
      </c>
      <c r="E175" s="217">
        <v>0</v>
      </c>
      <c r="F175" s="47">
        <f t="shared" si="20"/>
        <v>25000</v>
      </c>
      <c r="G175" s="40">
        <v>0</v>
      </c>
      <c r="H175" s="40">
        <v>0</v>
      </c>
      <c r="I175" s="40">
        <v>0</v>
      </c>
      <c r="J175" s="40">
        <v>0</v>
      </c>
      <c r="K175" s="40">
        <v>0</v>
      </c>
      <c r="L175" s="40">
        <v>0</v>
      </c>
      <c r="M175" s="47">
        <f t="shared" si="21"/>
        <v>0</v>
      </c>
      <c r="N175" s="47">
        <f t="shared" si="22"/>
        <v>25000</v>
      </c>
      <c r="O175">
        <v>2</v>
      </c>
      <c r="P175">
        <v>2</v>
      </c>
      <c r="Q175">
        <v>10</v>
      </c>
      <c r="R175">
        <v>4</v>
      </c>
      <c r="S175">
        <v>1</v>
      </c>
      <c r="T175">
        <v>4</v>
      </c>
      <c r="U175" s="48">
        <f t="shared" si="19"/>
        <v>0.22</v>
      </c>
      <c r="V175" s="47">
        <f t="shared" si="23"/>
        <v>5500</v>
      </c>
      <c r="W175" s="47">
        <f t="shared" si="24"/>
        <v>30500</v>
      </c>
      <c r="X175" s="8"/>
    </row>
    <row r="176" spans="1:24" ht="12.75">
      <c r="A176" t="s">
        <v>193</v>
      </c>
      <c r="B176" s="242" t="s">
        <v>1892</v>
      </c>
      <c r="C176" s="217">
        <v>0</v>
      </c>
      <c r="D176" s="217">
        <v>0</v>
      </c>
      <c r="E176" s="217">
        <v>0</v>
      </c>
      <c r="F176" s="47">
        <f t="shared" si="20"/>
        <v>0</v>
      </c>
      <c r="G176" s="40">
        <v>0</v>
      </c>
      <c r="H176" s="40">
        <v>0</v>
      </c>
      <c r="I176" s="40">
        <v>0</v>
      </c>
      <c r="J176" s="40">
        <v>0</v>
      </c>
      <c r="K176" s="40">
        <v>0</v>
      </c>
      <c r="L176" s="40">
        <v>80</v>
      </c>
      <c r="M176" s="47">
        <f t="shared" si="21"/>
        <v>8080</v>
      </c>
      <c r="N176" s="47">
        <f t="shared" si="22"/>
        <v>8080</v>
      </c>
      <c r="O176">
        <v>2</v>
      </c>
      <c r="P176">
        <v>2</v>
      </c>
      <c r="Q176">
        <v>10</v>
      </c>
      <c r="R176">
        <v>4</v>
      </c>
      <c r="S176">
        <v>1</v>
      </c>
      <c r="T176">
        <v>4</v>
      </c>
      <c r="U176" s="48">
        <f t="shared" si="19"/>
        <v>0.22</v>
      </c>
      <c r="V176" s="47">
        <f t="shared" si="23"/>
        <v>1777.6</v>
      </c>
      <c r="W176" s="47">
        <f t="shared" si="24"/>
        <v>9857.6</v>
      </c>
      <c r="X176" s="8"/>
    </row>
    <row r="177" spans="1:24" ht="12.75">
      <c r="A177" t="s">
        <v>194</v>
      </c>
      <c r="B177" t="s">
        <v>1863</v>
      </c>
      <c r="C177" s="217">
        <v>0</v>
      </c>
      <c r="D177" s="217">
        <v>0</v>
      </c>
      <c r="E177" s="217">
        <v>0</v>
      </c>
      <c r="F177" s="47">
        <f t="shared" si="20"/>
        <v>0</v>
      </c>
      <c r="G177" s="40">
        <v>0</v>
      </c>
      <c r="H177" s="40">
        <v>0</v>
      </c>
      <c r="I177" s="40">
        <v>0</v>
      </c>
      <c r="J177" s="40">
        <v>0</v>
      </c>
      <c r="K177" s="40">
        <v>0</v>
      </c>
      <c r="L177" s="40">
        <v>0</v>
      </c>
      <c r="M177" s="47">
        <f t="shared" si="21"/>
        <v>0</v>
      </c>
      <c r="N177" s="47">
        <f t="shared" si="22"/>
        <v>0</v>
      </c>
      <c r="O177">
        <v>0</v>
      </c>
      <c r="P177">
        <v>0</v>
      </c>
      <c r="Q177">
        <v>0</v>
      </c>
      <c r="R177">
        <v>0</v>
      </c>
      <c r="S177">
        <v>0</v>
      </c>
      <c r="T177">
        <v>0</v>
      </c>
      <c r="U177" s="48">
        <f t="shared" si="19"/>
        <v>0</v>
      </c>
      <c r="V177" s="47">
        <f t="shared" si="23"/>
        <v>0</v>
      </c>
      <c r="W177" s="47">
        <f t="shared" si="24"/>
        <v>0</v>
      </c>
      <c r="X177" s="8"/>
    </row>
    <row r="178" spans="1:24" ht="12.75">
      <c r="A178" t="s">
        <v>195</v>
      </c>
      <c r="B178" s="242" t="s">
        <v>1893</v>
      </c>
      <c r="C178" s="217">
        <v>0</v>
      </c>
      <c r="D178" s="217">
        <v>0</v>
      </c>
      <c r="E178" s="217">
        <v>0</v>
      </c>
      <c r="F178" s="47">
        <f t="shared" si="20"/>
        <v>0</v>
      </c>
      <c r="G178" s="214">
        <v>0</v>
      </c>
      <c r="H178" s="214">
        <v>0</v>
      </c>
      <c r="I178" s="214">
        <v>0</v>
      </c>
      <c r="J178" s="214">
        <v>40</v>
      </c>
      <c r="K178" s="214">
        <v>0</v>
      </c>
      <c r="L178" s="214">
        <v>0</v>
      </c>
      <c r="M178" s="47">
        <f t="shared" si="21"/>
        <v>2100</v>
      </c>
      <c r="N178" s="47">
        <f t="shared" si="22"/>
        <v>2100</v>
      </c>
      <c r="O178">
        <v>2</v>
      </c>
      <c r="P178">
        <v>2</v>
      </c>
      <c r="Q178">
        <v>10</v>
      </c>
      <c r="R178">
        <v>4</v>
      </c>
      <c r="S178">
        <v>1</v>
      </c>
      <c r="T178">
        <v>4</v>
      </c>
      <c r="U178" s="48">
        <f t="shared" si="19"/>
        <v>0.22</v>
      </c>
      <c r="V178" s="47">
        <f t="shared" si="23"/>
        <v>462</v>
      </c>
      <c r="W178" s="47">
        <f t="shared" si="24"/>
        <v>2562</v>
      </c>
      <c r="X178" s="8"/>
    </row>
    <row r="179" spans="1:24" ht="12.75">
      <c r="A179" t="s">
        <v>196</v>
      </c>
      <c r="B179" s="242" t="s">
        <v>1894</v>
      </c>
      <c r="C179" s="217">
        <v>0</v>
      </c>
      <c r="D179" s="217">
        <v>0</v>
      </c>
      <c r="E179" s="217">
        <v>0</v>
      </c>
      <c r="F179" s="47">
        <f t="shared" si="20"/>
        <v>0</v>
      </c>
      <c r="G179" s="40">
        <v>0</v>
      </c>
      <c r="H179" s="40">
        <v>0</v>
      </c>
      <c r="I179" s="40">
        <v>0</v>
      </c>
      <c r="J179" s="40">
        <v>0</v>
      </c>
      <c r="K179" s="40">
        <v>0</v>
      </c>
      <c r="L179" s="40">
        <v>8</v>
      </c>
      <c r="M179" s="47">
        <f t="shared" si="21"/>
        <v>808</v>
      </c>
      <c r="N179" s="47">
        <f t="shared" si="22"/>
        <v>808</v>
      </c>
      <c r="O179">
        <v>2</v>
      </c>
      <c r="P179">
        <v>2</v>
      </c>
      <c r="Q179">
        <v>10</v>
      </c>
      <c r="R179">
        <v>4</v>
      </c>
      <c r="S179">
        <v>1</v>
      </c>
      <c r="T179">
        <v>4</v>
      </c>
      <c r="U179" s="48">
        <f t="shared" si="19"/>
        <v>0.22</v>
      </c>
      <c r="V179" s="47">
        <f t="shared" si="23"/>
        <v>177.76</v>
      </c>
      <c r="W179" s="47">
        <f t="shared" si="24"/>
        <v>985.76</v>
      </c>
      <c r="X179" s="8"/>
    </row>
    <row r="180" spans="1:30" s="215" customFormat="1" ht="12.75">
      <c r="A180" t="s">
        <v>197</v>
      </c>
      <c r="B180" s="242" t="s">
        <v>1895</v>
      </c>
      <c r="C180" s="217">
        <v>0</v>
      </c>
      <c r="D180" s="217">
        <v>0</v>
      </c>
      <c r="E180" s="217">
        <v>0</v>
      </c>
      <c r="F180" s="47">
        <f t="shared" si="20"/>
        <v>0</v>
      </c>
      <c r="G180" s="40">
        <v>0</v>
      </c>
      <c r="H180" s="40">
        <v>0</v>
      </c>
      <c r="I180" s="40">
        <v>0</v>
      </c>
      <c r="J180" s="40">
        <v>32</v>
      </c>
      <c r="K180" s="40">
        <v>0</v>
      </c>
      <c r="L180" s="40">
        <v>0</v>
      </c>
      <c r="M180" s="47">
        <f t="shared" si="21"/>
        <v>1680</v>
      </c>
      <c r="N180" s="47">
        <f t="shared" si="22"/>
        <v>1680</v>
      </c>
      <c r="O180">
        <v>2</v>
      </c>
      <c r="P180">
        <v>2</v>
      </c>
      <c r="Q180">
        <v>10</v>
      </c>
      <c r="R180">
        <v>4</v>
      </c>
      <c r="S180">
        <v>1</v>
      </c>
      <c r="T180">
        <v>4</v>
      </c>
      <c r="U180" s="216">
        <f t="shared" si="19"/>
        <v>0.22</v>
      </c>
      <c r="V180" s="213">
        <f t="shared" si="23"/>
        <v>369.6</v>
      </c>
      <c r="W180" s="213">
        <f t="shared" si="24"/>
        <v>2049.6</v>
      </c>
      <c r="X180" s="233"/>
      <c r="Y180"/>
      <c r="Z180"/>
      <c r="AA180"/>
      <c r="AB180"/>
      <c r="AC180"/>
      <c r="AD180"/>
    </row>
    <row r="181" spans="1:30" ht="12.75">
      <c r="A181" t="s">
        <v>198</v>
      </c>
      <c r="B181" t="s">
        <v>1896</v>
      </c>
      <c r="C181" s="217">
        <v>0</v>
      </c>
      <c r="D181" s="217">
        <v>0</v>
      </c>
      <c r="E181" s="217">
        <v>0</v>
      </c>
      <c r="F181" s="47">
        <f t="shared" si="20"/>
        <v>0</v>
      </c>
      <c r="G181" s="40">
        <v>0</v>
      </c>
      <c r="H181" s="40">
        <v>0</v>
      </c>
      <c r="I181" s="40">
        <v>0</v>
      </c>
      <c r="J181" s="40">
        <v>0</v>
      </c>
      <c r="K181" s="40">
        <v>0</v>
      </c>
      <c r="L181" s="40">
        <v>0</v>
      </c>
      <c r="M181" s="47">
        <f t="shared" si="21"/>
        <v>0</v>
      </c>
      <c r="N181" s="47">
        <f t="shared" si="22"/>
        <v>0</v>
      </c>
      <c r="O181">
        <v>0</v>
      </c>
      <c r="P181">
        <v>0</v>
      </c>
      <c r="Q181">
        <v>0</v>
      </c>
      <c r="R181">
        <v>0</v>
      </c>
      <c r="S181">
        <v>0</v>
      </c>
      <c r="T181">
        <v>0</v>
      </c>
      <c r="U181" s="48">
        <f t="shared" si="19"/>
        <v>0</v>
      </c>
      <c r="V181" s="47">
        <f t="shared" si="23"/>
        <v>0</v>
      </c>
      <c r="W181" s="47">
        <f t="shared" si="24"/>
        <v>0</v>
      </c>
      <c r="X181" s="8"/>
      <c r="Y181" t="s">
        <v>1351</v>
      </c>
      <c r="Z181" s="215"/>
      <c r="AA181" s="215"/>
      <c r="AB181" s="215"/>
      <c r="AC181" s="215"/>
      <c r="AD181" s="215"/>
    </row>
    <row r="182" spans="1:24" ht="12.75">
      <c r="A182" t="s">
        <v>199</v>
      </c>
      <c r="B182" t="s">
        <v>1889</v>
      </c>
      <c r="C182" s="217">
        <v>0</v>
      </c>
      <c r="D182" s="217">
        <v>0</v>
      </c>
      <c r="E182" s="217">
        <v>0</v>
      </c>
      <c r="F182" s="47">
        <f t="shared" si="20"/>
        <v>0</v>
      </c>
      <c r="G182" s="40">
        <v>0</v>
      </c>
      <c r="H182" s="40">
        <v>0</v>
      </c>
      <c r="I182" s="40">
        <v>0</v>
      </c>
      <c r="J182" s="40">
        <v>0</v>
      </c>
      <c r="K182" s="40">
        <v>0</v>
      </c>
      <c r="L182" s="40">
        <v>0</v>
      </c>
      <c r="M182" s="47">
        <f t="shared" si="21"/>
        <v>0</v>
      </c>
      <c r="N182" s="47">
        <f t="shared" si="22"/>
        <v>0</v>
      </c>
      <c r="O182">
        <v>0</v>
      </c>
      <c r="P182">
        <v>0</v>
      </c>
      <c r="Q182">
        <v>0</v>
      </c>
      <c r="R182">
        <v>0</v>
      </c>
      <c r="S182">
        <v>0</v>
      </c>
      <c r="T182">
        <v>0</v>
      </c>
      <c r="U182" s="48">
        <f t="shared" si="19"/>
        <v>0</v>
      </c>
      <c r="V182" s="47">
        <f t="shared" si="23"/>
        <v>0</v>
      </c>
      <c r="W182" s="47">
        <f t="shared" si="24"/>
        <v>0</v>
      </c>
      <c r="X182" s="8"/>
    </row>
    <row r="183" spans="1:24" ht="12.75">
      <c r="A183" t="s">
        <v>200</v>
      </c>
      <c r="B183" s="242" t="s">
        <v>1775</v>
      </c>
      <c r="C183" s="217">
        <v>0</v>
      </c>
      <c r="D183" s="217">
        <v>0</v>
      </c>
      <c r="E183" s="217">
        <v>0</v>
      </c>
      <c r="F183" s="47">
        <f t="shared" si="20"/>
        <v>0</v>
      </c>
      <c r="G183" s="40">
        <v>120</v>
      </c>
      <c r="H183" s="40">
        <v>0</v>
      </c>
      <c r="I183" s="40">
        <v>0</v>
      </c>
      <c r="J183" s="40">
        <v>0</v>
      </c>
      <c r="K183" s="40">
        <v>0</v>
      </c>
      <c r="L183" s="40">
        <v>0</v>
      </c>
      <c r="M183" s="47">
        <f t="shared" si="21"/>
        <v>8058.000000000001</v>
      </c>
      <c r="N183" s="47">
        <f t="shared" si="22"/>
        <v>8058.000000000001</v>
      </c>
      <c r="O183">
        <v>2</v>
      </c>
      <c r="P183">
        <v>2</v>
      </c>
      <c r="Q183">
        <v>10</v>
      </c>
      <c r="R183">
        <v>4</v>
      </c>
      <c r="S183">
        <v>1</v>
      </c>
      <c r="T183">
        <v>4</v>
      </c>
      <c r="U183" s="48">
        <f t="shared" si="19"/>
        <v>0.22</v>
      </c>
      <c r="V183" s="47">
        <f t="shared" si="23"/>
        <v>1772.7600000000002</v>
      </c>
      <c r="W183" s="47">
        <f t="shared" si="24"/>
        <v>9830.760000000002</v>
      </c>
      <c r="X183" s="8"/>
    </row>
    <row r="184" spans="1:24" ht="12.75">
      <c r="A184" t="s">
        <v>201</v>
      </c>
      <c r="B184" s="242" t="s">
        <v>826</v>
      </c>
      <c r="C184" s="217">
        <v>0</v>
      </c>
      <c r="D184" s="217">
        <v>0</v>
      </c>
      <c r="E184" s="217">
        <v>0</v>
      </c>
      <c r="F184" s="47">
        <f t="shared" si="20"/>
        <v>0</v>
      </c>
      <c r="G184" s="40">
        <v>0</v>
      </c>
      <c r="H184" s="40">
        <v>0</v>
      </c>
      <c r="I184" s="40">
        <v>240</v>
      </c>
      <c r="J184" s="40">
        <v>0</v>
      </c>
      <c r="K184" s="40">
        <v>0</v>
      </c>
      <c r="L184" s="40">
        <v>0</v>
      </c>
      <c r="M184" s="47">
        <f t="shared" si="21"/>
        <v>13500</v>
      </c>
      <c r="N184" s="47">
        <f t="shared" si="22"/>
        <v>13500</v>
      </c>
      <c r="O184">
        <v>2</v>
      </c>
      <c r="P184">
        <v>2</v>
      </c>
      <c r="Q184">
        <v>10</v>
      </c>
      <c r="R184">
        <v>4</v>
      </c>
      <c r="S184">
        <v>1</v>
      </c>
      <c r="T184">
        <v>4</v>
      </c>
      <c r="U184" s="48">
        <f t="shared" si="19"/>
        <v>0.22</v>
      </c>
      <c r="V184" s="47">
        <f t="shared" si="23"/>
        <v>2970</v>
      </c>
      <c r="W184" s="47">
        <f t="shared" si="24"/>
        <v>16470</v>
      </c>
      <c r="X184" s="8"/>
    </row>
    <row r="185" spans="1:24" ht="12.75">
      <c r="A185" t="s">
        <v>202</v>
      </c>
      <c r="B185" t="s">
        <v>1890</v>
      </c>
      <c r="C185" s="217">
        <v>0</v>
      </c>
      <c r="D185" s="217">
        <v>0</v>
      </c>
      <c r="E185" s="217">
        <v>0</v>
      </c>
      <c r="F185" s="47">
        <f t="shared" si="20"/>
        <v>0</v>
      </c>
      <c r="G185" s="40">
        <v>0</v>
      </c>
      <c r="H185" s="40">
        <v>0</v>
      </c>
      <c r="I185" s="40">
        <v>0</v>
      </c>
      <c r="J185" s="40">
        <v>0</v>
      </c>
      <c r="K185" s="40">
        <v>0</v>
      </c>
      <c r="L185" s="40">
        <v>0</v>
      </c>
      <c r="M185" s="47">
        <f t="shared" si="21"/>
        <v>0</v>
      </c>
      <c r="N185" s="47">
        <f t="shared" si="22"/>
        <v>0</v>
      </c>
      <c r="O185">
        <v>0</v>
      </c>
      <c r="P185">
        <v>0</v>
      </c>
      <c r="Q185">
        <v>0</v>
      </c>
      <c r="R185">
        <v>0</v>
      </c>
      <c r="S185">
        <v>0</v>
      </c>
      <c r="T185">
        <v>0</v>
      </c>
      <c r="U185" s="48">
        <f t="shared" si="19"/>
        <v>0</v>
      </c>
      <c r="V185" s="47">
        <f t="shared" si="23"/>
        <v>0</v>
      </c>
      <c r="W185" s="47">
        <f t="shared" si="24"/>
        <v>0</v>
      </c>
      <c r="X185" s="8"/>
    </row>
    <row r="186" spans="1:24" ht="12.75">
      <c r="A186" t="s">
        <v>203</v>
      </c>
      <c r="B186" s="242" t="s">
        <v>1775</v>
      </c>
      <c r="C186" s="217">
        <v>0</v>
      </c>
      <c r="D186" s="217">
        <v>0</v>
      </c>
      <c r="E186" s="217">
        <v>0</v>
      </c>
      <c r="F186" s="47">
        <f t="shared" si="20"/>
        <v>0</v>
      </c>
      <c r="G186" s="40">
        <v>80</v>
      </c>
      <c r="H186" s="40">
        <v>0</v>
      </c>
      <c r="I186" s="40">
        <v>0</v>
      </c>
      <c r="J186" s="40">
        <v>0</v>
      </c>
      <c r="K186" s="40">
        <v>0</v>
      </c>
      <c r="L186" s="40">
        <v>0</v>
      </c>
      <c r="M186" s="47">
        <f t="shared" si="21"/>
        <v>5372</v>
      </c>
      <c r="N186" s="47">
        <f t="shared" si="22"/>
        <v>5372</v>
      </c>
      <c r="O186">
        <v>2</v>
      </c>
      <c r="P186">
        <v>2</v>
      </c>
      <c r="Q186">
        <v>10</v>
      </c>
      <c r="R186">
        <v>4</v>
      </c>
      <c r="S186">
        <v>1</v>
      </c>
      <c r="T186">
        <v>4</v>
      </c>
      <c r="U186" s="48">
        <f t="shared" si="19"/>
        <v>0.22</v>
      </c>
      <c r="V186" s="47">
        <f t="shared" si="23"/>
        <v>1181.84</v>
      </c>
      <c r="W186" s="47">
        <f t="shared" si="24"/>
        <v>6553.84</v>
      </c>
      <c r="X186" s="8"/>
    </row>
    <row r="187" spans="1:24" ht="12.75">
      <c r="A187" t="s">
        <v>204</v>
      </c>
      <c r="B187" s="242" t="s">
        <v>826</v>
      </c>
      <c r="C187" s="217">
        <v>0</v>
      </c>
      <c r="D187" s="217">
        <v>0</v>
      </c>
      <c r="E187" s="217">
        <v>0</v>
      </c>
      <c r="F187" s="47">
        <f t="shared" si="20"/>
        <v>0</v>
      </c>
      <c r="G187" s="40">
        <v>0</v>
      </c>
      <c r="H187" s="40">
        <v>0</v>
      </c>
      <c r="I187" s="40">
        <v>160</v>
      </c>
      <c r="J187" s="40">
        <v>0</v>
      </c>
      <c r="K187" s="40">
        <v>0</v>
      </c>
      <c r="L187" s="40">
        <v>0</v>
      </c>
      <c r="M187" s="47">
        <f t="shared" si="21"/>
        <v>9000</v>
      </c>
      <c r="N187" s="47">
        <f t="shared" si="22"/>
        <v>9000</v>
      </c>
      <c r="O187">
        <v>2</v>
      </c>
      <c r="P187">
        <v>2</v>
      </c>
      <c r="Q187">
        <v>10</v>
      </c>
      <c r="R187">
        <v>4</v>
      </c>
      <c r="S187">
        <v>1</v>
      </c>
      <c r="T187">
        <v>4</v>
      </c>
      <c r="U187" s="48">
        <f t="shared" si="19"/>
        <v>0.22</v>
      </c>
      <c r="V187" s="47">
        <f t="shared" si="23"/>
        <v>1980</v>
      </c>
      <c r="W187" s="47">
        <f t="shared" si="24"/>
        <v>10980</v>
      </c>
      <c r="X187" s="8"/>
    </row>
    <row r="188" spans="1:24" ht="12.75">
      <c r="A188" t="s">
        <v>205</v>
      </c>
      <c r="B188" t="s">
        <v>141</v>
      </c>
      <c r="C188" s="217">
        <v>0</v>
      </c>
      <c r="D188" s="217">
        <v>0</v>
      </c>
      <c r="E188" s="217">
        <v>0</v>
      </c>
      <c r="F188" s="47">
        <f t="shared" si="20"/>
        <v>0</v>
      </c>
      <c r="G188" s="40">
        <v>0</v>
      </c>
      <c r="H188" s="40">
        <v>0</v>
      </c>
      <c r="I188" s="40">
        <v>0</v>
      </c>
      <c r="J188" s="40">
        <v>0</v>
      </c>
      <c r="K188" s="40">
        <v>0</v>
      </c>
      <c r="L188" s="40">
        <v>0</v>
      </c>
      <c r="M188" s="47">
        <f t="shared" si="21"/>
        <v>0</v>
      </c>
      <c r="N188" s="47">
        <f t="shared" si="22"/>
        <v>0</v>
      </c>
      <c r="O188">
        <v>0</v>
      </c>
      <c r="P188">
        <v>0</v>
      </c>
      <c r="Q188">
        <v>0</v>
      </c>
      <c r="R188">
        <v>0</v>
      </c>
      <c r="S188">
        <v>0</v>
      </c>
      <c r="T188">
        <v>0</v>
      </c>
      <c r="U188" s="48">
        <f t="shared" si="19"/>
        <v>0</v>
      </c>
      <c r="V188" s="47">
        <f t="shared" si="23"/>
        <v>0</v>
      </c>
      <c r="W188" s="47">
        <f t="shared" si="24"/>
        <v>0</v>
      </c>
      <c r="X188" s="8"/>
    </row>
    <row r="189" spans="1:24" ht="12.75">
      <c r="A189" t="s">
        <v>206</v>
      </c>
      <c r="B189" s="242" t="s">
        <v>148</v>
      </c>
      <c r="C189" s="217">
        <v>40000</v>
      </c>
      <c r="D189" s="217">
        <v>50000</v>
      </c>
      <c r="E189" s="217">
        <v>0</v>
      </c>
      <c r="F189" s="47">
        <f t="shared" si="20"/>
        <v>90000</v>
      </c>
      <c r="G189" s="40">
        <v>0</v>
      </c>
      <c r="H189" s="40">
        <v>0</v>
      </c>
      <c r="I189" s="40">
        <v>0</v>
      </c>
      <c r="J189" s="40">
        <v>0</v>
      </c>
      <c r="K189" s="40">
        <v>0</v>
      </c>
      <c r="L189" s="40">
        <v>0</v>
      </c>
      <c r="M189" s="47">
        <f t="shared" si="21"/>
        <v>0</v>
      </c>
      <c r="N189" s="47">
        <f t="shared" si="22"/>
        <v>90000</v>
      </c>
      <c r="O189">
        <v>2</v>
      </c>
      <c r="P189">
        <v>2</v>
      </c>
      <c r="Q189">
        <v>10</v>
      </c>
      <c r="R189">
        <v>4</v>
      </c>
      <c r="S189">
        <v>1</v>
      </c>
      <c r="T189">
        <v>4</v>
      </c>
      <c r="U189" s="48">
        <f t="shared" si="19"/>
        <v>0.22</v>
      </c>
      <c r="V189" s="47">
        <f t="shared" si="23"/>
        <v>19800</v>
      </c>
      <c r="W189" s="47">
        <f t="shared" si="24"/>
        <v>109800</v>
      </c>
      <c r="X189" s="8"/>
    </row>
    <row r="190" spans="1:24" ht="12.75">
      <c r="A190" t="s">
        <v>207</v>
      </c>
      <c r="B190" s="242" t="s">
        <v>1892</v>
      </c>
      <c r="C190" s="217">
        <v>0</v>
      </c>
      <c r="D190" s="217">
        <v>0</v>
      </c>
      <c r="E190" s="217">
        <v>0</v>
      </c>
      <c r="F190" s="47">
        <f t="shared" si="20"/>
        <v>0</v>
      </c>
      <c r="G190" s="40">
        <v>0</v>
      </c>
      <c r="H190" s="40">
        <v>0</v>
      </c>
      <c r="I190" s="40">
        <v>0</v>
      </c>
      <c r="J190" s="40">
        <v>0</v>
      </c>
      <c r="K190" s="40">
        <v>0</v>
      </c>
      <c r="L190" s="40">
        <v>160</v>
      </c>
      <c r="M190" s="47">
        <f t="shared" si="21"/>
        <v>16160</v>
      </c>
      <c r="N190" s="47">
        <f t="shared" si="22"/>
        <v>16160</v>
      </c>
      <c r="O190">
        <v>2</v>
      </c>
      <c r="P190">
        <v>2</v>
      </c>
      <c r="Q190">
        <v>10</v>
      </c>
      <c r="R190">
        <v>4</v>
      </c>
      <c r="S190">
        <v>1</v>
      </c>
      <c r="T190">
        <v>4</v>
      </c>
      <c r="U190" s="48">
        <f t="shared" si="19"/>
        <v>0.22</v>
      </c>
      <c r="V190" s="47">
        <f t="shared" si="23"/>
        <v>3555.2</v>
      </c>
      <c r="W190" s="47">
        <f t="shared" si="24"/>
        <v>19715.2</v>
      </c>
      <c r="X190" s="8"/>
    </row>
    <row r="191" spans="1:24" ht="12.75">
      <c r="A191" t="s">
        <v>208</v>
      </c>
      <c r="B191" t="s">
        <v>1863</v>
      </c>
      <c r="C191" s="217">
        <v>0</v>
      </c>
      <c r="D191" s="217">
        <v>0</v>
      </c>
      <c r="E191" s="217">
        <v>0</v>
      </c>
      <c r="F191" s="47">
        <f t="shared" si="20"/>
        <v>0</v>
      </c>
      <c r="G191" s="40">
        <v>0</v>
      </c>
      <c r="H191" s="40">
        <v>0</v>
      </c>
      <c r="I191" s="40">
        <v>0</v>
      </c>
      <c r="J191" s="40">
        <v>0</v>
      </c>
      <c r="K191" s="40">
        <v>0</v>
      </c>
      <c r="L191" s="40">
        <v>0</v>
      </c>
      <c r="M191" s="47">
        <f t="shared" si="21"/>
        <v>0</v>
      </c>
      <c r="N191" s="47">
        <f t="shared" si="22"/>
        <v>0</v>
      </c>
      <c r="O191">
        <v>0</v>
      </c>
      <c r="P191">
        <v>0</v>
      </c>
      <c r="Q191">
        <v>0</v>
      </c>
      <c r="R191">
        <v>0</v>
      </c>
      <c r="S191">
        <v>0</v>
      </c>
      <c r="T191">
        <v>0</v>
      </c>
      <c r="U191" s="48">
        <f t="shared" si="19"/>
        <v>0</v>
      </c>
      <c r="V191" s="47">
        <f t="shared" si="23"/>
        <v>0</v>
      </c>
      <c r="W191" s="47">
        <f t="shared" si="24"/>
        <v>0</v>
      </c>
      <c r="X191" s="8"/>
    </row>
    <row r="192" spans="1:24" ht="12.75">
      <c r="A192" t="s">
        <v>209</v>
      </c>
      <c r="B192" s="242" t="s">
        <v>1893</v>
      </c>
      <c r="C192" s="217">
        <v>0</v>
      </c>
      <c r="D192" s="217">
        <v>0</v>
      </c>
      <c r="E192" s="217">
        <v>0</v>
      </c>
      <c r="F192" s="47">
        <f t="shared" si="20"/>
        <v>0</v>
      </c>
      <c r="G192" s="40">
        <v>0</v>
      </c>
      <c r="H192" s="40">
        <v>0</v>
      </c>
      <c r="I192" s="40">
        <v>0</v>
      </c>
      <c r="J192" s="40">
        <v>160</v>
      </c>
      <c r="K192" s="40">
        <v>0</v>
      </c>
      <c r="L192" s="40">
        <v>0</v>
      </c>
      <c r="M192" s="47">
        <f t="shared" si="21"/>
        <v>8400</v>
      </c>
      <c r="N192" s="47">
        <f t="shared" si="22"/>
        <v>8400</v>
      </c>
      <c r="O192">
        <v>2</v>
      </c>
      <c r="P192">
        <v>2</v>
      </c>
      <c r="Q192">
        <v>10</v>
      </c>
      <c r="R192">
        <v>4</v>
      </c>
      <c r="S192">
        <v>1</v>
      </c>
      <c r="T192">
        <v>4</v>
      </c>
      <c r="U192" s="48">
        <f t="shared" si="19"/>
        <v>0.22</v>
      </c>
      <c r="V192" s="47">
        <f t="shared" si="23"/>
        <v>1848</v>
      </c>
      <c r="W192" s="47">
        <f t="shared" si="24"/>
        <v>10248</v>
      </c>
      <c r="X192" s="8"/>
    </row>
    <row r="193" spans="1:24" ht="12.75">
      <c r="A193" t="s">
        <v>210</v>
      </c>
      <c r="B193" s="242" t="s">
        <v>1894</v>
      </c>
      <c r="C193" s="217">
        <v>0</v>
      </c>
      <c r="D193" s="217">
        <v>0</v>
      </c>
      <c r="E193" s="217">
        <v>0</v>
      </c>
      <c r="F193" s="47">
        <f t="shared" si="20"/>
        <v>0</v>
      </c>
      <c r="G193" s="40">
        <v>0</v>
      </c>
      <c r="H193" s="40">
        <v>0</v>
      </c>
      <c r="I193" s="40">
        <v>0</v>
      </c>
      <c r="J193" s="40">
        <v>0</v>
      </c>
      <c r="K193" s="40">
        <v>0</v>
      </c>
      <c r="L193" s="40">
        <v>80</v>
      </c>
      <c r="M193" s="47">
        <f t="shared" si="21"/>
        <v>8080</v>
      </c>
      <c r="N193" s="47">
        <f t="shared" si="22"/>
        <v>8080</v>
      </c>
      <c r="O193">
        <v>2</v>
      </c>
      <c r="P193">
        <v>2</v>
      </c>
      <c r="Q193">
        <v>10</v>
      </c>
      <c r="R193">
        <v>4</v>
      </c>
      <c r="S193">
        <v>1</v>
      </c>
      <c r="T193">
        <v>4</v>
      </c>
      <c r="U193" s="48">
        <f t="shared" si="19"/>
        <v>0.22</v>
      </c>
      <c r="V193" s="47">
        <f t="shared" si="23"/>
        <v>1777.6</v>
      </c>
      <c r="W193" s="47">
        <f t="shared" si="24"/>
        <v>9857.6</v>
      </c>
      <c r="X193" s="8"/>
    </row>
    <row r="194" spans="1:24" ht="12.75">
      <c r="A194" t="s">
        <v>211</v>
      </c>
      <c r="B194" s="242" t="s">
        <v>1895</v>
      </c>
      <c r="C194" s="217">
        <v>0</v>
      </c>
      <c r="D194" s="217">
        <v>0</v>
      </c>
      <c r="E194" s="217">
        <v>0</v>
      </c>
      <c r="F194" s="47">
        <f t="shared" si="20"/>
        <v>0</v>
      </c>
      <c r="G194" s="40">
        <v>0</v>
      </c>
      <c r="H194" s="40">
        <v>0</v>
      </c>
      <c r="I194" s="40">
        <v>0</v>
      </c>
      <c r="J194" s="40">
        <v>80</v>
      </c>
      <c r="K194" s="40">
        <v>0</v>
      </c>
      <c r="L194" s="40">
        <v>0</v>
      </c>
      <c r="M194" s="47">
        <f t="shared" si="21"/>
        <v>4200</v>
      </c>
      <c r="N194" s="47">
        <f t="shared" si="22"/>
        <v>4200</v>
      </c>
      <c r="O194">
        <v>2</v>
      </c>
      <c r="P194">
        <v>2</v>
      </c>
      <c r="Q194">
        <v>10</v>
      </c>
      <c r="R194">
        <v>4</v>
      </c>
      <c r="S194">
        <v>1</v>
      </c>
      <c r="T194">
        <v>4</v>
      </c>
      <c r="U194" s="48">
        <f aca="true" t="shared" si="25" ref="U194:U205">((O194*P194)+Q194+(R194*S194)+T194)/100</f>
        <v>0.22</v>
      </c>
      <c r="V194" s="47">
        <f t="shared" si="23"/>
        <v>924</v>
      </c>
      <c r="W194" s="47">
        <f t="shared" si="24"/>
        <v>5124</v>
      </c>
      <c r="X194" s="8"/>
    </row>
    <row r="195" spans="1:25" ht="12.75">
      <c r="A195" t="s">
        <v>964</v>
      </c>
      <c r="B195" t="s">
        <v>965</v>
      </c>
      <c r="C195" s="217">
        <v>0</v>
      </c>
      <c r="D195" s="217">
        <v>0</v>
      </c>
      <c r="E195" s="217">
        <v>0</v>
      </c>
      <c r="F195" s="47">
        <f t="shared" si="20"/>
        <v>0</v>
      </c>
      <c r="G195" s="40">
        <v>0</v>
      </c>
      <c r="H195" s="40">
        <v>0</v>
      </c>
      <c r="I195" s="40">
        <v>0</v>
      </c>
      <c r="J195" s="40">
        <v>0</v>
      </c>
      <c r="K195" s="40">
        <v>0</v>
      </c>
      <c r="L195" s="40">
        <v>0</v>
      </c>
      <c r="M195" s="47">
        <f t="shared" si="21"/>
        <v>0</v>
      </c>
      <c r="N195" s="47">
        <f t="shared" si="22"/>
        <v>0</v>
      </c>
      <c r="O195">
        <v>0</v>
      </c>
      <c r="P195">
        <v>0</v>
      </c>
      <c r="Q195">
        <v>0</v>
      </c>
      <c r="R195">
        <v>0</v>
      </c>
      <c r="S195">
        <v>0</v>
      </c>
      <c r="T195">
        <v>0</v>
      </c>
      <c r="U195" s="48">
        <f t="shared" si="25"/>
        <v>0</v>
      </c>
      <c r="V195" s="47">
        <f t="shared" si="23"/>
        <v>0</v>
      </c>
      <c r="W195" s="47">
        <f t="shared" si="24"/>
        <v>0</v>
      </c>
      <c r="X195" s="8"/>
      <c r="Y195" t="s">
        <v>1352</v>
      </c>
    </row>
    <row r="196" spans="1:24" ht="12.75">
      <c r="A196" t="s">
        <v>966</v>
      </c>
      <c r="B196" t="s">
        <v>967</v>
      </c>
      <c r="C196" s="217">
        <v>0</v>
      </c>
      <c r="D196" s="217">
        <v>0</v>
      </c>
      <c r="E196" s="217">
        <v>0</v>
      </c>
      <c r="F196" s="47">
        <f t="shared" si="20"/>
        <v>0</v>
      </c>
      <c r="G196" s="40">
        <v>0</v>
      </c>
      <c r="H196" s="40">
        <v>0</v>
      </c>
      <c r="I196" s="40">
        <v>0</v>
      </c>
      <c r="J196" s="40">
        <v>0</v>
      </c>
      <c r="K196" s="40">
        <v>0</v>
      </c>
      <c r="L196" s="40">
        <v>0</v>
      </c>
      <c r="M196" s="47">
        <f t="shared" si="21"/>
        <v>0</v>
      </c>
      <c r="N196" s="47">
        <f t="shared" si="22"/>
        <v>0</v>
      </c>
      <c r="O196">
        <v>0</v>
      </c>
      <c r="P196">
        <v>0</v>
      </c>
      <c r="Q196">
        <v>0</v>
      </c>
      <c r="R196">
        <v>0</v>
      </c>
      <c r="S196">
        <v>0</v>
      </c>
      <c r="T196">
        <v>0</v>
      </c>
      <c r="U196" s="48">
        <f t="shared" si="25"/>
        <v>0</v>
      </c>
      <c r="V196" s="47">
        <f t="shared" si="23"/>
        <v>0</v>
      </c>
      <c r="W196" s="47">
        <f t="shared" si="24"/>
        <v>0</v>
      </c>
      <c r="X196" s="8"/>
    </row>
    <row r="197" spans="1:24" ht="12.75">
      <c r="A197" t="s">
        <v>968</v>
      </c>
      <c r="B197" s="242" t="s">
        <v>1775</v>
      </c>
      <c r="C197" s="217">
        <v>0</v>
      </c>
      <c r="D197" s="217">
        <v>0</v>
      </c>
      <c r="E197" s="217">
        <v>0</v>
      </c>
      <c r="F197" s="47">
        <f t="shared" si="20"/>
        <v>0</v>
      </c>
      <c r="G197" s="40">
        <v>40</v>
      </c>
      <c r="H197" s="40">
        <v>0</v>
      </c>
      <c r="I197" s="40">
        <v>0</v>
      </c>
      <c r="J197" s="40">
        <v>0</v>
      </c>
      <c r="K197" s="40">
        <v>0</v>
      </c>
      <c r="L197" s="40">
        <v>0</v>
      </c>
      <c r="M197" s="47">
        <f t="shared" si="21"/>
        <v>2686</v>
      </c>
      <c r="N197" s="47">
        <f t="shared" si="22"/>
        <v>2686</v>
      </c>
      <c r="O197">
        <v>2</v>
      </c>
      <c r="P197">
        <v>2</v>
      </c>
      <c r="Q197">
        <v>15</v>
      </c>
      <c r="R197">
        <v>4</v>
      </c>
      <c r="S197">
        <v>1</v>
      </c>
      <c r="T197">
        <v>4</v>
      </c>
      <c r="U197" s="48">
        <f t="shared" si="25"/>
        <v>0.27</v>
      </c>
      <c r="V197" s="47">
        <f t="shared" si="23"/>
        <v>725.22</v>
      </c>
      <c r="W197" s="47">
        <f t="shared" si="24"/>
        <v>3411.2200000000003</v>
      </c>
      <c r="X197" s="8"/>
    </row>
    <row r="198" spans="1:24" ht="12.75">
      <c r="A198" t="s">
        <v>969</v>
      </c>
      <c r="B198" s="242" t="s">
        <v>826</v>
      </c>
      <c r="C198" s="217">
        <v>0</v>
      </c>
      <c r="D198" s="217">
        <v>0</v>
      </c>
      <c r="E198" s="217">
        <v>0</v>
      </c>
      <c r="F198" s="47">
        <f t="shared" si="20"/>
        <v>0</v>
      </c>
      <c r="G198" s="40">
        <v>0</v>
      </c>
      <c r="H198" s="40">
        <v>0</v>
      </c>
      <c r="I198" s="40">
        <v>80</v>
      </c>
      <c r="J198" s="40">
        <v>0</v>
      </c>
      <c r="K198" s="40">
        <v>0</v>
      </c>
      <c r="L198" s="40">
        <v>0</v>
      </c>
      <c r="M198" s="47">
        <f t="shared" si="21"/>
        <v>4500</v>
      </c>
      <c r="N198" s="47">
        <f t="shared" si="22"/>
        <v>4500</v>
      </c>
      <c r="O198">
        <v>2</v>
      </c>
      <c r="P198">
        <v>2</v>
      </c>
      <c r="Q198">
        <v>15</v>
      </c>
      <c r="R198">
        <v>4</v>
      </c>
      <c r="S198">
        <v>1</v>
      </c>
      <c r="T198">
        <v>4</v>
      </c>
      <c r="U198" s="48">
        <f t="shared" si="25"/>
        <v>0.27</v>
      </c>
      <c r="V198" s="47">
        <f t="shared" si="23"/>
        <v>1215</v>
      </c>
      <c r="W198" s="47">
        <f t="shared" si="24"/>
        <v>5715</v>
      </c>
      <c r="X198" s="8"/>
    </row>
    <row r="199" spans="1:24" ht="12.75">
      <c r="A199" t="s">
        <v>970</v>
      </c>
      <c r="B199" t="s">
        <v>1870</v>
      </c>
      <c r="C199" s="217">
        <v>0</v>
      </c>
      <c r="D199" s="217">
        <v>0</v>
      </c>
      <c r="E199" s="217">
        <v>0</v>
      </c>
      <c r="F199" s="47">
        <f t="shared" si="20"/>
        <v>0</v>
      </c>
      <c r="G199" s="40">
        <v>0</v>
      </c>
      <c r="H199" s="40">
        <v>0</v>
      </c>
      <c r="I199" s="40">
        <v>0</v>
      </c>
      <c r="J199" s="40">
        <v>0</v>
      </c>
      <c r="K199" s="40">
        <v>0</v>
      </c>
      <c r="L199" s="40">
        <v>0</v>
      </c>
      <c r="M199" s="47">
        <f t="shared" si="21"/>
        <v>0</v>
      </c>
      <c r="N199" s="47">
        <f t="shared" si="22"/>
        <v>0</v>
      </c>
      <c r="O199">
        <v>0</v>
      </c>
      <c r="P199">
        <v>0</v>
      </c>
      <c r="Q199">
        <v>0</v>
      </c>
      <c r="R199">
        <v>0</v>
      </c>
      <c r="S199">
        <v>0</v>
      </c>
      <c r="T199">
        <v>0</v>
      </c>
      <c r="U199" s="48">
        <f t="shared" si="25"/>
        <v>0</v>
      </c>
      <c r="V199" s="47">
        <f t="shared" si="23"/>
        <v>0</v>
      </c>
      <c r="W199" s="47">
        <f t="shared" si="24"/>
        <v>0</v>
      </c>
      <c r="X199" s="8"/>
    </row>
    <row r="200" spans="1:24" ht="12.75">
      <c r="A200" t="s">
        <v>971</v>
      </c>
      <c r="B200" s="242" t="s">
        <v>148</v>
      </c>
      <c r="C200" s="217">
        <v>5000</v>
      </c>
      <c r="D200" s="217">
        <v>0</v>
      </c>
      <c r="E200" s="217">
        <v>0</v>
      </c>
      <c r="F200" s="47">
        <f aca="true" t="shared" si="26" ref="F200:F263">SUM(C200:E200)</f>
        <v>5000</v>
      </c>
      <c r="G200" s="40">
        <v>0</v>
      </c>
      <c r="H200" s="40">
        <v>0</v>
      </c>
      <c r="I200" s="40">
        <v>0</v>
      </c>
      <c r="J200" s="40">
        <v>0</v>
      </c>
      <c r="K200" s="40">
        <v>0</v>
      </c>
      <c r="L200" s="40">
        <v>0</v>
      </c>
      <c r="M200" s="47">
        <f aca="true" t="shared" si="27" ref="M200:M263">$G$3*G200+$H$3*H200+$I$3*I200+$J$3*J200+$K$3*K200+$L$3*L200</f>
        <v>0</v>
      </c>
      <c r="N200" s="47">
        <f aca="true" t="shared" si="28" ref="N200:N263">M200+F200</f>
        <v>5000</v>
      </c>
      <c r="O200">
        <v>2</v>
      </c>
      <c r="P200">
        <v>2</v>
      </c>
      <c r="Q200">
        <v>15</v>
      </c>
      <c r="R200">
        <v>4</v>
      </c>
      <c r="S200">
        <v>1</v>
      </c>
      <c r="T200">
        <v>4</v>
      </c>
      <c r="U200" s="48">
        <f t="shared" si="25"/>
        <v>0.27</v>
      </c>
      <c r="V200" s="47">
        <f t="shared" si="23"/>
        <v>1350</v>
      </c>
      <c r="W200" s="47">
        <f t="shared" si="24"/>
        <v>6350</v>
      </c>
      <c r="X200" s="8"/>
    </row>
    <row r="201" spans="1:24" ht="12.75">
      <c r="A201" t="s">
        <v>972</v>
      </c>
      <c r="B201" s="242" t="s">
        <v>1892</v>
      </c>
      <c r="C201" s="217">
        <v>0</v>
      </c>
      <c r="D201" s="217">
        <v>0</v>
      </c>
      <c r="E201" s="217">
        <v>0</v>
      </c>
      <c r="F201" s="47">
        <f t="shared" si="26"/>
        <v>0</v>
      </c>
      <c r="G201" s="40">
        <v>0</v>
      </c>
      <c r="H201" s="40">
        <v>0</v>
      </c>
      <c r="I201" s="40">
        <v>0</v>
      </c>
      <c r="J201" s="40">
        <v>0</v>
      </c>
      <c r="K201" s="40">
        <v>0</v>
      </c>
      <c r="L201" s="40">
        <v>240</v>
      </c>
      <c r="M201" s="47">
        <f t="shared" si="27"/>
        <v>24240</v>
      </c>
      <c r="N201" s="47">
        <f t="shared" si="28"/>
        <v>24240</v>
      </c>
      <c r="O201">
        <v>2</v>
      </c>
      <c r="P201">
        <v>2</v>
      </c>
      <c r="Q201">
        <v>15</v>
      </c>
      <c r="R201">
        <v>4</v>
      </c>
      <c r="S201">
        <v>1</v>
      </c>
      <c r="T201">
        <v>4</v>
      </c>
      <c r="U201" s="48">
        <f t="shared" si="25"/>
        <v>0.27</v>
      </c>
      <c r="V201" s="47">
        <f t="shared" si="23"/>
        <v>6544.8</v>
      </c>
      <c r="W201" s="47">
        <f t="shared" si="24"/>
        <v>30784.8</v>
      </c>
      <c r="X201" s="8"/>
    </row>
    <row r="202" spans="1:24" ht="12.75">
      <c r="A202" t="s">
        <v>973</v>
      </c>
      <c r="B202" t="s">
        <v>974</v>
      </c>
      <c r="C202" s="217">
        <v>0</v>
      </c>
      <c r="D202" s="217">
        <v>0</v>
      </c>
      <c r="E202" s="217">
        <v>0</v>
      </c>
      <c r="F202" s="47">
        <f t="shared" si="26"/>
        <v>0</v>
      </c>
      <c r="G202" s="40">
        <v>0</v>
      </c>
      <c r="H202" s="40">
        <v>0</v>
      </c>
      <c r="I202" s="40">
        <v>0</v>
      </c>
      <c r="J202" s="40">
        <v>0</v>
      </c>
      <c r="K202" s="40">
        <v>0</v>
      </c>
      <c r="L202" s="40">
        <v>0</v>
      </c>
      <c r="M202" s="47">
        <f t="shared" si="27"/>
        <v>0</v>
      </c>
      <c r="N202" s="47">
        <f t="shared" si="28"/>
        <v>0</v>
      </c>
      <c r="O202">
        <v>0</v>
      </c>
      <c r="P202">
        <v>0</v>
      </c>
      <c r="Q202">
        <v>0</v>
      </c>
      <c r="R202">
        <v>0</v>
      </c>
      <c r="S202">
        <v>0</v>
      </c>
      <c r="T202">
        <v>0</v>
      </c>
      <c r="U202" s="48">
        <f t="shared" si="25"/>
        <v>0</v>
      </c>
      <c r="V202" s="47">
        <f t="shared" si="23"/>
        <v>0</v>
      </c>
      <c r="W202" s="47">
        <f t="shared" si="24"/>
        <v>0</v>
      </c>
      <c r="X202" s="8"/>
    </row>
    <row r="203" spans="1:24" ht="12.75">
      <c r="A203" t="s">
        <v>975</v>
      </c>
      <c r="B203" t="s">
        <v>967</v>
      </c>
      <c r="C203" s="217">
        <v>0</v>
      </c>
      <c r="D203" s="217">
        <v>0</v>
      </c>
      <c r="E203" s="217">
        <v>0</v>
      </c>
      <c r="F203" s="47">
        <f t="shared" si="26"/>
        <v>0</v>
      </c>
      <c r="G203" s="40">
        <v>0</v>
      </c>
      <c r="H203" s="40">
        <v>0</v>
      </c>
      <c r="I203" s="40">
        <v>0</v>
      </c>
      <c r="J203" s="40">
        <v>0</v>
      </c>
      <c r="K203" s="40">
        <v>0</v>
      </c>
      <c r="L203" s="40">
        <v>0</v>
      </c>
      <c r="M203" s="47">
        <f t="shared" si="27"/>
        <v>0</v>
      </c>
      <c r="N203" s="47">
        <f t="shared" si="28"/>
        <v>0</v>
      </c>
      <c r="O203">
        <v>0</v>
      </c>
      <c r="P203">
        <v>0</v>
      </c>
      <c r="Q203">
        <v>0</v>
      </c>
      <c r="R203">
        <v>0</v>
      </c>
      <c r="S203">
        <v>0</v>
      </c>
      <c r="T203">
        <v>0</v>
      </c>
      <c r="U203" s="48">
        <f t="shared" si="25"/>
        <v>0</v>
      </c>
      <c r="V203" s="47">
        <f t="shared" si="23"/>
        <v>0</v>
      </c>
      <c r="W203" s="47">
        <f t="shared" si="24"/>
        <v>0</v>
      </c>
      <c r="X203" s="8"/>
    </row>
    <row r="204" spans="1:24" ht="12.75">
      <c r="A204" t="s">
        <v>976</v>
      </c>
      <c r="B204" t="s">
        <v>1775</v>
      </c>
      <c r="C204" s="217">
        <v>0</v>
      </c>
      <c r="D204" s="217">
        <v>0</v>
      </c>
      <c r="E204" s="217">
        <v>0</v>
      </c>
      <c r="F204" s="47">
        <f t="shared" si="26"/>
        <v>0</v>
      </c>
      <c r="G204" s="40">
        <v>40</v>
      </c>
      <c r="H204" s="40">
        <v>0</v>
      </c>
      <c r="I204" s="40">
        <v>0</v>
      </c>
      <c r="J204" s="40">
        <v>0</v>
      </c>
      <c r="K204" s="40">
        <v>0</v>
      </c>
      <c r="L204" s="40">
        <v>0</v>
      </c>
      <c r="M204" s="47">
        <f t="shared" si="27"/>
        <v>2686</v>
      </c>
      <c r="N204" s="47">
        <f t="shared" si="28"/>
        <v>2686</v>
      </c>
      <c r="O204">
        <v>2</v>
      </c>
      <c r="P204">
        <v>2</v>
      </c>
      <c r="Q204">
        <v>15</v>
      </c>
      <c r="R204">
        <v>4</v>
      </c>
      <c r="S204">
        <v>1</v>
      </c>
      <c r="T204">
        <v>4</v>
      </c>
      <c r="U204" s="48">
        <f t="shared" si="25"/>
        <v>0.27</v>
      </c>
      <c r="V204" s="47">
        <f t="shared" si="23"/>
        <v>725.22</v>
      </c>
      <c r="W204" s="47">
        <f t="shared" si="24"/>
        <v>3411.2200000000003</v>
      </c>
      <c r="X204" s="8"/>
    </row>
    <row r="205" spans="1:24" ht="12.75">
      <c r="A205" t="s">
        <v>977</v>
      </c>
      <c r="B205" s="242" t="s">
        <v>826</v>
      </c>
      <c r="C205" s="217">
        <v>0</v>
      </c>
      <c r="D205" s="217">
        <v>0</v>
      </c>
      <c r="E205" s="217">
        <v>0</v>
      </c>
      <c r="F205" s="47">
        <f t="shared" si="26"/>
        <v>0</v>
      </c>
      <c r="G205" s="40">
        <v>0</v>
      </c>
      <c r="H205" s="40">
        <v>0</v>
      </c>
      <c r="I205" s="40">
        <v>80</v>
      </c>
      <c r="J205" s="40">
        <v>0</v>
      </c>
      <c r="K205" s="40">
        <v>0</v>
      </c>
      <c r="L205" s="40">
        <v>0</v>
      </c>
      <c r="M205" s="47">
        <f t="shared" si="27"/>
        <v>4500</v>
      </c>
      <c r="N205" s="47">
        <f t="shared" si="28"/>
        <v>4500</v>
      </c>
      <c r="O205">
        <v>2</v>
      </c>
      <c r="P205">
        <v>2</v>
      </c>
      <c r="Q205">
        <v>15</v>
      </c>
      <c r="R205">
        <v>4</v>
      </c>
      <c r="S205">
        <v>1</v>
      </c>
      <c r="T205">
        <v>4</v>
      </c>
      <c r="U205" s="48">
        <f t="shared" si="25"/>
        <v>0.27</v>
      </c>
      <c r="V205" s="47">
        <f aca="true" t="shared" si="29" ref="V205:V258">+(F205+M205)*U205</f>
        <v>1215</v>
      </c>
      <c r="W205" s="47">
        <f aca="true" t="shared" si="30" ref="W205:W258">+F205+M205+V205</f>
        <v>5715</v>
      </c>
      <c r="X205" s="8"/>
    </row>
    <row r="206" spans="1:24" ht="12.75">
      <c r="A206" t="s">
        <v>978</v>
      </c>
      <c r="B206" t="s">
        <v>141</v>
      </c>
      <c r="C206" s="217">
        <v>0</v>
      </c>
      <c r="D206" s="217">
        <v>0</v>
      </c>
      <c r="E206" s="217">
        <v>0</v>
      </c>
      <c r="F206" s="47">
        <f t="shared" si="26"/>
        <v>0</v>
      </c>
      <c r="G206" s="40">
        <v>0</v>
      </c>
      <c r="H206" s="40">
        <v>0</v>
      </c>
      <c r="I206" s="40">
        <v>0</v>
      </c>
      <c r="J206" s="40">
        <v>0</v>
      </c>
      <c r="K206" s="40">
        <v>0</v>
      </c>
      <c r="L206" s="40">
        <v>0</v>
      </c>
      <c r="M206" s="47">
        <f t="shared" si="27"/>
        <v>0</v>
      </c>
      <c r="N206" s="47">
        <f t="shared" si="28"/>
        <v>0</v>
      </c>
      <c r="O206">
        <v>0</v>
      </c>
      <c r="P206">
        <v>0</v>
      </c>
      <c r="Q206">
        <v>0</v>
      </c>
      <c r="R206">
        <v>0</v>
      </c>
      <c r="S206">
        <v>0</v>
      </c>
      <c r="T206">
        <v>0</v>
      </c>
      <c r="U206" s="48"/>
      <c r="V206" s="47">
        <f t="shared" si="29"/>
        <v>0</v>
      </c>
      <c r="W206" s="47">
        <f t="shared" si="30"/>
        <v>0</v>
      </c>
      <c r="X206" s="8"/>
    </row>
    <row r="207" spans="1:24" ht="12.75">
      <c r="A207" t="s">
        <v>979</v>
      </c>
      <c r="B207" s="242" t="s">
        <v>148</v>
      </c>
      <c r="C207" s="217">
        <v>2000</v>
      </c>
      <c r="D207" s="217">
        <v>0</v>
      </c>
      <c r="E207" s="217">
        <v>0</v>
      </c>
      <c r="F207" s="47">
        <f t="shared" si="26"/>
        <v>2000</v>
      </c>
      <c r="G207" s="40">
        <v>0</v>
      </c>
      <c r="H207" s="40">
        <v>0</v>
      </c>
      <c r="I207" s="40">
        <v>0</v>
      </c>
      <c r="J207" s="40">
        <v>0</v>
      </c>
      <c r="K207" s="40">
        <v>0</v>
      </c>
      <c r="L207" s="40">
        <v>0</v>
      </c>
      <c r="M207" s="47">
        <f t="shared" si="27"/>
        <v>0</v>
      </c>
      <c r="N207" s="47">
        <f t="shared" si="28"/>
        <v>2000</v>
      </c>
      <c r="O207">
        <v>2</v>
      </c>
      <c r="P207">
        <v>2</v>
      </c>
      <c r="Q207">
        <v>15</v>
      </c>
      <c r="R207">
        <v>4</v>
      </c>
      <c r="S207">
        <v>1</v>
      </c>
      <c r="T207">
        <v>4</v>
      </c>
      <c r="U207" s="48">
        <f aca="true" t="shared" si="31" ref="U207:U258">((O207*P207)+Q207+(R207*S207)+T207)/100</f>
        <v>0.27</v>
      </c>
      <c r="V207" s="47">
        <f t="shared" si="29"/>
        <v>540</v>
      </c>
      <c r="W207" s="47">
        <f t="shared" si="30"/>
        <v>2540</v>
      </c>
      <c r="X207" s="8"/>
    </row>
    <row r="208" spans="1:24" ht="12.75">
      <c r="A208" t="s">
        <v>980</v>
      </c>
      <c r="B208" s="242" t="s">
        <v>1892</v>
      </c>
      <c r="C208" s="217">
        <v>0</v>
      </c>
      <c r="D208" s="217">
        <v>0</v>
      </c>
      <c r="E208" s="217">
        <v>0</v>
      </c>
      <c r="F208" s="47">
        <f t="shared" si="26"/>
        <v>0</v>
      </c>
      <c r="G208" s="40">
        <v>0</v>
      </c>
      <c r="H208" s="40">
        <v>0</v>
      </c>
      <c r="I208" s="40">
        <v>0</v>
      </c>
      <c r="J208" s="40">
        <v>0</v>
      </c>
      <c r="K208" s="40">
        <v>0</v>
      </c>
      <c r="L208" s="40">
        <v>120</v>
      </c>
      <c r="M208" s="47">
        <f t="shared" si="27"/>
        <v>12120</v>
      </c>
      <c r="N208" s="47">
        <f t="shared" si="28"/>
        <v>12120</v>
      </c>
      <c r="O208">
        <v>2</v>
      </c>
      <c r="P208">
        <v>2</v>
      </c>
      <c r="Q208">
        <v>15</v>
      </c>
      <c r="R208">
        <v>4</v>
      </c>
      <c r="S208">
        <v>1</v>
      </c>
      <c r="T208">
        <v>4</v>
      </c>
      <c r="U208" s="48">
        <f t="shared" si="31"/>
        <v>0.27</v>
      </c>
      <c r="V208" s="47">
        <f t="shared" si="29"/>
        <v>3272.4</v>
      </c>
      <c r="W208" s="47">
        <f t="shared" si="30"/>
        <v>15392.4</v>
      </c>
      <c r="X208" s="8"/>
    </row>
    <row r="209" spans="1:25" ht="12.75">
      <c r="A209" s="325" t="s">
        <v>212</v>
      </c>
      <c r="B209" s="240" t="s">
        <v>906</v>
      </c>
      <c r="C209" s="217">
        <v>0</v>
      </c>
      <c r="D209" s="217">
        <v>0</v>
      </c>
      <c r="E209" s="217">
        <v>0</v>
      </c>
      <c r="F209" s="47">
        <f t="shared" si="26"/>
        <v>0</v>
      </c>
      <c r="G209" s="40">
        <v>0</v>
      </c>
      <c r="H209" s="40">
        <v>0</v>
      </c>
      <c r="I209" s="40">
        <v>0</v>
      </c>
      <c r="J209" s="40">
        <v>0</v>
      </c>
      <c r="K209" s="40">
        <v>0</v>
      </c>
      <c r="L209" s="40">
        <v>0</v>
      </c>
      <c r="M209" s="47">
        <f t="shared" si="27"/>
        <v>0</v>
      </c>
      <c r="N209" s="47">
        <f t="shared" si="28"/>
        <v>0</v>
      </c>
      <c r="O209">
        <v>0</v>
      </c>
      <c r="P209">
        <v>0</v>
      </c>
      <c r="Q209">
        <v>0</v>
      </c>
      <c r="R209">
        <v>0</v>
      </c>
      <c r="S209">
        <v>0</v>
      </c>
      <c r="T209">
        <v>0</v>
      </c>
      <c r="U209" s="48">
        <f t="shared" si="31"/>
        <v>0</v>
      </c>
      <c r="V209" s="47">
        <f t="shared" si="29"/>
        <v>0</v>
      </c>
      <c r="W209" s="47">
        <f t="shared" si="30"/>
        <v>0</v>
      </c>
      <c r="X209" s="8"/>
      <c r="Y209" t="s">
        <v>1353</v>
      </c>
    </row>
    <row r="210" spans="1:24" ht="12.75">
      <c r="A210" t="s">
        <v>213</v>
      </c>
      <c r="B210" s="242" t="s">
        <v>1897</v>
      </c>
      <c r="C210" s="217">
        <v>3000</v>
      </c>
      <c r="D210" s="217">
        <v>0</v>
      </c>
      <c r="E210" s="217">
        <v>0</v>
      </c>
      <c r="F210" s="47">
        <f t="shared" si="26"/>
        <v>3000</v>
      </c>
      <c r="G210" s="40">
        <v>0</v>
      </c>
      <c r="H210" s="40">
        <v>0</v>
      </c>
      <c r="I210" s="40">
        <v>0</v>
      </c>
      <c r="J210" s="40">
        <v>240</v>
      </c>
      <c r="K210" s="40">
        <v>0</v>
      </c>
      <c r="L210" s="40">
        <v>0</v>
      </c>
      <c r="M210" s="47">
        <f t="shared" si="27"/>
        <v>12600</v>
      </c>
      <c r="N210" s="47">
        <f t="shared" si="28"/>
        <v>15600</v>
      </c>
      <c r="O210">
        <v>1</v>
      </c>
      <c r="P210">
        <v>2</v>
      </c>
      <c r="Q210">
        <v>10</v>
      </c>
      <c r="R210">
        <v>4</v>
      </c>
      <c r="S210">
        <v>1</v>
      </c>
      <c r="T210">
        <v>4</v>
      </c>
      <c r="U210" s="48">
        <f t="shared" si="31"/>
        <v>0.2</v>
      </c>
      <c r="V210" s="47">
        <f t="shared" si="29"/>
        <v>3120</v>
      </c>
      <c r="W210" s="47">
        <f t="shared" si="30"/>
        <v>18720</v>
      </c>
      <c r="X210" s="8"/>
    </row>
    <row r="211" spans="1:25" ht="12.75">
      <c r="A211" s="325" t="s">
        <v>214</v>
      </c>
      <c r="B211" s="240" t="s">
        <v>1898</v>
      </c>
      <c r="C211" s="217">
        <v>0</v>
      </c>
      <c r="D211" s="217">
        <v>0</v>
      </c>
      <c r="E211" s="217">
        <v>0</v>
      </c>
      <c r="F211" s="47">
        <f t="shared" si="26"/>
        <v>0</v>
      </c>
      <c r="G211" s="40">
        <v>0</v>
      </c>
      <c r="H211" s="40">
        <v>0</v>
      </c>
      <c r="I211" s="40">
        <v>0</v>
      </c>
      <c r="J211" s="40">
        <v>0</v>
      </c>
      <c r="K211" s="40">
        <v>0</v>
      </c>
      <c r="L211" s="40">
        <v>0</v>
      </c>
      <c r="M211" s="47">
        <f t="shared" si="27"/>
        <v>0</v>
      </c>
      <c r="N211" s="47">
        <f t="shared" si="28"/>
        <v>0</v>
      </c>
      <c r="U211" s="48">
        <f t="shared" si="31"/>
        <v>0</v>
      </c>
      <c r="V211" s="47">
        <f t="shared" si="29"/>
        <v>0</v>
      </c>
      <c r="W211" s="47">
        <f t="shared" si="30"/>
        <v>0</v>
      </c>
      <c r="X211" s="8"/>
      <c r="Y211" t="s">
        <v>1354</v>
      </c>
    </row>
    <row r="212" spans="1:25" ht="12.75">
      <c r="A212" t="s">
        <v>215</v>
      </c>
      <c r="B212" t="s">
        <v>903</v>
      </c>
      <c r="C212" s="217">
        <v>0</v>
      </c>
      <c r="D212" s="217">
        <v>0</v>
      </c>
      <c r="E212" s="217">
        <v>0</v>
      </c>
      <c r="F212" s="47">
        <f t="shared" si="26"/>
        <v>0</v>
      </c>
      <c r="G212" s="40">
        <v>0</v>
      </c>
      <c r="H212" s="40">
        <v>0</v>
      </c>
      <c r="I212" s="40">
        <v>0</v>
      </c>
      <c r="J212" s="40">
        <v>0</v>
      </c>
      <c r="K212" s="40">
        <v>0</v>
      </c>
      <c r="L212" s="40">
        <v>0</v>
      </c>
      <c r="M212" s="47">
        <f t="shared" si="27"/>
        <v>0</v>
      </c>
      <c r="N212" s="47">
        <f t="shared" si="28"/>
        <v>0</v>
      </c>
      <c r="U212" s="48">
        <f t="shared" si="31"/>
        <v>0</v>
      </c>
      <c r="V212" s="47">
        <f t="shared" si="29"/>
        <v>0</v>
      </c>
      <c r="W212" s="47">
        <f t="shared" si="30"/>
        <v>0</v>
      </c>
      <c r="X212" s="8"/>
      <c r="Y212" t="s">
        <v>1355</v>
      </c>
    </row>
    <row r="213" spans="1:25" ht="12.75">
      <c r="A213" t="s">
        <v>216</v>
      </c>
      <c r="B213" t="s">
        <v>904</v>
      </c>
      <c r="C213" s="217">
        <v>0</v>
      </c>
      <c r="D213" s="217">
        <v>0</v>
      </c>
      <c r="E213" s="217">
        <v>0</v>
      </c>
      <c r="F213" s="47">
        <f t="shared" si="26"/>
        <v>0</v>
      </c>
      <c r="G213" s="40">
        <v>0</v>
      </c>
      <c r="H213" s="40">
        <v>0</v>
      </c>
      <c r="I213" s="40">
        <v>0</v>
      </c>
      <c r="J213" s="40">
        <v>0</v>
      </c>
      <c r="K213" s="40">
        <v>0</v>
      </c>
      <c r="L213" s="40">
        <v>0</v>
      </c>
      <c r="M213" s="47">
        <f t="shared" si="27"/>
        <v>0</v>
      </c>
      <c r="N213" s="47">
        <f t="shared" si="28"/>
        <v>0</v>
      </c>
      <c r="U213" s="48">
        <f t="shared" si="31"/>
        <v>0</v>
      </c>
      <c r="V213" s="47">
        <f t="shared" si="29"/>
        <v>0</v>
      </c>
      <c r="W213" s="47">
        <f t="shared" si="30"/>
        <v>0</v>
      </c>
      <c r="X213" s="8"/>
      <c r="Y213" t="s">
        <v>1356</v>
      </c>
    </row>
    <row r="214" spans="1:24" ht="12.75">
      <c r="A214" t="s">
        <v>217</v>
      </c>
      <c r="B214" s="242" t="s">
        <v>1903</v>
      </c>
      <c r="C214" s="217">
        <v>0</v>
      </c>
      <c r="D214" s="217">
        <v>0</v>
      </c>
      <c r="E214" s="217">
        <v>0</v>
      </c>
      <c r="F214" s="47">
        <f t="shared" si="26"/>
        <v>0</v>
      </c>
      <c r="G214" s="40">
        <v>0</v>
      </c>
      <c r="H214" s="40">
        <v>0</v>
      </c>
      <c r="I214" s="40">
        <v>0</v>
      </c>
      <c r="J214" s="40">
        <v>0</v>
      </c>
      <c r="K214" s="40">
        <v>1200</v>
      </c>
      <c r="L214" s="40">
        <v>0</v>
      </c>
      <c r="M214" s="47">
        <f t="shared" si="27"/>
        <v>80460</v>
      </c>
      <c r="N214" s="47">
        <f t="shared" si="28"/>
        <v>80460</v>
      </c>
      <c r="O214">
        <v>1</v>
      </c>
      <c r="P214">
        <v>2</v>
      </c>
      <c r="Q214">
        <v>10</v>
      </c>
      <c r="R214">
        <v>4</v>
      </c>
      <c r="S214">
        <v>1</v>
      </c>
      <c r="T214">
        <v>4</v>
      </c>
      <c r="U214" s="48">
        <f t="shared" si="31"/>
        <v>0.2</v>
      </c>
      <c r="V214" s="47">
        <f t="shared" si="29"/>
        <v>16092</v>
      </c>
      <c r="W214" s="47">
        <f t="shared" si="30"/>
        <v>96552</v>
      </c>
      <c r="X214" s="8"/>
    </row>
    <row r="215" spans="1:24" ht="12.75">
      <c r="A215" t="s">
        <v>218</v>
      </c>
      <c r="B215" s="242" t="s">
        <v>1904</v>
      </c>
      <c r="C215" s="217">
        <v>0</v>
      </c>
      <c r="D215" s="217">
        <v>0</v>
      </c>
      <c r="E215" s="217">
        <v>0</v>
      </c>
      <c r="F215" s="47">
        <f t="shared" si="26"/>
        <v>0</v>
      </c>
      <c r="G215" s="40">
        <v>0</v>
      </c>
      <c r="H215" s="40">
        <v>0</v>
      </c>
      <c r="I215" s="40">
        <v>0</v>
      </c>
      <c r="J215" s="40">
        <v>0</v>
      </c>
      <c r="K215" s="40">
        <v>1120</v>
      </c>
      <c r="L215" s="40">
        <v>0</v>
      </c>
      <c r="M215" s="47">
        <f t="shared" si="27"/>
        <v>75096</v>
      </c>
      <c r="N215" s="47">
        <f t="shared" si="28"/>
        <v>75096</v>
      </c>
      <c r="O215">
        <v>1</v>
      </c>
      <c r="P215">
        <v>2</v>
      </c>
      <c r="Q215">
        <v>10</v>
      </c>
      <c r="R215">
        <v>4</v>
      </c>
      <c r="S215">
        <v>1</v>
      </c>
      <c r="T215">
        <v>4</v>
      </c>
      <c r="U215" s="48">
        <f t="shared" si="31"/>
        <v>0.2</v>
      </c>
      <c r="V215" s="47">
        <f t="shared" si="29"/>
        <v>15019.2</v>
      </c>
      <c r="W215" s="47">
        <f t="shared" si="30"/>
        <v>90115.2</v>
      </c>
      <c r="X215" s="8"/>
    </row>
    <row r="216" spans="1:24" ht="12.75">
      <c r="A216" t="s">
        <v>219</v>
      </c>
      <c r="B216" s="242" t="s">
        <v>1905</v>
      </c>
      <c r="C216" s="217">
        <v>0</v>
      </c>
      <c r="D216" s="217">
        <v>0</v>
      </c>
      <c r="E216" s="217">
        <v>0</v>
      </c>
      <c r="F216" s="47">
        <f t="shared" si="26"/>
        <v>0</v>
      </c>
      <c r="G216" s="40">
        <v>0</v>
      </c>
      <c r="H216" s="40">
        <v>0</v>
      </c>
      <c r="I216" s="40">
        <v>0</v>
      </c>
      <c r="J216" s="40">
        <v>0</v>
      </c>
      <c r="K216" s="40">
        <v>360</v>
      </c>
      <c r="L216" s="40">
        <v>0</v>
      </c>
      <c r="M216" s="47">
        <f t="shared" si="27"/>
        <v>24138</v>
      </c>
      <c r="N216" s="47">
        <f t="shared" si="28"/>
        <v>24138</v>
      </c>
      <c r="O216">
        <v>1</v>
      </c>
      <c r="P216">
        <v>2</v>
      </c>
      <c r="Q216">
        <v>10</v>
      </c>
      <c r="R216">
        <v>4</v>
      </c>
      <c r="S216">
        <v>1</v>
      </c>
      <c r="T216">
        <v>4</v>
      </c>
      <c r="U216" s="48">
        <f t="shared" si="31"/>
        <v>0.2</v>
      </c>
      <c r="V216" s="47">
        <f t="shared" si="29"/>
        <v>4827.6</v>
      </c>
      <c r="W216" s="47">
        <f t="shared" si="30"/>
        <v>28965.6</v>
      </c>
      <c r="X216" s="8"/>
    </row>
    <row r="217" spans="1:24" ht="12.75">
      <c r="A217" t="s">
        <v>220</v>
      </c>
      <c r="B217" s="242" t="s">
        <v>1906</v>
      </c>
      <c r="C217" s="217">
        <v>0</v>
      </c>
      <c r="D217" s="217">
        <v>0</v>
      </c>
      <c r="E217" s="217">
        <v>0</v>
      </c>
      <c r="F217" s="47">
        <f t="shared" si="26"/>
        <v>0</v>
      </c>
      <c r="G217" s="40">
        <v>0</v>
      </c>
      <c r="H217" s="40">
        <v>0</v>
      </c>
      <c r="I217" s="40">
        <v>0</v>
      </c>
      <c r="J217" s="40">
        <v>0</v>
      </c>
      <c r="K217" s="40">
        <v>0</v>
      </c>
      <c r="L217" s="40">
        <v>360</v>
      </c>
      <c r="M217" s="47">
        <f t="shared" si="27"/>
        <v>36360</v>
      </c>
      <c r="N217" s="47">
        <f t="shared" si="28"/>
        <v>36360</v>
      </c>
      <c r="O217">
        <v>1</v>
      </c>
      <c r="P217">
        <v>2</v>
      </c>
      <c r="Q217">
        <v>10</v>
      </c>
      <c r="R217">
        <v>4</v>
      </c>
      <c r="S217">
        <v>1</v>
      </c>
      <c r="T217">
        <v>4</v>
      </c>
      <c r="U217" s="48">
        <f t="shared" si="31"/>
        <v>0.2</v>
      </c>
      <c r="V217" s="47">
        <f t="shared" si="29"/>
        <v>7272</v>
      </c>
      <c r="W217" s="47">
        <f t="shared" si="30"/>
        <v>43632</v>
      </c>
      <c r="X217" s="8"/>
    </row>
    <row r="218" spans="1:24" ht="12.75">
      <c r="A218" t="s">
        <v>221</v>
      </c>
      <c r="B218" s="242" t="s">
        <v>1907</v>
      </c>
      <c r="C218" s="217">
        <v>0</v>
      </c>
      <c r="D218" s="217">
        <v>0</v>
      </c>
      <c r="E218" s="217">
        <v>0</v>
      </c>
      <c r="F218" s="47">
        <f t="shared" si="26"/>
        <v>0</v>
      </c>
      <c r="G218">
        <v>0</v>
      </c>
      <c r="H218">
        <v>0</v>
      </c>
      <c r="I218">
        <v>0</v>
      </c>
      <c r="J218">
        <v>0</v>
      </c>
      <c r="K218" s="40">
        <v>0</v>
      </c>
      <c r="L218">
        <v>80</v>
      </c>
      <c r="M218" s="47">
        <f t="shared" si="27"/>
        <v>8080</v>
      </c>
      <c r="N218" s="47">
        <f t="shared" si="28"/>
        <v>8080</v>
      </c>
      <c r="O218">
        <v>1</v>
      </c>
      <c r="P218">
        <v>2</v>
      </c>
      <c r="Q218">
        <v>10</v>
      </c>
      <c r="R218">
        <v>4</v>
      </c>
      <c r="S218">
        <v>1</v>
      </c>
      <c r="T218">
        <v>4</v>
      </c>
      <c r="U218" s="48">
        <f t="shared" si="31"/>
        <v>0.2</v>
      </c>
      <c r="V218" s="47">
        <f t="shared" si="29"/>
        <v>1616</v>
      </c>
      <c r="W218" s="47">
        <f t="shared" si="30"/>
        <v>9696</v>
      </c>
      <c r="X218" s="8"/>
    </row>
    <row r="219" spans="1:25" ht="12.75">
      <c r="A219" t="s">
        <v>222</v>
      </c>
      <c r="B219" t="s">
        <v>137</v>
      </c>
      <c r="C219" s="217">
        <v>0</v>
      </c>
      <c r="D219" s="217">
        <v>0</v>
      </c>
      <c r="E219" s="217">
        <v>0</v>
      </c>
      <c r="F219" s="47">
        <f t="shared" si="26"/>
        <v>0</v>
      </c>
      <c r="G219">
        <v>0</v>
      </c>
      <c r="H219">
        <v>0</v>
      </c>
      <c r="I219">
        <v>0</v>
      </c>
      <c r="J219">
        <v>0</v>
      </c>
      <c r="K219">
        <v>0</v>
      </c>
      <c r="L219">
        <v>0</v>
      </c>
      <c r="M219" s="47">
        <f t="shared" si="27"/>
        <v>0</v>
      </c>
      <c r="N219" s="47">
        <f t="shared" si="28"/>
        <v>0</v>
      </c>
      <c r="U219" s="48">
        <f t="shared" si="31"/>
        <v>0</v>
      </c>
      <c r="V219" s="47">
        <f t="shared" si="29"/>
        <v>0</v>
      </c>
      <c r="W219" s="47">
        <f t="shared" si="30"/>
        <v>0</v>
      </c>
      <c r="X219" s="8"/>
      <c r="Y219" t="s">
        <v>1357</v>
      </c>
    </row>
    <row r="220" spans="1:24" ht="12.75">
      <c r="A220" t="s">
        <v>223</v>
      </c>
      <c r="B220" s="242" t="s">
        <v>138</v>
      </c>
      <c r="C220" s="217">
        <v>0</v>
      </c>
      <c r="D220" s="217">
        <v>0</v>
      </c>
      <c r="E220" s="217">
        <v>0</v>
      </c>
      <c r="F220" s="47">
        <f t="shared" si="26"/>
        <v>0</v>
      </c>
      <c r="G220" s="40">
        <v>0</v>
      </c>
      <c r="H220" s="40">
        <v>0</v>
      </c>
      <c r="I220" s="40">
        <v>0</v>
      </c>
      <c r="J220" s="40">
        <v>0</v>
      </c>
      <c r="K220" s="40">
        <v>224</v>
      </c>
      <c r="L220" s="40">
        <v>0</v>
      </c>
      <c r="M220" s="47">
        <f t="shared" si="27"/>
        <v>15019.199999999999</v>
      </c>
      <c r="N220" s="47">
        <f t="shared" si="28"/>
        <v>15019.199999999999</v>
      </c>
      <c r="O220">
        <v>1</v>
      </c>
      <c r="P220">
        <v>2</v>
      </c>
      <c r="Q220">
        <v>10</v>
      </c>
      <c r="R220">
        <v>4</v>
      </c>
      <c r="S220">
        <v>1</v>
      </c>
      <c r="T220">
        <v>4</v>
      </c>
      <c r="U220" s="48">
        <f t="shared" si="31"/>
        <v>0.2</v>
      </c>
      <c r="V220" s="47">
        <f t="shared" si="29"/>
        <v>3003.84</v>
      </c>
      <c r="W220" s="47">
        <f t="shared" si="30"/>
        <v>18023.04</v>
      </c>
      <c r="X220" s="8"/>
    </row>
    <row r="221" spans="1:24" ht="12.75">
      <c r="A221" t="s">
        <v>224</v>
      </c>
      <c r="B221" s="242" t="s">
        <v>1908</v>
      </c>
      <c r="C221" s="217">
        <v>0</v>
      </c>
      <c r="D221" s="217">
        <v>0</v>
      </c>
      <c r="E221" s="217">
        <v>0</v>
      </c>
      <c r="F221" s="47">
        <f t="shared" si="26"/>
        <v>0</v>
      </c>
      <c r="G221" s="40">
        <v>0</v>
      </c>
      <c r="H221" s="40">
        <v>0</v>
      </c>
      <c r="I221" s="40">
        <v>0</v>
      </c>
      <c r="J221" s="40">
        <v>0</v>
      </c>
      <c r="K221" s="40">
        <v>280</v>
      </c>
      <c r="L221" s="40">
        <v>0</v>
      </c>
      <c r="M221" s="47">
        <f t="shared" si="27"/>
        <v>18774</v>
      </c>
      <c r="N221" s="47">
        <f t="shared" si="28"/>
        <v>18774</v>
      </c>
      <c r="O221">
        <v>1</v>
      </c>
      <c r="P221">
        <v>2</v>
      </c>
      <c r="Q221">
        <v>10</v>
      </c>
      <c r="R221">
        <v>4</v>
      </c>
      <c r="S221">
        <v>1</v>
      </c>
      <c r="T221">
        <v>4</v>
      </c>
      <c r="U221" s="48">
        <f t="shared" si="31"/>
        <v>0.2</v>
      </c>
      <c r="V221" s="47">
        <f t="shared" si="29"/>
        <v>3754.8</v>
      </c>
      <c r="W221" s="47">
        <f t="shared" si="30"/>
        <v>22528.8</v>
      </c>
      <c r="X221" s="8"/>
    </row>
    <row r="222" spans="1:24" ht="12.75">
      <c r="A222" t="s">
        <v>225</v>
      </c>
      <c r="B222" s="242" t="s">
        <v>1909</v>
      </c>
      <c r="C222" s="217">
        <v>0</v>
      </c>
      <c r="D222" s="217">
        <v>0</v>
      </c>
      <c r="E222" s="217">
        <v>0</v>
      </c>
      <c r="F222" s="47">
        <f t="shared" si="26"/>
        <v>0</v>
      </c>
      <c r="G222" s="40">
        <v>0</v>
      </c>
      <c r="H222" s="40">
        <v>0</v>
      </c>
      <c r="I222" s="40">
        <v>0</v>
      </c>
      <c r="J222" s="40">
        <v>0</v>
      </c>
      <c r="K222" s="40">
        <v>480</v>
      </c>
      <c r="L222" s="40">
        <v>0</v>
      </c>
      <c r="M222" s="47">
        <f t="shared" si="27"/>
        <v>32184</v>
      </c>
      <c r="N222" s="47">
        <f t="shared" si="28"/>
        <v>32184</v>
      </c>
      <c r="O222">
        <v>1</v>
      </c>
      <c r="P222">
        <v>2</v>
      </c>
      <c r="Q222">
        <v>10</v>
      </c>
      <c r="R222">
        <v>4</v>
      </c>
      <c r="S222">
        <v>1</v>
      </c>
      <c r="T222">
        <v>4</v>
      </c>
      <c r="U222" s="48">
        <f t="shared" si="31"/>
        <v>0.2</v>
      </c>
      <c r="V222" s="47">
        <f t="shared" si="29"/>
        <v>6436.8</v>
      </c>
      <c r="W222" s="47">
        <f t="shared" si="30"/>
        <v>38620.8</v>
      </c>
      <c r="X222" s="8"/>
    </row>
    <row r="223" spans="1:24" ht="12.75">
      <c r="A223" t="s">
        <v>226</v>
      </c>
      <c r="B223" s="242" t="s">
        <v>1910</v>
      </c>
      <c r="C223" s="217">
        <v>0</v>
      </c>
      <c r="D223" s="217">
        <v>0</v>
      </c>
      <c r="E223" s="217">
        <v>0</v>
      </c>
      <c r="F223" s="47">
        <f t="shared" si="26"/>
        <v>0</v>
      </c>
      <c r="G223" s="40">
        <v>0</v>
      </c>
      <c r="H223" s="40">
        <v>0</v>
      </c>
      <c r="I223" s="40">
        <v>0</v>
      </c>
      <c r="J223" s="40">
        <v>0</v>
      </c>
      <c r="K223" s="40">
        <v>320</v>
      </c>
      <c r="L223" s="40">
        <v>0</v>
      </c>
      <c r="M223" s="47">
        <f t="shared" si="27"/>
        <v>21456</v>
      </c>
      <c r="N223" s="47">
        <f t="shared" si="28"/>
        <v>21456</v>
      </c>
      <c r="O223">
        <v>1</v>
      </c>
      <c r="P223">
        <v>2</v>
      </c>
      <c r="Q223">
        <v>10</v>
      </c>
      <c r="R223">
        <v>4</v>
      </c>
      <c r="S223">
        <v>1</v>
      </c>
      <c r="T223">
        <v>4</v>
      </c>
      <c r="U223" s="48">
        <f t="shared" si="31"/>
        <v>0.2</v>
      </c>
      <c r="V223" s="47">
        <f t="shared" si="29"/>
        <v>4291.2</v>
      </c>
      <c r="W223" s="47">
        <f t="shared" si="30"/>
        <v>25747.2</v>
      </c>
      <c r="X223" s="8"/>
    </row>
    <row r="224" spans="1:24" ht="12.75">
      <c r="A224" t="s">
        <v>227</v>
      </c>
      <c r="B224" s="242" t="s">
        <v>1911</v>
      </c>
      <c r="C224" s="217">
        <v>0</v>
      </c>
      <c r="D224" s="217">
        <v>0</v>
      </c>
      <c r="E224" s="217">
        <v>0</v>
      </c>
      <c r="F224" s="47">
        <f t="shared" si="26"/>
        <v>0</v>
      </c>
      <c r="G224" s="40">
        <v>0</v>
      </c>
      <c r="H224" s="40">
        <v>0</v>
      </c>
      <c r="I224" s="40">
        <v>0</v>
      </c>
      <c r="J224" s="40">
        <v>0</v>
      </c>
      <c r="K224" s="40">
        <v>320</v>
      </c>
      <c r="L224" s="40">
        <v>0</v>
      </c>
      <c r="M224" s="47">
        <f t="shared" si="27"/>
        <v>21456</v>
      </c>
      <c r="N224" s="47">
        <f t="shared" si="28"/>
        <v>21456</v>
      </c>
      <c r="O224">
        <v>1</v>
      </c>
      <c r="P224">
        <v>2</v>
      </c>
      <c r="Q224">
        <v>10</v>
      </c>
      <c r="R224">
        <v>4</v>
      </c>
      <c r="S224">
        <v>1</v>
      </c>
      <c r="T224">
        <v>4</v>
      </c>
      <c r="U224" s="48">
        <f t="shared" si="31"/>
        <v>0.2</v>
      </c>
      <c r="V224" s="47">
        <f t="shared" si="29"/>
        <v>4291.2</v>
      </c>
      <c r="W224" s="47">
        <f t="shared" si="30"/>
        <v>25747.2</v>
      </c>
      <c r="X224" s="8"/>
    </row>
    <row r="225" spans="1:24" ht="12.75">
      <c r="A225" t="s">
        <v>981</v>
      </c>
      <c r="B225" s="242" t="s">
        <v>982</v>
      </c>
      <c r="C225" s="217">
        <v>0</v>
      </c>
      <c r="D225" s="217">
        <v>0</v>
      </c>
      <c r="E225" s="217">
        <v>0</v>
      </c>
      <c r="F225" s="47">
        <f t="shared" si="26"/>
        <v>0</v>
      </c>
      <c r="G225" s="40">
        <v>0</v>
      </c>
      <c r="H225" s="40">
        <v>0</v>
      </c>
      <c r="I225" s="40">
        <v>0</v>
      </c>
      <c r="J225" s="40">
        <v>0</v>
      </c>
      <c r="K225" s="40">
        <v>640</v>
      </c>
      <c r="L225" s="40">
        <v>0</v>
      </c>
      <c r="M225" s="47">
        <f t="shared" si="27"/>
        <v>42912</v>
      </c>
      <c r="N225" s="47">
        <f t="shared" si="28"/>
        <v>42912</v>
      </c>
      <c r="O225">
        <v>1</v>
      </c>
      <c r="P225">
        <v>2</v>
      </c>
      <c r="Q225">
        <v>10</v>
      </c>
      <c r="R225">
        <v>4</v>
      </c>
      <c r="S225">
        <v>1</v>
      </c>
      <c r="T225">
        <v>4</v>
      </c>
      <c r="U225" s="48">
        <f t="shared" si="31"/>
        <v>0.2</v>
      </c>
      <c r="V225" s="47">
        <f t="shared" si="29"/>
        <v>8582.4</v>
      </c>
      <c r="W225" s="47">
        <f t="shared" si="30"/>
        <v>51494.4</v>
      </c>
      <c r="X225" s="8"/>
    </row>
    <row r="226" spans="1:25" ht="12.75">
      <c r="A226" t="s">
        <v>228</v>
      </c>
      <c r="B226" t="s">
        <v>1912</v>
      </c>
      <c r="C226" s="217">
        <v>0</v>
      </c>
      <c r="D226" s="217">
        <v>0</v>
      </c>
      <c r="E226" s="217">
        <v>0</v>
      </c>
      <c r="F226" s="47">
        <f t="shared" si="26"/>
        <v>0</v>
      </c>
      <c r="G226" s="40">
        <v>0</v>
      </c>
      <c r="H226" s="40">
        <v>0</v>
      </c>
      <c r="I226" s="40">
        <v>0</v>
      </c>
      <c r="J226" s="40">
        <v>0</v>
      </c>
      <c r="K226" s="40">
        <v>0</v>
      </c>
      <c r="L226" s="40">
        <v>0</v>
      </c>
      <c r="M226" s="47">
        <f t="shared" si="27"/>
        <v>0</v>
      </c>
      <c r="N226" s="47">
        <f t="shared" si="28"/>
        <v>0</v>
      </c>
      <c r="U226" s="48">
        <f t="shared" si="31"/>
        <v>0</v>
      </c>
      <c r="V226" s="47">
        <f t="shared" si="29"/>
        <v>0</v>
      </c>
      <c r="W226" s="47">
        <f t="shared" si="30"/>
        <v>0</v>
      </c>
      <c r="X226" s="8"/>
      <c r="Y226" t="s">
        <v>1358</v>
      </c>
    </row>
    <row r="227" spans="1:24" ht="12.75">
      <c r="A227" t="s">
        <v>229</v>
      </c>
      <c r="B227" s="242" t="s">
        <v>1913</v>
      </c>
      <c r="C227" s="217">
        <v>20000</v>
      </c>
      <c r="D227" s="217">
        <v>0</v>
      </c>
      <c r="E227" s="217">
        <v>0</v>
      </c>
      <c r="F227" s="47">
        <f t="shared" si="26"/>
        <v>20000</v>
      </c>
      <c r="G227" s="40">
        <v>0</v>
      </c>
      <c r="H227" s="40">
        <v>0</v>
      </c>
      <c r="I227" s="40">
        <v>0</v>
      </c>
      <c r="J227" s="40">
        <v>0</v>
      </c>
      <c r="K227" s="40">
        <v>0</v>
      </c>
      <c r="L227" s="40">
        <v>0</v>
      </c>
      <c r="M227" s="47">
        <f t="shared" si="27"/>
        <v>0</v>
      </c>
      <c r="N227" s="47">
        <f t="shared" si="28"/>
        <v>20000</v>
      </c>
      <c r="O227">
        <v>2</v>
      </c>
      <c r="P227">
        <v>2</v>
      </c>
      <c r="Q227">
        <v>10</v>
      </c>
      <c r="R227">
        <v>10</v>
      </c>
      <c r="S227">
        <v>2</v>
      </c>
      <c r="T227">
        <v>2</v>
      </c>
      <c r="U227" s="48">
        <f t="shared" si="31"/>
        <v>0.36</v>
      </c>
      <c r="V227" s="47">
        <f t="shared" si="29"/>
        <v>7200</v>
      </c>
      <c r="W227" s="47">
        <f t="shared" si="30"/>
        <v>27200</v>
      </c>
      <c r="X227" s="8"/>
    </row>
    <row r="228" spans="1:24" ht="12.75">
      <c r="A228" t="s">
        <v>230</v>
      </c>
      <c r="B228" s="242" t="s">
        <v>1914</v>
      </c>
      <c r="C228" s="217">
        <v>0</v>
      </c>
      <c r="D228" s="217">
        <v>0</v>
      </c>
      <c r="E228" s="217">
        <v>0</v>
      </c>
      <c r="F228" s="47">
        <f t="shared" si="26"/>
        <v>0</v>
      </c>
      <c r="G228" s="40">
        <v>0</v>
      </c>
      <c r="H228" s="40">
        <v>0</v>
      </c>
      <c r="I228" s="40">
        <v>0</v>
      </c>
      <c r="J228" s="40">
        <v>0</v>
      </c>
      <c r="K228" s="40">
        <v>800</v>
      </c>
      <c r="L228" s="40">
        <v>0</v>
      </c>
      <c r="M228" s="47">
        <f t="shared" si="27"/>
        <v>53640</v>
      </c>
      <c r="N228" s="47">
        <f t="shared" si="28"/>
        <v>53640</v>
      </c>
      <c r="O228">
        <v>2</v>
      </c>
      <c r="P228">
        <v>2</v>
      </c>
      <c r="Q228">
        <v>10</v>
      </c>
      <c r="R228">
        <v>10</v>
      </c>
      <c r="S228">
        <v>2</v>
      </c>
      <c r="T228">
        <v>2</v>
      </c>
      <c r="U228" s="48">
        <f t="shared" si="31"/>
        <v>0.36</v>
      </c>
      <c r="V228" s="47">
        <f t="shared" si="29"/>
        <v>19310.399999999998</v>
      </c>
      <c r="W228" s="47">
        <f t="shared" si="30"/>
        <v>72950.4</v>
      </c>
      <c r="X228" s="8"/>
    </row>
    <row r="229" spans="1:24" ht="12.75">
      <c r="A229" t="s">
        <v>231</v>
      </c>
      <c r="B229" s="242" t="s">
        <v>1915</v>
      </c>
      <c r="C229" s="217">
        <v>20000</v>
      </c>
      <c r="D229" s="217">
        <v>0</v>
      </c>
      <c r="E229" s="217">
        <v>0</v>
      </c>
      <c r="F229" s="47">
        <f t="shared" si="26"/>
        <v>20000</v>
      </c>
      <c r="G229" s="40">
        <v>0</v>
      </c>
      <c r="H229" s="40">
        <v>0</v>
      </c>
      <c r="I229" s="40">
        <v>0</v>
      </c>
      <c r="J229" s="40">
        <v>0</v>
      </c>
      <c r="K229" s="40">
        <v>0</v>
      </c>
      <c r="L229" s="40">
        <v>0</v>
      </c>
      <c r="M229" s="47">
        <f t="shared" si="27"/>
        <v>0</v>
      </c>
      <c r="N229" s="47">
        <f t="shared" si="28"/>
        <v>20000</v>
      </c>
      <c r="O229">
        <v>2</v>
      </c>
      <c r="P229">
        <v>2</v>
      </c>
      <c r="Q229">
        <v>10</v>
      </c>
      <c r="R229">
        <v>10</v>
      </c>
      <c r="S229">
        <v>2</v>
      </c>
      <c r="T229">
        <v>2</v>
      </c>
      <c r="U229" s="48">
        <f t="shared" si="31"/>
        <v>0.36</v>
      </c>
      <c r="V229" s="47">
        <f t="shared" si="29"/>
        <v>7200</v>
      </c>
      <c r="W229" s="47">
        <f t="shared" si="30"/>
        <v>27200</v>
      </c>
      <c r="X229" s="8"/>
    </row>
    <row r="230" spans="1:25" ht="12.75">
      <c r="A230" t="s">
        <v>232</v>
      </c>
      <c r="B230" t="s">
        <v>905</v>
      </c>
      <c r="C230" s="217">
        <v>0</v>
      </c>
      <c r="D230" s="217">
        <v>0</v>
      </c>
      <c r="E230" s="217">
        <v>0</v>
      </c>
      <c r="F230" s="47">
        <f t="shared" si="26"/>
        <v>0</v>
      </c>
      <c r="G230" s="40">
        <v>0</v>
      </c>
      <c r="H230" s="40">
        <v>0</v>
      </c>
      <c r="I230" s="40">
        <v>0</v>
      </c>
      <c r="J230" s="40">
        <v>0</v>
      </c>
      <c r="K230" s="40">
        <v>0</v>
      </c>
      <c r="L230" s="40">
        <v>0</v>
      </c>
      <c r="M230" s="47">
        <f t="shared" si="27"/>
        <v>0</v>
      </c>
      <c r="N230" s="47">
        <f t="shared" si="28"/>
        <v>0</v>
      </c>
      <c r="U230" s="48">
        <f t="shared" si="31"/>
        <v>0</v>
      </c>
      <c r="V230" s="47">
        <f t="shared" si="29"/>
        <v>0</v>
      </c>
      <c r="W230" s="47">
        <f t="shared" si="30"/>
        <v>0</v>
      </c>
      <c r="X230" s="8"/>
      <c r="Y230" t="s">
        <v>1359</v>
      </c>
    </row>
    <row r="231" spans="1:24" ht="12.75">
      <c r="A231" t="s">
        <v>233</v>
      </c>
      <c r="B231" s="242" t="s">
        <v>1952</v>
      </c>
      <c r="C231" s="217">
        <v>20000</v>
      </c>
      <c r="D231" s="217">
        <v>0</v>
      </c>
      <c r="E231" s="217">
        <v>0</v>
      </c>
      <c r="F231" s="47">
        <f t="shared" si="26"/>
        <v>20000</v>
      </c>
      <c r="G231" s="40">
        <v>0</v>
      </c>
      <c r="H231" s="40">
        <v>0</v>
      </c>
      <c r="I231" s="40">
        <v>0</v>
      </c>
      <c r="J231" s="40">
        <v>0</v>
      </c>
      <c r="K231" s="40">
        <v>0</v>
      </c>
      <c r="L231" s="40">
        <v>0</v>
      </c>
      <c r="M231" s="47">
        <f t="shared" si="27"/>
        <v>0</v>
      </c>
      <c r="N231" s="47">
        <f t="shared" si="28"/>
        <v>20000</v>
      </c>
      <c r="O231">
        <v>1</v>
      </c>
      <c r="P231">
        <v>2</v>
      </c>
      <c r="Q231">
        <v>10</v>
      </c>
      <c r="R231">
        <v>4</v>
      </c>
      <c r="S231">
        <v>1</v>
      </c>
      <c r="T231">
        <v>4</v>
      </c>
      <c r="U231" s="48">
        <f t="shared" si="31"/>
        <v>0.2</v>
      </c>
      <c r="V231" s="47">
        <f t="shared" si="29"/>
        <v>4000</v>
      </c>
      <c r="W231" s="47">
        <f t="shared" si="30"/>
        <v>24000</v>
      </c>
      <c r="X231" s="8"/>
    </row>
    <row r="232" spans="1:24" ht="12.75">
      <c r="A232" t="s">
        <v>234</v>
      </c>
      <c r="B232" s="242" t="s">
        <v>1953</v>
      </c>
      <c r="C232" s="217">
        <v>0</v>
      </c>
      <c r="D232" s="217">
        <v>0</v>
      </c>
      <c r="E232" s="217">
        <v>0</v>
      </c>
      <c r="F232" s="47">
        <f t="shared" si="26"/>
        <v>0</v>
      </c>
      <c r="G232" s="40">
        <v>0</v>
      </c>
      <c r="H232" s="40">
        <v>0</v>
      </c>
      <c r="I232" s="40">
        <v>0</v>
      </c>
      <c r="J232" s="40">
        <v>0</v>
      </c>
      <c r="K232" s="40">
        <v>800</v>
      </c>
      <c r="L232" s="40">
        <v>0</v>
      </c>
      <c r="M232" s="47">
        <f t="shared" si="27"/>
        <v>53640</v>
      </c>
      <c r="N232" s="47">
        <f t="shared" si="28"/>
        <v>53640</v>
      </c>
      <c r="O232">
        <v>1</v>
      </c>
      <c r="P232">
        <v>2</v>
      </c>
      <c r="Q232">
        <v>10</v>
      </c>
      <c r="R232">
        <v>4</v>
      </c>
      <c r="S232">
        <v>1</v>
      </c>
      <c r="T232">
        <v>4</v>
      </c>
      <c r="U232" s="48">
        <f t="shared" si="31"/>
        <v>0.2</v>
      </c>
      <c r="V232" s="47">
        <f t="shared" si="29"/>
        <v>10728</v>
      </c>
      <c r="W232" s="47">
        <f t="shared" si="30"/>
        <v>64368</v>
      </c>
      <c r="X232" s="8"/>
    </row>
    <row r="233" spans="1:25" ht="12.75">
      <c r="A233" t="s">
        <v>235</v>
      </c>
      <c r="B233" t="s">
        <v>1954</v>
      </c>
      <c r="C233" s="217">
        <v>0</v>
      </c>
      <c r="D233" s="217">
        <v>0</v>
      </c>
      <c r="E233" s="217">
        <v>0</v>
      </c>
      <c r="F233" s="47">
        <f t="shared" si="26"/>
        <v>0</v>
      </c>
      <c r="G233" s="40">
        <v>0</v>
      </c>
      <c r="H233" s="40">
        <v>0</v>
      </c>
      <c r="I233" s="40">
        <v>0</v>
      </c>
      <c r="J233" s="40">
        <v>0</v>
      </c>
      <c r="K233" s="40">
        <v>0</v>
      </c>
      <c r="L233" s="40">
        <v>0</v>
      </c>
      <c r="M233" s="47">
        <f t="shared" si="27"/>
        <v>0</v>
      </c>
      <c r="N233" s="47">
        <f t="shared" si="28"/>
        <v>0</v>
      </c>
      <c r="U233" s="48">
        <f t="shared" si="31"/>
        <v>0</v>
      </c>
      <c r="V233" s="47">
        <f t="shared" si="29"/>
        <v>0</v>
      </c>
      <c r="W233" s="47">
        <f t="shared" si="30"/>
        <v>0</v>
      </c>
      <c r="X233" s="8"/>
      <c r="Y233" t="s">
        <v>1360</v>
      </c>
    </row>
    <row r="234" spans="1:24" ht="12.75">
      <c r="A234" t="s">
        <v>236</v>
      </c>
      <c r="B234" s="242" t="s">
        <v>1955</v>
      </c>
      <c r="C234" s="217">
        <v>15000</v>
      </c>
      <c r="D234" s="217">
        <v>0</v>
      </c>
      <c r="E234" s="217">
        <v>0</v>
      </c>
      <c r="F234" s="47">
        <f t="shared" si="26"/>
        <v>15000</v>
      </c>
      <c r="G234">
        <v>0</v>
      </c>
      <c r="H234">
        <v>0</v>
      </c>
      <c r="I234">
        <v>0</v>
      </c>
      <c r="J234">
        <v>0</v>
      </c>
      <c r="K234" s="40">
        <v>400</v>
      </c>
      <c r="L234">
        <v>0</v>
      </c>
      <c r="M234" s="47">
        <f t="shared" si="27"/>
        <v>26820</v>
      </c>
      <c r="N234" s="47">
        <f t="shared" si="28"/>
        <v>41820</v>
      </c>
      <c r="O234">
        <v>1</v>
      </c>
      <c r="P234">
        <v>2</v>
      </c>
      <c r="Q234">
        <v>10</v>
      </c>
      <c r="R234">
        <v>4</v>
      </c>
      <c r="S234">
        <v>1</v>
      </c>
      <c r="T234">
        <v>4</v>
      </c>
      <c r="U234" s="48">
        <f t="shared" si="31"/>
        <v>0.2</v>
      </c>
      <c r="V234" s="47">
        <f t="shared" si="29"/>
        <v>8364</v>
      </c>
      <c r="W234" s="47">
        <f t="shared" si="30"/>
        <v>50184</v>
      </c>
      <c r="X234" s="8"/>
    </row>
    <row r="235" spans="1:24" ht="12.75">
      <c r="A235" t="s">
        <v>237</v>
      </c>
      <c r="B235" s="242" t="s">
        <v>1956</v>
      </c>
      <c r="C235" s="217">
        <v>1000</v>
      </c>
      <c r="D235" s="217">
        <v>8400</v>
      </c>
      <c r="E235" s="217">
        <v>0</v>
      </c>
      <c r="F235" s="47">
        <f t="shared" si="26"/>
        <v>9400</v>
      </c>
      <c r="G235">
        <v>0</v>
      </c>
      <c r="H235">
        <v>0</v>
      </c>
      <c r="I235">
        <v>0</v>
      </c>
      <c r="J235">
        <v>0</v>
      </c>
      <c r="K235">
        <v>0</v>
      </c>
      <c r="L235">
        <v>0</v>
      </c>
      <c r="M235" s="47">
        <f t="shared" si="27"/>
        <v>0</v>
      </c>
      <c r="N235" s="47">
        <f t="shared" si="28"/>
        <v>9400</v>
      </c>
      <c r="O235">
        <v>1</v>
      </c>
      <c r="P235">
        <v>2</v>
      </c>
      <c r="Q235">
        <v>10</v>
      </c>
      <c r="R235">
        <v>4</v>
      </c>
      <c r="S235">
        <v>1</v>
      </c>
      <c r="T235">
        <v>4</v>
      </c>
      <c r="U235" s="48">
        <f t="shared" si="31"/>
        <v>0.2</v>
      </c>
      <c r="V235" s="47">
        <f t="shared" si="29"/>
        <v>1880</v>
      </c>
      <c r="W235" s="47">
        <f t="shared" si="30"/>
        <v>11280</v>
      </c>
      <c r="X235" s="8"/>
    </row>
    <row r="236" spans="1:24" ht="12.75">
      <c r="A236" t="s">
        <v>238</v>
      </c>
      <c r="B236" s="242" t="s">
        <v>1957</v>
      </c>
      <c r="C236" s="217">
        <v>500</v>
      </c>
      <c r="D236" s="217">
        <v>7000</v>
      </c>
      <c r="E236" s="217">
        <v>0</v>
      </c>
      <c r="F236" s="47">
        <f t="shared" si="26"/>
        <v>7500</v>
      </c>
      <c r="G236" s="40">
        <v>0</v>
      </c>
      <c r="H236" s="40">
        <v>0</v>
      </c>
      <c r="I236" s="40">
        <v>0</v>
      </c>
      <c r="J236" s="40">
        <v>0</v>
      </c>
      <c r="K236" s="40">
        <v>0</v>
      </c>
      <c r="L236" s="40">
        <v>0</v>
      </c>
      <c r="M236" s="47">
        <f t="shared" si="27"/>
        <v>0</v>
      </c>
      <c r="N236" s="47">
        <f t="shared" si="28"/>
        <v>7500</v>
      </c>
      <c r="O236">
        <v>1</v>
      </c>
      <c r="P236">
        <v>2</v>
      </c>
      <c r="Q236">
        <v>10</v>
      </c>
      <c r="R236">
        <v>4</v>
      </c>
      <c r="S236">
        <v>1</v>
      </c>
      <c r="T236">
        <v>4</v>
      </c>
      <c r="U236" s="48">
        <f t="shared" si="31"/>
        <v>0.2</v>
      </c>
      <c r="V236" s="47">
        <f t="shared" si="29"/>
        <v>1500</v>
      </c>
      <c r="W236" s="47">
        <f t="shared" si="30"/>
        <v>9000</v>
      </c>
      <c r="X236" s="8"/>
    </row>
    <row r="237" spans="1:24" ht="12.75">
      <c r="A237" t="s">
        <v>240</v>
      </c>
      <c r="B237" s="242" t="s">
        <v>1958</v>
      </c>
      <c r="C237" s="217">
        <v>10000</v>
      </c>
      <c r="D237" s="217">
        <v>0</v>
      </c>
      <c r="E237" s="217">
        <v>0</v>
      </c>
      <c r="F237" s="47">
        <f t="shared" si="26"/>
        <v>10000</v>
      </c>
      <c r="G237" s="40">
        <v>0</v>
      </c>
      <c r="H237" s="40">
        <v>0</v>
      </c>
      <c r="I237" s="40">
        <v>0</v>
      </c>
      <c r="J237" s="40">
        <v>0</v>
      </c>
      <c r="K237" s="40">
        <v>400</v>
      </c>
      <c r="L237" s="40">
        <v>0</v>
      </c>
      <c r="M237" s="47">
        <f t="shared" si="27"/>
        <v>26820</v>
      </c>
      <c r="N237" s="47">
        <f t="shared" si="28"/>
        <v>36820</v>
      </c>
      <c r="O237">
        <v>1</v>
      </c>
      <c r="P237">
        <v>2</v>
      </c>
      <c r="Q237">
        <v>10</v>
      </c>
      <c r="R237">
        <v>4</v>
      </c>
      <c r="S237">
        <v>1</v>
      </c>
      <c r="T237">
        <v>4</v>
      </c>
      <c r="U237" s="48">
        <f t="shared" si="31"/>
        <v>0.2</v>
      </c>
      <c r="V237" s="47">
        <f t="shared" si="29"/>
        <v>7364</v>
      </c>
      <c r="W237" s="47">
        <f t="shared" si="30"/>
        <v>44184</v>
      </c>
      <c r="X237" s="8"/>
    </row>
    <row r="238" spans="1:24" ht="12.75">
      <c r="A238" t="s">
        <v>241</v>
      </c>
      <c r="B238" s="242" t="s">
        <v>1959</v>
      </c>
      <c r="C238" s="217">
        <v>0</v>
      </c>
      <c r="D238" s="217">
        <v>0</v>
      </c>
      <c r="E238" s="217">
        <v>0</v>
      </c>
      <c r="F238" s="47">
        <f t="shared" si="26"/>
        <v>0</v>
      </c>
      <c r="G238" s="40">
        <v>0</v>
      </c>
      <c r="H238" s="40">
        <v>0</v>
      </c>
      <c r="I238" s="40">
        <v>0</v>
      </c>
      <c r="J238" s="40">
        <v>0</v>
      </c>
      <c r="K238" s="40">
        <v>192</v>
      </c>
      <c r="L238" s="40">
        <v>0</v>
      </c>
      <c r="M238" s="47">
        <f t="shared" si="27"/>
        <v>12873.599999999999</v>
      </c>
      <c r="N238" s="47">
        <f t="shared" si="28"/>
        <v>12873.599999999999</v>
      </c>
      <c r="O238">
        <v>1</v>
      </c>
      <c r="P238">
        <v>2</v>
      </c>
      <c r="Q238">
        <v>10</v>
      </c>
      <c r="R238">
        <v>4</v>
      </c>
      <c r="S238">
        <v>1</v>
      </c>
      <c r="T238">
        <v>4</v>
      </c>
      <c r="U238" s="48">
        <f t="shared" si="31"/>
        <v>0.2</v>
      </c>
      <c r="V238" s="47">
        <f t="shared" si="29"/>
        <v>2574.72</v>
      </c>
      <c r="W238" s="47">
        <f t="shared" si="30"/>
        <v>15448.319999999998</v>
      </c>
      <c r="X238" s="8"/>
    </row>
    <row r="239" spans="1:24" ht="12.75">
      <c r="A239" t="s">
        <v>242</v>
      </c>
      <c r="B239" s="242" t="s">
        <v>1960</v>
      </c>
      <c r="C239" s="217">
        <v>0</v>
      </c>
      <c r="D239" s="217">
        <v>0</v>
      </c>
      <c r="E239" s="217">
        <v>0</v>
      </c>
      <c r="F239" s="47">
        <f t="shared" si="26"/>
        <v>0</v>
      </c>
      <c r="G239" s="40">
        <v>0</v>
      </c>
      <c r="H239" s="40">
        <v>0</v>
      </c>
      <c r="I239" s="40">
        <v>0</v>
      </c>
      <c r="J239" s="40">
        <v>288</v>
      </c>
      <c r="K239" s="40">
        <v>0</v>
      </c>
      <c r="L239" s="40">
        <v>0</v>
      </c>
      <c r="M239" s="47">
        <f t="shared" si="27"/>
        <v>15120</v>
      </c>
      <c r="N239" s="47">
        <f t="shared" si="28"/>
        <v>15120</v>
      </c>
      <c r="O239">
        <v>1</v>
      </c>
      <c r="P239">
        <v>2</v>
      </c>
      <c r="Q239">
        <v>10</v>
      </c>
      <c r="R239">
        <v>4</v>
      </c>
      <c r="S239">
        <v>1</v>
      </c>
      <c r="T239">
        <v>4</v>
      </c>
      <c r="U239" s="48">
        <f t="shared" si="31"/>
        <v>0.2</v>
      </c>
      <c r="V239" s="47">
        <f t="shared" si="29"/>
        <v>3024</v>
      </c>
      <c r="W239" s="47">
        <f t="shared" si="30"/>
        <v>18144</v>
      </c>
      <c r="X239" s="8"/>
    </row>
    <row r="240" spans="1:24" ht="12.75">
      <c r="A240" t="s">
        <v>243</v>
      </c>
      <c r="B240" s="242" t="s">
        <v>1961</v>
      </c>
      <c r="C240" s="217">
        <v>0</v>
      </c>
      <c r="D240" s="217">
        <v>0</v>
      </c>
      <c r="E240" s="217">
        <v>0</v>
      </c>
      <c r="F240" s="47">
        <f t="shared" si="26"/>
        <v>0</v>
      </c>
      <c r="G240" s="40">
        <v>0</v>
      </c>
      <c r="H240" s="40">
        <v>0</v>
      </c>
      <c r="I240" s="40">
        <v>0</v>
      </c>
      <c r="J240" s="40">
        <v>288</v>
      </c>
      <c r="K240" s="40">
        <v>0</v>
      </c>
      <c r="L240" s="40">
        <v>0</v>
      </c>
      <c r="M240" s="47">
        <f t="shared" si="27"/>
        <v>15120</v>
      </c>
      <c r="N240" s="47">
        <f t="shared" si="28"/>
        <v>15120</v>
      </c>
      <c r="O240">
        <v>1</v>
      </c>
      <c r="P240">
        <v>2</v>
      </c>
      <c r="Q240">
        <v>10</v>
      </c>
      <c r="R240">
        <v>4</v>
      </c>
      <c r="S240">
        <v>1</v>
      </c>
      <c r="T240">
        <v>4</v>
      </c>
      <c r="U240" s="48">
        <f t="shared" si="31"/>
        <v>0.2</v>
      </c>
      <c r="V240" s="47">
        <f t="shared" si="29"/>
        <v>3024</v>
      </c>
      <c r="W240" s="47">
        <f t="shared" si="30"/>
        <v>18144</v>
      </c>
      <c r="X240" s="8"/>
    </row>
    <row r="241" spans="1:25" ht="12.75">
      <c r="A241" t="s">
        <v>244</v>
      </c>
      <c r="B241" t="s">
        <v>1962</v>
      </c>
      <c r="C241" s="217">
        <v>0</v>
      </c>
      <c r="D241" s="217">
        <v>0</v>
      </c>
      <c r="E241" s="217">
        <v>0</v>
      </c>
      <c r="F241" s="47">
        <f t="shared" si="26"/>
        <v>0</v>
      </c>
      <c r="G241" s="40">
        <v>0</v>
      </c>
      <c r="H241" s="40">
        <v>0</v>
      </c>
      <c r="I241" s="40">
        <v>0</v>
      </c>
      <c r="J241" s="40">
        <v>0</v>
      </c>
      <c r="K241" s="40">
        <v>0</v>
      </c>
      <c r="L241" s="40">
        <v>0</v>
      </c>
      <c r="M241" s="47">
        <f t="shared" si="27"/>
        <v>0</v>
      </c>
      <c r="N241" s="47">
        <f t="shared" si="28"/>
        <v>0</v>
      </c>
      <c r="U241" s="48">
        <f t="shared" si="31"/>
        <v>0</v>
      </c>
      <c r="V241" s="47">
        <f t="shared" si="29"/>
        <v>0</v>
      </c>
      <c r="W241" s="47">
        <f t="shared" si="30"/>
        <v>0</v>
      </c>
      <c r="X241" s="8"/>
      <c r="Y241" t="s">
        <v>2</v>
      </c>
    </row>
    <row r="242" spans="1:24" ht="12.75">
      <c r="A242" t="s">
        <v>245</v>
      </c>
      <c r="B242" s="242" t="s">
        <v>1963</v>
      </c>
      <c r="C242" s="217">
        <v>500</v>
      </c>
      <c r="D242" s="217">
        <v>0</v>
      </c>
      <c r="E242" s="217">
        <v>0</v>
      </c>
      <c r="F242" s="47">
        <f t="shared" si="26"/>
        <v>500</v>
      </c>
      <c r="G242" s="40">
        <v>0</v>
      </c>
      <c r="H242" s="40">
        <v>0</v>
      </c>
      <c r="I242" s="40">
        <v>0</v>
      </c>
      <c r="J242" s="40">
        <v>80</v>
      </c>
      <c r="K242" s="40">
        <v>0</v>
      </c>
      <c r="L242" s="40">
        <v>0</v>
      </c>
      <c r="M242" s="47">
        <f t="shared" si="27"/>
        <v>4200</v>
      </c>
      <c r="N242" s="47">
        <f t="shared" si="28"/>
        <v>4700</v>
      </c>
      <c r="O242">
        <v>1</v>
      </c>
      <c r="P242">
        <v>2</v>
      </c>
      <c r="Q242">
        <v>10</v>
      </c>
      <c r="R242">
        <v>4</v>
      </c>
      <c r="S242">
        <v>1</v>
      </c>
      <c r="T242">
        <v>4</v>
      </c>
      <c r="U242" s="48">
        <f t="shared" si="31"/>
        <v>0.2</v>
      </c>
      <c r="V242" s="47">
        <f t="shared" si="29"/>
        <v>940</v>
      </c>
      <c r="W242" s="47">
        <f t="shared" si="30"/>
        <v>5640</v>
      </c>
      <c r="X242" s="8"/>
    </row>
    <row r="243" spans="1:24" ht="12.75">
      <c r="A243" t="s">
        <v>246</v>
      </c>
      <c r="B243" s="242" t="s">
        <v>1964</v>
      </c>
      <c r="C243" s="217">
        <v>0</v>
      </c>
      <c r="D243" s="217">
        <v>0</v>
      </c>
      <c r="E243" s="217">
        <v>0</v>
      </c>
      <c r="F243" s="47">
        <f t="shared" si="26"/>
        <v>0</v>
      </c>
      <c r="G243" s="40">
        <v>0</v>
      </c>
      <c r="H243" s="40">
        <v>0</v>
      </c>
      <c r="I243" s="40">
        <v>0</v>
      </c>
      <c r="J243" s="40">
        <v>160</v>
      </c>
      <c r="K243" s="40">
        <v>0</v>
      </c>
      <c r="L243" s="40">
        <v>0</v>
      </c>
      <c r="M243" s="47">
        <f t="shared" si="27"/>
        <v>8400</v>
      </c>
      <c r="N243" s="47">
        <f t="shared" si="28"/>
        <v>8400</v>
      </c>
      <c r="O243">
        <v>1</v>
      </c>
      <c r="P243">
        <v>2</v>
      </c>
      <c r="Q243">
        <v>10</v>
      </c>
      <c r="R243">
        <v>4</v>
      </c>
      <c r="S243">
        <v>1</v>
      </c>
      <c r="T243">
        <v>4</v>
      </c>
      <c r="U243" s="48">
        <f t="shared" si="31"/>
        <v>0.2</v>
      </c>
      <c r="V243" s="47">
        <f t="shared" si="29"/>
        <v>1680</v>
      </c>
      <c r="W243" s="47">
        <f t="shared" si="30"/>
        <v>10080</v>
      </c>
      <c r="X243" s="8"/>
    </row>
    <row r="244" spans="1:25" ht="12.75">
      <c r="A244" t="s">
        <v>247</v>
      </c>
      <c r="B244" t="s">
        <v>901</v>
      </c>
      <c r="C244" s="217">
        <v>0</v>
      </c>
      <c r="D244" s="217">
        <v>0</v>
      </c>
      <c r="E244" s="217">
        <v>0</v>
      </c>
      <c r="F244" s="47">
        <f t="shared" si="26"/>
        <v>0</v>
      </c>
      <c r="G244" s="40">
        <v>0</v>
      </c>
      <c r="H244" s="40">
        <v>0</v>
      </c>
      <c r="I244" s="40">
        <v>0</v>
      </c>
      <c r="J244" s="40">
        <v>0</v>
      </c>
      <c r="K244" s="40">
        <v>0</v>
      </c>
      <c r="L244" s="40">
        <v>0</v>
      </c>
      <c r="M244" s="47">
        <f t="shared" si="27"/>
        <v>0</v>
      </c>
      <c r="N244" s="47">
        <f t="shared" si="28"/>
        <v>0</v>
      </c>
      <c r="U244" s="48">
        <f t="shared" si="31"/>
        <v>0</v>
      </c>
      <c r="V244" s="47">
        <f t="shared" si="29"/>
        <v>0</v>
      </c>
      <c r="W244" s="47">
        <f t="shared" si="30"/>
        <v>0</v>
      </c>
      <c r="X244" s="8"/>
      <c r="Y244" t="s">
        <v>1361</v>
      </c>
    </row>
    <row r="245" spans="1:24" ht="12.75">
      <c r="A245" t="s">
        <v>248</v>
      </c>
      <c r="B245" s="242" t="s">
        <v>1965</v>
      </c>
      <c r="C245" s="217">
        <v>0</v>
      </c>
      <c r="D245" s="217">
        <v>0</v>
      </c>
      <c r="E245" s="217">
        <v>0</v>
      </c>
      <c r="F245" s="47">
        <f t="shared" si="26"/>
        <v>0</v>
      </c>
      <c r="G245" s="40">
        <v>0</v>
      </c>
      <c r="H245" s="40">
        <v>0</v>
      </c>
      <c r="I245" s="40">
        <v>0</v>
      </c>
      <c r="J245" s="40">
        <v>0</v>
      </c>
      <c r="K245" s="40">
        <v>288</v>
      </c>
      <c r="L245" s="40">
        <v>0</v>
      </c>
      <c r="M245" s="47">
        <f t="shared" si="27"/>
        <v>19310.399999999998</v>
      </c>
      <c r="N245" s="47">
        <f t="shared" si="28"/>
        <v>19310.399999999998</v>
      </c>
      <c r="O245">
        <v>1</v>
      </c>
      <c r="P245">
        <v>2</v>
      </c>
      <c r="Q245">
        <v>10</v>
      </c>
      <c r="R245">
        <v>4</v>
      </c>
      <c r="S245">
        <v>1</v>
      </c>
      <c r="T245">
        <v>4</v>
      </c>
      <c r="U245" s="48">
        <f t="shared" si="31"/>
        <v>0.2</v>
      </c>
      <c r="V245" s="47">
        <f t="shared" si="29"/>
        <v>3862.08</v>
      </c>
      <c r="W245" s="47">
        <f t="shared" si="30"/>
        <v>23172.479999999996</v>
      </c>
      <c r="X245" s="8"/>
    </row>
    <row r="246" spans="1:24" ht="12.75">
      <c r="A246" t="s">
        <v>249</v>
      </c>
      <c r="B246" s="242" t="s">
        <v>1966</v>
      </c>
      <c r="C246" s="217">
        <v>0</v>
      </c>
      <c r="D246" s="217">
        <v>0</v>
      </c>
      <c r="E246" s="217">
        <v>0</v>
      </c>
      <c r="F246" s="47">
        <f t="shared" si="26"/>
        <v>0</v>
      </c>
      <c r="G246" s="40">
        <v>0</v>
      </c>
      <c r="H246" s="40">
        <v>0</v>
      </c>
      <c r="I246" s="40">
        <v>0</v>
      </c>
      <c r="J246" s="40">
        <v>432</v>
      </c>
      <c r="K246" s="40">
        <v>0</v>
      </c>
      <c r="L246" s="40">
        <v>0</v>
      </c>
      <c r="M246" s="47">
        <f t="shared" si="27"/>
        <v>22680</v>
      </c>
      <c r="N246" s="47">
        <f t="shared" si="28"/>
        <v>22680</v>
      </c>
      <c r="O246">
        <v>1</v>
      </c>
      <c r="P246">
        <v>2</v>
      </c>
      <c r="Q246">
        <v>10</v>
      </c>
      <c r="R246">
        <v>4</v>
      </c>
      <c r="S246">
        <v>1</v>
      </c>
      <c r="T246">
        <v>4</v>
      </c>
      <c r="U246" s="48">
        <f t="shared" si="31"/>
        <v>0.2</v>
      </c>
      <c r="V246" s="47">
        <f t="shared" si="29"/>
        <v>4536</v>
      </c>
      <c r="W246" s="47">
        <f t="shared" si="30"/>
        <v>27216</v>
      </c>
      <c r="X246" s="8"/>
    </row>
    <row r="247" spans="1:24" ht="12.75">
      <c r="A247" t="s">
        <v>250</v>
      </c>
      <c r="B247" s="242" t="s">
        <v>1967</v>
      </c>
      <c r="C247" s="217">
        <v>300</v>
      </c>
      <c r="D247" s="217">
        <v>0</v>
      </c>
      <c r="E247" s="217">
        <v>0</v>
      </c>
      <c r="F247" s="47">
        <f t="shared" si="26"/>
        <v>300</v>
      </c>
      <c r="G247" s="40">
        <v>0</v>
      </c>
      <c r="H247" s="40">
        <v>0</v>
      </c>
      <c r="I247" s="40">
        <v>0</v>
      </c>
      <c r="J247" s="40">
        <v>0</v>
      </c>
      <c r="K247" s="40">
        <v>80</v>
      </c>
      <c r="L247" s="40">
        <v>0</v>
      </c>
      <c r="M247" s="47">
        <f t="shared" si="27"/>
        <v>5364</v>
      </c>
      <c r="N247" s="47">
        <f t="shared" si="28"/>
        <v>5664</v>
      </c>
      <c r="O247">
        <v>1</v>
      </c>
      <c r="P247">
        <v>2</v>
      </c>
      <c r="Q247">
        <v>10</v>
      </c>
      <c r="R247">
        <v>4</v>
      </c>
      <c r="S247">
        <v>1</v>
      </c>
      <c r="T247">
        <v>4</v>
      </c>
      <c r="U247" s="48">
        <f t="shared" si="31"/>
        <v>0.2</v>
      </c>
      <c r="V247" s="47">
        <f t="shared" si="29"/>
        <v>1132.8</v>
      </c>
      <c r="W247" s="47">
        <f t="shared" si="30"/>
        <v>6796.8</v>
      </c>
      <c r="X247" s="8"/>
    </row>
    <row r="248" spans="1:25" ht="12.75">
      <c r="A248" t="s">
        <v>251</v>
      </c>
      <c r="B248" t="s">
        <v>902</v>
      </c>
      <c r="C248" s="217">
        <v>0</v>
      </c>
      <c r="D248" s="217">
        <v>0</v>
      </c>
      <c r="E248" s="217">
        <v>0</v>
      </c>
      <c r="F248" s="47">
        <f t="shared" si="26"/>
        <v>0</v>
      </c>
      <c r="G248" s="40">
        <v>0</v>
      </c>
      <c r="H248" s="40">
        <v>0</v>
      </c>
      <c r="I248" s="40">
        <v>0</v>
      </c>
      <c r="J248" s="40">
        <v>0</v>
      </c>
      <c r="K248" s="40">
        <v>0</v>
      </c>
      <c r="L248" s="40">
        <v>0</v>
      </c>
      <c r="M248" s="47">
        <f t="shared" si="27"/>
        <v>0</v>
      </c>
      <c r="N248" s="47">
        <f t="shared" si="28"/>
        <v>0</v>
      </c>
      <c r="U248" s="48">
        <f t="shared" si="31"/>
        <v>0</v>
      </c>
      <c r="V248" s="47">
        <f t="shared" si="29"/>
        <v>0</v>
      </c>
      <c r="W248" s="47">
        <f t="shared" si="30"/>
        <v>0</v>
      </c>
      <c r="X248" s="8"/>
      <c r="Y248" t="s">
        <v>1362</v>
      </c>
    </row>
    <row r="249" spans="1:24" ht="12.75">
      <c r="A249" t="s">
        <v>252</v>
      </c>
      <c r="B249" s="242" t="s">
        <v>1968</v>
      </c>
      <c r="C249" s="217">
        <v>2000</v>
      </c>
      <c r="D249" s="217">
        <v>48000</v>
      </c>
      <c r="E249" s="217">
        <v>0</v>
      </c>
      <c r="F249" s="47">
        <f t="shared" si="26"/>
        <v>50000</v>
      </c>
      <c r="G249" s="40">
        <v>0</v>
      </c>
      <c r="H249" s="40">
        <v>0</v>
      </c>
      <c r="I249" s="40">
        <v>0</v>
      </c>
      <c r="J249" s="40">
        <v>0</v>
      </c>
      <c r="K249" s="40">
        <v>0</v>
      </c>
      <c r="L249" s="40">
        <v>0</v>
      </c>
      <c r="M249" s="47">
        <f t="shared" si="27"/>
        <v>0</v>
      </c>
      <c r="N249" s="47">
        <f t="shared" si="28"/>
        <v>50000</v>
      </c>
      <c r="O249">
        <v>1</v>
      </c>
      <c r="P249">
        <v>2</v>
      </c>
      <c r="Q249">
        <v>10</v>
      </c>
      <c r="R249">
        <v>4</v>
      </c>
      <c r="S249">
        <v>1</v>
      </c>
      <c r="T249">
        <v>4</v>
      </c>
      <c r="U249" s="48">
        <f t="shared" si="31"/>
        <v>0.2</v>
      </c>
      <c r="V249" s="47">
        <f t="shared" si="29"/>
        <v>10000</v>
      </c>
      <c r="W249" s="47">
        <f t="shared" si="30"/>
        <v>60000</v>
      </c>
      <c r="X249" s="8"/>
    </row>
    <row r="250" spans="1:24" ht="12.75">
      <c r="A250" t="s">
        <v>253</v>
      </c>
      <c r="B250" s="242" t="s">
        <v>1969</v>
      </c>
      <c r="C250" s="217">
        <v>8000</v>
      </c>
      <c r="D250" s="217">
        <v>0</v>
      </c>
      <c r="E250" s="217">
        <v>0</v>
      </c>
      <c r="F250" s="47">
        <f t="shared" si="26"/>
        <v>8000</v>
      </c>
      <c r="G250" s="40">
        <v>0</v>
      </c>
      <c r="H250" s="40">
        <v>0</v>
      </c>
      <c r="I250" s="40">
        <v>0</v>
      </c>
      <c r="J250" s="40">
        <v>0</v>
      </c>
      <c r="K250" s="40">
        <v>640</v>
      </c>
      <c r="L250" s="40">
        <v>0</v>
      </c>
      <c r="M250" s="47">
        <f t="shared" si="27"/>
        <v>42912</v>
      </c>
      <c r="N250" s="47">
        <f t="shared" si="28"/>
        <v>50912</v>
      </c>
      <c r="O250">
        <v>1</v>
      </c>
      <c r="P250">
        <v>2</v>
      </c>
      <c r="Q250">
        <v>10</v>
      </c>
      <c r="R250">
        <v>10</v>
      </c>
      <c r="S250">
        <v>1</v>
      </c>
      <c r="T250">
        <v>4</v>
      </c>
      <c r="U250" s="48">
        <f t="shared" si="31"/>
        <v>0.26</v>
      </c>
      <c r="V250" s="47">
        <f t="shared" si="29"/>
        <v>13237.12</v>
      </c>
      <c r="W250" s="47">
        <f t="shared" si="30"/>
        <v>64149.12</v>
      </c>
      <c r="X250" s="8"/>
    </row>
    <row r="251" spans="1:24" ht="12.75">
      <c r="A251" t="s">
        <v>254</v>
      </c>
      <c r="B251" s="242" t="s">
        <v>1970</v>
      </c>
      <c r="C251" s="217">
        <v>4000</v>
      </c>
      <c r="D251" s="217">
        <v>0</v>
      </c>
      <c r="E251" s="217">
        <v>0</v>
      </c>
      <c r="F251" s="47">
        <f t="shared" si="26"/>
        <v>4000</v>
      </c>
      <c r="G251" s="40">
        <v>0</v>
      </c>
      <c r="H251" s="40">
        <v>0</v>
      </c>
      <c r="I251" s="40">
        <v>0</v>
      </c>
      <c r="J251" s="40">
        <v>1584</v>
      </c>
      <c r="K251" s="40">
        <v>0</v>
      </c>
      <c r="L251" s="40">
        <v>0</v>
      </c>
      <c r="M251" s="47">
        <f t="shared" si="27"/>
        <v>83160</v>
      </c>
      <c r="N251" s="47">
        <f t="shared" si="28"/>
        <v>87160</v>
      </c>
      <c r="O251">
        <v>1</v>
      </c>
      <c r="P251">
        <v>2</v>
      </c>
      <c r="Q251">
        <v>10</v>
      </c>
      <c r="R251">
        <v>4</v>
      </c>
      <c r="S251">
        <v>1</v>
      </c>
      <c r="T251">
        <v>4</v>
      </c>
      <c r="U251" s="48">
        <f t="shared" si="31"/>
        <v>0.2</v>
      </c>
      <c r="V251" s="47">
        <f t="shared" si="29"/>
        <v>17432</v>
      </c>
      <c r="W251" s="47">
        <f t="shared" si="30"/>
        <v>104592</v>
      </c>
      <c r="X251" s="8"/>
    </row>
    <row r="252" spans="1:25" ht="12.75">
      <c r="A252" t="s">
        <v>255</v>
      </c>
      <c r="B252" t="s">
        <v>1971</v>
      </c>
      <c r="C252" s="217">
        <v>0</v>
      </c>
      <c r="D252" s="217">
        <v>0</v>
      </c>
      <c r="E252" s="217">
        <v>0</v>
      </c>
      <c r="F252" s="47">
        <f t="shared" si="26"/>
        <v>0</v>
      </c>
      <c r="G252" s="40">
        <v>0</v>
      </c>
      <c r="H252" s="40">
        <v>0</v>
      </c>
      <c r="I252" s="40">
        <v>0</v>
      </c>
      <c r="J252" s="40">
        <v>0</v>
      </c>
      <c r="K252" s="40">
        <v>0</v>
      </c>
      <c r="L252" s="40">
        <v>0</v>
      </c>
      <c r="M252" s="47">
        <f t="shared" si="27"/>
        <v>0</v>
      </c>
      <c r="N252" s="47">
        <f t="shared" si="28"/>
        <v>0</v>
      </c>
      <c r="O252">
        <v>0</v>
      </c>
      <c r="U252" s="48">
        <f t="shared" si="31"/>
        <v>0</v>
      </c>
      <c r="V252" s="47">
        <f t="shared" si="29"/>
        <v>0</v>
      </c>
      <c r="W252" s="47">
        <f t="shared" si="30"/>
        <v>0</v>
      </c>
      <c r="X252" s="8"/>
      <c r="Y252" t="s">
        <v>1363</v>
      </c>
    </row>
    <row r="253" spans="1:24" ht="12.75">
      <c r="A253" t="s">
        <v>256</v>
      </c>
      <c r="B253" s="242" t="s">
        <v>149</v>
      </c>
      <c r="C253" s="217">
        <v>15000</v>
      </c>
      <c r="D253" s="217">
        <v>0</v>
      </c>
      <c r="E253" s="217">
        <v>0</v>
      </c>
      <c r="F253" s="47">
        <f t="shared" si="26"/>
        <v>15000</v>
      </c>
      <c r="G253" s="40">
        <v>0</v>
      </c>
      <c r="H253" s="40">
        <v>0</v>
      </c>
      <c r="I253" s="40">
        <v>0</v>
      </c>
      <c r="J253" s="40">
        <v>96</v>
      </c>
      <c r="K253" s="40">
        <v>0</v>
      </c>
      <c r="L253" s="40">
        <v>0</v>
      </c>
      <c r="M253" s="47">
        <f t="shared" si="27"/>
        <v>5040</v>
      </c>
      <c r="N253" s="47">
        <f t="shared" si="28"/>
        <v>20040</v>
      </c>
      <c r="O253">
        <v>1</v>
      </c>
      <c r="P253">
        <v>2</v>
      </c>
      <c r="Q253">
        <v>10</v>
      </c>
      <c r="R253">
        <v>4</v>
      </c>
      <c r="S253">
        <v>1</v>
      </c>
      <c r="T253">
        <v>4</v>
      </c>
      <c r="U253" s="48">
        <f t="shared" si="31"/>
        <v>0.2</v>
      </c>
      <c r="V253" s="47">
        <f t="shared" si="29"/>
        <v>4008</v>
      </c>
      <c r="W253" s="47">
        <f t="shared" si="30"/>
        <v>24048</v>
      </c>
      <c r="X253" s="8"/>
    </row>
    <row r="254" spans="1:24" ht="12.75">
      <c r="A254" t="s">
        <v>257</v>
      </c>
      <c r="B254" s="242" t="s">
        <v>150</v>
      </c>
      <c r="C254" s="217">
        <v>0</v>
      </c>
      <c r="D254" s="217">
        <v>0</v>
      </c>
      <c r="E254" s="217">
        <v>0</v>
      </c>
      <c r="F254" s="47">
        <f t="shared" si="26"/>
        <v>0</v>
      </c>
      <c r="G254" s="40"/>
      <c r="H254" s="40"/>
      <c r="I254" s="40"/>
      <c r="J254" s="40">
        <v>160</v>
      </c>
      <c r="K254" s="40">
        <v>0</v>
      </c>
      <c r="L254" s="40"/>
      <c r="M254" s="47">
        <f t="shared" si="27"/>
        <v>8400</v>
      </c>
      <c r="N254" s="47">
        <f t="shared" si="28"/>
        <v>8400</v>
      </c>
      <c r="O254">
        <v>1</v>
      </c>
      <c r="P254">
        <v>2</v>
      </c>
      <c r="Q254">
        <v>10</v>
      </c>
      <c r="R254">
        <v>4</v>
      </c>
      <c r="S254">
        <v>1</v>
      </c>
      <c r="T254">
        <v>4</v>
      </c>
      <c r="U254" s="48">
        <f t="shared" si="31"/>
        <v>0.2</v>
      </c>
      <c r="V254" s="47">
        <f t="shared" si="29"/>
        <v>1680</v>
      </c>
      <c r="W254" s="47">
        <f t="shared" si="30"/>
        <v>10080</v>
      </c>
      <c r="X254" s="8"/>
    </row>
    <row r="255" spans="1:25" ht="12.75">
      <c r="A255" t="s">
        <v>258</v>
      </c>
      <c r="B255" t="s">
        <v>1972</v>
      </c>
      <c r="C255" s="217">
        <v>0</v>
      </c>
      <c r="D255" s="217">
        <v>0</v>
      </c>
      <c r="E255" s="217">
        <v>0</v>
      </c>
      <c r="F255" s="47">
        <f t="shared" si="26"/>
        <v>0</v>
      </c>
      <c r="G255" s="40">
        <v>0</v>
      </c>
      <c r="H255" s="40">
        <v>0</v>
      </c>
      <c r="I255" s="40">
        <v>0</v>
      </c>
      <c r="J255" s="40">
        <v>0</v>
      </c>
      <c r="K255" s="40">
        <v>0</v>
      </c>
      <c r="L255" s="40">
        <v>0</v>
      </c>
      <c r="M255" s="47">
        <f t="shared" si="27"/>
        <v>0</v>
      </c>
      <c r="N255" s="47">
        <f t="shared" si="28"/>
        <v>0</v>
      </c>
      <c r="U255" s="48">
        <f t="shared" si="31"/>
        <v>0</v>
      </c>
      <c r="V255" s="47">
        <f t="shared" si="29"/>
        <v>0</v>
      </c>
      <c r="W255" s="47">
        <f t="shared" si="30"/>
        <v>0</v>
      </c>
      <c r="X255" s="8"/>
      <c r="Y255" t="s">
        <v>1364</v>
      </c>
    </row>
    <row r="256" spans="1:24" ht="12.75">
      <c r="A256" t="s">
        <v>259</v>
      </c>
      <c r="B256" s="242" t="s">
        <v>1973</v>
      </c>
      <c r="C256" s="217">
        <v>300</v>
      </c>
      <c r="D256" s="217">
        <v>0</v>
      </c>
      <c r="E256" s="217">
        <v>0</v>
      </c>
      <c r="F256" s="47">
        <f t="shared" si="26"/>
        <v>300</v>
      </c>
      <c r="G256" s="40">
        <v>0</v>
      </c>
      <c r="H256" s="40">
        <v>0</v>
      </c>
      <c r="I256" s="40">
        <v>0</v>
      </c>
      <c r="J256" s="40">
        <v>0</v>
      </c>
      <c r="K256" s="40">
        <v>24</v>
      </c>
      <c r="L256" s="40">
        <v>0</v>
      </c>
      <c r="M256" s="47">
        <f t="shared" si="27"/>
        <v>1609.1999999999998</v>
      </c>
      <c r="N256" s="47">
        <f t="shared" si="28"/>
        <v>1909.1999999999998</v>
      </c>
      <c r="O256">
        <v>1</v>
      </c>
      <c r="P256">
        <v>2</v>
      </c>
      <c r="Q256">
        <v>10</v>
      </c>
      <c r="R256">
        <v>4</v>
      </c>
      <c r="S256">
        <v>1</v>
      </c>
      <c r="T256">
        <v>4</v>
      </c>
      <c r="U256" s="48">
        <f t="shared" si="31"/>
        <v>0.2</v>
      </c>
      <c r="V256" s="47">
        <f t="shared" si="29"/>
        <v>381.84</v>
      </c>
      <c r="W256" s="47">
        <f t="shared" si="30"/>
        <v>2291.04</v>
      </c>
      <c r="X256" s="8"/>
    </row>
    <row r="257" spans="1:24" ht="12.75">
      <c r="A257" t="s">
        <v>260</v>
      </c>
      <c r="B257" s="242" t="s">
        <v>1974</v>
      </c>
      <c r="C257" s="217">
        <v>0</v>
      </c>
      <c r="D257" s="217">
        <v>0</v>
      </c>
      <c r="E257" s="217">
        <v>0</v>
      </c>
      <c r="F257" s="47">
        <f t="shared" si="26"/>
        <v>0</v>
      </c>
      <c r="G257">
        <v>0</v>
      </c>
      <c r="H257">
        <v>0</v>
      </c>
      <c r="I257">
        <v>0</v>
      </c>
      <c r="J257">
        <v>32</v>
      </c>
      <c r="K257">
        <v>0</v>
      </c>
      <c r="L257">
        <v>0</v>
      </c>
      <c r="M257" s="47">
        <f t="shared" si="27"/>
        <v>1680</v>
      </c>
      <c r="N257" s="47">
        <f t="shared" si="28"/>
        <v>1680</v>
      </c>
      <c r="O257">
        <v>1</v>
      </c>
      <c r="P257">
        <v>2</v>
      </c>
      <c r="Q257">
        <v>10</v>
      </c>
      <c r="R257">
        <v>4</v>
      </c>
      <c r="S257">
        <v>1</v>
      </c>
      <c r="T257">
        <v>4</v>
      </c>
      <c r="U257" s="48">
        <f t="shared" si="31"/>
        <v>0.2</v>
      </c>
      <c r="V257" s="47">
        <f t="shared" si="29"/>
        <v>336</v>
      </c>
      <c r="W257" s="47">
        <f t="shared" si="30"/>
        <v>2016</v>
      </c>
      <c r="X257" s="8"/>
    </row>
    <row r="258" spans="1:24" ht="12.75">
      <c r="A258" t="s">
        <v>261</v>
      </c>
      <c r="B258" s="242" t="s">
        <v>1975</v>
      </c>
      <c r="C258" s="217">
        <v>0</v>
      </c>
      <c r="D258" s="217">
        <v>0</v>
      </c>
      <c r="E258" s="217">
        <v>0</v>
      </c>
      <c r="F258" s="47">
        <f t="shared" si="26"/>
        <v>0</v>
      </c>
      <c r="G258" s="40"/>
      <c r="H258" s="40"/>
      <c r="I258" s="40"/>
      <c r="J258" s="40">
        <v>80</v>
      </c>
      <c r="K258" s="40">
        <v>0</v>
      </c>
      <c r="L258" s="40"/>
      <c r="M258" s="47">
        <f t="shared" si="27"/>
        <v>4200</v>
      </c>
      <c r="N258" s="47">
        <f t="shared" si="28"/>
        <v>4200</v>
      </c>
      <c r="O258">
        <v>1</v>
      </c>
      <c r="P258">
        <v>2</v>
      </c>
      <c r="Q258">
        <v>10</v>
      </c>
      <c r="R258">
        <v>4</v>
      </c>
      <c r="S258">
        <v>1</v>
      </c>
      <c r="T258">
        <v>4</v>
      </c>
      <c r="U258" s="48">
        <f t="shared" si="31"/>
        <v>0.2</v>
      </c>
      <c r="V258" s="47">
        <f t="shared" si="29"/>
        <v>840</v>
      </c>
      <c r="W258" s="47">
        <f t="shared" si="30"/>
        <v>5040</v>
      </c>
      <c r="X258" s="8"/>
    </row>
    <row r="259" spans="1:24" ht="12.75">
      <c r="A259" t="s">
        <v>262</v>
      </c>
      <c r="B259" s="242" t="s">
        <v>1976</v>
      </c>
      <c r="C259" s="217">
        <v>0</v>
      </c>
      <c r="D259" s="217">
        <v>0</v>
      </c>
      <c r="E259" s="217">
        <v>0</v>
      </c>
      <c r="F259" s="47">
        <f t="shared" si="26"/>
        <v>0</v>
      </c>
      <c r="G259" s="40">
        <v>0</v>
      </c>
      <c r="H259" s="40">
        <v>0</v>
      </c>
      <c r="I259" s="40">
        <v>0</v>
      </c>
      <c r="J259" s="40">
        <v>0</v>
      </c>
      <c r="K259" s="40">
        <v>0</v>
      </c>
      <c r="L259" s="40">
        <v>8</v>
      </c>
      <c r="M259" s="47">
        <f t="shared" si="27"/>
        <v>808</v>
      </c>
      <c r="N259" s="47">
        <f t="shared" si="28"/>
        <v>808</v>
      </c>
      <c r="O259">
        <v>1</v>
      </c>
      <c r="P259">
        <v>2</v>
      </c>
      <c r="Q259">
        <v>10</v>
      </c>
      <c r="R259">
        <v>4</v>
      </c>
      <c r="S259">
        <v>1</v>
      </c>
      <c r="T259">
        <v>4</v>
      </c>
      <c r="U259" s="48">
        <f aca="true" t="shared" si="32" ref="U259:U280">((O259*P259)+Q259+(R259*S259)+T259)/100</f>
        <v>0.2</v>
      </c>
      <c r="V259" s="47">
        <f aca="true" t="shared" si="33" ref="V259:V280">+(F259+M259)*U259</f>
        <v>161.60000000000002</v>
      </c>
      <c r="W259" s="47">
        <f aca="true" t="shared" si="34" ref="W259:W280">+F259+M259+V259</f>
        <v>969.6</v>
      </c>
      <c r="X259" s="8"/>
    </row>
    <row r="260" spans="1:24" ht="12.75">
      <c r="A260" t="s">
        <v>263</v>
      </c>
      <c r="B260" s="242" t="s">
        <v>1977</v>
      </c>
      <c r="C260" s="217">
        <v>0</v>
      </c>
      <c r="D260" s="217">
        <v>0</v>
      </c>
      <c r="E260" s="217">
        <v>0</v>
      </c>
      <c r="F260" s="47">
        <f t="shared" si="26"/>
        <v>0</v>
      </c>
      <c r="G260" s="40">
        <v>0</v>
      </c>
      <c r="H260" s="40">
        <v>0</v>
      </c>
      <c r="I260" s="40">
        <v>0</v>
      </c>
      <c r="J260" s="40">
        <v>16</v>
      </c>
      <c r="K260" s="40">
        <v>0</v>
      </c>
      <c r="L260" s="40">
        <v>0</v>
      </c>
      <c r="M260" s="47">
        <f t="shared" si="27"/>
        <v>840</v>
      </c>
      <c r="N260" s="47">
        <f t="shared" si="28"/>
        <v>840</v>
      </c>
      <c r="O260">
        <v>1</v>
      </c>
      <c r="P260">
        <v>2</v>
      </c>
      <c r="Q260">
        <v>10</v>
      </c>
      <c r="R260">
        <v>4</v>
      </c>
      <c r="S260">
        <v>1</v>
      </c>
      <c r="T260">
        <v>4</v>
      </c>
      <c r="U260" s="48">
        <f t="shared" si="32"/>
        <v>0.2</v>
      </c>
      <c r="V260" s="47">
        <f t="shared" si="33"/>
        <v>168</v>
      </c>
      <c r="W260" s="47">
        <f t="shared" si="34"/>
        <v>1008</v>
      </c>
      <c r="X260" s="8"/>
    </row>
    <row r="261" spans="1:24" ht="12.75">
      <c r="A261" t="s">
        <v>983</v>
      </c>
      <c r="B261" s="242" t="s">
        <v>984</v>
      </c>
      <c r="C261" s="217">
        <v>0</v>
      </c>
      <c r="D261" s="217">
        <v>0</v>
      </c>
      <c r="E261" s="217">
        <v>0</v>
      </c>
      <c r="F261" s="47">
        <f t="shared" si="26"/>
        <v>0</v>
      </c>
      <c r="G261" s="40">
        <v>0</v>
      </c>
      <c r="H261" s="40">
        <v>0</v>
      </c>
      <c r="I261" s="40">
        <v>0</v>
      </c>
      <c r="J261" s="40">
        <v>0</v>
      </c>
      <c r="K261" s="40">
        <v>12</v>
      </c>
      <c r="L261" s="40">
        <v>0</v>
      </c>
      <c r="M261" s="47">
        <f t="shared" si="27"/>
        <v>804.5999999999999</v>
      </c>
      <c r="N261" s="47">
        <f t="shared" si="28"/>
        <v>804.5999999999999</v>
      </c>
      <c r="O261">
        <v>1</v>
      </c>
      <c r="P261">
        <v>2</v>
      </c>
      <c r="Q261">
        <v>15</v>
      </c>
      <c r="R261">
        <v>4</v>
      </c>
      <c r="S261">
        <v>1</v>
      </c>
      <c r="T261">
        <v>4</v>
      </c>
      <c r="U261" s="48">
        <f t="shared" si="32"/>
        <v>0.25</v>
      </c>
      <c r="V261" s="47">
        <f t="shared" si="33"/>
        <v>201.14999999999998</v>
      </c>
      <c r="W261" s="47">
        <f t="shared" si="34"/>
        <v>1005.7499999999999</v>
      </c>
      <c r="X261" s="8"/>
    </row>
    <row r="262" spans="1:24" ht="12.75">
      <c r="A262" t="s">
        <v>985</v>
      </c>
      <c r="B262" s="242" t="s">
        <v>986</v>
      </c>
      <c r="C262" s="217">
        <v>0</v>
      </c>
      <c r="D262" s="217">
        <v>0</v>
      </c>
      <c r="E262" s="217">
        <v>0</v>
      </c>
      <c r="F262" s="47">
        <f t="shared" si="26"/>
        <v>0</v>
      </c>
      <c r="G262" s="40">
        <v>0</v>
      </c>
      <c r="H262" s="40">
        <v>0</v>
      </c>
      <c r="I262" s="40">
        <v>0</v>
      </c>
      <c r="J262" s="40">
        <v>32</v>
      </c>
      <c r="K262" s="40">
        <v>0</v>
      </c>
      <c r="L262" s="40">
        <v>0</v>
      </c>
      <c r="M262" s="47">
        <f t="shared" si="27"/>
        <v>1680</v>
      </c>
      <c r="N262" s="47">
        <f t="shared" si="28"/>
        <v>1680</v>
      </c>
      <c r="O262">
        <v>1</v>
      </c>
      <c r="P262">
        <v>2</v>
      </c>
      <c r="Q262">
        <v>15</v>
      </c>
      <c r="R262">
        <v>4</v>
      </c>
      <c r="S262">
        <v>1</v>
      </c>
      <c r="T262">
        <v>4</v>
      </c>
      <c r="U262" s="48">
        <f t="shared" si="32"/>
        <v>0.25</v>
      </c>
      <c r="V262" s="47">
        <f t="shared" si="33"/>
        <v>420</v>
      </c>
      <c r="W262" s="47">
        <f t="shared" si="34"/>
        <v>2100</v>
      </c>
      <c r="X262" s="8"/>
    </row>
    <row r="263" spans="1:24" ht="12.75">
      <c r="A263" t="s">
        <v>987</v>
      </c>
      <c r="B263" s="242" t="s">
        <v>988</v>
      </c>
      <c r="C263" s="217">
        <v>0</v>
      </c>
      <c r="D263" s="217">
        <v>0</v>
      </c>
      <c r="E263" s="217">
        <v>0</v>
      </c>
      <c r="F263" s="47">
        <f t="shared" si="26"/>
        <v>0</v>
      </c>
      <c r="G263" s="40">
        <v>0</v>
      </c>
      <c r="H263" s="40">
        <v>0</v>
      </c>
      <c r="I263" s="40">
        <v>0</v>
      </c>
      <c r="J263" s="40">
        <v>24</v>
      </c>
      <c r="K263" s="40">
        <v>0</v>
      </c>
      <c r="L263" s="40">
        <v>0</v>
      </c>
      <c r="M263" s="47">
        <f t="shared" si="27"/>
        <v>1260</v>
      </c>
      <c r="N263" s="47">
        <f t="shared" si="28"/>
        <v>1260</v>
      </c>
      <c r="O263">
        <v>1</v>
      </c>
      <c r="P263">
        <v>2</v>
      </c>
      <c r="Q263">
        <v>15</v>
      </c>
      <c r="R263">
        <v>4</v>
      </c>
      <c r="S263">
        <v>1</v>
      </c>
      <c r="T263">
        <v>4</v>
      </c>
      <c r="U263" s="48">
        <f t="shared" si="32"/>
        <v>0.25</v>
      </c>
      <c r="V263" s="47">
        <f t="shared" si="33"/>
        <v>315</v>
      </c>
      <c r="W263" s="47">
        <f t="shared" si="34"/>
        <v>1575</v>
      </c>
      <c r="X263" s="8"/>
    </row>
    <row r="264" spans="1:25" ht="12.75">
      <c r="A264" t="s">
        <v>1056</v>
      </c>
      <c r="B264" t="s">
        <v>898</v>
      </c>
      <c r="C264" s="217">
        <v>0</v>
      </c>
      <c r="D264" s="217">
        <v>0</v>
      </c>
      <c r="E264" s="217">
        <v>0</v>
      </c>
      <c r="F264" s="47">
        <f aca="true" t="shared" si="35" ref="F264:F327">SUM(C264:E264)</f>
        <v>0</v>
      </c>
      <c r="G264" s="40">
        <v>0</v>
      </c>
      <c r="H264" s="40">
        <v>0</v>
      </c>
      <c r="I264" s="40">
        <v>0</v>
      </c>
      <c r="J264" s="40">
        <v>0</v>
      </c>
      <c r="K264" s="40">
        <v>0</v>
      </c>
      <c r="L264" s="40">
        <v>0</v>
      </c>
      <c r="M264" s="47">
        <f aca="true" t="shared" si="36" ref="M264:M327">$G$3*G264+$H$3*H264+$I$3*I264+$J$3*J264+$K$3*K264+$L$3*L264</f>
        <v>0</v>
      </c>
      <c r="N264" s="47">
        <f aca="true" t="shared" si="37" ref="N264:N327">M264+F264</f>
        <v>0</v>
      </c>
      <c r="U264" s="48">
        <f t="shared" si="32"/>
        <v>0</v>
      </c>
      <c r="V264" s="47">
        <f t="shared" si="33"/>
        <v>0</v>
      </c>
      <c r="W264" s="47">
        <f t="shared" si="34"/>
        <v>0</v>
      </c>
      <c r="X264" s="8"/>
      <c r="Y264" t="s">
        <v>1992</v>
      </c>
    </row>
    <row r="265" spans="1:24" ht="12.75">
      <c r="A265" t="s">
        <v>139</v>
      </c>
      <c r="B265" s="242" t="s">
        <v>1864</v>
      </c>
      <c r="C265" s="217">
        <v>0</v>
      </c>
      <c r="D265" s="217">
        <v>0</v>
      </c>
      <c r="E265" s="217">
        <v>0</v>
      </c>
      <c r="F265" s="47">
        <f t="shared" si="35"/>
        <v>0</v>
      </c>
      <c r="G265" s="40">
        <v>0</v>
      </c>
      <c r="H265" s="40">
        <v>0</v>
      </c>
      <c r="I265" s="40">
        <v>0</v>
      </c>
      <c r="J265" s="40">
        <v>576</v>
      </c>
      <c r="K265" s="40">
        <v>0</v>
      </c>
      <c r="L265" s="40">
        <v>0</v>
      </c>
      <c r="M265" s="47">
        <f t="shared" si="36"/>
        <v>30240</v>
      </c>
      <c r="N265" s="47">
        <f t="shared" si="37"/>
        <v>30240</v>
      </c>
      <c r="O265">
        <v>1</v>
      </c>
      <c r="P265">
        <v>2</v>
      </c>
      <c r="Q265">
        <v>10</v>
      </c>
      <c r="R265">
        <v>4</v>
      </c>
      <c r="S265">
        <v>1</v>
      </c>
      <c r="T265">
        <v>4</v>
      </c>
      <c r="U265" s="48">
        <f t="shared" si="32"/>
        <v>0.2</v>
      </c>
      <c r="V265" s="47">
        <f t="shared" si="33"/>
        <v>6048</v>
      </c>
      <c r="W265" s="47">
        <f t="shared" si="34"/>
        <v>36288</v>
      </c>
      <c r="X265" s="8"/>
    </row>
    <row r="266" spans="1:25" ht="12.75">
      <c r="A266" s="325" t="s">
        <v>264</v>
      </c>
      <c r="B266" s="240" t="s">
        <v>907</v>
      </c>
      <c r="C266" s="217">
        <v>0</v>
      </c>
      <c r="D266" s="217">
        <v>0</v>
      </c>
      <c r="E266" s="217">
        <v>0</v>
      </c>
      <c r="F266" s="47">
        <f t="shared" si="35"/>
        <v>0</v>
      </c>
      <c r="G266">
        <v>0</v>
      </c>
      <c r="H266">
        <v>0</v>
      </c>
      <c r="I266">
        <v>0</v>
      </c>
      <c r="J266">
        <v>0</v>
      </c>
      <c r="K266">
        <v>0</v>
      </c>
      <c r="L266">
        <v>0</v>
      </c>
      <c r="M266" s="47">
        <f t="shared" si="36"/>
        <v>0</v>
      </c>
      <c r="N266" s="47">
        <f t="shared" si="37"/>
        <v>0</v>
      </c>
      <c r="U266" s="48">
        <f t="shared" si="32"/>
        <v>0</v>
      </c>
      <c r="V266" s="47">
        <f t="shared" si="33"/>
        <v>0</v>
      </c>
      <c r="W266" s="47">
        <f t="shared" si="34"/>
        <v>0</v>
      </c>
      <c r="X266" s="8"/>
      <c r="Y266" t="s">
        <v>1365</v>
      </c>
    </row>
    <row r="267" spans="1:25" ht="12.75">
      <c r="A267" t="s">
        <v>265</v>
      </c>
      <c r="B267" t="s">
        <v>151</v>
      </c>
      <c r="C267" s="217">
        <v>0</v>
      </c>
      <c r="D267" s="217">
        <v>0</v>
      </c>
      <c r="E267" s="217">
        <v>0</v>
      </c>
      <c r="F267" s="47">
        <f t="shared" si="35"/>
        <v>0</v>
      </c>
      <c r="G267">
        <v>0</v>
      </c>
      <c r="H267">
        <v>0</v>
      </c>
      <c r="I267">
        <v>0</v>
      </c>
      <c r="J267">
        <v>0</v>
      </c>
      <c r="K267">
        <v>0</v>
      </c>
      <c r="L267">
        <v>0</v>
      </c>
      <c r="M267" s="47">
        <f t="shared" si="36"/>
        <v>0</v>
      </c>
      <c r="N267" s="47">
        <f t="shared" si="37"/>
        <v>0</v>
      </c>
      <c r="U267" s="48">
        <f t="shared" si="32"/>
        <v>0</v>
      </c>
      <c r="V267" s="47">
        <f t="shared" si="33"/>
        <v>0</v>
      </c>
      <c r="W267" s="47">
        <f t="shared" si="34"/>
        <v>0</v>
      </c>
      <c r="X267" s="8"/>
      <c r="Y267" t="s">
        <v>1366</v>
      </c>
    </row>
    <row r="268" spans="1:24" ht="12.75">
      <c r="A268" t="s">
        <v>266</v>
      </c>
      <c r="B268" s="242" t="s">
        <v>152</v>
      </c>
      <c r="C268" s="217">
        <v>0</v>
      </c>
      <c r="D268" s="217">
        <v>0</v>
      </c>
      <c r="E268" s="217">
        <v>0</v>
      </c>
      <c r="F268" s="47">
        <f t="shared" si="35"/>
        <v>0</v>
      </c>
      <c r="G268">
        <v>80</v>
      </c>
      <c r="H268">
        <v>0</v>
      </c>
      <c r="I268">
        <v>0</v>
      </c>
      <c r="J268">
        <v>0</v>
      </c>
      <c r="K268">
        <v>0</v>
      </c>
      <c r="L268">
        <v>0</v>
      </c>
      <c r="M268" s="47">
        <f t="shared" si="36"/>
        <v>5372</v>
      </c>
      <c r="N268" s="47">
        <f t="shared" si="37"/>
        <v>5372</v>
      </c>
      <c r="O268">
        <v>1</v>
      </c>
      <c r="P268">
        <v>2</v>
      </c>
      <c r="Q268">
        <v>10</v>
      </c>
      <c r="R268">
        <v>6</v>
      </c>
      <c r="S268">
        <v>2</v>
      </c>
      <c r="T268">
        <v>4</v>
      </c>
      <c r="U268" s="48">
        <f t="shared" si="32"/>
        <v>0.28</v>
      </c>
      <c r="V268" s="47">
        <f t="shared" si="33"/>
        <v>1504.16</v>
      </c>
      <c r="W268" s="47">
        <f t="shared" si="34"/>
        <v>6876.16</v>
      </c>
      <c r="X268" s="8"/>
    </row>
    <row r="269" spans="1:24" ht="12.75">
      <c r="A269" t="s">
        <v>267</v>
      </c>
      <c r="B269" s="242" t="s">
        <v>1978</v>
      </c>
      <c r="C269" s="217">
        <v>0</v>
      </c>
      <c r="D269" s="217">
        <v>0</v>
      </c>
      <c r="E269" s="217">
        <v>0</v>
      </c>
      <c r="F269" s="47">
        <f t="shared" si="35"/>
        <v>0</v>
      </c>
      <c r="G269">
        <v>0</v>
      </c>
      <c r="H269">
        <v>0</v>
      </c>
      <c r="I269">
        <v>80</v>
      </c>
      <c r="J269">
        <v>0</v>
      </c>
      <c r="K269">
        <v>0</v>
      </c>
      <c r="L269">
        <v>0</v>
      </c>
      <c r="M269" s="47">
        <f t="shared" si="36"/>
        <v>4500</v>
      </c>
      <c r="N269" s="47">
        <f t="shared" si="37"/>
        <v>4500</v>
      </c>
      <c r="O269">
        <v>1</v>
      </c>
      <c r="P269">
        <v>2</v>
      </c>
      <c r="Q269">
        <v>10</v>
      </c>
      <c r="R269">
        <v>6</v>
      </c>
      <c r="S269">
        <v>2</v>
      </c>
      <c r="T269">
        <v>4</v>
      </c>
      <c r="U269" s="48">
        <f t="shared" si="32"/>
        <v>0.28</v>
      </c>
      <c r="V269" s="47">
        <f t="shared" si="33"/>
        <v>1260.0000000000002</v>
      </c>
      <c r="W269" s="47">
        <f t="shared" si="34"/>
        <v>5760</v>
      </c>
      <c r="X269" s="8"/>
    </row>
    <row r="270" spans="1:24" ht="12.75">
      <c r="A270" t="s">
        <v>268</v>
      </c>
      <c r="B270" s="242" t="s">
        <v>1979</v>
      </c>
      <c r="C270" s="217">
        <v>5000</v>
      </c>
      <c r="D270" s="217">
        <v>0</v>
      </c>
      <c r="E270" s="217">
        <v>0</v>
      </c>
      <c r="F270" s="47">
        <f t="shared" si="35"/>
        <v>5000</v>
      </c>
      <c r="G270">
        <v>0</v>
      </c>
      <c r="H270">
        <v>0</v>
      </c>
      <c r="I270">
        <v>0</v>
      </c>
      <c r="J270">
        <v>0</v>
      </c>
      <c r="K270">
        <v>0</v>
      </c>
      <c r="L270">
        <v>0</v>
      </c>
      <c r="M270" s="47">
        <f t="shared" si="36"/>
        <v>0</v>
      </c>
      <c r="N270" s="47">
        <f t="shared" si="37"/>
        <v>5000</v>
      </c>
      <c r="O270">
        <v>1</v>
      </c>
      <c r="P270">
        <v>2</v>
      </c>
      <c r="Q270">
        <v>10</v>
      </c>
      <c r="R270">
        <v>6</v>
      </c>
      <c r="S270">
        <v>2</v>
      </c>
      <c r="T270">
        <v>4</v>
      </c>
      <c r="U270" s="48">
        <f t="shared" si="32"/>
        <v>0.28</v>
      </c>
      <c r="V270" s="47">
        <f t="shared" si="33"/>
        <v>1400.0000000000002</v>
      </c>
      <c r="W270" s="47">
        <f t="shared" si="34"/>
        <v>6400</v>
      </c>
      <c r="X270" s="8"/>
    </row>
    <row r="271" spans="1:24" ht="12.75">
      <c r="A271" t="s">
        <v>269</v>
      </c>
      <c r="B271" s="242" t="s">
        <v>1980</v>
      </c>
      <c r="C271" s="217">
        <v>0</v>
      </c>
      <c r="D271" s="217">
        <v>0</v>
      </c>
      <c r="E271" s="217">
        <v>0</v>
      </c>
      <c r="F271" s="47">
        <f t="shared" si="35"/>
        <v>0</v>
      </c>
      <c r="G271">
        <v>0</v>
      </c>
      <c r="H271">
        <v>0</v>
      </c>
      <c r="I271">
        <v>0</v>
      </c>
      <c r="J271">
        <v>240</v>
      </c>
      <c r="K271">
        <v>0</v>
      </c>
      <c r="L271">
        <v>0</v>
      </c>
      <c r="M271" s="47">
        <f t="shared" si="36"/>
        <v>12600</v>
      </c>
      <c r="N271" s="47">
        <f t="shared" si="37"/>
        <v>12600</v>
      </c>
      <c r="O271">
        <v>1</v>
      </c>
      <c r="P271">
        <v>2</v>
      </c>
      <c r="Q271">
        <v>10</v>
      </c>
      <c r="R271">
        <v>6</v>
      </c>
      <c r="S271">
        <v>2</v>
      </c>
      <c r="T271">
        <v>4</v>
      </c>
      <c r="U271" s="48">
        <f t="shared" si="32"/>
        <v>0.28</v>
      </c>
      <c r="V271" s="47">
        <f t="shared" si="33"/>
        <v>3528.0000000000005</v>
      </c>
      <c r="W271" s="47">
        <f t="shared" si="34"/>
        <v>16128</v>
      </c>
      <c r="X271" s="8"/>
    </row>
    <row r="272" spans="1:24" ht="12.75">
      <c r="A272" t="s">
        <v>270</v>
      </c>
      <c r="B272" s="242" t="s">
        <v>1980</v>
      </c>
      <c r="C272" s="217">
        <v>0</v>
      </c>
      <c r="D272" s="217">
        <v>0</v>
      </c>
      <c r="E272" s="217">
        <v>0</v>
      </c>
      <c r="F272" s="47">
        <f t="shared" si="35"/>
        <v>0</v>
      </c>
      <c r="G272">
        <v>0</v>
      </c>
      <c r="H272">
        <v>0</v>
      </c>
      <c r="I272">
        <v>0</v>
      </c>
      <c r="J272">
        <v>0</v>
      </c>
      <c r="K272">
        <v>80</v>
      </c>
      <c r="L272">
        <v>0</v>
      </c>
      <c r="M272" s="47">
        <f t="shared" si="36"/>
        <v>5364</v>
      </c>
      <c r="N272" s="47">
        <f t="shared" si="37"/>
        <v>5364</v>
      </c>
      <c r="O272">
        <v>1</v>
      </c>
      <c r="P272">
        <v>2</v>
      </c>
      <c r="Q272">
        <v>10</v>
      </c>
      <c r="R272">
        <v>6</v>
      </c>
      <c r="S272">
        <v>2</v>
      </c>
      <c r="T272">
        <v>4</v>
      </c>
      <c r="U272" s="48">
        <f t="shared" si="32"/>
        <v>0.28</v>
      </c>
      <c r="V272" s="47">
        <f t="shared" si="33"/>
        <v>1501.92</v>
      </c>
      <c r="W272" s="47">
        <f t="shared" si="34"/>
        <v>6865.92</v>
      </c>
      <c r="X272" s="8"/>
    </row>
    <row r="273" spans="1:24" ht="12.75">
      <c r="A273" t="s">
        <v>271</v>
      </c>
      <c r="B273" s="242" t="s">
        <v>1981</v>
      </c>
      <c r="C273" s="217">
        <v>0</v>
      </c>
      <c r="D273" s="217">
        <v>0</v>
      </c>
      <c r="E273" s="217">
        <v>0</v>
      </c>
      <c r="F273" s="47">
        <f t="shared" si="35"/>
        <v>0</v>
      </c>
      <c r="G273">
        <v>0</v>
      </c>
      <c r="H273">
        <v>0</v>
      </c>
      <c r="I273">
        <v>0</v>
      </c>
      <c r="J273">
        <v>0</v>
      </c>
      <c r="K273">
        <v>160</v>
      </c>
      <c r="L273">
        <v>0</v>
      </c>
      <c r="M273" s="47">
        <f t="shared" si="36"/>
        <v>10728</v>
      </c>
      <c r="N273" s="47">
        <f t="shared" si="37"/>
        <v>10728</v>
      </c>
      <c r="O273">
        <v>1</v>
      </c>
      <c r="P273">
        <v>2</v>
      </c>
      <c r="Q273">
        <v>10</v>
      </c>
      <c r="R273">
        <v>6</v>
      </c>
      <c r="S273">
        <v>2</v>
      </c>
      <c r="T273">
        <v>4</v>
      </c>
      <c r="U273" s="48">
        <f t="shared" si="32"/>
        <v>0.28</v>
      </c>
      <c r="V273" s="47">
        <f t="shared" si="33"/>
        <v>3003.84</v>
      </c>
      <c r="W273" s="47">
        <f t="shared" si="34"/>
        <v>13731.84</v>
      </c>
      <c r="X273" s="8"/>
    </row>
    <row r="274" spans="1:25" ht="12.75">
      <c r="A274" t="s">
        <v>272</v>
      </c>
      <c r="B274" t="s">
        <v>908</v>
      </c>
      <c r="C274" s="217">
        <v>0</v>
      </c>
      <c r="D274" s="217">
        <v>0</v>
      </c>
      <c r="E274" s="217">
        <v>0</v>
      </c>
      <c r="F274" s="47">
        <f t="shared" si="35"/>
        <v>0</v>
      </c>
      <c r="G274">
        <v>0</v>
      </c>
      <c r="H274">
        <v>0</v>
      </c>
      <c r="I274">
        <v>0</v>
      </c>
      <c r="J274">
        <v>0</v>
      </c>
      <c r="K274">
        <v>0</v>
      </c>
      <c r="L274">
        <v>0</v>
      </c>
      <c r="M274" s="47">
        <f t="shared" si="36"/>
        <v>0</v>
      </c>
      <c r="N274" s="47">
        <f t="shared" si="37"/>
        <v>0</v>
      </c>
      <c r="U274" s="48">
        <f t="shared" si="32"/>
        <v>0</v>
      </c>
      <c r="V274" s="47">
        <f t="shared" si="33"/>
        <v>0</v>
      </c>
      <c r="W274" s="47">
        <f t="shared" si="34"/>
        <v>0</v>
      </c>
      <c r="X274" s="8"/>
      <c r="Y274" t="s">
        <v>1367</v>
      </c>
    </row>
    <row r="275" spans="1:24" ht="12.75">
      <c r="A275" t="s">
        <v>273</v>
      </c>
      <c r="B275" s="242" t="s">
        <v>153</v>
      </c>
      <c r="C275" s="217">
        <v>0</v>
      </c>
      <c r="D275" s="217">
        <v>0</v>
      </c>
      <c r="E275" s="217">
        <v>0</v>
      </c>
      <c r="F275" s="47">
        <f t="shared" si="35"/>
        <v>0</v>
      </c>
      <c r="G275">
        <v>40</v>
      </c>
      <c r="H275">
        <v>0</v>
      </c>
      <c r="I275">
        <v>0</v>
      </c>
      <c r="J275">
        <v>0</v>
      </c>
      <c r="K275">
        <v>0</v>
      </c>
      <c r="L275">
        <v>0</v>
      </c>
      <c r="M275" s="47">
        <f t="shared" si="36"/>
        <v>2686</v>
      </c>
      <c r="N275" s="47">
        <f t="shared" si="37"/>
        <v>2686</v>
      </c>
      <c r="O275">
        <v>2</v>
      </c>
      <c r="P275">
        <v>2</v>
      </c>
      <c r="Q275">
        <v>10</v>
      </c>
      <c r="R275">
        <v>6</v>
      </c>
      <c r="S275">
        <v>2</v>
      </c>
      <c r="T275">
        <v>2</v>
      </c>
      <c r="U275" s="48">
        <f t="shared" si="32"/>
        <v>0.28</v>
      </c>
      <c r="V275" s="47">
        <f t="shared" si="33"/>
        <v>752.08</v>
      </c>
      <c r="W275" s="47">
        <f t="shared" si="34"/>
        <v>3438.08</v>
      </c>
      <c r="X275" s="8"/>
    </row>
    <row r="276" spans="1:24" ht="12.75">
      <c r="A276" t="s">
        <v>274</v>
      </c>
      <c r="B276" s="242" t="s">
        <v>154</v>
      </c>
      <c r="C276" s="217">
        <v>0</v>
      </c>
      <c r="D276" s="217">
        <v>0</v>
      </c>
      <c r="E276" s="217">
        <v>0</v>
      </c>
      <c r="F276" s="47">
        <f t="shared" si="35"/>
        <v>0</v>
      </c>
      <c r="G276">
        <v>0</v>
      </c>
      <c r="H276">
        <v>0</v>
      </c>
      <c r="I276">
        <v>40</v>
      </c>
      <c r="J276">
        <v>0</v>
      </c>
      <c r="K276">
        <v>0</v>
      </c>
      <c r="L276">
        <v>0</v>
      </c>
      <c r="M276" s="47">
        <f t="shared" si="36"/>
        <v>2250</v>
      </c>
      <c r="N276" s="47">
        <f t="shared" si="37"/>
        <v>2250</v>
      </c>
      <c r="O276">
        <v>2</v>
      </c>
      <c r="P276">
        <v>2</v>
      </c>
      <c r="Q276">
        <v>10</v>
      </c>
      <c r="R276">
        <v>6</v>
      </c>
      <c r="S276">
        <v>2</v>
      </c>
      <c r="T276">
        <v>2</v>
      </c>
      <c r="U276" s="48">
        <f t="shared" si="32"/>
        <v>0.28</v>
      </c>
      <c r="V276" s="47">
        <f t="shared" si="33"/>
        <v>630.0000000000001</v>
      </c>
      <c r="W276" s="47">
        <f t="shared" si="34"/>
        <v>2880</v>
      </c>
      <c r="X276" s="8"/>
    </row>
    <row r="277" spans="1:24" ht="12.75">
      <c r="A277" t="s">
        <v>275</v>
      </c>
      <c r="B277" s="242" t="s">
        <v>155</v>
      </c>
      <c r="C277" s="217">
        <v>40000</v>
      </c>
      <c r="D277" s="217">
        <v>0</v>
      </c>
      <c r="E277" s="217">
        <v>0</v>
      </c>
      <c r="F277" s="47">
        <f t="shared" si="35"/>
        <v>40000</v>
      </c>
      <c r="G277">
        <v>0</v>
      </c>
      <c r="H277">
        <v>0</v>
      </c>
      <c r="I277">
        <v>0</v>
      </c>
      <c r="J277">
        <v>0</v>
      </c>
      <c r="K277">
        <v>0</v>
      </c>
      <c r="L277">
        <v>0</v>
      </c>
      <c r="M277" s="47">
        <f t="shared" si="36"/>
        <v>0</v>
      </c>
      <c r="N277" s="47">
        <f t="shared" si="37"/>
        <v>40000</v>
      </c>
      <c r="O277">
        <v>2</v>
      </c>
      <c r="P277">
        <v>2</v>
      </c>
      <c r="Q277">
        <v>10</v>
      </c>
      <c r="R277">
        <v>6</v>
      </c>
      <c r="S277">
        <v>2</v>
      </c>
      <c r="T277">
        <v>2</v>
      </c>
      <c r="U277" s="48">
        <f t="shared" si="32"/>
        <v>0.28</v>
      </c>
      <c r="V277" s="47">
        <f t="shared" si="33"/>
        <v>11200.000000000002</v>
      </c>
      <c r="W277" s="47">
        <f t="shared" si="34"/>
        <v>51200</v>
      </c>
      <c r="X277" s="8"/>
    </row>
    <row r="278" spans="1:24" ht="12.75">
      <c r="A278" t="s">
        <v>276</v>
      </c>
      <c r="B278" s="242" t="s">
        <v>156</v>
      </c>
      <c r="C278" s="217">
        <v>0</v>
      </c>
      <c r="D278" s="217">
        <v>0</v>
      </c>
      <c r="E278" s="217">
        <v>0</v>
      </c>
      <c r="F278" s="47">
        <f t="shared" si="35"/>
        <v>0</v>
      </c>
      <c r="G278">
        <v>0</v>
      </c>
      <c r="H278">
        <v>0</v>
      </c>
      <c r="I278">
        <v>0</v>
      </c>
      <c r="J278">
        <v>0</v>
      </c>
      <c r="K278">
        <v>160</v>
      </c>
      <c r="L278">
        <v>0</v>
      </c>
      <c r="M278" s="47">
        <f t="shared" si="36"/>
        <v>10728</v>
      </c>
      <c r="N278" s="47">
        <f t="shared" si="37"/>
        <v>10728</v>
      </c>
      <c r="O278">
        <v>2</v>
      </c>
      <c r="P278">
        <v>2</v>
      </c>
      <c r="Q278">
        <v>10</v>
      </c>
      <c r="R278">
        <v>6</v>
      </c>
      <c r="S278">
        <v>2</v>
      </c>
      <c r="T278">
        <v>2</v>
      </c>
      <c r="U278" s="48">
        <f t="shared" si="32"/>
        <v>0.28</v>
      </c>
      <c r="V278" s="47">
        <f t="shared" si="33"/>
        <v>3003.84</v>
      </c>
      <c r="W278" s="47">
        <f t="shared" si="34"/>
        <v>13731.84</v>
      </c>
      <c r="X278" s="8"/>
    </row>
    <row r="279" spans="1:25" ht="12.75">
      <c r="A279" t="s">
        <v>277</v>
      </c>
      <c r="B279" t="s">
        <v>909</v>
      </c>
      <c r="C279" s="217">
        <v>0</v>
      </c>
      <c r="D279" s="217">
        <v>0</v>
      </c>
      <c r="E279" s="217">
        <v>0</v>
      </c>
      <c r="F279" s="47">
        <f t="shared" si="35"/>
        <v>0</v>
      </c>
      <c r="G279">
        <v>0</v>
      </c>
      <c r="H279">
        <v>0</v>
      </c>
      <c r="I279">
        <v>0</v>
      </c>
      <c r="J279">
        <v>0</v>
      </c>
      <c r="K279">
        <v>0</v>
      </c>
      <c r="L279">
        <v>0</v>
      </c>
      <c r="M279" s="47">
        <f t="shared" si="36"/>
        <v>0</v>
      </c>
      <c r="N279" s="47">
        <f t="shared" si="37"/>
        <v>0</v>
      </c>
      <c r="U279" s="48">
        <f t="shared" si="32"/>
        <v>0</v>
      </c>
      <c r="V279" s="47">
        <f t="shared" si="33"/>
        <v>0</v>
      </c>
      <c r="W279" s="47">
        <f t="shared" si="34"/>
        <v>0</v>
      </c>
      <c r="X279" s="8"/>
      <c r="Y279" t="s">
        <v>1368</v>
      </c>
    </row>
    <row r="280" spans="1:24" ht="12.75">
      <c r="A280" t="s">
        <v>278</v>
      </c>
      <c r="B280" s="242" t="s">
        <v>157</v>
      </c>
      <c r="C280" s="217">
        <v>0</v>
      </c>
      <c r="D280" s="217">
        <v>0</v>
      </c>
      <c r="E280" s="217">
        <v>0</v>
      </c>
      <c r="F280" s="47">
        <f t="shared" si="35"/>
        <v>0</v>
      </c>
      <c r="G280">
        <v>0</v>
      </c>
      <c r="H280">
        <v>0</v>
      </c>
      <c r="I280">
        <v>0</v>
      </c>
      <c r="J280">
        <v>0</v>
      </c>
      <c r="K280">
        <v>80</v>
      </c>
      <c r="L280">
        <v>0</v>
      </c>
      <c r="M280" s="47">
        <f t="shared" si="36"/>
        <v>5364</v>
      </c>
      <c r="N280" s="47">
        <f t="shared" si="37"/>
        <v>5364</v>
      </c>
      <c r="O280">
        <v>1</v>
      </c>
      <c r="P280">
        <v>2</v>
      </c>
      <c r="Q280">
        <v>10</v>
      </c>
      <c r="R280">
        <v>4</v>
      </c>
      <c r="S280">
        <v>2</v>
      </c>
      <c r="T280">
        <v>4</v>
      </c>
      <c r="U280" s="48">
        <f t="shared" si="32"/>
        <v>0.24</v>
      </c>
      <c r="V280" s="47">
        <f t="shared" si="33"/>
        <v>1287.36</v>
      </c>
      <c r="W280" s="47">
        <f t="shared" si="34"/>
        <v>6651.36</v>
      </c>
      <c r="X280" s="8"/>
    </row>
    <row r="281" spans="1:24" ht="12.75">
      <c r="A281" t="s">
        <v>279</v>
      </c>
      <c r="B281" s="242" t="s">
        <v>647</v>
      </c>
      <c r="C281" s="217">
        <v>5000</v>
      </c>
      <c r="D281" s="217">
        <v>0</v>
      </c>
      <c r="E281" s="217">
        <v>0</v>
      </c>
      <c r="F281" s="47">
        <f t="shared" si="35"/>
        <v>5000</v>
      </c>
      <c r="G281">
        <v>0</v>
      </c>
      <c r="H281">
        <v>0</v>
      </c>
      <c r="I281">
        <v>0</v>
      </c>
      <c r="J281">
        <v>0</v>
      </c>
      <c r="K281">
        <v>0</v>
      </c>
      <c r="L281">
        <v>0</v>
      </c>
      <c r="M281" s="47">
        <f t="shared" si="36"/>
        <v>0</v>
      </c>
      <c r="N281" s="47">
        <f t="shared" si="37"/>
        <v>5000</v>
      </c>
      <c r="O281">
        <v>1</v>
      </c>
      <c r="P281">
        <v>2</v>
      </c>
      <c r="Q281">
        <v>10</v>
      </c>
      <c r="R281">
        <v>4</v>
      </c>
      <c r="S281">
        <v>2</v>
      </c>
      <c r="T281">
        <v>4</v>
      </c>
      <c r="U281" s="48">
        <f aca="true" t="shared" si="38" ref="U281:U293">((O281*P281)+Q281+(R281*S281)+T281)/100</f>
        <v>0.24</v>
      </c>
      <c r="V281" s="47">
        <f aca="true" t="shared" si="39" ref="V281:V293">+(F281+M281)*U281</f>
        <v>1200</v>
      </c>
      <c r="W281" s="47">
        <f aca="true" t="shared" si="40" ref="W281:W293">+F281+M281+V281</f>
        <v>6200</v>
      </c>
      <c r="X281" s="8"/>
    </row>
    <row r="282" spans="1:24" ht="12.75">
      <c r="A282" t="s">
        <v>280</v>
      </c>
      <c r="B282" s="242" t="s">
        <v>852</v>
      </c>
      <c r="C282" s="217">
        <v>0</v>
      </c>
      <c r="D282" s="217">
        <v>0</v>
      </c>
      <c r="E282" s="217">
        <v>0</v>
      </c>
      <c r="F282" s="47">
        <f t="shared" si="35"/>
        <v>0</v>
      </c>
      <c r="G282">
        <v>0</v>
      </c>
      <c r="H282">
        <v>0</v>
      </c>
      <c r="I282">
        <v>0</v>
      </c>
      <c r="J282">
        <v>0</v>
      </c>
      <c r="K282">
        <v>160</v>
      </c>
      <c r="L282">
        <v>0</v>
      </c>
      <c r="M282" s="47">
        <f t="shared" si="36"/>
        <v>10728</v>
      </c>
      <c r="N282" s="47">
        <f t="shared" si="37"/>
        <v>10728</v>
      </c>
      <c r="O282">
        <v>1</v>
      </c>
      <c r="P282">
        <v>2</v>
      </c>
      <c r="Q282">
        <v>10</v>
      </c>
      <c r="R282">
        <v>4</v>
      </c>
      <c r="S282">
        <v>2</v>
      </c>
      <c r="T282">
        <v>4</v>
      </c>
      <c r="U282" s="48">
        <f t="shared" si="38"/>
        <v>0.24</v>
      </c>
      <c r="V282" s="47">
        <f t="shared" si="39"/>
        <v>2574.72</v>
      </c>
      <c r="W282" s="47">
        <f t="shared" si="40"/>
        <v>13302.72</v>
      </c>
      <c r="X282" s="8"/>
    </row>
    <row r="283" spans="1:24" ht="12.75">
      <c r="A283" t="s">
        <v>281</v>
      </c>
      <c r="B283" s="242" t="s">
        <v>1982</v>
      </c>
      <c r="C283" s="217">
        <v>40000</v>
      </c>
      <c r="D283" s="217">
        <v>0</v>
      </c>
      <c r="E283" s="217">
        <v>0</v>
      </c>
      <c r="F283" s="47">
        <f t="shared" si="35"/>
        <v>40000</v>
      </c>
      <c r="G283">
        <v>0</v>
      </c>
      <c r="H283">
        <v>0</v>
      </c>
      <c r="I283">
        <v>0</v>
      </c>
      <c r="J283">
        <v>0</v>
      </c>
      <c r="K283">
        <v>0</v>
      </c>
      <c r="L283">
        <v>0</v>
      </c>
      <c r="M283" s="47">
        <f t="shared" si="36"/>
        <v>0</v>
      </c>
      <c r="N283" s="47">
        <f t="shared" si="37"/>
        <v>40000</v>
      </c>
      <c r="O283">
        <v>1</v>
      </c>
      <c r="P283">
        <v>2</v>
      </c>
      <c r="Q283">
        <v>10</v>
      </c>
      <c r="R283">
        <v>4</v>
      </c>
      <c r="S283">
        <v>2</v>
      </c>
      <c r="T283">
        <v>4</v>
      </c>
      <c r="U283" s="48">
        <f t="shared" si="38"/>
        <v>0.24</v>
      </c>
      <c r="V283" s="47">
        <f t="shared" si="39"/>
        <v>9600</v>
      </c>
      <c r="W283" s="47">
        <f t="shared" si="40"/>
        <v>49600</v>
      </c>
      <c r="X283" s="8"/>
    </row>
    <row r="284" spans="1:25" ht="12.75">
      <c r="A284" t="s">
        <v>374</v>
      </c>
      <c r="B284" t="s">
        <v>1580</v>
      </c>
      <c r="C284" s="217">
        <v>0</v>
      </c>
      <c r="D284" s="217">
        <v>0</v>
      </c>
      <c r="E284" s="217">
        <v>0</v>
      </c>
      <c r="F284" s="47">
        <f t="shared" si="35"/>
        <v>0</v>
      </c>
      <c r="G284">
        <v>0</v>
      </c>
      <c r="H284">
        <v>0</v>
      </c>
      <c r="I284">
        <v>0</v>
      </c>
      <c r="J284">
        <v>0</v>
      </c>
      <c r="K284">
        <v>0</v>
      </c>
      <c r="L284">
        <v>0</v>
      </c>
      <c r="M284" s="47">
        <f t="shared" si="36"/>
        <v>0</v>
      </c>
      <c r="N284" s="47">
        <f t="shared" si="37"/>
        <v>0</v>
      </c>
      <c r="U284" s="48">
        <f t="shared" si="38"/>
        <v>0</v>
      </c>
      <c r="V284" s="47">
        <f t="shared" si="39"/>
        <v>0</v>
      </c>
      <c r="W284" s="47">
        <f t="shared" si="40"/>
        <v>0</v>
      </c>
      <c r="X284" s="8"/>
      <c r="Y284" t="s">
        <v>1369</v>
      </c>
    </row>
    <row r="285" spans="1:24" ht="12.75">
      <c r="A285" t="s">
        <v>1581</v>
      </c>
      <c r="B285" s="242" t="s">
        <v>1582</v>
      </c>
      <c r="C285" s="217">
        <v>10000</v>
      </c>
      <c r="D285" s="217">
        <v>0</v>
      </c>
      <c r="E285" s="217">
        <v>0</v>
      </c>
      <c r="F285" s="47">
        <f t="shared" si="35"/>
        <v>10000</v>
      </c>
      <c r="G285">
        <v>0</v>
      </c>
      <c r="H285">
        <v>0</v>
      </c>
      <c r="I285">
        <v>0</v>
      </c>
      <c r="J285">
        <v>0</v>
      </c>
      <c r="K285">
        <v>12</v>
      </c>
      <c r="L285">
        <v>0</v>
      </c>
      <c r="M285" s="47">
        <f t="shared" si="36"/>
        <v>804.5999999999999</v>
      </c>
      <c r="N285" s="47">
        <f t="shared" si="37"/>
        <v>10804.6</v>
      </c>
      <c r="O285">
        <v>2</v>
      </c>
      <c r="P285">
        <v>2</v>
      </c>
      <c r="Q285">
        <v>8</v>
      </c>
      <c r="R285">
        <v>4</v>
      </c>
      <c r="S285">
        <v>2</v>
      </c>
      <c r="T285">
        <v>4</v>
      </c>
      <c r="U285" s="48">
        <f t="shared" si="38"/>
        <v>0.24</v>
      </c>
      <c r="V285" s="47">
        <f t="shared" si="39"/>
        <v>2593.104</v>
      </c>
      <c r="W285" s="47">
        <f t="shared" si="40"/>
        <v>13397.704</v>
      </c>
      <c r="X285" s="8"/>
    </row>
    <row r="286" spans="1:24" ht="12.75">
      <c r="A286" t="s">
        <v>1583</v>
      </c>
      <c r="B286" s="242" t="s">
        <v>1582</v>
      </c>
      <c r="C286" s="217">
        <v>0</v>
      </c>
      <c r="D286" s="217">
        <v>0</v>
      </c>
      <c r="E286" s="217">
        <v>0</v>
      </c>
      <c r="F286" s="47">
        <f t="shared" si="35"/>
        <v>0</v>
      </c>
      <c r="G286">
        <v>0</v>
      </c>
      <c r="H286">
        <v>0</v>
      </c>
      <c r="I286">
        <v>0</v>
      </c>
      <c r="J286">
        <v>0</v>
      </c>
      <c r="K286">
        <v>108</v>
      </c>
      <c r="L286">
        <v>0</v>
      </c>
      <c r="M286" s="47">
        <f t="shared" si="36"/>
        <v>7241.4</v>
      </c>
      <c r="N286" s="47">
        <f t="shared" si="37"/>
        <v>7241.4</v>
      </c>
      <c r="O286">
        <v>2</v>
      </c>
      <c r="P286">
        <v>2</v>
      </c>
      <c r="Q286">
        <v>8</v>
      </c>
      <c r="R286">
        <v>4</v>
      </c>
      <c r="S286">
        <v>2</v>
      </c>
      <c r="T286">
        <v>4</v>
      </c>
      <c r="U286" s="48">
        <f t="shared" si="38"/>
        <v>0.24</v>
      </c>
      <c r="V286" s="47">
        <f t="shared" si="39"/>
        <v>1737.936</v>
      </c>
      <c r="W286" s="47">
        <f t="shared" si="40"/>
        <v>8979.336</v>
      </c>
      <c r="X286" s="8"/>
    </row>
    <row r="287" spans="1:24" ht="12.75">
      <c r="A287" t="s">
        <v>1584</v>
      </c>
      <c r="B287" s="242" t="s">
        <v>1585</v>
      </c>
      <c r="C287" s="217">
        <v>0</v>
      </c>
      <c r="D287" s="217">
        <v>0</v>
      </c>
      <c r="E287" s="217">
        <v>0</v>
      </c>
      <c r="F287" s="47">
        <f t="shared" si="35"/>
        <v>0</v>
      </c>
      <c r="G287">
        <v>0</v>
      </c>
      <c r="H287">
        <v>0</v>
      </c>
      <c r="I287">
        <v>0</v>
      </c>
      <c r="J287">
        <v>0</v>
      </c>
      <c r="K287">
        <v>20</v>
      </c>
      <c r="L287">
        <v>0</v>
      </c>
      <c r="M287" s="47">
        <f t="shared" si="36"/>
        <v>1341</v>
      </c>
      <c r="N287" s="47">
        <f t="shared" si="37"/>
        <v>1341</v>
      </c>
      <c r="O287">
        <v>2</v>
      </c>
      <c r="P287">
        <v>2</v>
      </c>
      <c r="Q287">
        <v>8</v>
      </c>
      <c r="R287">
        <v>4</v>
      </c>
      <c r="S287">
        <v>2</v>
      </c>
      <c r="T287">
        <v>4</v>
      </c>
      <c r="U287" s="48">
        <f t="shared" si="38"/>
        <v>0.24</v>
      </c>
      <c r="V287" s="47">
        <f t="shared" si="39"/>
        <v>321.84</v>
      </c>
      <c r="W287" s="47">
        <f t="shared" si="40"/>
        <v>1662.84</v>
      </c>
      <c r="X287" s="8"/>
    </row>
    <row r="288" spans="1:25" ht="12.75">
      <c r="A288" t="s">
        <v>1586</v>
      </c>
      <c r="B288" t="s">
        <v>1587</v>
      </c>
      <c r="C288" s="217">
        <v>0</v>
      </c>
      <c r="D288" s="217">
        <v>0</v>
      </c>
      <c r="E288" s="217">
        <v>0</v>
      </c>
      <c r="F288" s="47">
        <f t="shared" si="35"/>
        <v>0</v>
      </c>
      <c r="G288">
        <v>0</v>
      </c>
      <c r="H288">
        <v>0</v>
      </c>
      <c r="I288">
        <v>0</v>
      </c>
      <c r="J288">
        <v>0</v>
      </c>
      <c r="K288">
        <v>0</v>
      </c>
      <c r="L288">
        <v>0</v>
      </c>
      <c r="M288" s="47">
        <f t="shared" si="36"/>
        <v>0</v>
      </c>
      <c r="N288" s="47">
        <f t="shared" si="37"/>
        <v>0</v>
      </c>
      <c r="U288" s="48">
        <f>((O288*P288)+Q288+(R288*S288)+T288)/100</f>
        <v>0</v>
      </c>
      <c r="V288" s="47">
        <f>+(F288+M288)*U288</f>
        <v>0</v>
      </c>
      <c r="W288" s="47">
        <f>+F288+M288+V288</f>
        <v>0</v>
      </c>
      <c r="X288" s="8"/>
      <c r="Y288" t="s">
        <v>1370</v>
      </c>
    </row>
    <row r="289" spans="1:24" ht="12.75">
      <c r="A289" t="s">
        <v>1588</v>
      </c>
      <c r="B289" s="242" t="s">
        <v>1589</v>
      </c>
      <c r="C289" s="217">
        <v>20000</v>
      </c>
      <c r="D289" s="217">
        <v>0</v>
      </c>
      <c r="E289" s="217">
        <v>0</v>
      </c>
      <c r="F289" s="47">
        <f t="shared" si="35"/>
        <v>20000</v>
      </c>
      <c r="G289">
        <v>0</v>
      </c>
      <c r="H289">
        <v>0</v>
      </c>
      <c r="I289">
        <v>0</v>
      </c>
      <c r="J289">
        <v>0</v>
      </c>
      <c r="K289">
        <v>24</v>
      </c>
      <c r="L289">
        <v>0</v>
      </c>
      <c r="M289" s="47">
        <f t="shared" si="36"/>
        <v>1609.1999999999998</v>
      </c>
      <c r="N289" s="47">
        <f t="shared" si="37"/>
        <v>21609.2</v>
      </c>
      <c r="O289">
        <v>2</v>
      </c>
      <c r="P289">
        <v>2</v>
      </c>
      <c r="Q289">
        <v>15</v>
      </c>
      <c r="R289">
        <v>4</v>
      </c>
      <c r="S289">
        <v>2</v>
      </c>
      <c r="T289">
        <v>4</v>
      </c>
      <c r="U289" s="48">
        <f>((O289*P289)+Q289+(R289*S289)+T289)/100</f>
        <v>0.31</v>
      </c>
      <c r="V289" s="47">
        <f>+(F289+M289)*U289</f>
        <v>6698.852</v>
      </c>
      <c r="W289" s="47">
        <f>+F289+M289+V289</f>
        <v>28308.052</v>
      </c>
      <c r="X289" s="8"/>
    </row>
    <row r="290" spans="1:24" ht="12.75">
      <c r="A290" t="s">
        <v>1590</v>
      </c>
      <c r="B290" s="242" t="s">
        <v>1589</v>
      </c>
      <c r="C290" s="217">
        <v>0</v>
      </c>
      <c r="D290" s="217">
        <v>0</v>
      </c>
      <c r="E290" s="217">
        <v>0</v>
      </c>
      <c r="F290" s="47">
        <f t="shared" si="35"/>
        <v>0</v>
      </c>
      <c r="G290">
        <v>0</v>
      </c>
      <c r="H290">
        <v>0</v>
      </c>
      <c r="I290">
        <v>0</v>
      </c>
      <c r="J290">
        <v>0</v>
      </c>
      <c r="K290">
        <v>216</v>
      </c>
      <c r="L290">
        <v>0</v>
      </c>
      <c r="M290" s="47">
        <f t="shared" si="36"/>
        <v>14482.8</v>
      </c>
      <c r="N290" s="47">
        <f t="shared" si="37"/>
        <v>14482.8</v>
      </c>
      <c r="O290">
        <v>2</v>
      </c>
      <c r="P290">
        <v>2</v>
      </c>
      <c r="Q290">
        <v>15</v>
      </c>
      <c r="R290">
        <v>4</v>
      </c>
      <c r="S290">
        <v>2</v>
      </c>
      <c r="T290">
        <v>4</v>
      </c>
      <c r="U290" s="48">
        <f>((O290*P290)+Q290+(R290*S290)+T290)/100</f>
        <v>0.31</v>
      </c>
      <c r="V290" s="47">
        <f>+(F290+M290)*U290</f>
        <v>4489.668</v>
      </c>
      <c r="W290" s="47">
        <f>+F290+M290+V290</f>
        <v>18972.468</v>
      </c>
      <c r="X290" s="8"/>
    </row>
    <row r="291" spans="1:24" ht="12.75">
      <c r="A291" t="s">
        <v>1591</v>
      </c>
      <c r="B291" s="242" t="s">
        <v>1592</v>
      </c>
      <c r="C291" s="217">
        <v>0</v>
      </c>
      <c r="D291" s="217">
        <v>0</v>
      </c>
      <c r="E291" s="217">
        <v>0</v>
      </c>
      <c r="F291" s="47">
        <f t="shared" si="35"/>
        <v>0</v>
      </c>
      <c r="G291">
        <v>0</v>
      </c>
      <c r="H291">
        <v>0</v>
      </c>
      <c r="I291">
        <v>0</v>
      </c>
      <c r="J291">
        <v>0</v>
      </c>
      <c r="K291">
        <v>40</v>
      </c>
      <c r="L291">
        <v>0</v>
      </c>
      <c r="M291" s="47">
        <f t="shared" si="36"/>
        <v>2682</v>
      </c>
      <c r="N291" s="47">
        <f t="shared" si="37"/>
        <v>2682</v>
      </c>
      <c r="O291">
        <v>2</v>
      </c>
      <c r="P291">
        <v>2</v>
      </c>
      <c r="Q291">
        <v>15</v>
      </c>
      <c r="R291">
        <v>4</v>
      </c>
      <c r="S291">
        <v>2</v>
      </c>
      <c r="T291">
        <v>4</v>
      </c>
      <c r="U291" s="48">
        <f>((O291*P291)+Q291+(R291*S291)+T291)/100</f>
        <v>0.31</v>
      </c>
      <c r="V291" s="47">
        <f>+(F291+M291)*U291</f>
        <v>831.42</v>
      </c>
      <c r="W291" s="47">
        <f>+F291+M291+V291</f>
        <v>3513.42</v>
      </c>
      <c r="X291" s="8"/>
    </row>
    <row r="292" spans="1:24" ht="12.75">
      <c r="A292" s="326" t="s">
        <v>1231</v>
      </c>
      <c r="B292" s="60" t="s">
        <v>639</v>
      </c>
      <c r="F292" s="47">
        <f t="shared" si="35"/>
        <v>0</v>
      </c>
      <c r="M292" s="47">
        <f t="shared" si="36"/>
        <v>0</v>
      </c>
      <c r="N292" s="47">
        <f t="shared" si="37"/>
        <v>0</v>
      </c>
      <c r="U292" s="48">
        <f t="shared" si="38"/>
        <v>0</v>
      </c>
      <c r="V292" s="47">
        <f t="shared" si="39"/>
        <v>0</v>
      </c>
      <c r="W292" s="47">
        <f t="shared" si="40"/>
        <v>0</v>
      </c>
      <c r="X292" s="8"/>
    </row>
    <row r="293" spans="1:24" ht="12.75">
      <c r="A293" s="327" t="s">
        <v>122</v>
      </c>
      <c r="B293" s="241" t="s">
        <v>888</v>
      </c>
      <c r="F293" s="47">
        <f t="shared" si="35"/>
        <v>0</v>
      </c>
      <c r="M293" s="47">
        <f t="shared" si="36"/>
        <v>0</v>
      </c>
      <c r="N293" s="47">
        <f t="shared" si="37"/>
        <v>0</v>
      </c>
      <c r="U293" s="48">
        <f t="shared" si="38"/>
        <v>0</v>
      </c>
      <c r="V293" s="47">
        <f t="shared" si="39"/>
        <v>0</v>
      </c>
      <c r="W293" s="47">
        <f t="shared" si="40"/>
        <v>0</v>
      </c>
      <c r="X293" s="132">
        <f>SUM(W294:W335)</f>
        <v>955109.36</v>
      </c>
    </row>
    <row r="294" spans="1:24" ht="12.75">
      <c r="A294" s="328"/>
      <c r="B294" s="37" t="s">
        <v>888</v>
      </c>
      <c r="E294" s="35"/>
      <c r="F294" s="47">
        <f t="shared" si="35"/>
        <v>0</v>
      </c>
      <c r="G294" s="40">
        <v>240</v>
      </c>
      <c r="H294" s="40">
        <v>120</v>
      </c>
      <c r="I294" s="40">
        <v>80</v>
      </c>
      <c r="J294" s="40"/>
      <c r="K294" s="40"/>
      <c r="L294" s="40"/>
      <c r="M294" s="47">
        <f t="shared" si="36"/>
        <v>31374</v>
      </c>
      <c r="N294" s="47">
        <f t="shared" si="37"/>
        <v>31374</v>
      </c>
      <c r="O294">
        <v>1</v>
      </c>
      <c r="P294">
        <v>2</v>
      </c>
      <c r="Q294">
        <v>4</v>
      </c>
      <c r="R294">
        <v>4</v>
      </c>
      <c r="S294">
        <v>1</v>
      </c>
      <c r="T294">
        <v>4</v>
      </c>
      <c r="U294" s="48">
        <f>((O294*P294)+Q294+(R294*S294)+T294)/100</f>
        <v>0.14</v>
      </c>
      <c r="V294" s="47">
        <f>+(F294+M294)*U294</f>
        <v>4392.360000000001</v>
      </c>
      <c r="W294" s="47">
        <f>+F294+M294+V294</f>
        <v>35766.36</v>
      </c>
      <c r="X294" s="8"/>
    </row>
    <row r="295" spans="1:24" ht="12.75">
      <c r="A295" s="328"/>
      <c r="B295" s="37" t="s">
        <v>142</v>
      </c>
      <c r="E295" s="35"/>
      <c r="F295" s="47">
        <f t="shared" si="35"/>
        <v>0</v>
      </c>
      <c r="G295" s="40"/>
      <c r="H295" s="40"/>
      <c r="I295" s="40"/>
      <c r="J295" s="40">
        <v>440</v>
      </c>
      <c r="K295" s="40"/>
      <c r="L295" s="40"/>
      <c r="M295" s="47">
        <f t="shared" si="36"/>
        <v>23100</v>
      </c>
      <c r="N295" s="47">
        <f t="shared" si="37"/>
        <v>23100</v>
      </c>
      <c r="O295">
        <v>1</v>
      </c>
      <c r="P295">
        <v>2</v>
      </c>
      <c r="Q295">
        <v>4</v>
      </c>
      <c r="R295">
        <v>4</v>
      </c>
      <c r="S295">
        <v>1</v>
      </c>
      <c r="T295">
        <v>4</v>
      </c>
      <c r="U295" s="48">
        <f>((O295*P295)+Q295+(R295*S295)+T295)/100</f>
        <v>0.14</v>
      </c>
      <c r="V295" s="47">
        <f>+(F295+M295)*U295</f>
        <v>3234.0000000000005</v>
      </c>
      <c r="W295" s="47">
        <f>+F295+M295+V295</f>
        <v>26334</v>
      </c>
      <c r="X295" s="8"/>
    </row>
    <row r="296" spans="1:24" ht="15.75">
      <c r="A296" s="327" t="s">
        <v>123</v>
      </c>
      <c r="B296" s="241" t="s">
        <v>770</v>
      </c>
      <c r="C296" s="12"/>
      <c r="D296" s="12"/>
      <c r="E296" s="35"/>
      <c r="F296" s="47">
        <f t="shared" si="35"/>
        <v>0</v>
      </c>
      <c r="G296" s="40"/>
      <c r="H296" s="40"/>
      <c r="I296" s="40"/>
      <c r="J296" s="40"/>
      <c r="K296" s="40"/>
      <c r="L296" s="40"/>
      <c r="M296" s="47">
        <f t="shared" si="36"/>
        <v>0</v>
      </c>
      <c r="N296" s="47">
        <f t="shared" si="37"/>
        <v>0</v>
      </c>
      <c r="U296" s="48">
        <f>((O296*P296)+Q296+(R296*S296)+T296)/100</f>
        <v>0</v>
      </c>
      <c r="V296" s="47">
        <f>+(F296+M296)*U296</f>
        <v>0</v>
      </c>
      <c r="W296" s="47">
        <f>+F296+M296+V296</f>
        <v>0</v>
      </c>
      <c r="X296" s="8"/>
    </row>
    <row r="297" spans="1:24" ht="15.75">
      <c r="A297" s="329" t="s">
        <v>124</v>
      </c>
      <c r="B297" s="240" t="s">
        <v>132</v>
      </c>
      <c r="C297" s="12"/>
      <c r="D297" s="12"/>
      <c r="E297" s="35"/>
      <c r="F297" s="47">
        <f t="shared" si="35"/>
        <v>0</v>
      </c>
      <c r="G297" s="40"/>
      <c r="H297" s="40"/>
      <c r="I297" s="40"/>
      <c r="J297" s="40"/>
      <c r="K297" s="40"/>
      <c r="L297" s="40"/>
      <c r="M297" s="47">
        <f t="shared" si="36"/>
        <v>0</v>
      </c>
      <c r="N297" s="47">
        <f t="shared" si="37"/>
        <v>0</v>
      </c>
      <c r="U297" s="48">
        <f>((O297*P297)+Q297+(R297*S297)+T297)/100</f>
        <v>0</v>
      </c>
      <c r="V297" s="47">
        <f>+(F297+M297)*U297</f>
        <v>0</v>
      </c>
      <c r="W297" s="47">
        <f>+F297+M297+V297</f>
        <v>0</v>
      </c>
      <c r="X297" s="8"/>
    </row>
    <row r="298" spans="2:25" ht="12.75">
      <c r="B298" s="330" t="s">
        <v>609</v>
      </c>
      <c r="C298" s="3"/>
      <c r="D298" s="3"/>
      <c r="E298" s="35"/>
      <c r="F298" s="47">
        <f t="shared" si="35"/>
        <v>0</v>
      </c>
      <c r="G298" s="40">
        <v>240</v>
      </c>
      <c r="H298" s="40">
        <v>40</v>
      </c>
      <c r="I298" s="40"/>
      <c r="J298" s="40">
        <v>400</v>
      </c>
      <c r="K298" s="40"/>
      <c r="L298" s="40"/>
      <c r="M298" s="47">
        <f t="shared" si="36"/>
        <v>40702</v>
      </c>
      <c r="N298" s="47">
        <f t="shared" si="37"/>
        <v>40702</v>
      </c>
      <c r="O298">
        <v>1</v>
      </c>
      <c r="P298">
        <v>2</v>
      </c>
      <c r="Q298">
        <v>4</v>
      </c>
      <c r="R298">
        <v>1</v>
      </c>
      <c r="S298">
        <v>2</v>
      </c>
      <c r="T298">
        <v>8</v>
      </c>
      <c r="U298" s="48">
        <f>((O298*P298)+Q298+(R298*S298)+T298)/100</f>
        <v>0.16</v>
      </c>
      <c r="V298" s="47">
        <f>+(F298+M298)*U298</f>
        <v>6512.32</v>
      </c>
      <c r="W298" s="47">
        <f>+F298+M298+V298</f>
        <v>47214.32</v>
      </c>
      <c r="X298" s="8"/>
      <c r="Y298" t="s">
        <v>1728</v>
      </c>
    </row>
    <row r="299" spans="1:25" ht="12.75">
      <c r="A299" s="328"/>
      <c r="B299" s="242" t="s">
        <v>610</v>
      </c>
      <c r="C299">
        <v>120000</v>
      </c>
      <c r="E299" s="35"/>
      <c r="F299" s="47">
        <f t="shared" si="35"/>
        <v>120000</v>
      </c>
      <c r="G299" s="40"/>
      <c r="H299" s="40"/>
      <c r="I299" s="40"/>
      <c r="J299" s="40"/>
      <c r="K299" s="40"/>
      <c r="L299" s="40"/>
      <c r="M299" s="47">
        <f t="shared" si="36"/>
        <v>0</v>
      </c>
      <c r="N299" s="47">
        <f t="shared" si="37"/>
        <v>120000</v>
      </c>
      <c r="O299">
        <v>3</v>
      </c>
      <c r="P299">
        <v>2</v>
      </c>
      <c r="Q299">
        <v>8</v>
      </c>
      <c r="R299">
        <v>4</v>
      </c>
      <c r="S299">
        <v>2</v>
      </c>
      <c r="T299">
        <v>8</v>
      </c>
      <c r="U299" s="48">
        <f aca="true" t="shared" si="41" ref="U299:U345">((O299*P299)+Q299+(R299*S299)+T299)/100</f>
        <v>0.3</v>
      </c>
      <c r="V299" s="47">
        <f aca="true" t="shared" si="42" ref="V299:V345">+(F299+M299)*U299</f>
        <v>36000</v>
      </c>
      <c r="W299" s="47">
        <f aca="true" t="shared" si="43" ref="W299:W345">+F299+M299+V299</f>
        <v>156000</v>
      </c>
      <c r="X299" s="8"/>
      <c r="Y299" t="s">
        <v>1729</v>
      </c>
    </row>
    <row r="300" spans="1:25" ht="12.75">
      <c r="A300" s="328"/>
      <c r="B300" s="242" t="s">
        <v>771</v>
      </c>
      <c r="C300">
        <v>40000</v>
      </c>
      <c r="D300">
        <v>50000</v>
      </c>
      <c r="E300" s="35"/>
      <c r="F300" s="47">
        <f t="shared" si="35"/>
        <v>90000</v>
      </c>
      <c r="G300" s="40"/>
      <c r="H300" s="40"/>
      <c r="I300" s="40"/>
      <c r="J300" s="40"/>
      <c r="K300" s="40"/>
      <c r="L300" s="40"/>
      <c r="M300" s="47">
        <f t="shared" si="36"/>
        <v>0</v>
      </c>
      <c r="N300" s="47">
        <f t="shared" si="37"/>
        <v>90000</v>
      </c>
      <c r="O300">
        <v>1</v>
      </c>
      <c r="P300">
        <v>2</v>
      </c>
      <c r="Q300">
        <v>4</v>
      </c>
      <c r="R300">
        <v>1</v>
      </c>
      <c r="S300">
        <v>2</v>
      </c>
      <c r="T300">
        <v>8</v>
      </c>
      <c r="U300" s="48">
        <f t="shared" si="41"/>
        <v>0.16</v>
      </c>
      <c r="V300" s="47">
        <f t="shared" si="42"/>
        <v>14400</v>
      </c>
      <c r="W300" s="47">
        <f t="shared" si="43"/>
        <v>104400</v>
      </c>
      <c r="X300" s="8"/>
      <c r="Y300" t="s">
        <v>1730</v>
      </c>
    </row>
    <row r="301" spans="1:25" ht="12.75">
      <c r="A301" s="328"/>
      <c r="B301" s="242" t="s">
        <v>772</v>
      </c>
      <c r="C301">
        <v>10000</v>
      </c>
      <c r="E301" s="35"/>
      <c r="F301" s="47">
        <f t="shared" si="35"/>
        <v>10000</v>
      </c>
      <c r="G301" s="40"/>
      <c r="H301" s="40"/>
      <c r="I301" s="40"/>
      <c r="J301" s="40"/>
      <c r="K301" s="40"/>
      <c r="L301" s="40"/>
      <c r="M301" s="47">
        <f t="shared" si="36"/>
        <v>0</v>
      </c>
      <c r="N301" s="47">
        <f t="shared" si="37"/>
        <v>10000</v>
      </c>
      <c r="O301">
        <v>1</v>
      </c>
      <c r="P301">
        <v>2</v>
      </c>
      <c r="Q301">
        <v>4</v>
      </c>
      <c r="R301">
        <v>1</v>
      </c>
      <c r="S301">
        <v>2</v>
      </c>
      <c r="T301">
        <v>8</v>
      </c>
      <c r="U301" s="48">
        <f t="shared" si="41"/>
        <v>0.16</v>
      </c>
      <c r="V301" s="47">
        <f t="shared" si="42"/>
        <v>1600</v>
      </c>
      <c r="W301" s="47">
        <f t="shared" si="43"/>
        <v>11600</v>
      </c>
      <c r="X301" s="8"/>
      <c r="Y301" t="s">
        <v>1731</v>
      </c>
    </row>
    <row r="302" spans="1:25" ht="12.75">
      <c r="A302" s="328"/>
      <c r="B302" s="242" t="s">
        <v>773</v>
      </c>
      <c r="C302">
        <v>2000</v>
      </c>
      <c r="E302" s="35"/>
      <c r="F302" s="47">
        <f t="shared" si="35"/>
        <v>2000</v>
      </c>
      <c r="G302" s="40"/>
      <c r="H302" s="40"/>
      <c r="I302" s="40"/>
      <c r="J302" s="40"/>
      <c r="K302" s="40"/>
      <c r="L302" s="40"/>
      <c r="M302" s="47">
        <f t="shared" si="36"/>
        <v>0</v>
      </c>
      <c r="N302" s="47">
        <f t="shared" si="37"/>
        <v>2000</v>
      </c>
      <c r="O302">
        <v>1</v>
      </c>
      <c r="P302">
        <v>2</v>
      </c>
      <c r="Q302">
        <v>4</v>
      </c>
      <c r="R302">
        <v>2</v>
      </c>
      <c r="S302">
        <v>2</v>
      </c>
      <c r="T302">
        <v>8</v>
      </c>
      <c r="U302" s="48">
        <f t="shared" si="41"/>
        <v>0.18</v>
      </c>
      <c r="V302" s="47">
        <f t="shared" si="42"/>
        <v>360</v>
      </c>
      <c r="W302" s="47">
        <f t="shared" si="43"/>
        <v>2360</v>
      </c>
      <c r="X302" s="8"/>
      <c r="Y302" t="s">
        <v>1732</v>
      </c>
    </row>
    <row r="303" spans="1:25" ht="12.75">
      <c r="A303" s="328"/>
      <c r="B303" s="242" t="s">
        <v>659</v>
      </c>
      <c r="C303">
        <v>6000</v>
      </c>
      <c r="E303" s="35"/>
      <c r="F303" s="47">
        <f t="shared" si="35"/>
        <v>6000</v>
      </c>
      <c r="G303" s="40"/>
      <c r="H303" s="40"/>
      <c r="I303" s="40"/>
      <c r="J303" s="40"/>
      <c r="K303" s="40"/>
      <c r="L303" s="40"/>
      <c r="M303" s="47">
        <f t="shared" si="36"/>
        <v>0</v>
      </c>
      <c r="N303" s="47">
        <f t="shared" si="37"/>
        <v>6000</v>
      </c>
      <c r="O303">
        <v>1</v>
      </c>
      <c r="P303">
        <v>2</v>
      </c>
      <c r="Q303">
        <v>2</v>
      </c>
      <c r="R303">
        <v>1</v>
      </c>
      <c r="S303">
        <v>1</v>
      </c>
      <c r="T303">
        <v>8</v>
      </c>
      <c r="U303" s="48">
        <f t="shared" si="41"/>
        <v>0.13</v>
      </c>
      <c r="V303" s="47">
        <f t="shared" si="42"/>
        <v>780</v>
      </c>
      <c r="W303" s="47">
        <f t="shared" si="43"/>
        <v>6780</v>
      </c>
      <c r="X303" s="8"/>
      <c r="Y303" t="s">
        <v>1733</v>
      </c>
    </row>
    <row r="304" spans="1:24" ht="12.75">
      <c r="A304" s="328"/>
      <c r="B304" s="242" t="s">
        <v>774</v>
      </c>
      <c r="C304">
        <v>4000</v>
      </c>
      <c r="E304" s="35"/>
      <c r="F304" s="47">
        <f t="shared" si="35"/>
        <v>4000</v>
      </c>
      <c r="G304" s="40"/>
      <c r="H304" s="40"/>
      <c r="I304" s="40"/>
      <c r="J304" s="40"/>
      <c r="K304" s="40"/>
      <c r="L304" s="40"/>
      <c r="M304" s="47">
        <f t="shared" si="36"/>
        <v>0</v>
      </c>
      <c r="N304" s="47">
        <f t="shared" si="37"/>
        <v>4000</v>
      </c>
      <c r="O304">
        <v>1</v>
      </c>
      <c r="P304">
        <v>2</v>
      </c>
      <c r="Q304">
        <v>2</v>
      </c>
      <c r="R304">
        <v>1</v>
      </c>
      <c r="S304">
        <v>2</v>
      </c>
      <c r="T304">
        <v>8</v>
      </c>
      <c r="U304" s="48">
        <f t="shared" si="41"/>
        <v>0.14</v>
      </c>
      <c r="V304" s="47">
        <f t="shared" si="42"/>
        <v>560</v>
      </c>
      <c r="W304" s="47">
        <f t="shared" si="43"/>
        <v>4560</v>
      </c>
      <c r="X304" s="8"/>
    </row>
    <row r="305" spans="1:24" ht="12.75">
      <c r="A305" s="328"/>
      <c r="B305" s="242" t="s">
        <v>775</v>
      </c>
      <c r="C305">
        <v>2000</v>
      </c>
      <c r="E305" s="35"/>
      <c r="F305" s="47">
        <f t="shared" si="35"/>
        <v>2000</v>
      </c>
      <c r="G305" s="40"/>
      <c r="H305" s="40"/>
      <c r="I305" s="40"/>
      <c r="J305" s="40"/>
      <c r="K305" s="40"/>
      <c r="L305" s="40"/>
      <c r="M305" s="47">
        <f t="shared" si="36"/>
        <v>0</v>
      </c>
      <c r="N305" s="47">
        <f t="shared" si="37"/>
        <v>2000</v>
      </c>
      <c r="O305">
        <v>1</v>
      </c>
      <c r="P305">
        <v>2</v>
      </c>
      <c r="Q305">
        <v>2</v>
      </c>
      <c r="R305">
        <v>1</v>
      </c>
      <c r="S305">
        <v>2</v>
      </c>
      <c r="T305">
        <v>8</v>
      </c>
      <c r="U305" s="48">
        <f t="shared" si="41"/>
        <v>0.14</v>
      </c>
      <c r="V305" s="47">
        <f t="shared" si="42"/>
        <v>280</v>
      </c>
      <c r="W305" s="47">
        <f t="shared" si="43"/>
        <v>2280</v>
      </c>
      <c r="X305" s="8"/>
    </row>
    <row r="306" spans="1:25" ht="12.75">
      <c r="A306" s="329" t="s">
        <v>125</v>
      </c>
      <c r="B306" s="240" t="s">
        <v>776</v>
      </c>
      <c r="E306" s="35"/>
      <c r="F306" s="47">
        <f t="shared" si="35"/>
        <v>0</v>
      </c>
      <c r="G306" s="40"/>
      <c r="H306" s="40"/>
      <c r="I306" s="40"/>
      <c r="J306" s="40"/>
      <c r="K306" s="40"/>
      <c r="L306" s="40"/>
      <c r="M306" s="47">
        <f t="shared" si="36"/>
        <v>0</v>
      </c>
      <c r="N306" s="47">
        <f t="shared" si="37"/>
        <v>0</v>
      </c>
      <c r="U306" s="48">
        <f t="shared" si="41"/>
        <v>0</v>
      </c>
      <c r="V306" s="47">
        <f t="shared" si="42"/>
        <v>0</v>
      </c>
      <c r="W306" s="47">
        <f t="shared" si="43"/>
        <v>0</v>
      </c>
      <c r="X306" s="8"/>
      <c r="Y306" t="s">
        <v>1734</v>
      </c>
    </row>
    <row r="307" spans="1:24" ht="12.75">
      <c r="A307" s="328"/>
      <c r="B307" s="242" t="s">
        <v>777</v>
      </c>
      <c r="C307">
        <v>10000</v>
      </c>
      <c r="D307">
        <v>60000</v>
      </c>
      <c r="E307" s="35"/>
      <c r="F307" s="47">
        <f t="shared" si="35"/>
        <v>70000</v>
      </c>
      <c r="G307" s="40">
        <v>240</v>
      </c>
      <c r="H307" s="40">
        <v>40</v>
      </c>
      <c r="I307" s="40"/>
      <c r="J307" s="40">
        <v>240</v>
      </c>
      <c r="K307" s="40"/>
      <c r="L307" s="40"/>
      <c r="M307" s="47">
        <f t="shared" si="36"/>
        <v>32302</v>
      </c>
      <c r="N307" s="47">
        <f t="shared" si="37"/>
        <v>102302</v>
      </c>
      <c r="O307">
        <v>1</v>
      </c>
      <c r="P307">
        <v>2</v>
      </c>
      <c r="Q307">
        <v>10</v>
      </c>
      <c r="R307">
        <v>4</v>
      </c>
      <c r="S307">
        <v>2</v>
      </c>
      <c r="T307">
        <v>8</v>
      </c>
      <c r="U307" s="48">
        <f t="shared" si="41"/>
        <v>0.28</v>
      </c>
      <c r="V307" s="47">
        <f t="shared" si="42"/>
        <v>28644.56</v>
      </c>
      <c r="W307" s="47">
        <f t="shared" si="43"/>
        <v>130946.56</v>
      </c>
      <c r="X307" s="8"/>
    </row>
    <row r="308" spans="1:25" ht="12.75">
      <c r="A308" s="329" t="s">
        <v>126</v>
      </c>
      <c r="B308" s="240" t="s">
        <v>692</v>
      </c>
      <c r="E308" s="35"/>
      <c r="F308" s="47">
        <f t="shared" si="35"/>
        <v>0</v>
      </c>
      <c r="G308" s="40"/>
      <c r="H308" s="40"/>
      <c r="I308" s="40"/>
      <c r="J308" s="40"/>
      <c r="K308" s="40"/>
      <c r="L308" s="40"/>
      <c r="M308" s="47">
        <f t="shared" si="36"/>
        <v>0</v>
      </c>
      <c r="N308" s="47">
        <f t="shared" si="37"/>
        <v>0</v>
      </c>
      <c r="U308" s="48">
        <f t="shared" si="41"/>
        <v>0</v>
      </c>
      <c r="V308" s="47">
        <f t="shared" si="42"/>
        <v>0</v>
      </c>
      <c r="W308" s="47">
        <f t="shared" si="43"/>
        <v>0</v>
      </c>
      <c r="X308" s="8"/>
      <c r="Y308" t="s">
        <v>1735</v>
      </c>
    </row>
    <row r="309" spans="1:24" ht="12.75">
      <c r="A309" s="328"/>
      <c r="B309" s="37" t="s">
        <v>778</v>
      </c>
      <c r="C309">
        <v>75000</v>
      </c>
      <c r="E309" s="35"/>
      <c r="F309" s="47">
        <f t="shared" si="35"/>
        <v>75000</v>
      </c>
      <c r="G309" s="40">
        <v>400</v>
      </c>
      <c r="I309" s="40">
        <v>120</v>
      </c>
      <c r="J309" s="40">
        <v>650</v>
      </c>
      <c r="K309" s="40"/>
      <c r="L309" s="40">
        <v>40</v>
      </c>
      <c r="M309" s="47">
        <f t="shared" si="36"/>
        <v>71775</v>
      </c>
      <c r="N309" s="47">
        <f t="shared" si="37"/>
        <v>146775</v>
      </c>
      <c r="O309">
        <v>6</v>
      </c>
      <c r="P309">
        <v>4</v>
      </c>
      <c r="Q309">
        <v>8</v>
      </c>
      <c r="R309">
        <v>4</v>
      </c>
      <c r="S309">
        <v>2</v>
      </c>
      <c r="T309">
        <v>4</v>
      </c>
      <c r="U309" s="48">
        <f t="shared" si="41"/>
        <v>0.44</v>
      </c>
      <c r="V309" s="47">
        <f t="shared" si="42"/>
        <v>64581</v>
      </c>
      <c r="W309" s="47">
        <f t="shared" si="43"/>
        <v>211356</v>
      </c>
      <c r="X309" s="8"/>
    </row>
    <row r="310" spans="1:24" ht="12.75">
      <c r="A310" s="329" t="s">
        <v>127</v>
      </c>
      <c r="B310" s="240" t="s">
        <v>779</v>
      </c>
      <c r="E310" s="35"/>
      <c r="F310" s="47">
        <f t="shared" si="35"/>
        <v>0</v>
      </c>
      <c r="G310" s="40"/>
      <c r="H310" s="40"/>
      <c r="I310" s="40"/>
      <c r="J310" s="40"/>
      <c r="K310" s="40"/>
      <c r="L310" s="40"/>
      <c r="M310" s="47">
        <f t="shared" si="36"/>
        <v>0</v>
      </c>
      <c r="N310" s="47">
        <f t="shared" si="37"/>
        <v>0</v>
      </c>
      <c r="U310" s="48">
        <f t="shared" si="41"/>
        <v>0</v>
      </c>
      <c r="V310" s="47">
        <f t="shared" si="42"/>
        <v>0</v>
      </c>
      <c r="W310" s="47">
        <f t="shared" si="43"/>
        <v>0</v>
      </c>
      <c r="X310" s="8"/>
    </row>
    <row r="311" spans="1:25" ht="12.75">
      <c r="A311" s="328"/>
      <c r="B311" s="242" t="s">
        <v>780</v>
      </c>
      <c r="C311">
        <v>16000</v>
      </c>
      <c r="E311" s="35"/>
      <c r="F311" s="47">
        <f t="shared" si="35"/>
        <v>16000</v>
      </c>
      <c r="G311" s="40">
        <v>160</v>
      </c>
      <c r="H311" s="40"/>
      <c r="I311" s="40"/>
      <c r="J311" s="40">
        <v>320</v>
      </c>
      <c r="K311" s="40"/>
      <c r="L311" s="40"/>
      <c r="M311" s="47">
        <f t="shared" si="36"/>
        <v>27544</v>
      </c>
      <c r="N311" s="47">
        <f t="shared" si="37"/>
        <v>43544</v>
      </c>
      <c r="O311">
        <v>1</v>
      </c>
      <c r="P311">
        <v>2</v>
      </c>
      <c r="Q311">
        <v>4</v>
      </c>
      <c r="R311">
        <v>1</v>
      </c>
      <c r="S311">
        <v>2</v>
      </c>
      <c r="T311">
        <v>8</v>
      </c>
      <c r="U311" s="48">
        <f t="shared" si="41"/>
        <v>0.16</v>
      </c>
      <c r="V311" s="47">
        <f t="shared" si="42"/>
        <v>6967.04</v>
      </c>
      <c r="W311" s="47">
        <f t="shared" si="43"/>
        <v>50511.04</v>
      </c>
      <c r="X311" s="8"/>
      <c r="Y311" t="s">
        <v>1736</v>
      </c>
    </row>
    <row r="312" spans="1:25" ht="12.75">
      <c r="A312" s="328"/>
      <c r="B312" t="s">
        <v>781</v>
      </c>
      <c r="E312" s="35"/>
      <c r="F312" s="47">
        <f t="shared" si="35"/>
        <v>0</v>
      </c>
      <c r="G312" s="40"/>
      <c r="H312" s="40"/>
      <c r="I312" s="40"/>
      <c r="J312" s="40"/>
      <c r="K312" s="40"/>
      <c r="L312" s="40"/>
      <c r="M312" s="47">
        <f t="shared" si="36"/>
        <v>0</v>
      </c>
      <c r="N312" s="47">
        <f t="shared" si="37"/>
        <v>0</v>
      </c>
      <c r="O312">
        <v>1</v>
      </c>
      <c r="P312">
        <v>2</v>
      </c>
      <c r="Q312">
        <v>4</v>
      </c>
      <c r="R312">
        <v>4</v>
      </c>
      <c r="S312">
        <v>2</v>
      </c>
      <c r="T312">
        <v>8</v>
      </c>
      <c r="U312" s="48">
        <f t="shared" si="41"/>
        <v>0.22</v>
      </c>
      <c r="V312" s="47">
        <f t="shared" si="42"/>
        <v>0</v>
      </c>
      <c r="W312" s="47">
        <f t="shared" si="43"/>
        <v>0</v>
      </c>
      <c r="X312" s="8"/>
      <c r="Y312" t="s">
        <v>1737</v>
      </c>
    </row>
    <row r="313" spans="1:25" ht="12.75">
      <c r="A313" s="328"/>
      <c r="B313" s="242" t="s">
        <v>611</v>
      </c>
      <c r="C313">
        <v>6000</v>
      </c>
      <c r="E313" s="35"/>
      <c r="F313" s="47">
        <f t="shared" si="35"/>
        <v>6000</v>
      </c>
      <c r="G313" s="40"/>
      <c r="H313" s="40"/>
      <c r="I313" s="40"/>
      <c r="J313" s="40"/>
      <c r="K313" s="40"/>
      <c r="L313" s="40"/>
      <c r="M313" s="47">
        <f t="shared" si="36"/>
        <v>0</v>
      </c>
      <c r="N313" s="47">
        <f t="shared" si="37"/>
        <v>6000</v>
      </c>
      <c r="O313">
        <v>1</v>
      </c>
      <c r="P313">
        <v>2</v>
      </c>
      <c r="Q313">
        <v>0</v>
      </c>
      <c r="R313">
        <v>1</v>
      </c>
      <c r="S313">
        <v>2</v>
      </c>
      <c r="T313">
        <v>8</v>
      </c>
      <c r="U313" s="48">
        <f t="shared" si="41"/>
        <v>0.12</v>
      </c>
      <c r="V313" s="47">
        <f t="shared" si="42"/>
        <v>720</v>
      </c>
      <c r="W313" s="47">
        <f t="shared" si="43"/>
        <v>6720</v>
      </c>
      <c r="X313" s="8"/>
      <c r="Y313" t="s">
        <v>1733</v>
      </c>
    </row>
    <row r="314" spans="1:25" ht="12.75">
      <c r="A314" s="328"/>
      <c r="B314" s="242" t="s">
        <v>612</v>
      </c>
      <c r="C314">
        <v>5000</v>
      </c>
      <c r="D314">
        <v>10000</v>
      </c>
      <c r="E314" s="35"/>
      <c r="F314" s="47">
        <f t="shared" si="35"/>
        <v>15000</v>
      </c>
      <c r="G314" s="40"/>
      <c r="H314" s="40"/>
      <c r="I314" s="40"/>
      <c r="J314" s="40"/>
      <c r="K314" s="40"/>
      <c r="L314" s="40"/>
      <c r="M314" s="47">
        <f t="shared" si="36"/>
        <v>0</v>
      </c>
      <c r="N314" s="47">
        <f t="shared" si="37"/>
        <v>15000</v>
      </c>
      <c r="O314">
        <v>1</v>
      </c>
      <c r="P314">
        <v>2</v>
      </c>
      <c r="Q314">
        <v>4</v>
      </c>
      <c r="R314">
        <v>1</v>
      </c>
      <c r="S314">
        <v>2</v>
      </c>
      <c r="T314">
        <v>8</v>
      </c>
      <c r="U314" s="48">
        <f t="shared" si="41"/>
        <v>0.16</v>
      </c>
      <c r="V314" s="47">
        <f t="shared" si="42"/>
        <v>2400</v>
      </c>
      <c r="W314" s="47">
        <f t="shared" si="43"/>
        <v>17400</v>
      </c>
      <c r="X314" s="8"/>
      <c r="Y314" t="s">
        <v>1738</v>
      </c>
    </row>
    <row r="315" spans="1:24" ht="12.75">
      <c r="A315" s="328"/>
      <c r="B315" s="242" t="s">
        <v>613</v>
      </c>
      <c r="C315">
        <v>1600</v>
      </c>
      <c r="E315" s="35"/>
      <c r="F315" s="47">
        <f t="shared" si="35"/>
        <v>1600</v>
      </c>
      <c r="G315" s="40"/>
      <c r="H315" s="40"/>
      <c r="I315" s="40"/>
      <c r="J315" s="40"/>
      <c r="K315" s="40"/>
      <c r="L315" s="40"/>
      <c r="M315" s="47">
        <f t="shared" si="36"/>
        <v>0</v>
      </c>
      <c r="N315" s="47">
        <f t="shared" si="37"/>
        <v>1600</v>
      </c>
      <c r="O315">
        <v>1</v>
      </c>
      <c r="P315">
        <v>2</v>
      </c>
      <c r="Q315">
        <v>4</v>
      </c>
      <c r="R315">
        <v>1</v>
      </c>
      <c r="S315">
        <v>2</v>
      </c>
      <c r="T315">
        <v>8</v>
      </c>
      <c r="U315" s="48">
        <f t="shared" si="41"/>
        <v>0.16</v>
      </c>
      <c r="V315" s="47">
        <f t="shared" si="42"/>
        <v>256</v>
      </c>
      <c r="W315" s="47">
        <f t="shared" si="43"/>
        <v>1856</v>
      </c>
      <c r="X315" s="8"/>
    </row>
    <row r="316" spans="1:24" ht="12.75">
      <c r="A316" s="328"/>
      <c r="B316" s="242" t="s">
        <v>614</v>
      </c>
      <c r="C316">
        <v>5000</v>
      </c>
      <c r="E316" s="35"/>
      <c r="F316" s="47">
        <f t="shared" si="35"/>
        <v>5000</v>
      </c>
      <c r="G316" s="40"/>
      <c r="H316" s="40"/>
      <c r="I316" s="40"/>
      <c r="J316" s="40"/>
      <c r="K316" s="40"/>
      <c r="L316" s="40"/>
      <c r="M316" s="47">
        <f t="shared" si="36"/>
        <v>0</v>
      </c>
      <c r="N316" s="47">
        <f t="shared" si="37"/>
        <v>5000</v>
      </c>
      <c r="O316">
        <v>1</v>
      </c>
      <c r="P316">
        <v>2</v>
      </c>
      <c r="Q316">
        <v>8</v>
      </c>
      <c r="R316">
        <v>1</v>
      </c>
      <c r="S316">
        <v>2</v>
      </c>
      <c r="T316">
        <v>8</v>
      </c>
      <c r="U316" s="48">
        <f t="shared" si="41"/>
        <v>0.2</v>
      </c>
      <c r="V316" s="47">
        <f t="shared" si="42"/>
        <v>1000</v>
      </c>
      <c r="W316" s="47">
        <f t="shared" si="43"/>
        <v>6000</v>
      </c>
      <c r="X316" s="8"/>
    </row>
    <row r="317" spans="1:24" ht="12.75">
      <c r="A317" s="327" t="s">
        <v>128</v>
      </c>
      <c r="B317" s="241" t="s">
        <v>784</v>
      </c>
      <c r="E317" s="35"/>
      <c r="F317" s="47">
        <f t="shared" si="35"/>
        <v>0</v>
      </c>
      <c r="G317" s="40">
        <v>240</v>
      </c>
      <c r="H317" s="40"/>
      <c r="I317" s="40">
        <v>120</v>
      </c>
      <c r="J317" s="40">
        <v>480</v>
      </c>
      <c r="K317" s="40"/>
      <c r="L317" s="40">
        <v>40</v>
      </c>
      <c r="M317" s="47">
        <f t="shared" si="36"/>
        <v>52106</v>
      </c>
      <c r="N317" s="47">
        <f t="shared" si="37"/>
        <v>52106</v>
      </c>
      <c r="O317">
        <v>1</v>
      </c>
      <c r="P317">
        <v>2</v>
      </c>
      <c r="Q317">
        <v>4</v>
      </c>
      <c r="R317">
        <v>4</v>
      </c>
      <c r="S317">
        <v>2</v>
      </c>
      <c r="T317">
        <v>4</v>
      </c>
      <c r="U317" s="48">
        <f t="shared" si="41"/>
        <v>0.18</v>
      </c>
      <c r="V317" s="47">
        <f t="shared" si="42"/>
        <v>9379.08</v>
      </c>
      <c r="W317" s="47">
        <f t="shared" si="43"/>
        <v>61485.08</v>
      </c>
      <c r="X317" s="8"/>
    </row>
    <row r="318" spans="1:25" ht="12.75">
      <c r="A318" s="329" t="s">
        <v>129</v>
      </c>
      <c r="B318" s="240" t="s">
        <v>785</v>
      </c>
      <c r="E318" s="35"/>
      <c r="F318" s="47">
        <f t="shared" si="35"/>
        <v>0</v>
      </c>
      <c r="G318" s="40"/>
      <c r="H318" s="40"/>
      <c r="I318" s="40"/>
      <c r="J318" s="40"/>
      <c r="K318" s="40"/>
      <c r="L318" s="40"/>
      <c r="M318" s="47">
        <f t="shared" si="36"/>
        <v>0</v>
      </c>
      <c r="N318" s="47">
        <f t="shared" si="37"/>
        <v>0</v>
      </c>
      <c r="U318" s="48">
        <f t="shared" si="41"/>
        <v>0</v>
      </c>
      <c r="V318" s="47">
        <f t="shared" si="42"/>
        <v>0</v>
      </c>
      <c r="W318" s="47">
        <f t="shared" si="43"/>
        <v>0</v>
      </c>
      <c r="X318" s="8"/>
      <c r="Y318" t="s">
        <v>1739</v>
      </c>
    </row>
    <row r="319" spans="1:25" ht="12.75">
      <c r="A319" s="328"/>
      <c r="B319" s="242" t="s">
        <v>786</v>
      </c>
      <c r="C319">
        <v>10000</v>
      </c>
      <c r="E319" s="35"/>
      <c r="F319" s="47">
        <f t="shared" si="35"/>
        <v>10000</v>
      </c>
      <c r="G319" s="40"/>
      <c r="H319" s="40"/>
      <c r="I319" s="40"/>
      <c r="J319" s="40"/>
      <c r="K319" s="40"/>
      <c r="L319" s="40"/>
      <c r="M319" s="47">
        <f t="shared" si="36"/>
        <v>0</v>
      </c>
      <c r="N319" s="47">
        <f t="shared" si="37"/>
        <v>10000</v>
      </c>
      <c r="O319">
        <v>1</v>
      </c>
      <c r="P319">
        <v>2</v>
      </c>
      <c r="Q319">
        <v>4</v>
      </c>
      <c r="R319">
        <v>1</v>
      </c>
      <c r="S319">
        <v>2</v>
      </c>
      <c r="T319">
        <v>8</v>
      </c>
      <c r="U319" s="48">
        <f t="shared" si="41"/>
        <v>0.16</v>
      </c>
      <c r="V319" s="47">
        <f t="shared" si="42"/>
        <v>1600</v>
      </c>
      <c r="W319" s="47">
        <f t="shared" si="43"/>
        <v>11600</v>
      </c>
      <c r="X319" s="8"/>
      <c r="Y319" t="s">
        <v>1740</v>
      </c>
    </row>
    <row r="320" spans="1:25" ht="12.75">
      <c r="A320" s="328"/>
      <c r="B320" s="242" t="s">
        <v>787</v>
      </c>
      <c r="C320">
        <v>2000</v>
      </c>
      <c r="E320" s="35"/>
      <c r="F320" s="47">
        <f t="shared" si="35"/>
        <v>2000</v>
      </c>
      <c r="G320" s="40"/>
      <c r="H320" s="40"/>
      <c r="I320" s="40"/>
      <c r="J320" s="40"/>
      <c r="K320" s="40"/>
      <c r="L320" s="40"/>
      <c r="M320" s="47">
        <f t="shared" si="36"/>
        <v>0</v>
      </c>
      <c r="N320" s="47">
        <f t="shared" si="37"/>
        <v>2000</v>
      </c>
      <c r="O320">
        <v>1</v>
      </c>
      <c r="P320">
        <v>2</v>
      </c>
      <c r="Q320">
        <v>4</v>
      </c>
      <c r="R320">
        <v>1</v>
      </c>
      <c r="S320">
        <v>2</v>
      </c>
      <c r="T320">
        <v>8</v>
      </c>
      <c r="U320" s="48">
        <f t="shared" si="41"/>
        <v>0.16</v>
      </c>
      <c r="V320" s="47">
        <f t="shared" si="42"/>
        <v>320</v>
      </c>
      <c r="W320" s="47">
        <f t="shared" si="43"/>
        <v>2320</v>
      </c>
      <c r="X320" s="8"/>
      <c r="Y320" t="s">
        <v>1741</v>
      </c>
    </row>
    <row r="321" spans="1:25" ht="12.75">
      <c r="A321" s="328"/>
      <c r="B321" s="242" t="s">
        <v>788</v>
      </c>
      <c r="C321">
        <v>1500</v>
      </c>
      <c r="E321" s="35"/>
      <c r="F321" s="47">
        <f t="shared" si="35"/>
        <v>1500</v>
      </c>
      <c r="G321" s="40"/>
      <c r="H321" s="40"/>
      <c r="I321" s="40"/>
      <c r="J321" s="40"/>
      <c r="K321" s="40"/>
      <c r="L321" s="40"/>
      <c r="M321" s="47">
        <f t="shared" si="36"/>
        <v>0</v>
      </c>
      <c r="N321" s="47">
        <f t="shared" si="37"/>
        <v>1500</v>
      </c>
      <c r="O321">
        <v>1</v>
      </c>
      <c r="P321">
        <v>2</v>
      </c>
      <c r="Q321">
        <v>0</v>
      </c>
      <c r="R321">
        <v>1</v>
      </c>
      <c r="S321">
        <v>2</v>
      </c>
      <c r="T321">
        <v>8</v>
      </c>
      <c r="U321" s="48">
        <f t="shared" si="41"/>
        <v>0.12</v>
      </c>
      <c r="V321" s="47">
        <f t="shared" si="42"/>
        <v>180</v>
      </c>
      <c r="W321" s="47">
        <f t="shared" si="43"/>
        <v>1680</v>
      </c>
      <c r="X321" s="8"/>
      <c r="Y321" t="s">
        <v>1742</v>
      </c>
    </row>
    <row r="322" spans="1:24" ht="12.75">
      <c r="A322" s="328"/>
      <c r="B322" s="242" t="s">
        <v>783</v>
      </c>
      <c r="C322">
        <v>1000</v>
      </c>
      <c r="E322" s="35"/>
      <c r="F322" s="47">
        <f t="shared" si="35"/>
        <v>1000</v>
      </c>
      <c r="G322" s="40"/>
      <c r="H322" s="40"/>
      <c r="I322" s="40"/>
      <c r="J322" s="40"/>
      <c r="K322" s="40"/>
      <c r="L322" s="40"/>
      <c r="M322" s="47">
        <f t="shared" si="36"/>
        <v>0</v>
      </c>
      <c r="N322" s="47">
        <f t="shared" si="37"/>
        <v>1000</v>
      </c>
      <c r="O322">
        <v>1</v>
      </c>
      <c r="P322">
        <v>2</v>
      </c>
      <c r="Q322">
        <v>4</v>
      </c>
      <c r="R322">
        <v>1</v>
      </c>
      <c r="S322">
        <v>2</v>
      </c>
      <c r="T322">
        <v>8</v>
      </c>
      <c r="U322" s="48">
        <f t="shared" si="41"/>
        <v>0.16</v>
      </c>
      <c r="V322" s="47">
        <f t="shared" si="42"/>
        <v>160</v>
      </c>
      <c r="W322" s="47">
        <f t="shared" si="43"/>
        <v>1160</v>
      </c>
      <c r="X322" s="8"/>
    </row>
    <row r="323" spans="1:25" ht="12.75">
      <c r="A323" s="329" t="s">
        <v>130</v>
      </c>
      <c r="B323" s="240" t="s">
        <v>789</v>
      </c>
      <c r="E323" s="35"/>
      <c r="F323" s="47">
        <f t="shared" si="35"/>
        <v>0</v>
      </c>
      <c r="G323" s="40"/>
      <c r="H323" s="40"/>
      <c r="I323" s="40"/>
      <c r="J323" s="40"/>
      <c r="K323" s="40"/>
      <c r="L323" s="40"/>
      <c r="M323" s="47">
        <f t="shared" si="36"/>
        <v>0</v>
      </c>
      <c r="N323" s="47">
        <f t="shared" si="37"/>
        <v>0</v>
      </c>
      <c r="U323" s="48">
        <f t="shared" si="41"/>
        <v>0</v>
      </c>
      <c r="V323" s="47">
        <f t="shared" si="42"/>
        <v>0</v>
      </c>
      <c r="W323" s="47">
        <f t="shared" si="43"/>
        <v>0</v>
      </c>
      <c r="X323" s="8"/>
      <c r="Y323" t="s">
        <v>1743</v>
      </c>
    </row>
    <row r="324" spans="1:25" ht="12.75">
      <c r="A324" s="328"/>
      <c r="B324" s="242" t="s">
        <v>790</v>
      </c>
      <c r="C324">
        <v>4500</v>
      </c>
      <c r="E324" s="35"/>
      <c r="F324" s="47">
        <f t="shared" si="35"/>
        <v>4500</v>
      </c>
      <c r="G324" s="40"/>
      <c r="H324" s="40"/>
      <c r="I324" s="40"/>
      <c r="J324" s="40"/>
      <c r="K324" s="40"/>
      <c r="L324" s="40"/>
      <c r="M324" s="47">
        <f t="shared" si="36"/>
        <v>0</v>
      </c>
      <c r="N324" s="47">
        <f t="shared" si="37"/>
        <v>4500</v>
      </c>
      <c r="O324">
        <v>4</v>
      </c>
      <c r="P324">
        <v>2</v>
      </c>
      <c r="Q324">
        <v>4</v>
      </c>
      <c r="R324">
        <v>2</v>
      </c>
      <c r="S324">
        <v>2</v>
      </c>
      <c r="T324">
        <v>8</v>
      </c>
      <c r="U324" s="48">
        <f t="shared" si="41"/>
        <v>0.24</v>
      </c>
      <c r="V324" s="47">
        <f t="shared" si="42"/>
        <v>1080</v>
      </c>
      <c r="W324" s="47">
        <f t="shared" si="43"/>
        <v>5580</v>
      </c>
      <c r="X324" s="8"/>
      <c r="Y324" t="s">
        <v>1744</v>
      </c>
    </row>
    <row r="325" spans="1:25" ht="12.75">
      <c r="A325" s="328"/>
      <c r="B325" s="242" t="s">
        <v>782</v>
      </c>
      <c r="C325">
        <v>5000</v>
      </c>
      <c r="E325" s="35"/>
      <c r="F325" s="47">
        <f t="shared" si="35"/>
        <v>5000</v>
      </c>
      <c r="G325" s="40"/>
      <c r="H325" s="40"/>
      <c r="I325" s="40"/>
      <c r="J325" s="40"/>
      <c r="K325" s="40"/>
      <c r="L325" s="40"/>
      <c r="M325" s="47">
        <f t="shared" si="36"/>
        <v>0</v>
      </c>
      <c r="N325" s="47">
        <f t="shared" si="37"/>
        <v>5000</v>
      </c>
      <c r="O325">
        <v>1</v>
      </c>
      <c r="P325">
        <v>2</v>
      </c>
      <c r="Q325">
        <v>0</v>
      </c>
      <c r="R325">
        <v>1</v>
      </c>
      <c r="S325">
        <v>2</v>
      </c>
      <c r="T325">
        <v>8</v>
      </c>
      <c r="U325" s="48">
        <f t="shared" si="41"/>
        <v>0.12</v>
      </c>
      <c r="V325" s="47">
        <f t="shared" si="42"/>
        <v>600</v>
      </c>
      <c r="W325" s="47">
        <f t="shared" si="43"/>
        <v>5600</v>
      </c>
      <c r="X325" s="8"/>
      <c r="Y325" t="s">
        <v>1733</v>
      </c>
    </row>
    <row r="326" spans="1:25" ht="12.75">
      <c r="A326" s="328"/>
      <c r="B326" s="242" t="s">
        <v>791</v>
      </c>
      <c r="C326">
        <v>6000</v>
      </c>
      <c r="E326" s="35"/>
      <c r="F326" s="47">
        <f t="shared" si="35"/>
        <v>6000</v>
      </c>
      <c r="G326" s="40"/>
      <c r="H326" s="40"/>
      <c r="I326" s="40"/>
      <c r="J326" s="40"/>
      <c r="K326" s="40"/>
      <c r="L326" s="40"/>
      <c r="M326" s="47">
        <f t="shared" si="36"/>
        <v>0</v>
      </c>
      <c r="N326" s="47">
        <f t="shared" si="37"/>
        <v>6000</v>
      </c>
      <c r="O326">
        <v>1</v>
      </c>
      <c r="P326">
        <v>2</v>
      </c>
      <c r="Q326">
        <v>0</v>
      </c>
      <c r="R326">
        <v>1</v>
      </c>
      <c r="S326">
        <v>2</v>
      </c>
      <c r="T326">
        <v>8</v>
      </c>
      <c r="U326" s="48">
        <f t="shared" si="41"/>
        <v>0.12</v>
      </c>
      <c r="V326" s="47">
        <f t="shared" si="42"/>
        <v>720</v>
      </c>
      <c r="W326" s="47">
        <f t="shared" si="43"/>
        <v>6720</v>
      </c>
      <c r="X326" s="8"/>
      <c r="Y326" t="s">
        <v>1745</v>
      </c>
    </row>
    <row r="327" spans="1:25" ht="12.75">
      <c r="A327" s="328"/>
      <c r="B327" s="242" t="s">
        <v>792</v>
      </c>
      <c r="C327">
        <v>2000</v>
      </c>
      <c r="E327" s="35"/>
      <c r="F327" s="47">
        <f t="shared" si="35"/>
        <v>2000</v>
      </c>
      <c r="G327" s="40"/>
      <c r="H327" s="40"/>
      <c r="I327" s="40"/>
      <c r="J327" s="40"/>
      <c r="K327" s="40"/>
      <c r="L327" s="40"/>
      <c r="M327" s="47">
        <f t="shared" si="36"/>
        <v>0</v>
      </c>
      <c r="N327" s="47">
        <f t="shared" si="37"/>
        <v>2000</v>
      </c>
      <c r="O327">
        <v>1</v>
      </c>
      <c r="P327">
        <v>2</v>
      </c>
      <c r="Q327">
        <v>0</v>
      </c>
      <c r="R327">
        <v>1</v>
      </c>
      <c r="S327">
        <v>2</v>
      </c>
      <c r="T327">
        <v>8</v>
      </c>
      <c r="U327" s="48">
        <f t="shared" si="41"/>
        <v>0.12</v>
      </c>
      <c r="V327" s="47">
        <f t="shared" si="42"/>
        <v>240</v>
      </c>
      <c r="W327" s="47">
        <f t="shared" si="43"/>
        <v>2240</v>
      </c>
      <c r="X327" s="8"/>
      <c r="Y327" t="s">
        <v>1742</v>
      </c>
    </row>
    <row r="328" spans="1:25" ht="12.75">
      <c r="A328" s="328"/>
      <c r="B328" s="242" t="s">
        <v>793</v>
      </c>
      <c r="C328">
        <v>3000</v>
      </c>
      <c r="E328" s="35"/>
      <c r="F328" s="47">
        <f aca="true" t="shared" si="44" ref="F328:F391">SUM(C328:E328)</f>
        <v>3000</v>
      </c>
      <c r="G328" s="40"/>
      <c r="H328" s="40"/>
      <c r="I328" s="40"/>
      <c r="J328" s="40"/>
      <c r="K328" s="40"/>
      <c r="L328" s="40"/>
      <c r="M328" s="47">
        <f aca="true" t="shared" si="45" ref="M328:M391">$G$3*G328+$H$3*H328+$I$3*I328+$J$3*J328+$K$3*K328+$L$3*L328</f>
        <v>0</v>
      </c>
      <c r="N328" s="47">
        <f aca="true" t="shared" si="46" ref="N328:N391">M328+F328</f>
        <v>3000</v>
      </c>
      <c r="O328">
        <v>1</v>
      </c>
      <c r="P328">
        <v>2</v>
      </c>
      <c r="Q328">
        <v>0</v>
      </c>
      <c r="R328">
        <v>1</v>
      </c>
      <c r="S328">
        <v>2</v>
      </c>
      <c r="T328">
        <v>8</v>
      </c>
      <c r="U328" s="48">
        <f t="shared" si="41"/>
        <v>0.12</v>
      </c>
      <c r="V328" s="47">
        <f t="shared" si="42"/>
        <v>360</v>
      </c>
      <c r="W328" s="47">
        <f t="shared" si="43"/>
        <v>3360</v>
      </c>
      <c r="X328" s="8"/>
      <c r="Y328" t="s">
        <v>1746</v>
      </c>
    </row>
    <row r="329" spans="1:24" ht="12.75">
      <c r="A329" s="328"/>
      <c r="B329" s="242" t="s">
        <v>783</v>
      </c>
      <c r="C329">
        <v>1000</v>
      </c>
      <c r="E329" s="35"/>
      <c r="F329" s="47">
        <f t="shared" si="44"/>
        <v>1000</v>
      </c>
      <c r="G329" s="40"/>
      <c r="H329" s="40"/>
      <c r="I329" s="40"/>
      <c r="J329" s="40"/>
      <c r="K329" s="40"/>
      <c r="L329" s="40"/>
      <c r="M329" s="47">
        <f t="shared" si="45"/>
        <v>0</v>
      </c>
      <c r="N329" s="47">
        <f t="shared" si="46"/>
        <v>1000</v>
      </c>
      <c r="O329">
        <v>1</v>
      </c>
      <c r="P329">
        <v>2</v>
      </c>
      <c r="Q329">
        <v>4</v>
      </c>
      <c r="R329">
        <v>1</v>
      </c>
      <c r="S329">
        <v>2</v>
      </c>
      <c r="T329">
        <v>8</v>
      </c>
      <c r="U329" s="48">
        <f t="shared" si="41"/>
        <v>0.16</v>
      </c>
      <c r="V329" s="47">
        <f t="shared" si="42"/>
        <v>160</v>
      </c>
      <c r="W329" s="47">
        <f t="shared" si="43"/>
        <v>1160</v>
      </c>
      <c r="X329" s="8"/>
    </row>
    <row r="330" spans="1:25" ht="12.75">
      <c r="A330" s="329" t="s">
        <v>131</v>
      </c>
      <c r="B330" s="240" t="s">
        <v>615</v>
      </c>
      <c r="E330" s="35"/>
      <c r="F330" s="47">
        <f t="shared" si="44"/>
        <v>0</v>
      </c>
      <c r="G330" s="40"/>
      <c r="H330" s="40"/>
      <c r="I330" s="40"/>
      <c r="J330" s="40"/>
      <c r="K330" s="40"/>
      <c r="L330" s="40"/>
      <c r="M330" s="47">
        <f t="shared" si="45"/>
        <v>0</v>
      </c>
      <c r="N330" s="47">
        <f t="shared" si="46"/>
        <v>0</v>
      </c>
      <c r="U330" s="48">
        <f t="shared" si="41"/>
        <v>0</v>
      </c>
      <c r="V330" s="47">
        <f t="shared" si="42"/>
        <v>0</v>
      </c>
      <c r="W330" s="47">
        <f t="shared" si="43"/>
        <v>0</v>
      </c>
      <c r="X330" s="8"/>
      <c r="Y330" t="s">
        <v>1747</v>
      </c>
    </row>
    <row r="331" spans="1:24" ht="12.75">
      <c r="A331" s="328"/>
      <c r="B331" s="242" t="s">
        <v>616</v>
      </c>
      <c r="C331">
        <v>2500</v>
      </c>
      <c r="E331" s="35"/>
      <c r="F331" s="47">
        <f t="shared" si="44"/>
        <v>2500</v>
      </c>
      <c r="G331" s="40"/>
      <c r="H331" s="40"/>
      <c r="I331" s="40"/>
      <c r="J331" s="40"/>
      <c r="K331" s="40"/>
      <c r="L331" s="40"/>
      <c r="M331" s="47">
        <f t="shared" si="45"/>
        <v>0</v>
      </c>
      <c r="N331" s="47">
        <f t="shared" si="46"/>
        <v>2500</v>
      </c>
      <c r="O331">
        <v>1</v>
      </c>
      <c r="P331">
        <v>2</v>
      </c>
      <c r="Q331">
        <v>4</v>
      </c>
      <c r="R331">
        <v>1</v>
      </c>
      <c r="S331">
        <v>2</v>
      </c>
      <c r="T331">
        <v>8</v>
      </c>
      <c r="U331" s="48">
        <f t="shared" si="41"/>
        <v>0.16</v>
      </c>
      <c r="V331" s="47">
        <f t="shared" si="42"/>
        <v>400</v>
      </c>
      <c r="W331" s="47">
        <f t="shared" si="43"/>
        <v>2900</v>
      </c>
      <c r="X331" s="8"/>
    </row>
    <row r="332" spans="1:24" ht="12.75">
      <c r="A332" s="328"/>
      <c r="B332" s="242" t="s">
        <v>794</v>
      </c>
      <c r="C332">
        <v>1500</v>
      </c>
      <c r="E332" s="35"/>
      <c r="F332" s="47">
        <f t="shared" si="44"/>
        <v>1500</v>
      </c>
      <c r="G332" s="40"/>
      <c r="H332" s="40"/>
      <c r="I332" s="40"/>
      <c r="J332" s="40"/>
      <c r="K332" s="40"/>
      <c r="L332" s="40"/>
      <c r="M332" s="47">
        <f t="shared" si="45"/>
        <v>0</v>
      </c>
      <c r="N332" s="47">
        <f t="shared" si="46"/>
        <v>1500</v>
      </c>
      <c r="O332">
        <v>1</v>
      </c>
      <c r="P332">
        <v>2</v>
      </c>
      <c r="Q332">
        <v>4</v>
      </c>
      <c r="R332">
        <v>1</v>
      </c>
      <c r="S332">
        <v>2</v>
      </c>
      <c r="T332">
        <v>8</v>
      </c>
      <c r="U332" s="48">
        <f t="shared" si="41"/>
        <v>0.16</v>
      </c>
      <c r="V332" s="47">
        <f t="shared" si="42"/>
        <v>240</v>
      </c>
      <c r="W332" s="47">
        <f t="shared" si="43"/>
        <v>1740</v>
      </c>
      <c r="X332" s="8"/>
    </row>
    <row r="333" spans="1:24" ht="12.75">
      <c r="A333" s="328"/>
      <c r="B333" s="242" t="s">
        <v>795</v>
      </c>
      <c r="C333">
        <v>20000</v>
      </c>
      <c r="E333" s="35"/>
      <c r="F333" s="47">
        <f t="shared" si="44"/>
        <v>20000</v>
      </c>
      <c r="G333" s="40"/>
      <c r="H333" s="40"/>
      <c r="I333" s="40"/>
      <c r="J333" s="40"/>
      <c r="K333" s="40"/>
      <c r="L333" s="40"/>
      <c r="M333" s="47">
        <f t="shared" si="45"/>
        <v>0</v>
      </c>
      <c r="N333" s="47">
        <f t="shared" si="46"/>
        <v>20000</v>
      </c>
      <c r="O333">
        <v>1</v>
      </c>
      <c r="P333">
        <v>2</v>
      </c>
      <c r="Q333">
        <v>4</v>
      </c>
      <c r="R333">
        <v>1</v>
      </c>
      <c r="S333">
        <v>2</v>
      </c>
      <c r="T333">
        <v>8</v>
      </c>
      <c r="U333" s="48">
        <f t="shared" si="41"/>
        <v>0.16</v>
      </c>
      <c r="V333" s="47">
        <f t="shared" si="42"/>
        <v>3200</v>
      </c>
      <c r="W333" s="47">
        <f t="shared" si="43"/>
        <v>23200</v>
      </c>
      <c r="X333" s="8"/>
    </row>
    <row r="334" spans="1:25" ht="12.75">
      <c r="A334" s="328"/>
      <c r="B334" s="242" t="s">
        <v>796</v>
      </c>
      <c r="C334">
        <v>1000</v>
      </c>
      <c r="E334" s="35"/>
      <c r="F334" s="47">
        <f t="shared" si="44"/>
        <v>1000</v>
      </c>
      <c r="G334" s="40"/>
      <c r="H334" s="40"/>
      <c r="I334" s="40"/>
      <c r="J334" s="40"/>
      <c r="K334" s="40"/>
      <c r="L334" s="40"/>
      <c r="M334" s="47">
        <f t="shared" si="45"/>
        <v>0</v>
      </c>
      <c r="N334" s="47">
        <f t="shared" si="46"/>
        <v>1000</v>
      </c>
      <c r="O334">
        <v>1</v>
      </c>
      <c r="P334">
        <v>2</v>
      </c>
      <c r="Q334">
        <v>0</v>
      </c>
      <c r="R334">
        <v>1</v>
      </c>
      <c r="S334">
        <v>2</v>
      </c>
      <c r="T334">
        <v>8</v>
      </c>
      <c r="U334" s="48">
        <f t="shared" si="41"/>
        <v>0.12</v>
      </c>
      <c r="V334" s="47">
        <f t="shared" si="42"/>
        <v>120</v>
      </c>
      <c r="W334" s="47">
        <f t="shared" si="43"/>
        <v>1120</v>
      </c>
      <c r="X334" s="8"/>
      <c r="Y334" t="s">
        <v>1748</v>
      </c>
    </row>
    <row r="335" spans="1:24" ht="12.75">
      <c r="A335" s="328"/>
      <c r="B335" s="242" t="s">
        <v>797</v>
      </c>
      <c r="C335">
        <v>1000</v>
      </c>
      <c r="E335" s="35"/>
      <c r="F335" s="47">
        <f t="shared" si="44"/>
        <v>1000</v>
      </c>
      <c r="G335" s="40"/>
      <c r="H335" s="40"/>
      <c r="I335" s="40"/>
      <c r="J335" s="40"/>
      <c r="K335" s="40"/>
      <c r="L335" s="40"/>
      <c r="M335" s="47">
        <f t="shared" si="45"/>
        <v>0</v>
      </c>
      <c r="N335" s="47">
        <f t="shared" si="46"/>
        <v>1000</v>
      </c>
      <c r="O335">
        <v>1</v>
      </c>
      <c r="P335">
        <v>2</v>
      </c>
      <c r="Q335">
        <v>4</v>
      </c>
      <c r="R335">
        <v>1</v>
      </c>
      <c r="S335">
        <v>2</v>
      </c>
      <c r="T335">
        <v>8</v>
      </c>
      <c r="U335" s="48">
        <f t="shared" si="41"/>
        <v>0.16</v>
      </c>
      <c r="V335" s="47">
        <f t="shared" si="42"/>
        <v>160</v>
      </c>
      <c r="W335" s="47">
        <f t="shared" si="43"/>
        <v>1160</v>
      </c>
      <c r="X335" s="8"/>
    </row>
    <row r="336" spans="1:25" ht="12.75">
      <c r="A336" s="60" t="s">
        <v>1230</v>
      </c>
      <c r="B336" s="60" t="s">
        <v>608</v>
      </c>
      <c r="C336" s="35"/>
      <c r="D336" s="35"/>
      <c r="E336" s="35"/>
      <c r="F336" s="47">
        <f t="shared" si="44"/>
        <v>0</v>
      </c>
      <c r="G336" s="40">
        <v>0</v>
      </c>
      <c r="H336" s="40">
        <v>0</v>
      </c>
      <c r="I336" s="40">
        <v>0</v>
      </c>
      <c r="J336" s="40">
        <v>0</v>
      </c>
      <c r="K336" s="40">
        <v>0</v>
      </c>
      <c r="L336" s="40"/>
      <c r="M336" s="47">
        <f t="shared" si="45"/>
        <v>0</v>
      </c>
      <c r="N336" s="47">
        <f t="shared" si="46"/>
        <v>0</v>
      </c>
      <c r="O336">
        <v>2</v>
      </c>
      <c r="P336">
        <v>2</v>
      </c>
      <c r="Q336">
        <v>3</v>
      </c>
      <c r="R336">
        <v>1</v>
      </c>
      <c r="S336">
        <v>1</v>
      </c>
      <c r="T336">
        <v>2</v>
      </c>
      <c r="U336" s="48">
        <f t="shared" si="41"/>
        <v>0.1</v>
      </c>
      <c r="V336" s="47">
        <f t="shared" si="42"/>
        <v>0</v>
      </c>
      <c r="W336" s="47">
        <f t="shared" si="43"/>
        <v>0</v>
      </c>
      <c r="X336" s="132">
        <f>SUM(W337:W372)</f>
        <v>263748.62</v>
      </c>
      <c r="Y336" t="s">
        <v>1371</v>
      </c>
    </row>
    <row r="337" spans="1:24" ht="12.75">
      <c r="A337" s="331" t="s">
        <v>1232</v>
      </c>
      <c r="B337" s="241" t="s">
        <v>143</v>
      </c>
      <c r="C337" s="35"/>
      <c r="D337" s="35"/>
      <c r="E337" s="35"/>
      <c r="F337" s="47">
        <f t="shared" si="44"/>
        <v>0</v>
      </c>
      <c r="G337" s="40"/>
      <c r="H337" s="40"/>
      <c r="I337" s="40"/>
      <c r="J337" s="40">
        <v>140</v>
      </c>
      <c r="K337" s="40"/>
      <c r="L337" s="40"/>
      <c r="M337" s="47">
        <f t="shared" si="45"/>
        <v>7350</v>
      </c>
      <c r="N337" s="47">
        <f t="shared" si="46"/>
        <v>7350</v>
      </c>
      <c r="O337">
        <v>2</v>
      </c>
      <c r="P337">
        <v>2</v>
      </c>
      <c r="Q337">
        <v>3</v>
      </c>
      <c r="R337">
        <v>1</v>
      </c>
      <c r="S337">
        <v>1</v>
      </c>
      <c r="T337">
        <v>2</v>
      </c>
      <c r="U337" s="48">
        <f t="shared" si="41"/>
        <v>0.1</v>
      </c>
      <c r="V337" s="47">
        <f t="shared" si="42"/>
        <v>735</v>
      </c>
      <c r="W337" s="47">
        <f t="shared" si="43"/>
        <v>8085</v>
      </c>
      <c r="X337" s="8"/>
    </row>
    <row r="338" spans="1:25" ht="12.75">
      <c r="A338" s="331" t="s">
        <v>1233</v>
      </c>
      <c r="B338" s="241" t="s">
        <v>548</v>
      </c>
      <c r="C338" s="35"/>
      <c r="D338" s="35"/>
      <c r="E338" s="35"/>
      <c r="F338" s="47">
        <f t="shared" si="44"/>
        <v>0</v>
      </c>
      <c r="G338" s="40"/>
      <c r="H338" s="40"/>
      <c r="I338" s="40"/>
      <c r="J338" s="40"/>
      <c r="K338" s="40"/>
      <c r="L338" s="40"/>
      <c r="M338" s="47">
        <f t="shared" si="45"/>
        <v>0</v>
      </c>
      <c r="N338" s="47">
        <f t="shared" si="46"/>
        <v>0</v>
      </c>
      <c r="U338" s="48">
        <f t="shared" si="41"/>
        <v>0</v>
      </c>
      <c r="V338" s="47">
        <f t="shared" si="42"/>
        <v>0</v>
      </c>
      <c r="W338" s="47">
        <f t="shared" si="43"/>
        <v>0</v>
      </c>
      <c r="X338" s="8"/>
      <c r="Y338" t="s">
        <v>549</v>
      </c>
    </row>
    <row r="339" spans="1:25" ht="12.75">
      <c r="A339" s="331"/>
      <c r="B339" s="10" t="s">
        <v>550</v>
      </c>
      <c r="C339" s="35">
        <v>0</v>
      </c>
      <c r="D339" s="35"/>
      <c r="E339" s="35"/>
      <c r="F339" s="47">
        <f t="shared" si="44"/>
        <v>0</v>
      </c>
      <c r="G339" s="40">
        <v>320</v>
      </c>
      <c r="H339" s="40"/>
      <c r="I339" s="40">
        <v>0</v>
      </c>
      <c r="J339" s="40">
        <v>0</v>
      </c>
      <c r="K339" s="40">
        <v>0</v>
      </c>
      <c r="L339" s="40">
        <v>0</v>
      </c>
      <c r="M339" s="47">
        <f t="shared" si="45"/>
        <v>21488</v>
      </c>
      <c r="N339" s="47">
        <f t="shared" si="46"/>
        <v>21488</v>
      </c>
      <c r="O339">
        <v>2</v>
      </c>
      <c r="P339">
        <v>2</v>
      </c>
      <c r="Q339">
        <v>3</v>
      </c>
      <c r="R339">
        <v>4</v>
      </c>
      <c r="S339">
        <v>2</v>
      </c>
      <c r="T339">
        <v>8</v>
      </c>
      <c r="U339" s="48">
        <f t="shared" si="41"/>
        <v>0.23</v>
      </c>
      <c r="V339" s="47">
        <f t="shared" si="42"/>
        <v>4942.24</v>
      </c>
      <c r="W339" s="47">
        <f t="shared" si="43"/>
        <v>26430.239999999998</v>
      </c>
      <c r="X339" s="8"/>
      <c r="Y339" t="s">
        <v>1372</v>
      </c>
    </row>
    <row r="340" spans="1:25" ht="12.75">
      <c r="A340" s="331"/>
      <c r="B340" s="10" t="s">
        <v>551</v>
      </c>
      <c r="C340" s="35">
        <v>8000</v>
      </c>
      <c r="D340" s="35"/>
      <c r="E340" s="35"/>
      <c r="F340" s="47">
        <f t="shared" si="44"/>
        <v>8000</v>
      </c>
      <c r="G340" s="40">
        <v>32</v>
      </c>
      <c r="H340" s="40"/>
      <c r="I340" s="40">
        <v>40</v>
      </c>
      <c r="J340" s="40">
        <v>320</v>
      </c>
      <c r="K340" s="40">
        <v>16</v>
      </c>
      <c r="L340" s="40">
        <v>0</v>
      </c>
      <c r="M340" s="47">
        <f t="shared" si="45"/>
        <v>22271.6</v>
      </c>
      <c r="N340" s="47">
        <f t="shared" si="46"/>
        <v>30271.6</v>
      </c>
      <c r="O340">
        <v>2</v>
      </c>
      <c r="P340">
        <v>2</v>
      </c>
      <c r="Q340">
        <v>3</v>
      </c>
      <c r="R340">
        <v>4</v>
      </c>
      <c r="S340">
        <v>2</v>
      </c>
      <c r="T340">
        <v>8</v>
      </c>
      <c r="U340" s="48">
        <f t="shared" si="41"/>
        <v>0.23</v>
      </c>
      <c r="V340" s="47">
        <f t="shared" si="42"/>
        <v>6962.468</v>
      </c>
      <c r="W340" s="47">
        <f t="shared" si="43"/>
        <v>37234.068</v>
      </c>
      <c r="X340" s="8"/>
      <c r="Y340" t="s">
        <v>1373</v>
      </c>
    </row>
    <row r="341" spans="1:25" ht="12.75">
      <c r="A341" s="331"/>
      <c r="B341" s="10" t="s">
        <v>698</v>
      </c>
      <c r="C341" s="35">
        <v>6300</v>
      </c>
      <c r="D341" s="35"/>
      <c r="E341" s="35"/>
      <c r="F341" s="47">
        <f t="shared" si="44"/>
        <v>6300</v>
      </c>
      <c r="G341" s="40">
        <v>16</v>
      </c>
      <c r="H341" s="40"/>
      <c r="I341" s="40">
        <v>0</v>
      </c>
      <c r="J341" s="40">
        <v>40</v>
      </c>
      <c r="K341" s="40">
        <v>0</v>
      </c>
      <c r="L341" s="40">
        <v>0</v>
      </c>
      <c r="M341" s="47">
        <f t="shared" si="45"/>
        <v>3174.4</v>
      </c>
      <c r="N341" s="47">
        <f t="shared" si="46"/>
        <v>9474.4</v>
      </c>
      <c r="O341">
        <v>2</v>
      </c>
      <c r="P341">
        <v>2</v>
      </c>
      <c r="Q341">
        <v>3</v>
      </c>
      <c r="R341">
        <v>4</v>
      </c>
      <c r="S341">
        <v>2</v>
      </c>
      <c r="T341">
        <v>4</v>
      </c>
      <c r="U341" s="48">
        <f t="shared" si="41"/>
        <v>0.19</v>
      </c>
      <c r="V341" s="47">
        <f t="shared" si="42"/>
        <v>1800.136</v>
      </c>
      <c r="W341" s="47">
        <f t="shared" si="43"/>
        <v>11274.536</v>
      </c>
      <c r="X341" s="8"/>
      <c r="Y341" t="s">
        <v>1374</v>
      </c>
    </row>
    <row r="342" spans="1:25" ht="12.75">
      <c r="A342" s="331"/>
      <c r="B342" s="10" t="s">
        <v>552</v>
      </c>
      <c r="C342" s="35">
        <v>8000</v>
      </c>
      <c r="D342" s="35"/>
      <c r="E342" s="35"/>
      <c r="F342" s="47">
        <f t="shared" si="44"/>
        <v>8000</v>
      </c>
      <c r="G342" s="40"/>
      <c r="H342" s="40"/>
      <c r="I342" s="40">
        <v>0</v>
      </c>
      <c r="J342" s="40">
        <v>40</v>
      </c>
      <c r="K342" s="40">
        <v>0</v>
      </c>
      <c r="L342" s="40">
        <v>0</v>
      </c>
      <c r="M342" s="47">
        <f t="shared" si="45"/>
        <v>2100</v>
      </c>
      <c r="N342" s="47">
        <f t="shared" si="46"/>
        <v>10100</v>
      </c>
      <c r="O342">
        <v>2</v>
      </c>
      <c r="P342">
        <v>2</v>
      </c>
      <c r="Q342">
        <v>3</v>
      </c>
      <c r="R342">
        <v>4</v>
      </c>
      <c r="S342">
        <v>2</v>
      </c>
      <c r="T342">
        <v>4</v>
      </c>
      <c r="U342" s="48">
        <f t="shared" si="41"/>
        <v>0.19</v>
      </c>
      <c r="V342" s="47">
        <f t="shared" si="42"/>
        <v>1919</v>
      </c>
      <c r="W342" s="47">
        <f t="shared" si="43"/>
        <v>12019</v>
      </c>
      <c r="X342" s="8"/>
      <c r="Y342" t="s">
        <v>1375</v>
      </c>
    </row>
    <row r="343" spans="1:25" ht="12.75">
      <c r="A343" s="331"/>
      <c r="B343" s="10" t="s">
        <v>553</v>
      </c>
      <c r="C343" s="35">
        <v>4000</v>
      </c>
      <c r="D343" s="35"/>
      <c r="E343" s="35"/>
      <c r="F343" s="47">
        <f t="shared" si="44"/>
        <v>4000</v>
      </c>
      <c r="G343" s="40"/>
      <c r="H343" s="40"/>
      <c r="I343" s="40">
        <v>0</v>
      </c>
      <c r="J343" s="40">
        <v>40</v>
      </c>
      <c r="K343" s="40">
        <v>40</v>
      </c>
      <c r="L343" s="40">
        <v>0</v>
      </c>
      <c r="M343" s="47">
        <f t="shared" si="45"/>
        <v>4782</v>
      </c>
      <c r="N343" s="47">
        <f t="shared" si="46"/>
        <v>8782</v>
      </c>
      <c r="O343">
        <v>2</v>
      </c>
      <c r="P343">
        <v>2</v>
      </c>
      <c r="Q343">
        <v>3</v>
      </c>
      <c r="R343">
        <v>4</v>
      </c>
      <c r="S343">
        <v>2</v>
      </c>
      <c r="T343">
        <v>4</v>
      </c>
      <c r="U343" s="48">
        <f t="shared" si="41"/>
        <v>0.19</v>
      </c>
      <c r="V343" s="47">
        <f t="shared" si="42"/>
        <v>1668.58</v>
      </c>
      <c r="W343" s="47">
        <f t="shared" si="43"/>
        <v>10450.58</v>
      </c>
      <c r="X343" s="8"/>
      <c r="Y343" t="s">
        <v>1376</v>
      </c>
    </row>
    <row r="344" spans="1:25" ht="12.75">
      <c r="A344" s="331"/>
      <c r="B344" s="10" t="s">
        <v>554</v>
      </c>
      <c r="C344" s="35">
        <v>4800</v>
      </c>
      <c r="D344" s="35"/>
      <c r="E344" s="35"/>
      <c r="F344" s="47">
        <f t="shared" si="44"/>
        <v>4800</v>
      </c>
      <c r="G344" s="40">
        <v>16</v>
      </c>
      <c r="H344" s="40"/>
      <c r="I344" s="40">
        <v>0</v>
      </c>
      <c r="J344" s="40">
        <v>40</v>
      </c>
      <c r="K344" s="40">
        <v>0</v>
      </c>
      <c r="L344" s="40">
        <v>0</v>
      </c>
      <c r="M344" s="47">
        <f t="shared" si="45"/>
        <v>3174.4</v>
      </c>
      <c r="N344" s="47">
        <f t="shared" si="46"/>
        <v>7974.4</v>
      </c>
      <c r="O344">
        <v>2</v>
      </c>
      <c r="P344">
        <v>2</v>
      </c>
      <c r="Q344">
        <v>3</v>
      </c>
      <c r="R344">
        <v>4</v>
      </c>
      <c r="S344">
        <v>2</v>
      </c>
      <c r="T344">
        <v>4</v>
      </c>
      <c r="U344" s="48">
        <f t="shared" si="41"/>
        <v>0.19</v>
      </c>
      <c r="V344" s="47">
        <f t="shared" si="42"/>
        <v>1515.136</v>
      </c>
      <c r="W344" s="47">
        <f t="shared" si="43"/>
        <v>9489.536</v>
      </c>
      <c r="X344" s="8"/>
      <c r="Y344" t="s">
        <v>1377</v>
      </c>
    </row>
    <row r="345" spans="1:24" ht="12.75">
      <c r="A345" s="331" t="s">
        <v>1234</v>
      </c>
      <c r="B345" s="241" t="s">
        <v>555</v>
      </c>
      <c r="C345" s="35"/>
      <c r="D345" s="35"/>
      <c r="E345" s="35"/>
      <c r="F345" s="47">
        <f t="shared" si="44"/>
        <v>0</v>
      </c>
      <c r="G345" s="40"/>
      <c r="H345" s="40"/>
      <c r="I345" s="40"/>
      <c r="J345" s="40"/>
      <c r="K345" s="40"/>
      <c r="L345" s="40"/>
      <c r="M345" s="47">
        <f t="shared" si="45"/>
        <v>0</v>
      </c>
      <c r="N345" s="47">
        <f t="shared" si="46"/>
        <v>0</v>
      </c>
      <c r="U345" s="48">
        <f t="shared" si="41"/>
        <v>0</v>
      </c>
      <c r="V345" s="47">
        <f t="shared" si="42"/>
        <v>0</v>
      </c>
      <c r="W345" s="47">
        <f t="shared" si="43"/>
        <v>0</v>
      </c>
      <c r="X345" s="8"/>
    </row>
    <row r="346" spans="1:25" ht="12.75">
      <c r="A346" s="331"/>
      <c r="B346" s="10" t="s">
        <v>557</v>
      </c>
      <c r="C346" s="35">
        <v>1800</v>
      </c>
      <c r="D346" s="35"/>
      <c r="E346" s="35"/>
      <c r="F346" s="47">
        <f t="shared" si="44"/>
        <v>1800</v>
      </c>
      <c r="G346" s="40">
        <v>40</v>
      </c>
      <c r="H346" s="40"/>
      <c r="I346" s="40">
        <v>40</v>
      </c>
      <c r="J346" s="40">
        <v>320</v>
      </c>
      <c r="K346" s="40">
        <v>0</v>
      </c>
      <c r="L346" s="40"/>
      <c r="M346" s="47">
        <f t="shared" si="45"/>
        <v>21736</v>
      </c>
      <c r="N346" s="47">
        <f t="shared" si="46"/>
        <v>23536</v>
      </c>
      <c r="O346">
        <v>2</v>
      </c>
      <c r="P346" s="40">
        <v>2</v>
      </c>
      <c r="Q346">
        <v>3</v>
      </c>
      <c r="R346" s="40">
        <v>4</v>
      </c>
      <c r="S346" s="40">
        <v>1</v>
      </c>
      <c r="T346" s="40">
        <v>4</v>
      </c>
      <c r="U346" s="48">
        <f aca="true" t="shared" si="47" ref="U346:U365">((O346*P346)+Q346+(R346*S346)+T346)/100</f>
        <v>0.15</v>
      </c>
      <c r="V346" s="47">
        <f aca="true" t="shared" si="48" ref="V346:V359">+(F346+M346)*U346</f>
        <v>3530.4</v>
      </c>
      <c r="W346" s="47">
        <f aca="true" t="shared" si="49" ref="W346:W359">+F346+M346+V346</f>
        <v>27066.4</v>
      </c>
      <c r="X346" s="8"/>
      <c r="Y346" t="s">
        <v>1378</v>
      </c>
    </row>
    <row r="347" spans="1:25" ht="12.75">
      <c r="A347" s="331"/>
      <c r="B347" s="10" t="s">
        <v>558</v>
      </c>
      <c r="C347" s="35">
        <v>600</v>
      </c>
      <c r="D347" s="35"/>
      <c r="E347" s="35"/>
      <c r="F347" s="47">
        <f t="shared" si="44"/>
        <v>600</v>
      </c>
      <c r="G347" s="40"/>
      <c r="H347" s="40"/>
      <c r="I347" s="40">
        <v>0</v>
      </c>
      <c r="J347" s="40">
        <v>40</v>
      </c>
      <c r="K347" s="40">
        <v>0</v>
      </c>
      <c r="L347" s="40"/>
      <c r="M347" s="47">
        <f t="shared" si="45"/>
        <v>2100</v>
      </c>
      <c r="N347" s="47">
        <f t="shared" si="46"/>
        <v>2700</v>
      </c>
      <c r="O347">
        <v>2</v>
      </c>
      <c r="P347" s="40">
        <v>2</v>
      </c>
      <c r="Q347">
        <v>3</v>
      </c>
      <c r="R347" s="40">
        <v>4</v>
      </c>
      <c r="S347" s="40">
        <v>1</v>
      </c>
      <c r="T347" s="40">
        <v>4</v>
      </c>
      <c r="U347" s="48">
        <f t="shared" si="47"/>
        <v>0.15</v>
      </c>
      <c r="V347" s="47">
        <f t="shared" si="48"/>
        <v>405</v>
      </c>
      <c r="W347" s="47">
        <f t="shared" si="49"/>
        <v>3105</v>
      </c>
      <c r="Y347" t="s">
        <v>1379</v>
      </c>
    </row>
    <row r="348" spans="1:25" ht="12.75">
      <c r="A348" s="331"/>
      <c r="B348" s="10" t="s">
        <v>559</v>
      </c>
      <c r="C348" s="35">
        <v>240</v>
      </c>
      <c r="D348" s="35"/>
      <c r="E348" s="35"/>
      <c r="F348" s="47">
        <f t="shared" si="44"/>
        <v>240</v>
      </c>
      <c r="G348" s="40"/>
      <c r="H348" s="40"/>
      <c r="I348" s="40">
        <v>0</v>
      </c>
      <c r="J348" s="40">
        <v>40</v>
      </c>
      <c r="K348" s="40">
        <v>0</v>
      </c>
      <c r="L348" s="40"/>
      <c r="M348" s="47">
        <f t="shared" si="45"/>
        <v>2100</v>
      </c>
      <c r="N348" s="47">
        <f t="shared" si="46"/>
        <v>2340</v>
      </c>
      <c r="O348">
        <v>2</v>
      </c>
      <c r="P348" s="40">
        <v>2</v>
      </c>
      <c r="Q348">
        <v>3</v>
      </c>
      <c r="R348" s="40">
        <v>4</v>
      </c>
      <c r="S348" s="40">
        <v>1</v>
      </c>
      <c r="T348" s="40">
        <v>4</v>
      </c>
      <c r="U348" s="48">
        <f t="shared" si="47"/>
        <v>0.15</v>
      </c>
      <c r="V348" s="47">
        <f t="shared" si="48"/>
        <v>351</v>
      </c>
      <c r="W348" s="47">
        <f t="shared" si="49"/>
        <v>2691</v>
      </c>
      <c r="X348" s="8"/>
      <c r="Y348" t="s">
        <v>1380</v>
      </c>
    </row>
    <row r="349" spans="1:25" ht="12.75">
      <c r="A349" s="331"/>
      <c r="B349" s="10" t="s">
        <v>560</v>
      </c>
      <c r="C349" s="35">
        <v>400</v>
      </c>
      <c r="D349" s="35">
        <v>0</v>
      </c>
      <c r="E349" s="35"/>
      <c r="F349" s="47">
        <f t="shared" si="44"/>
        <v>400</v>
      </c>
      <c r="G349" s="40">
        <v>8</v>
      </c>
      <c r="H349" s="40"/>
      <c r="I349" s="40">
        <v>0</v>
      </c>
      <c r="J349" s="40">
        <v>40</v>
      </c>
      <c r="K349" s="40">
        <v>0</v>
      </c>
      <c r="L349" s="40">
        <v>0</v>
      </c>
      <c r="M349" s="47">
        <f t="shared" si="45"/>
        <v>2637.2</v>
      </c>
      <c r="N349" s="47">
        <f t="shared" si="46"/>
        <v>3037.2</v>
      </c>
      <c r="O349">
        <v>2</v>
      </c>
      <c r="P349" s="40">
        <v>2</v>
      </c>
      <c r="Q349">
        <v>3</v>
      </c>
      <c r="R349" s="40">
        <v>4</v>
      </c>
      <c r="S349" s="40">
        <v>1</v>
      </c>
      <c r="T349" s="40">
        <v>4</v>
      </c>
      <c r="U349" s="48">
        <f t="shared" si="47"/>
        <v>0.15</v>
      </c>
      <c r="V349" s="47">
        <f t="shared" si="48"/>
        <v>455.58</v>
      </c>
      <c r="W349" s="47">
        <f t="shared" si="49"/>
        <v>3492.7799999999997</v>
      </c>
      <c r="X349" s="8"/>
      <c r="Y349" t="s">
        <v>1381</v>
      </c>
    </row>
    <row r="350" spans="1:25" ht="12.75">
      <c r="A350" s="331"/>
      <c r="B350" s="10" t="s">
        <v>561</v>
      </c>
      <c r="C350" s="35">
        <v>9000</v>
      </c>
      <c r="D350" s="35"/>
      <c r="E350" s="35"/>
      <c r="F350" s="47">
        <f t="shared" si="44"/>
        <v>9000</v>
      </c>
      <c r="G350" s="40"/>
      <c r="H350" s="40"/>
      <c r="I350" s="40"/>
      <c r="J350" s="40">
        <v>40</v>
      </c>
      <c r="K350" s="40">
        <v>40</v>
      </c>
      <c r="L350" s="40"/>
      <c r="M350" s="47">
        <f t="shared" si="45"/>
        <v>4782</v>
      </c>
      <c r="N350" s="47">
        <f t="shared" si="46"/>
        <v>13782</v>
      </c>
      <c r="O350">
        <v>2</v>
      </c>
      <c r="P350" s="40">
        <v>2</v>
      </c>
      <c r="Q350">
        <v>3</v>
      </c>
      <c r="R350" s="40">
        <v>4</v>
      </c>
      <c r="S350" s="40">
        <v>1</v>
      </c>
      <c r="T350" s="40">
        <v>4</v>
      </c>
      <c r="U350" s="48">
        <f t="shared" si="47"/>
        <v>0.15</v>
      </c>
      <c r="V350" s="47">
        <f t="shared" si="48"/>
        <v>2067.2999999999997</v>
      </c>
      <c r="W350" s="47">
        <f t="shared" si="49"/>
        <v>15849.3</v>
      </c>
      <c r="X350" s="8"/>
      <c r="Y350" t="s">
        <v>1382</v>
      </c>
    </row>
    <row r="351" spans="1:25" ht="12.75">
      <c r="A351" s="331" t="s">
        <v>1235</v>
      </c>
      <c r="B351" s="241" t="s">
        <v>650</v>
      </c>
      <c r="C351" s="35"/>
      <c r="D351" s="35"/>
      <c r="E351" s="35"/>
      <c r="F351" s="47">
        <f t="shared" si="44"/>
        <v>0</v>
      </c>
      <c r="G351" s="40"/>
      <c r="H351" s="40"/>
      <c r="I351" s="40"/>
      <c r="J351" s="40">
        <v>80</v>
      </c>
      <c r="K351" s="40">
        <v>40</v>
      </c>
      <c r="L351" s="40">
        <v>0</v>
      </c>
      <c r="M351" s="47">
        <f t="shared" si="45"/>
        <v>6882</v>
      </c>
      <c r="N351" s="47">
        <f t="shared" si="46"/>
        <v>6882</v>
      </c>
      <c r="O351">
        <v>1</v>
      </c>
      <c r="P351" s="40">
        <v>2</v>
      </c>
      <c r="Q351">
        <v>3</v>
      </c>
      <c r="R351" s="40">
        <v>4</v>
      </c>
      <c r="S351" s="40">
        <v>1</v>
      </c>
      <c r="T351" s="40">
        <v>4</v>
      </c>
      <c r="U351" s="48">
        <f t="shared" si="47"/>
        <v>0.13</v>
      </c>
      <c r="V351" s="47">
        <f t="shared" si="48"/>
        <v>894.6600000000001</v>
      </c>
      <c r="W351" s="47">
        <f t="shared" si="49"/>
        <v>7776.66</v>
      </c>
      <c r="X351" s="8"/>
      <c r="Y351" t="s">
        <v>1383</v>
      </c>
    </row>
    <row r="352" spans="1:24" ht="12.75">
      <c r="A352" s="331"/>
      <c r="B352" s="10" t="s">
        <v>562</v>
      </c>
      <c r="C352" s="35">
        <v>1500</v>
      </c>
      <c r="D352" s="35"/>
      <c r="E352" s="35"/>
      <c r="F352" s="47">
        <f t="shared" si="44"/>
        <v>1500</v>
      </c>
      <c r="G352" s="40">
        <v>0</v>
      </c>
      <c r="H352" s="40"/>
      <c r="I352" s="40"/>
      <c r="J352" s="40">
        <v>0</v>
      </c>
      <c r="K352" s="40"/>
      <c r="L352" s="40">
        <v>0</v>
      </c>
      <c r="M352" s="47">
        <f t="shared" si="45"/>
        <v>0</v>
      </c>
      <c r="N352" s="47">
        <f t="shared" si="46"/>
        <v>1500</v>
      </c>
      <c r="O352">
        <v>1</v>
      </c>
      <c r="P352">
        <v>2</v>
      </c>
      <c r="Q352">
        <v>3</v>
      </c>
      <c r="R352">
        <v>4</v>
      </c>
      <c r="S352">
        <v>1</v>
      </c>
      <c r="T352">
        <v>4</v>
      </c>
      <c r="U352" s="48">
        <f t="shared" si="47"/>
        <v>0.13</v>
      </c>
      <c r="V352" s="47">
        <f t="shared" si="48"/>
        <v>195</v>
      </c>
      <c r="W352" s="47">
        <f t="shared" si="49"/>
        <v>1695</v>
      </c>
      <c r="X352" s="8"/>
    </row>
    <row r="353" spans="1:24" ht="12.75">
      <c r="A353" s="331"/>
      <c r="B353" s="10" t="s">
        <v>563</v>
      </c>
      <c r="C353" s="35">
        <v>1500</v>
      </c>
      <c r="D353" s="35"/>
      <c r="E353" s="35"/>
      <c r="F353" s="47">
        <f t="shared" si="44"/>
        <v>1500</v>
      </c>
      <c r="G353" s="40">
        <v>0</v>
      </c>
      <c r="H353" s="40"/>
      <c r="I353" s="40">
        <v>0</v>
      </c>
      <c r="J353" s="40">
        <v>0</v>
      </c>
      <c r="K353" s="40"/>
      <c r="L353" s="40"/>
      <c r="M353" s="47">
        <f t="shared" si="45"/>
        <v>0</v>
      </c>
      <c r="N353" s="47">
        <f t="shared" si="46"/>
        <v>1500</v>
      </c>
      <c r="O353">
        <v>1</v>
      </c>
      <c r="P353" s="40">
        <v>2</v>
      </c>
      <c r="Q353">
        <v>3</v>
      </c>
      <c r="R353" s="40">
        <v>4</v>
      </c>
      <c r="S353" s="40">
        <v>1</v>
      </c>
      <c r="T353" s="40">
        <v>4</v>
      </c>
      <c r="U353" s="48">
        <f t="shared" si="47"/>
        <v>0.13</v>
      </c>
      <c r="V353" s="47">
        <f t="shared" si="48"/>
        <v>195</v>
      </c>
      <c r="W353" s="47">
        <f t="shared" si="49"/>
        <v>1695</v>
      </c>
      <c r="X353" s="8"/>
    </row>
    <row r="354" spans="1:24" ht="12.75">
      <c r="A354" s="331"/>
      <c r="B354" s="10" t="s">
        <v>564</v>
      </c>
      <c r="C354" s="35">
        <v>1350</v>
      </c>
      <c r="D354" s="35"/>
      <c r="E354" s="35"/>
      <c r="F354" s="47">
        <f t="shared" si="44"/>
        <v>1350</v>
      </c>
      <c r="G354" s="40">
        <v>0</v>
      </c>
      <c r="H354" s="40"/>
      <c r="I354" s="40"/>
      <c r="J354" s="40">
        <v>0</v>
      </c>
      <c r="K354" s="40"/>
      <c r="L354" s="40">
        <v>0</v>
      </c>
      <c r="M354" s="47">
        <f t="shared" si="45"/>
        <v>0</v>
      </c>
      <c r="N354" s="47">
        <f t="shared" si="46"/>
        <v>1350</v>
      </c>
      <c r="O354">
        <v>1</v>
      </c>
      <c r="P354" s="40">
        <v>2</v>
      </c>
      <c r="Q354">
        <v>3</v>
      </c>
      <c r="R354" s="40">
        <v>4</v>
      </c>
      <c r="S354" s="40">
        <v>1</v>
      </c>
      <c r="T354" s="40">
        <v>4</v>
      </c>
      <c r="U354" s="48">
        <f t="shared" si="47"/>
        <v>0.13</v>
      </c>
      <c r="V354" s="47">
        <f t="shared" si="48"/>
        <v>175.5</v>
      </c>
      <c r="W354" s="47">
        <f t="shared" si="49"/>
        <v>1525.5</v>
      </c>
      <c r="X354" s="8"/>
    </row>
    <row r="355" spans="1:24" ht="12.75">
      <c r="A355" s="331"/>
      <c r="B355" s="10" t="s">
        <v>565</v>
      </c>
      <c r="C355" s="35">
        <v>1050</v>
      </c>
      <c r="D355" s="35">
        <v>0</v>
      </c>
      <c r="E355" s="35"/>
      <c r="F355" s="47">
        <f t="shared" si="44"/>
        <v>1050</v>
      </c>
      <c r="G355" s="40">
        <v>0</v>
      </c>
      <c r="H355" s="40"/>
      <c r="I355" s="40">
        <v>0</v>
      </c>
      <c r="J355" s="40"/>
      <c r="K355" s="40"/>
      <c r="L355" s="40"/>
      <c r="M355" s="47">
        <f t="shared" si="45"/>
        <v>0</v>
      </c>
      <c r="N355" s="47">
        <f t="shared" si="46"/>
        <v>1050</v>
      </c>
      <c r="O355">
        <v>1</v>
      </c>
      <c r="P355" s="40">
        <v>2</v>
      </c>
      <c r="Q355">
        <v>3</v>
      </c>
      <c r="R355" s="40">
        <v>4</v>
      </c>
      <c r="S355" s="40">
        <v>1</v>
      </c>
      <c r="T355" s="40">
        <v>4</v>
      </c>
      <c r="U355" s="48">
        <f t="shared" si="47"/>
        <v>0.13</v>
      </c>
      <c r="V355" s="47">
        <f t="shared" si="48"/>
        <v>136.5</v>
      </c>
      <c r="W355" s="47">
        <f t="shared" si="49"/>
        <v>1186.5</v>
      </c>
      <c r="X355" s="8"/>
    </row>
    <row r="356" spans="1:24" ht="12.75">
      <c r="A356" s="331"/>
      <c r="B356" s="10" t="s">
        <v>566</v>
      </c>
      <c r="C356" s="35">
        <v>750</v>
      </c>
      <c r="D356" s="35">
        <v>0</v>
      </c>
      <c r="E356" s="35"/>
      <c r="F356" s="47">
        <f t="shared" si="44"/>
        <v>750</v>
      </c>
      <c r="G356" s="40">
        <v>0</v>
      </c>
      <c r="H356" s="40"/>
      <c r="I356" s="40">
        <v>0</v>
      </c>
      <c r="J356" s="40"/>
      <c r="K356" s="40"/>
      <c r="L356" s="40"/>
      <c r="M356" s="47">
        <f t="shared" si="45"/>
        <v>0</v>
      </c>
      <c r="N356" s="47">
        <f t="shared" si="46"/>
        <v>750</v>
      </c>
      <c r="O356">
        <v>1</v>
      </c>
      <c r="P356" s="40">
        <v>2</v>
      </c>
      <c r="Q356">
        <v>3</v>
      </c>
      <c r="R356" s="40">
        <v>4</v>
      </c>
      <c r="S356" s="40">
        <v>1</v>
      </c>
      <c r="T356" s="40">
        <v>4</v>
      </c>
      <c r="U356" s="48">
        <f t="shared" si="47"/>
        <v>0.13</v>
      </c>
      <c r="V356" s="47">
        <f t="shared" si="48"/>
        <v>97.5</v>
      </c>
      <c r="W356" s="47">
        <f t="shared" si="49"/>
        <v>847.5</v>
      </c>
      <c r="X356" s="8"/>
    </row>
    <row r="357" spans="1:25" ht="12.75">
      <c r="A357" s="331"/>
      <c r="B357" s="10" t="s">
        <v>567</v>
      </c>
      <c r="C357" s="35">
        <v>450</v>
      </c>
      <c r="D357" s="35">
        <v>0</v>
      </c>
      <c r="E357" s="35"/>
      <c r="F357" s="47">
        <f t="shared" si="44"/>
        <v>450</v>
      </c>
      <c r="G357" s="40">
        <v>0</v>
      </c>
      <c r="H357" s="40"/>
      <c r="I357" s="40">
        <v>0</v>
      </c>
      <c r="J357" s="40"/>
      <c r="K357" s="40"/>
      <c r="L357" s="40"/>
      <c r="M357" s="47">
        <f t="shared" si="45"/>
        <v>0</v>
      </c>
      <c r="N357" s="47">
        <f t="shared" si="46"/>
        <v>450</v>
      </c>
      <c r="O357">
        <v>1</v>
      </c>
      <c r="P357" s="40">
        <v>2</v>
      </c>
      <c r="Q357">
        <v>3</v>
      </c>
      <c r="R357" s="40">
        <v>4</v>
      </c>
      <c r="S357" s="40">
        <v>1</v>
      </c>
      <c r="T357" s="40">
        <v>4</v>
      </c>
      <c r="U357" s="48">
        <f t="shared" si="47"/>
        <v>0.13</v>
      </c>
      <c r="V357" s="47">
        <f t="shared" si="48"/>
        <v>58.5</v>
      </c>
      <c r="W357" s="47">
        <f t="shared" si="49"/>
        <v>508.5</v>
      </c>
      <c r="X357" s="8"/>
      <c r="Y357" t="s">
        <v>1384</v>
      </c>
    </row>
    <row r="358" spans="1:24" ht="12.75">
      <c r="A358" s="331" t="s">
        <v>1236</v>
      </c>
      <c r="B358" s="241" t="s">
        <v>568</v>
      </c>
      <c r="C358" s="35"/>
      <c r="D358" s="35"/>
      <c r="E358" s="35"/>
      <c r="F358" s="47">
        <f t="shared" si="44"/>
        <v>0</v>
      </c>
      <c r="G358" s="40"/>
      <c r="H358" s="40"/>
      <c r="I358" s="40"/>
      <c r="J358" s="40"/>
      <c r="K358" s="40"/>
      <c r="L358" s="40"/>
      <c r="M358" s="47">
        <f t="shared" si="45"/>
        <v>0</v>
      </c>
      <c r="N358" s="47">
        <f t="shared" si="46"/>
        <v>0</v>
      </c>
      <c r="U358" s="48">
        <f t="shared" si="47"/>
        <v>0</v>
      </c>
      <c r="V358" s="47">
        <f t="shared" si="48"/>
        <v>0</v>
      </c>
      <c r="W358" s="47">
        <f t="shared" si="49"/>
        <v>0</v>
      </c>
      <c r="X358" s="8"/>
    </row>
    <row r="359" spans="1:25" ht="12.75">
      <c r="A359" s="331"/>
      <c r="B359" s="10" t="s">
        <v>569</v>
      </c>
      <c r="C359" s="35">
        <v>1200</v>
      </c>
      <c r="D359" s="35"/>
      <c r="E359" s="35"/>
      <c r="F359" s="47">
        <f t="shared" si="44"/>
        <v>1200</v>
      </c>
      <c r="G359" s="40">
        <v>40</v>
      </c>
      <c r="H359" s="40"/>
      <c r="I359" s="40">
        <v>24</v>
      </c>
      <c r="J359" s="40">
        <v>80</v>
      </c>
      <c r="K359" s="40">
        <v>0</v>
      </c>
      <c r="L359" s="40"/>
      <c r="M359" s="47">
        <f t="shared" si="45"/>
        <v>8236</v>
      </c>
      <c r="N359" s="47">
        <f t="shared" si="46"/>
        <v>9436</v>
      </c>
      <c r="O359">
        <v>1</v>
      </c>
      <c r="P359">
        <v>2</v>
      </c>
      <c r="Q359">
        <v>3</v>
      </c>
      <c r="R359">
        <v>4</v>
      </c>
      <c r="S359">
        <v>2</v>
      </c>
      <c r="T359">
        <v>4</v>
      </c>
      <c r="U359" s="48">
        <f t="shared" si="47"/>
        <v>0.17</v>
      </c>
      <c r="V359" s="47">
        <f t="shared" si="48"/>
        <v>1604.1200000000001</v>
      </c>
      <c r="W359" s="47">
        <f t="shared" si="49"/>
        <v>11040.12</v>
      </c>
      <c r="X359" s="8"/>
      <c r="Y359" t="s">
        <v>1385</v>
      </c>
    </row>
    <row r="360" spans="1:25" ht="12.75">
      <c r="A360" s="331"/>
      <c r="B360" s="10" t="s">
        <v>570</v>
      </c>
      <c r="C360" s="35">
        <v>500</v>
      </c>
      <c r="D360" s="35"/>
      <c r="E360" s="35"/>
      <c r="F360" s="47">
        <f t="shared" si="44"/>
        <v>500</v>
      </c>
      <c r="G360" s="40"/>
      <c r="H360" s="40"/>
      <c r="I360" s="40"/>
      <c r="J360" s="40">
        <v>40</v>
      </c>
      <c r="K360" s="40">
        <v>0</v>
      </c>
      <c r="L360" s="40"/>
      <c r="M360" s="47">
        <f t="shared" si="45"/>
        <v>2100</v>
      </c>
      <c r="N360" s="47">
        <f t="shared" si="46"/>
        <v>2600</v>
      </c>
      <c r="O360">
        <v>1</v>
      </c>
      <c r="P360">
        <v>2</v>
      </c>
      <c r="Q360">
        <v>3</v>
      </c>
      <c r="R360">
        <v>4</v>
      </c>
      <c r="S360">
        <v>2</v>
      </c>
      <c r="T360">
        <v>4</v>
      </c>
      <c r="U360" s="48">
        <f t="shared" si="47"/>
        <v>0.17</v>
      </c>
      <c r="V360" s="47">
        <f aca="true" t="shared" si="50" ref="V360:V365">+(F360+M360)*U360</f>
        <v>442.00000000000006</v>
      </c>
      <c r="W360" s="47">
        <f aca="true" t="shared" si="51" ref="W360:W365">+F360+M360+V360</f>
        <v>3042</v>
      </c>
      <c r="X360" s="8"/>
      <c r="Y360" t="s">
        <v>1386</v>
      </c>
    </row>
    <row r="361" spans="1:25" ht="12.75">
      <c r="A361" s="331"/>
      <c r="B361" s="10" t="s">
        <v>571</v>
      </c>
      <c r="C361" s="35">
        <v>500</v>
      </c>
      <c r="D361" s="35"/>
      <c r="E361" s="35"/>
      <c r="F361" s="47">
        <f t="shared" si="44"/>
        <v>500</v>
      </c>
      <c r="G361" s="40"/>
      <c r="H361" s="40"/>
      <c r="I361" s="40"/>
      <c r="J361" s="40">
        <v>40</v>
      </c>
      <c r="K361" s="40">
        <v>0</v>
      </c>
      <c r="L361" s="40"/>
      <c r="M361" s="47">
        <f t="shared" si="45"/>
        <v>2100</v>
      </c>
      <c r="N361" s="47">
        <f t="shared" si="46"/>
        <v>2600</v>
      </c>
      <c r="O361">
        <v>1</v>
      </c>
      <c r="P361">
        <v>2</v>
      </c>
      <c r="Q361">
        <v>3</v>
      </c>
      <c r="R361">
        <v>4</v>
      </c>
      <c r="S361">
        <v>2</v>
      </c>
      <c r="T361">
        <v>4</v>
      </c>
      <c r="U361" s="48">
        <f t="shared" si="47"/>
        <v>0.17</v>
      </c>
      <c r="V361" s="47">
        <f t="shared" si="50"/>
        <v>442.00000000000006</v>
      </c>
      <c r="W361" s="47">
        <f t="shared" si="51"/>
        <v>3042</v>
      </c>
      <c r="X361" s="8"/>
      <c r="Y361" t="s">
        <v>1386</v>
      </c>
    </row>
    <row r="362" spans="1:25" ht="12.75">
      <c r="A362" s="331"/>
      <c r="B362" s="10" t="s">
        <v>572</v>
      </c>
      <c r="C362" s="35">
        <v>1800</v>
      </c>
      <c r="D362" s="35">
        <v>0</v>
      </c>
      <c r="E362" s="35"/>
      <c r="F362" s="47">
        <f t="shared" si="44"/>
        <v>1800</v>
      </c>
      <c r="G362" s="40"/>
      <c r="H362" s="40"/>
      <c r="I362" s="40"/>
      <c r="J362" s="40">
        <v>40</v>
      </c>
      <c r="K362" s="40">
        <v>0</v>
      </c>
      <c r="L362" s="40"/>
      <c r="M362" s="47">
        <f t="shared" si="45"/>
        <v>2100</v>
      </c>
      <c r="N362" s="47">
        <f t="shared" si="46"/>
        <v>3900</v>
      </c>
      <c r="O362">
        <v>1</v>
      </c>
      <c r="P362">
        <v>2</v>
      </c>
      <c r="Q362">
        <v>3</v>
      </c>
      <c r="R362">
        <v>4</v>
      </c>
      <c r="S362">
        <v>2</v>
      </c>
      <c r="T362">
        <v>4</v>
      </c>
      <c r="U362" s="48">
        <f t="shared" si="47"/>
        <v>0.17</v>
      </c>
      <c r="V362" s="47">
        <f t="shared" si="50"/>
        <v>663</v>
      </c>
      <c r="W362" s="47">
        <f t="shared" si="51"/>
        <v>4563</v>
      </c>
      <c r="X362" s="8"/>
      <c r="Y362" t="s">
        <v>1387</v>
      </c>
    </row>
    <row r="363" spans="1:25" ht="12.75">
      <c r="A363" s="331" t="s">
        <v>1237</v>
      </c>
      <c r="B363" s="241" t="s">
        <v>701</v>
      </c>
      <c r="C363" s="35"/>
      <c r="D363" s="35"/>
      <c r="E363" s="35"/>
      <c r="F363" s="47">
        <f t="shared" si="44"/>
        <v>0</v>
      </c>
      <c r="G363" s="40"/>
      <c r="H363" s="40"/>
      <c r="I363" s="40"/>
      <c r="J363" s="40"/>
      <c r="K363" s="40"/>
      <c r="L363" s="40"/>
      <c r="M363" s="47">
        <f t="shared" si="45"/>
        <v>0</v>
      </c>
      <c r="N363" s="47">
        <f t="shared" si="46"/>
        <v>0</v>
      </c>
      <c r="U363" s="48">
        <f t="shared" si="47"/>
        <v>0</v>
      </c>
      <c r="V363" s="47">
        <f t="shared" si="50"/>
        <v>0</v>
      </c>
      <c r="W363" s="47">
        <f t="shared" si="51"/>
        <v>0</v>
      </c>
      <c r="X363" s="8"/>
      <c r="Y363" t="s">
        <v>1388</v>
      </c>
    </row>
    <row r="364" spans="1:24" ht="12.75">
      <c r="A364" s="331"/>
      <c r="B364" s="10" t="s">
        <v>1009</v>
      </c>
      <c r="C364" s="35">
        <v>10000</v>
      </c>
      <c r="D364" s="35"/>
      <c r="E364" s="35"/>
      <c r="F364" s="47">
        <f t="shared" si="44"/>
        <v>10000</v>
      </c>
      <c r="G364" s="40"/>
      <c r="H364" s="40"/>
      <c r="I364" s="40"/>
      <c r="J364" s="40">
        <v>40</v>
      </c>
      <c r="K364" s="40">
        <v>0</v>
      </c>
      <c r="L364" s="40"/>
      <c r="M364" s="47">
        <f t="shared" si="45"/>
        <v>2100</v>
      </c>
      <c r="N364" s="47">
        <f t="shared" si="46"/>
        <v>12100</v>
      </c>
      <c r="O364">
        <v>2</v>
      </c>
      <c r="P364">
        <v>2</v>
      </c>
      <c r="Q364">
        <v>3</v>
      </c>
      <c r="R364">
        <v>4</v>
      </c>
      <c r="S364">
        <v>2</v>
      </c>
      <c r="T364">
        <v>4</v>
      </c>
      <c r="U364" s="48">
        <f t="shared" si="47"/>
        <v>0.19</v>
      </c>
      <c r="V364" s="47">
        <f t="shared" si="50"/>
        <v>2299</v>
      </c>
      <c r="W364" s="47">
        <f t="shared" si="51"/>
        <v>14399</v>
      </c>
      <c r="X364" s="8"/>
    </row>
    <row r="365" spans="1:24" ht="12.75">
      <c r="A365" s="331"/>
      <c r="B365" s="10" t="s">
        <v>575</v>
      </c>
      <c r="C365" s="35">
        <v>0</v>
      </c>
      <c r="D365" s="35"/>
      <c r="E365" s="35"/>
      <c r="F365" s="47">
        <f t="shared" si="44"/>
        <v>0</v>
      </c>
      <c r="G365" s="40"/>
      <c r="H365" s="40"/>
      <c r="I365" s="40"/>
      <c r="J365" s="40">
        <v>0</v>
      </c>
      <c r="K365" s="40">
        <v>0</v>
      </c>
      <c r="L365" s="40"/>
      <c r="M365" s="47">
        <f t="shared" si="45"/>
        <v>0</v>
      </c>
      <c r="N365" s="47">
        <f t="shared" si="46"/>
        <v>0</v>
      </c>
      <c r="U365" s="48">
        <f t="shared" si="47"/>
        <v>0</v>
      </c>
      <c r="V365" s="47">
        <f t="shared" si="50"/>
        <v>0</v>
      </c>
      <c r="W365" s="47">
        <f t="shared" si="51"/>
        <v>0</v>
      </c>
      <c r="X365" s="8"/>
    </row>
    <row r="366" spans="1:24" ht="12.75">
      <c r="A366" s="331"/>
      <c r="B366" s="10" t="s">
        <v>576</v>
      </c>
      <c r="C366" s="35">
        <v>0</v>
      </c>
      <c r="D366" s="35"/>
      <c r="E366" s="35"/>
      <c r="F366" s="47">
        <f t="shared" si="44"/>
        <v>0</v>
      </c>
      <c r="G366" s="40"/>
      <c r="H366" s="40"/>
      <c r="I366" s="40"/>
      <c r="J366" s="40">
        <v>0</v>
      </c>
      <c r="K366" s="40">
        <v>0</v>
      </c>
      <c r="L366" s="40"/>
      <c r="M366" s="47">
        <f t="shared" si="45"/>
        <v>0</v>
      </c>
      <c r="N366" s="47">
        <f t="shared" si="46"/>
        <v>0</v>
      </c>
      <c r="U366" s="48">
        <f aca="true" t="shared" si="52" ref="U366:U373">((O366*P366)+Q366+(R366*S366)+T366)/100</f>
        <v>0</v>
      </c>
      <c r="V366" s="47">
        <f aca="true" t="shared" si="53" ref="V366:V373">+(F366+M366)*U366</f>
        <v>0</v>
      </c>
      <c r="W366" s="47">
        <f aca="true" t="shared" si="54" ref="W366:W373">+F366+M366+V366</f>
        <v>0</v>
      </c>
      <c r="X366" s="8"/>
    </row>
    <row r="367" spans="1:24" ht="12.75">
      <c r="A367" s="331"/>
      <c r="B367" s="10" t="s">
        <v>577</v>
      </c>
      <c r="C367" s="35">
        <v>500</v>
      </c>
      <c r="D367" s="35"/>
      <c r="E367" s="35"/>
      <c r="F367" s="47">
        <f t="shared" si="44"/>
        <v>500</v>
      </c>
      <c r="G367" s="40"/>
      <c r="H367" s="40"/>
      <c r="I367" s="40"/>
      <c r="J367" s="40">
        <v>40</v>
      </c>
      <c r="K367" s="40">
        <v>0</v>
      </c>
      <c r="L367" s="40"/>
      <c r="M367" s="47">
        <f t="shared" si="45"/>
        <v>2100</v>
      </c>
      <c r="N367" s="47">
        <f t="shared" si="46"/>
        <v>2600</v>
      </c>
      <c r="O367">
        <v>2</v>
      </c>
      <c r="P367">
        <v>2</v>
      </c>
      <c r="Q367">
        <v>3</v>
      </c>
      <c r="R367">
        <v>4</v>
      </c>
      <c r="S367">
        <v>2</v>
      </c>
      <c r="T367">
        <v>4</v>
      </c>
      <c r="U367" s="48">
        <f t="shared" si="52"/>
        <v>0.19</v>
      </c>
      <c r="V367" s="47">
        <f t="shared" si="53"/>
        <v>494</v>
      </c>
      <c r="W367" s="47">
        <f t="shared" si="54"/>
        <v>3094</v>
      </c>
      <c r="X367" s="8"/>
    </row>
    <row r="368" spans="1:24" ht="12.75">
      <c r="A368" s="331" t="s">
        <v>1238</v>
      </c>
      <c r="B368" s="241" t="s">
        <v>578</v>
      </c>
      <c r="C368" s="35"/>
      <c r="D368" s="35"/>
      <c r="E368" s="35"/>
      <c r="F368" s="47">
        <f t="shared" si="44"/>
        <v>0</v>
      </c>
      <c r="G368" s="40"/>
      <c r="H368" s="40"/>
      <c r="I368" s="40"/>
      <c r="J368" s="40"/>
      <c r="K368" s="40"/>
      <c r="L368" s="40"/>
      <c r="M368" s="47">
        <f t="shared" si="45"/>
        <v>0</v>
      </c>
      <c r="N368" s="47">
        <f t="shared" si="46"/>
        <v>0</v>
      </c>
      <c r="U368" s="48">
        <f t="shared" si="52"/>
        <v>0</v>
      </c>
      <c r="V368" s="47">
        <f t="shared" si="53"/>
        <v>0</v>
      </c>
      <c r="W368" s="47">
        <f t="shared" si="54"/>
        <v>0</v>
      </c>
      <c r="X368" s="8"/>
    </row>
    <row r="369" spans="2:25" ht="12.75">
      <c r="B369" s="10" t="s">
        <v>579</v>
      </c>
      <c r="C369" s="35">
        <v>300</v>
      </c>
      <c r="D369" s="35"/>
      <c r="E369" s="35"/>
      <c r="F369" s="47">
        <f t="shared" si="44"/>
        <v>300</v>
      </c>
      <c r="G369" s="40">
        <v>80</v>
      </c>
      <c r="H369" s="40"/>
      <c r="I369" s="40">
        <v>40</v>
      </c>
      <c r="J369" s="40">
        <v>160</v>
      </c>
      <c r="K369" s="40">
        <v>0</v>
      </c>
      <c r="L369" s="40"/>
      <c r="M369" s="47">
        <f t="shared" si="45"/>
        <v>16022</v>
      </c>
      <c r="N369" s="47">
        <f t="shared" si="46"/>
        <v>16322</v>
      </c>
      <c r="O369">
        <v>2</v>
      </c>
      <c r="P369">
        <v>2</v>
      </c>
      <c r="Q369">
        <v>4</v>
      </c>
      <c r="R369">
        <v>4</v>
      </c>
      <c r="S369">
        <v>2</v>
      </c>
      <c r="T369">
        <v>4</v>
      </c>
      <c r="U369" s="48">
        <f t="shared" si="52"/>
        <v>0.2</v>
      </c>
      <c r="V369" s="47">
        <f t="shared" si="53"/>
        <v>3264.4</v>
      </c>
      <c r="W369" s="47">
        <f t="shared" si="54"/>
        <v>19586.4</v>
      </c>
      <c r="X369" s="8"/>
      <c r="Y369" t="s">
        <v>1389</v>
      </c>
    </row>
    <row r="370" spans="1:25" ht="12.75">
      <c r="A370" s="37"/>
      <c r="B370" s="10" t="s">
        <v>580</v>
      </c>
      <c r="C370" s="35">
        <v>500</v>
      </c>
      <c r="D370" s="35"/>
      <c r="E370" s="35"/>
      <c r="F370" s="47">
        <f t="shared" si="44"/>
        <v>500</v>
      </c>
      <c r="G370" s="40"/>
      <c r="H370" s="40"/>
      <c r="I370" s="40"/>
      <c r="J370" s="40">
        <v>160</v>
      </c>
      <c r="K370" s="40">
        <v>0</v>
      </c>
      <c r="L370" s="40"/>
      <c r="M370" s="47">
        <f t="shared" si="45"/>
        <v>8400</v>
      </c>
      <c r="N370" s="47">
        <f t="shared" si="46"/>
        <v>8900</v>
      </c>
      <c r="O370">
        <v>2</v>
      </c>
      <c r="P370">
        <v>2</v>
      </c>
      <c r="Q370">
        <v>4</v>
      </c>
      <c r="R370">
        <v>4</v>
      </c>
      <c r="S370">
        <v>2</v>
      </c>
      <c r="T370">
        <v>4</v>
      </c>
      <c r="U370" s="48">
        <f t="shared" si="52"/>
        <v>0.2</v>
      </c>
      <c r="V370" s="47">
        <f t="shared" si="53"/>
        <v>1780</v>
      </c>
      <c r="W370" s="47">
        <f t="shared" si="54"/>
        <v>10680</v>
      </c>
      <c r="X370" s="8"/>
      <c r="Y370" t="s">
        <v>1390</v>
      </c>
    </row>
    <row r="371" spans="1:25" ht="12.75">
      <c r="A371" s="37"/>
      <c r="B371" s="10" t="s">
        <v>581</v>
      </c>
      <c r="C371" s="35">
        <v>1500</v>
      </c>
      <c r="D371" s="35"/>
      <c r="E371" s="35"/>
      <c r="F371" s="47">
        <f t="shared" si="44"/>
        <v>1500</v>
      </c>
      <c r="G371" s="40"/>
      <c r="H371" s="40"/>
      <c r="I371" s="40"/>
      <c r="J371" s="40">
        <v>160</v>
      </c>
      <c r="K371" s="40">
        <v>0</v>
      </c>
      <c r="L371" s="40"/>
      <c r="M371" s="47">
        <f t="shared" si="45"/>
        <v>8400</v>
      </c>
      <c r="N371" s="47">
        <f t="shared" si="46"/>
        <v>9900</v>
      </c>
      <c r="O371">
        <v>2</v>
      </c>
      <c r="P371">
        <v>2</v>
      </c>
      <c r="Q371">
        <v>4</v>
      </c>
      <c r="R371">
        <v>4</v>
      </c>
      <c r="S371">
        <v>2</v>
      </c>
      <c r="T371">
        <v>4</v>
      </c>
      <c r="U371" s="48">
        <f>((O371*P371)+Q371+(R371*S371)+T371)/100</f>
        <v>0.2</v>
      </c>
      <c r="V371" s="47">
        <f>+(F371+M371)*U371</f>
        <v>1980</v>
      </c>
      <c r="W371" s="47">
        <f>+F371+M371+V371</f>
        <v>11880</v>
      </c>
      <c r="X371" s="8"/>
      <c r="Y371" t="s">
        <v>1391</v>
      </c>
    </row>
    <row r="372" spans="1:24" ht="12.75">
      <c r="A372" s="37"/>
      <c r="B372" s="10" t="s">
        <v>907</v>
      </c>
      <c r="C372" s="35"/>
      <c r="D372" s="35"/>
      <c r="E372" s="35"/>
      <c r="F372" s="47">
        <f t="shared" si="44"/>
        <v>0</v>
      </c>
      <c r="G372" s="40"/>
      <c r="H372" s="40"/>
      <c r="I372" s="40"/>
      <c r="J372" s="40"/>
      <c r="K372" s="40"/>
      <c r="L372" s="40"/>
      <c r="M372" s="47">
        <f t="shared" si="45"/>
        <v>0</v>
      </c>
      <c r="N372" s="47">
        <f t="shared" si="46"/>
        <v>0</v>
      </c>
      <c r="U372" s="48">
        <f>((O372*P372)+Q372+(R372*S372)+T372)/100</f>
        <v>0</v>
      </c>
      <c r="V372" s="47">
        <f>+(F372+M372)*U372</f>
        <v>0</v>
      </c>
      <c r="W372" s="47">
        <f>+F372+M372+V372</f>
        <v>0</v>
      </c>
      <c r="X372" s="8"/>
    </row>
    <row r="373" spans="1:24" ht="12.75">
      <c r="A373" s="332" t="s">
        <v>1239</v>
      </c>
      <c r="B373" s="60" t="s">
        <v>641</v>
      </c>
      <c r="C373" s="35"/>
      <c r="D373" s="35"/>
      <c r="E373" s="35"/>
      <c r="F373" s="47">
        <f t="shared" si="44"/>
        <v>0</v>
      </c>
      <c r="G373" s="40"/>
      <c r="H373" s="40"/>
      <c r="I373" s="40"/>
      <c r="J373" s="40"/>
      <c r="K373" s="40"/>
      <c r="L373" s="40"/>
      <c r="M373" s="47">
        <f t="shared" si="45"/>
        <v>0</v>
      </c>
      <c r="N373" s="47">
        <f t="shared" si="46"/>
        <v>0</v>
      </c>
      <c r="U373" s="48">
        <f t="shared" si="52"/>
        <v>0</v>
      </c>
      <c r="V373" s="47">
        <f t="shared" si="53"/>
        <v>0</v>
      </c>
      <c r="W373" s="47">
        <f t="shared" si="54"/>
        <v>0</v>
      </c>
      <c r="X373" s="132">
        <f>SUM(W374:W377)</f>
        <v>227698.73599999998</v>
      </c>
    </row>
    <row r="374" spans="1:25" ht="12.75">
      <c r="A374" s="37"/>
      <c r="B374" s="11" t="s">
        <v>1593</v>
      </c>
      <c r="C374" s="67">
        <v>30560</v>
      </c>
      <c r="D374" s="67">
        <v>58810</v>
      </c>
      <c r="E374" s="35"/>
      <c r="F374" s="47">
        <f t="shared" si="44"/>
        <v>89370</v>
      </c>
      <c r="G374" s="40">
        <v>110</v>
      </c>
      <c r="H374" s="40"/>
      <c r="I374" s="40"/>
      <c r="J374" s="40">
        <v>160</v>
      </c>
      <c r="K374" s="40">
        <v>0</v>
      </c>
      <c r="L374" s="40"/>
      <c r="M374" s="47">
        <f t="shared" si="45"/>
        <v>15786.5</v>
      </c>
      <c r="N374" s="47">
        <f t="shared" si="46"/>
        <v>105156.5</v>
      </c>
      <c r="O374">
        <v>2</v>
      </c>
      <c r="P374">
        <v>2</v>
      </c>
      <c r="Q374">
        <v>8</v>
      </c>
      <c r="R374">
        <v>4</v>
      </c>
      <c r="S374">
        <v>1</v>
      </c>
      <c r="T374">
        <v>8</v>
      </c>
      <c r="U374" s="48">
        <f aca="true" t="shared" si="55" ref="U374:U390">((O374*P374)+Q374+(R374*S374)+T374)/100</f>
        <v>0.24</v>
      </c>
      <c r="V374" s="47">
        <f aca="true" t="shared" si="56" ref="V374:V390">+(F374+M374)*U374</f>
        <v>25237.559999999998</v>
      </c>
      <c r="W374" s="47">
        <f aca="true" t="shared" si="57" ref="W374:W390">+F374+M374+V374</f>
        <v>130394.06</v>
      </c>
      <c r="X374" s="8"/>
      <c r="Y374" t="s">
        <v>1597</v>
      </c>
    </row>
    <row r="375" spans="1:24" ht="12.75">
      <c r="A375" s="37"/>
      <c r="B375" s="11" t="s">
        <v>1594</v>
      </c>
      <c r="E375" s="35"/>
      <c r="F375" s="47">
        <f t="shared" si="44"/>
        <v>0</v>
      </c>
      <c r="G375" s="40">
        <v>420</v>
      </c>
      <c r="H375" s="40"/>
      <c r="I375" s="40"/>
      <c r="J375" s="40"/>
      <c r="K375" s="40"/>
      <c r="L375" s="40"/>
      <c r="M375" s="47">
        <f t="shared" si="45"/>
        <v>28203.000000000004</v>
      </c>
      <c r="N375" s="47">
        <f t="shared" si="46"/>
        <v>28203.000000000004</v>
      </c>
      <c r="O375">
        <v>2</v>
      </c>
      <c r="P375">
        <v>2</v>
      </c>
      <c r="Q375">
        <v>15</v>
      </c>
      <c r="R375">
        <v>1</v>
      </c>
      <c r="S375">
        <v>1</v>
      </c>
      <c r="T375">
        <v>8</v>
      </c>
      <c r="U375" s="48">
        <f t="shared" si="55"/>
        <v>0.28</v>
      </c>
      <c r="V375" s="47">
        <f t="shared" si="56"/>
        <v>7896.840000000002</v>
      </c>
      <c r="W375" s="47">
        <f t="shared" si="57"/>
        <v>36099.840000000004</v>
      </c>
      <c r="X375" s="8"/>
    </row>
    <row r="376" spans="1:25" ht="12.75">
      <c r="A376" s="37"/>
      <c r="B376" s="11" t="s">
        <v>1595</v>
      </c>
      <c r="C376" s="67">
        <v>10080</v>
      </c>
      <c r="D376" s="67">
        <v>24000</v>
      </c>
      <c r="E376" s="35"/>
      <c r="F376" s="47">
        <f t="shared" si="44"/>
        <v>34080</v>
      </c>
      <c r="G376" s="40">
        <v>80</v>
      </c>
      <c r="H376" s="40"/>
      <c r="I376" s="40"/>
      <c r="J376" s="40">
        <v>130</v>
      </c>
      <c r="K376" s="40">
        <v>16</v>
      </c>
      <c r="L376" s="40"/>
      <c r="M376" s="47">
        <f t="shared" si="45"/>
        <v>13269.8</v>
      </c>
      <c r="N376" s="47">
        <f t="shared" si="46"/>
        <v>47349.8</v>
      </c>
      <c r="O376">
        <v>1</v>
      </c>
      <c r="P376">
        <v>2</v>
      </c>
      <c r="Q376">
        <v>8</v>
      </c>
      <c r="R376">
        <v>4</v>
      </c>
      <c r="S376">
        <v>1</v>
      </c>
      <c r="T376">
        <v>8</v>
      </c>
      <c r="U376" s="48">
        <f t="shared" si="55"/>
        <v>0.22</v>
      </c>
      <c r="V376" s="47">
        <f t="shared" si="56"/>
        <v>10416.956</v>
      </c>
      <c r="W376" s="47">
        <f t="shared" si="57"/>
        <v>57766.756</v>
      </c>
      <c r="X376" s="8"/>
      <c r="Y376" t="s">
        <v>1598</v>
      </c>
    </row>
    <row r="377" spans="1:24" ht="12.75">
      <c r="A377" s="37"/>
      <c r="B377" s="11" t="s">
        <v>1596</v>
      </c>
      <c r="E377" s="35"/>
      <c r="F377" s="47">
        <f t="shared" si="44"/>
        <v>0</v>
      </c>
      <c r="G377" s="40">
        <v>40</v>
      </c>
      <c r="H377" s="40"/>
      <c r="I377" s="40"/>
      <c r="J377" s="40"/>
      <c r="K377" s="40"/>
      <c r="L377" s="40"/>
      <c r="M377" s="47">
        <f t="shared" si="45"/>
        <v>2686</v>
      </c>
      <c r="N377" s="47">
        <f t="shared" si="46"/>
        <v>2686</v>
      </c>
      <c r="O377">
        <v>2</v>
      </c>
      <c r="P377">
        <v>2</v>
      </c>
      <c r="Q377">
        <v>15</v>
      </c>
      <c r="R377">
        <v>1</v>
      </c>
      <c r="S377">
        <v>1</v>
      </c>
      <c r="T377">
        <v>8</v>
      </c>
      <c r="U377" s="48">
        <f t="shared" si="55"/>
        <v>0.28</v>
      </c>
      <c r="V377" s="47">
        <f t="shared" si="56"/>
        <v>752.08</v>
      </c>
      <c r="W377" s="47">
        <f t="shared" si="57"/>
        <v>3438.08</v>
      </c>
      <c r="X377" s="8"/>
    </row>
    <row r="378" spans="1:25" ht="12.75">
      <c r="A378" s="223" t="s">
        <v>1599</v>
      </c>
      <c r="B378" s="60" t="s">
        <v>282</v>
      </c>
      <c r="C378" s="217">
        <v>0</v>
      </c>
      <c r="D378" s="217">
        <v>0</v>
      </c>
      <c r="E378" s="217">
        <v>0</v>
      </c>
      <c r="F378" s="47">
        <f t="shared" si="44"/>
        <v>0</v>
      </c>
      <c r="G378" s="40">
        <v>0</v>
      </c>
      <c r="H378" s="40">
        <v>0</v>
      </c>
      <c r="I378" s="40">
        <v>0</v>
      </c>
      <c r="J378" s="40">
        <v>0</v>
      </c>
      <c r="K378" s="40">
        <v>0</v>
      </c>
      <c r="L378" s="40">
        <v>0</v>
      </c>
      <c r="M378" s="47">
        <f t="shared" si="45"/>
        <v>0</v>
      </c>
      <c r="N378" s="47">
        <f t="shared" si="46"/>
        <v>0</v>
      </c>
      <c r="O378">
        <v>0</v>
      </c>
      <c r="P378">
        <v>0</v>
      </c>
      <c r="Q378">
        <v>0</v>
      </c>
      <c r="R378">
        <v>0</v>
      </c>
      <c r="S378">
        <v>0</v>
      </c>
      <c r="T378">
        <v>0</v>
      </c>
      <c r="U378" s="48">
        <f t="shared" si="55"/>
        <v>0</v>
      </c>
      <c r="V378" s="47">
        <f t="shared" si="56"/>
        <v>0</v>
      </c>
      <c r="W378" s="47">
        <f t="shared" si="57"/>
        <v>0</v>
      </c>
      <c r="X378" s="132">
        <f>SUM(W379:W514)</f>
        <v>1738818.854</v>
      </c>
      <c r="Y378" t="s">
        <v>1392</v>
      </c>
    </row>
    <row r="379" spans="1:25" ht="12.75">
      <c r="A379" s="324" t="s">
        <v>1600</v>
      </c>
      <c r="B379" s="241" t="s">
        <v>283</v>
      </c>
      <c r="C379" s="217">
        <v>0</v>
      </c>
      <c r="D379" s="217">
        <v>0</v>
      </c>
      <c r="E379" s="217">
        <v>0</v>
      </c>
      <c r="F379" s="47">
        <f t="shared" si="44"/>
        <v>0</v>
      </c>
      <c r="G379" s="40">
        <v>0</v>
      </c>
      <c r="H379" s="40">
        <v>0</v>
      </c>
      <c r="I379" s="40">
        <v>0</v>
      </c>
      <c r="J379" s="40">
        <v>0</v>
      </c>
      <c r="K379" s="40">
        <v>0</v>
      </c>
      <c r="L379" s="40">
        <v>0</v>
      </c>
      <c r="M379" s="47">
        <f t="shared" si="45"/>
        <v>0</v>
      </c>
      <c r="N379" s="47">
        <f t="shared" si="46"/>
        <v>0</v>
      </c>
      <c r="O379">
        <v>0</v>
      </c>
      <c r="P379">
        <v>0</v>
      </c>
      <c r="Q379">
        <v>0</v>
      </c>
      <c r="R379">
        <v>0</v>
      </c>
      <c r="S379">
        <v>0</v>
      </c>
      <c r="T379">
        <v>0</v>
      </c>
      <c r="U379" s="48">
        <f t="shared" si="55"/>
        <v>0</v>
      </c>
      <c r="V379" s="47">
        <f t="shared" si="56"/>
        <v>0</v>
      </c>
      <c r="W379" s="47">
        <f t="shared" si="57"/>
        <v>0</v>
      </c>
      <c r="X379" s="8"/>
      <c r="Y379" t="s">
        <v>1393</v>
      </c>
    </row>
    <row r="380" spans="1:25" ht="12.75">
      <c r="A380" s="325" t="s">
        <v>1601</v>
      </c>
      <c r="B380" s="240" t="s">
        <v>284</v>
      </c>
      <c r="C380" s="217">
        <v>0</v>
      </c>
      <c r="D380" s="217">
        <v>0</v>
      </c>
      <c r="E380" s="217">
        <v>0</v>
      </c>
      <c r="F380" s="47">
        <f t="shared" si="44"/>
        <v>0</v>
      </c>
      <c r="G380" s="40">
        <v>0</v>
      </c>
      <c r="H380" s="40">
        <v>0</v>
      </c>
      <c r="I380" s="40">
        <v>0</v>
      </c>
      <c r="J380" s="40">
        <v>0</v>
      </c>
      <c r="K380" s="40">
        <v>0</v>
      </c>
      <c r="L380" s="40">
        <v>0</v>
      </c>
      <c r="M380" s="47">
        <f t="shared" si="45"/>
        <v>0</v>
      </c>
      <c r="N380" s="47">
        <f t="shared" si="46"/>
        <v>0</v>
      </c>
      <c r="O380">
        <v>0</v>
      </c>
      <c r="P380">
        <v>0</v>
      </c>
      <c r="Q380">
        <v>0</v>
      </c>
      <c r="R380">
        <v>0</v>
      </c>
      <c r="S380">
        <v>0</v>
      </c>
      <c r="T380">
        <v>0</v>
      </c>
      <c r="U380" s="48">
        <f t="shared" si="55"/>
        <v>0</v>
      </c>
      <c r="V380" s="47">
        <f t="shared" si="56"/>
        <v>0</v>
      </c>
      <c r="W380" s="47">
        <f t="shared" si="57"/>
        <v>0</v>
      </c>
      <c r="X380" s="8"/>
      <c r="Y380" t="s">
        <v>1394</v>
      </c>
    </row>
    <row r="381" spans="1:24" ht="12.75">
      <c r="A381" t="s">
        <v>1602</v>
      </c>
      <c r="B381" t="s">
        <v>285</v>
      </c>
      <c r="C381" s="217">
        <v>0</v>
      </c>
      <c r="D381" s="217">
        <v>0</v>
      </c>
      <c r="E381" s="217">
        <v>0</v>
      </c>
      <c r="F381" s="47">
        <f t="shared" si="44"/>
        <v>0</v>
      </c>
      <c r="G381" s="40">
        <v>0</v>
      </c>
      <c r="H381" s="40">
        <v>0</v>
      </c>
      <c r="I381" s="40">
        <v>0</v>
      </c>
      <c r="J381" s="40">
        <v>0</v>
      </c>
      <c r="K381" s="40">
        <v>0</v>
      </c>
      <c r="L381" s="40">
        <v>0</v>
      </c>
      <c r="M381" s="47">
        <f t="shared" si="45"/>
        <v>0</v>
      </c>
      <c r="N381" s="47">
        <f t="shared" si="46"/>
        <v>0</v>
      </c>
      <c r="O381">
        <v>0</v>
      </c>
      <c r="P381">
        <v>0</v>
      </c>
      <c r="Q381">
        <v>0</v>
      </c>
      <c r="R381">
        <v>0</v>
      </c>
      <c r="S381">
        <v>0</v>
      </c>
      <c r="T381">
        <v>0</v>
      </c>
      <c r="U381" s="48">
        <f t="shared" si="55"/>
        <v>0</v>
      </c>
      <c r="V381" s="47">
        <f t="shared" si="56"/>
        <v>0</v>
      </c>
      <c r="W381" s="47">
        <f t="shared" si="57"/>
        <v>0</v>
      </c>
      <c r="X381" s="8"/>
    </row>
    <row r="382" spans="1:24" ht="12.75">
      <c r="A382" t="s">
        <v>1603</v>
      </c>
      <c r="B382" s="242" t="s">
        <v>286</v>
      </c>
      <c r="C382" s="217">
        <v>0</v>
      </c>
      <c r="D382" s="217">
        <v>0</v>
      </c>
      <c r="E382" s="217">
        <v>0</v>
      </c>
      <c r="F382" s="47">
        <f t="shared" si="44"/>
        <v>0</v>
      </c>
      <c r="G382" s="40">
        <v>40</v>
      </c>
      <c r="H382" s="40">
        <v>0</v>
      </c>
      <c r="I382" s="40">
        <v>0</v>
      </c>
      <c r="J382" s="40">
        <v>0</v>
      </c>
      <c r="K382" s="40">
        <v>0</v>
      </c>
      <c r="L382" s="40">
        <v>0</v>
      </c>
      <c r="M382" s="47">
        <f t="shared" si="45"/>
        <v>2686</v>
      </c>
      <c r="N382" s="47">
        <f t="shared" si="46"/>
        <v>2686</v>
      </c>
      <c r="O382">
        <v>10</v>
      </c>
      <c r="P382">
        <v>2</v>
      </c>
      <c r="Q382">
        <v>8</v>
      </c>
      <c r="R382">
        <v>6</v>
      </c>
      <c r="S382">
        <v>2</v>
      </c>
      <c r="T382">
        <v>4</v>
      </c>
      <c r="U382" s="48">
        <f t="shared" si="55"/>
        <v>0.44</v>
      </c>
      <c r="V382" s="47">
        <f t="shared" si="56"/>
        <v>1181.84</v>
      </c>
      <c r="W382" s="47">
        <f t="shared" si="57"/>
        <v>3867.84</v>
      </c>
      <c r="X382" s="8"/>
    </row>
    <row r="383" spans="1:24" ht="12.75">
      <c r="A383" t="s">
        <v>1604</v>
      </c>
      <c r="B383" s="242" t="s">
        <v>287</v>
      </c>
      <c r="C383" s="217">
        <v>0</v>
      </c>
      <c r="D383" s="217">
        <v>0</v>
      </c>
      <c r="E383" s="217">
        <v>0</v>
      </c>
      <c r="F383" s="47">
        <f t="shared" si="44"/>
        <v>0</v>
      </c>
      <c r="G383" s="40">
        <v>80</v>
      </c>
      <c r="H383" s="40">
        <v>0</v>
      </c>
      <c r="I383" s="40">
        <v>0</v>
      </c>
      <c r="J383" s="40">
        <v>0</v>
      </c>
      <c r="K383" s="40">
        <v>0</v>
      </c>
      <c r="L383" s="40">
        <v>0</v>
      </c>
      <c r="M383" s="47">
        <f t="shared" si="45"/>
        <v>5372</v>
      </c>
      <c r="N383" s="47">
        <f t="shared" si="46"/>
        <v>5372</v>
      </c>
      <c r="O383">
        <v>10</v>
      </c>
      <c r="P383">
        <v>2</v>
      </c>
      <c r="Q383">
        <v>8</v>
      </c>
      <c r="R383">
        <v>6</v>
      </c>
      <c r="S383">
        <v>2</v>
      </c>
      <c r="T383">
        <v>4</v>
      </c>
      <c r="U383" s="48">
        <f t="shared" si="55"/>
        <v>0.44</v>
      </c>
      <c r="V383" s="47">
        <f t="shared" si="56"/>
        <v>2363.68</v>
      </c>
      <c r="W383" s="47">
        <f t="shared" si="57"/>
        <v>7735.68</v>
      </c>
      <c r="X383" s="8"/>
    </row>
    <row r="384" spans="1:24" ht="12.75">
      <c r="A384" t="s">
        <v>1605</v>
      </c>
      <c r="B384" s="242" t="s">
        <v>826</v>
      </c>
      <c r="C384" s="217">
        <v>0</v>
      </c>
      <c r="D384" s="217">
        <v>0</v>
      </c>
      <c r="E384" s="217">
        <v>0</v>
      </c>
      <c r="F384" s="47">
        <f t="shared" si="44"/>
        <v>0</v>
      </c>
      <c r="G384" s="40">
        <v>0</v>
      </c>
      <c r="H384" s="40">
        <v>0</v>
      </c>
      <c r="I384" s="40">
        <v>80</v>
      </c>
      <c r="J384" s="40">
        <v>0</v>
      </c>
      <c r="K384" s="40">
        <v>0</v>
      </c>
      <c r="L384" s="40">
        <v>0</v>
      </c>
      <c r="M384" s="47">
        <f t="shared" si="45"/>
        <v>4500</v>
      </c>
      <c r="N384" s="47">
        <f t="shared" si="46"/>
        <v>4500</v>
      </c>
      <c r="O384">
        <v>10</v>
      </c>
      <c r="P384">
        <v>2</v>
      </c>
      <c r="Q384">
        <v>8</v>
      </c>
      <c r="R384">
        <v>6</v>
      </c>
      <c r="S384">
        <v>2</v>
      </c>
      <c r="T384">
        <v>4</v>
      </c>
      <c r="U384" s="48">
        <f t="shared" si="55"/>
        <v>0.44</v>
      </c>
      <c r="V384" s="47">
        <f t="shared" si="56"/>
        <v>1980</v>
      </c>
      <c r="W384" s="47">
        <f t="shared" si="57"/>
        <v>6480</v>
      </c>
      <c r="X384" s="8"/>
    </row>
    <row r="385" spans="1:25" ht="12.75">
      <c r="A385" t="s">
        <v>1606</v>
      </c>
      <c r="B385" t="s">
        <v>288</v>
      </c>
      <c r="C385" s="217">
        <v>0</v>
      </c>
      <c r="D385" s="217">
        <v>0</v>
      </c>
      <c r="E385" s="217">
        <v>0</v>
      </c>
      <c r="F385" s="47">
        <f t="shared" si="44"/>
        <v>0</v>
      </c>
      <c r="G385" s="40">
        <v>0</v>
      </c>
      <c r="H385" s="40">
        <v>0</v>
      </c>
      <c r="I385" s="40">
        <v>0</v>
      </c>
      <c r="J385" s="40">
        <v>0</v>
      </c>
      <c r="K385" s="40">
        <v>0</v>
      </c>
      <c r="L385" s="40">
        <v>0</v>
      </c>
      <c r="M385" s="47">
        <f t="shared" si="45"/>
        <v>0</v>
      </c>
      <c r="N385" s="47">
        <f t="shared" si="46"/>
        <v>0</v>
      </c>
      <c r="O385">
        <v>0</v>
      </c>
      <c r="P385">
        <v>0</v>
      </c>
      <c r="Q385">
        <v>0</v>
      </c>
      <c r="R385">
        <v>0</v>
      </c>
      <c r="S385">
        <v>0</v>
      </c>
      <c r="T385">
        <v>0</v>
      </c>
      <c r="U385" s="48">
        <f t="shared" si="55"/>
        <v>0</v>
      </c>
      <c r="V385" s="47">
        <f t="shared" si="56"/>
        <v>0</v>
      </c>
      <c r="W385" s="47">
        <f t="shared" si="57"/>
        <v>0</v>
      </c>
      <c r="X385" s="8"/>
      <c r="Y385" t="s">
        <v>1395</v>
      </c>
    </row>
    <row r="386" spans="1:24" ht="12.75">
      <c r="A386" t="s">
        <v>1607</v>
      </c>
      <c r="B386" s="242" t="s">
        <v>289</v>
      </c>
      <c r="C386" s="217">
        <v>1000</v>
      </c>
      <c r="D386" s="217">
        <v>0</v>
      </c>
      <c r="E386" s="217">
        <v>0</v>
      </c>
      <c r="F386" s="47">
        <f t="shared" si="44"/>
        <v>1000</v>
      </c>
      <c r="G386" s="40">
        <v>0</v>
      </c>
      <c r="H386" s="40">
        <v>0</v>
      </c>
      <c r="I386" s="40">
        <v>0</v>
      </c>
      <c r="J386" s="40">
        <v>0</v>
      </c>
      <c r="K386" s="40">
        <v>0</v>
      </c>
      <c r="L386" s="40">
        <v>80</v>
      </c>
      <c r="M386" s="47">
        <f t="shared" si="45"/>
        <v>8080</v>
      </c>
      <c r="N386" s="47">
        <f t="shared" si="46"/>
        <v>9080</v>
      </c>
      <c r="O386">
        <v>10</v>
      </c>
      <c r="P386">
        <v>2</v>
      </c>
      <c r="Q386">
        <v>8</v>
      </c>
      <c r="R386">
        <v>6</v>
      </c>
      <c r="S386">
        <v>2</v>
      </c>
      <c r="T386">
        <v>4</v>
      </c>
      <c r="U386" s="48">
        <f t="shared" si="55"/>
        <v>0.44</v>
      </c>
      <c r="V386" s="47">
        <f t="shared" si="56"/>
        <v>3995.2</v>
      </c>
      <c r="W386" s="47">
        <f t="shared" si="57"/>
        <v>13075.2</v>
      </c>
      <c r="X386" s="8"/>
    </row>
    <row r="387" spans="1:24" ht="12.75">
      <c r="A387" t="s">
        <v>1608</v>
      </c>
      <c r="B387" s="242" t="s">
        <v>290</v>
      </c>
      <c r="C387" s="217">
        <v>0</v>
      </c>
      <c r="D387" s="217">
        <v>0</v>
      </c>
      <c r="E387" s="217">
        <v>0</v>
      </c>
      <c r="F387" s="47">
        <f t="shared" si="44"/>
        <v>0</v>
      </c>
      <c r="G387" s="40">
        <v>0</v>
      </c>
      <c r="H387" s="40">
        <v>0</v>
      </c>
      <c r="I387" s="40">
        <v>0</v>
      </c>
      <c r="J387" s="40">
        <v>24</v>
      </c>
      <c r="K387" s="40">
        <v>0</v>
      </c>
      <c r="L387" s="40">
        <v>0</v>
      </c>
      <c r="M387" s="47">
        <f t="shared" si="45"/>
        <v>1260</v>
      </c>
      <c r="N387" s="47">
        <f t="shared" si="46"/>
        <v>1260</v>
      </c>
      <c r="O387">
        <v>10</v>
      </c>
      <c r="P387">
        <v>2</v>
      </c>
      <c r="Q387">
        <v>8</v>
      </c>
      <c r="R387">
        <v>6</v>
      </c>
      <c r="S387">
        <v>2</v>
      </c>
      <c r="T387">
        <v>4</v>
      </c>
      <c r="U387" s="48">
        <f t="shared" si="55"/>
        <v>0.44</v>
      </c>
      <c r="V387" s="47">
        <f t="shared" si="56"/>
        <v>554.4</v>
      </c>
      <c r="W387" s="47">
        <f t="shared" si="57"/>
        <v>1814.4</v>
      </c>
      <c r="X387" s="8"/>
    </row>
    <row r="388" spans="1:24" ht="12.75">
      <c r="A388" t="s">
        <v>1609</v>
      </c>
      <c r="B388" t="s">
        <v>291</v>
      </c>
      <c r="C388" s="217">
        <v>0</v>
      </c>
      <c r="D388" s="217">
        <v>0</v>
      </c>
      <c r="E388" s="217">
        <v>0</v>
      </c>
      <c r="F388" s="47">
        <f t="shared" si="44"/>
        <v>0</v>
      </c>
      <c r="G388" s="40">
        <v>0</v>
      </c>
      <c r="H388" s="40">
        <v>0</v>
      </c>
      <c r="I388" s="40">
        <v>0</v>
      </c>
      <c r="J388" s="40">
        <v>0</v>
      </c>
      <c r="K388" s="40">
        <v>0</v>
      </c>
      <c r="L388" s="40">
        <v>0</v>
      </c>
      <c r="M388" s="47">
        <f t="shared" si="45"/>
        <v>0</v>
      </c>
      <c r="N388" s="47">
        <f t="shared" si="46"/>
        <v>0</v>
      </c>
      <c r="O388">
        <v>0</v>
      </c>
      <c r="P388">
        <v>0</v>
      </c>
      <c r="Q388">
        <v>0</v>
      </c>
      <c r="R388">
        <v>0</v>
      </c>
      <c r="S388">
        <v>0</v>
      </c>
      <c r="T388">
        <v>0</v>
      </c>
      <c r="U388" s="48">
        <f t="shared" si="55"/>
        <v>0</v>
      </c>
      <c r="V388" s="47">
        <f t="shared" si="56"/>
        <v>0</v>
      </c>
      <c r="W388" s="47">
        <f t="shared" si="57"/>
        <v>0</v>
      </c>
      <c r="X388" s="8"/>
    </row>
    <row r="389" spans="1:24" ht="12.75">
      <c r="A389" t="s">
        <v>1610</v>
      </c>
      <c r="B389" s="242" t="s">
        <v>292</v>
      </c>
      <c r="C389" s="217">
        <v>0</v>
      </c>
      <c r="D389" s="217">
        <v>0</v>
      </c>
      <c r="E389" s="217">
        <v>0</v>
      </c>
      <c r="F389" s="47">
        <f t="shared" si="44"/>
        <v>0</v>
      </c>
      <c r="G389" s="40">
        <v>0</v>
      </c>
      <c r="H389" s="40">
        <v>0</v>
      </c>
      <c r="I389" s="40">
        <v>0</v>
      </c>
      <c r="J389" s="40">
        <v>24</v>
      </c>
      <c r="K389" s="40">
        <v>0</v>
      </c>
      <c r="L389" s="40">
        <v>0</v>
      </c>
      <c r="M389" s="47">
        <f t="shared" si="45"/>
        <v>1260</v>
      </c>
      <c r="N389" s="47">
        <f t="shared" si="46"/>
        <v>1260</v>
      </c>
      <c r="O389">
        <v>10</v>
      </c>
      <c r="P389">
        <v>2</v>
      </c>
      <c r="Q389">
        <v>8</v>
      </c>
      <c r="R389">
        <v>6</v>
      </c>
      <c r="S389">
        <v>2</v>
      </c>
      <c r="T389">
        <v>4</v>
      </c>
      <c r="U389" s="48">
        <f t="shared" si="55"/>
        <v>0.44</v>
      </c>
      <c r="V389" s="47">
        <f t="shared" si="56"/>
        <v>554.4</v>
      </c>
      <c r="W389" s="47">
        <f t="shared" si="57"/>
        <v>1814.4</v>
      </c>
      <c r="X389" s="8"/>
    </row>
    <row r="390" spans="1:24" ht="12.75">
      <c r="A390" t="s">
        <v>1611</v>
      </c>
      <c r="B390" s="242" t="s">
        <v>447</v>
      </c>
      <c r="C390" s="217">
        <v>0</v>
      </c>
      <c r="D390" s="217">
        <v>0</v>
      </c>
      <c r="E390" s="217">
        <v>0</v>
      </c>
      <c r="F390" s="47">
        <f t="shared" si="44"/>
        <v>0</v>
      </c>
      <c r="G390" s="40">
        <v>0</v>
      </c>
      <c r="H390" s="40">
        <v>0</v>
      </c>
      <c r="I390" s="40">
        <v>0</v>
      </c>
      <c r="J390" s="40">
        <v>16</v>
      </c>
      <c r="K390" s="40">
        <v>0</v>
      </c>
      <c r="L390" s="40">
        <v>0</v>
      </c>
      <c r="M390" s="47">
        <f t="shared" si="45"/>
        <v>840</v>
      </c>
      <c r="N390" s="47">
        <f t="shared" si="46"/>
        <v>840</v>
      </c>
      <c r="O390">
        <v>10</v>
      </c>
      <c r="P390">
        <v>2</v>
      </c>
      <c r="Q390">
        <v>8</v>
      </c>
      <c r="R390">
        <v>6</v>
      </c>
      <c r="S390">
        <v>2</v>
      </c>
      <c r="T390">
        <v>4</v>
      </c>
      <c r="U390" s="48">
        <f t="shared" si="55"/>
        <v>0.44</v>
      </c>
      <c r="V390" s="47">
        <f t="shared" si="56"/>
        <v>369.6</v>
      </c>
      <c r="W390" s="47">
        <f t="shared" si="57"/>
        <v>1209.6</v>
      </c>
      <c r="X390" s="8"/>
    </row>
    <row r="391" spans="1:25" ht="12.75">
      <c r="A391" t="s">
        <v>1013</v>
      </c>
      <c r="B391" t="s">
        <v>294</v>
      </c>
      <c r="C391" s="217">
        <v>0</v>
      </c>
      <c r="D391" s="217">
        <v>0</v>
      </c>
      <c r="E391" s="217">
        <v>0</v>
      </c>
      <c r="F391" s="47">
        <f t="shared" si="44"/>
        <v>0</v>
      </c>
      <c r="G391" s="40">
        <v>0</v>
      </c>
      <c r="H391" s="40">
        <v>0</v>
      </c>
      <c r="I391" s="40">
        <v>0</v>
      </c>
      <c r="J391" s="40">
        <v>0</v>
      </c>
      <c r="K391" s="40">
        <v>0</v>
      </c>
      <c r="L391" s="40">
        <v>0</v>
      </c>
      <c r="M391" s="47">
        <f t="shared" si="45"/>
        <v>0</v>
      </c>
      <c r="N391" s="47">
        <f t="shared" si="46"/>
        <v>0</v>
      </c>
      <c r="O391">
        <v>0</v>
      </c>
      <c r="P391">
        <v>0</v>
      </c>
      <c r="Q391">
        <v>0</v>
      </c>
      <c r="R391">
        <v>0</v>
      </c>
      <c r="S391">
        <v>0</v>
      </c>
      <c r="T391">
        <v>0</v>
      </c>
      <c r="U391" s="48"/>
      <c r="V391" s="47"/>
      <c r="W391" s="47"/>
      <c r="X391" s="8"/>
      <c r="Y391" t="s">
        <v>1396</v>
      </c>
    </row>
    <row r="392" spans="1:23" ht="12.75">
      <c r="A392" t="s">
        <v>1014</v>
      </c>
      <c r="B392" s="242" t="s">
        <v>287</v>
      </c>
      <c r="C392" s="217">
        <v>0</v>
      </c>
      <c r="D392" s="217">
        <v>0</v>
      </c>
      <c r="E392" s="217">
        <v>0</v>
      </c>
      <c r="F392" s="47">
        <f aca="true" t="shared" si="58" ref="F392:F455">SUM(C392:E392)</f>
        <v>0</v>
      </c>
      <c r="G392" s="40">
        <v>32</v>
      </c>
      <c r="H392" s="40">
        <v>0</v>
      </c>
      <c r="I392" s="40">
        <v>0</v>
      </c>
      <c r="J392" s="40">
        <v>0</v>
      </c>
      <c r="K392" s="40">
        <v>0</v>
      </c>
      <c r="L392" s="40">
        <v>0</v>
      </c>
      <c r="M392" s="47">
        <f aca="true" t="shared" si="59" ref="M392:M455">$G$3*G392+$H$3*H392+$I$3*I392+$J$3*J392+$K$3*K392+$L$3*L392</f>
        <v>2148.8</v>
      </c>
      <c r="N392" s="47">
        <f aca="true" t="shared" si="60" ref="N392:N455">M392+F392</f>
        <v>2148.8</v>
      </c>
      <c r="O392">
        <v>10</v>
      </c>
      <c r="P392">
        <v>2</v>
      </c>
      <c r="Q392">
        <v>8</v>
      </c>
      <c r="R392">
        <v>6</v>
      </c>
      <c r="S392">
        <v>2</v>
      </c>
      <c r="T392">
        <v>4</v>
      </c>
      <c r="U392" s="48">
        <f aca="true" t="shared" si="61" ref="U392:U397">((O392*P392)+Q392+(R392*S392)+T392)/100</f>
        <v>0.44</v>
      </c>
      <c r="V392" s="47">
        <f aca="true" t="shared" si="62" ref="V392:V397">+(F392+M392)*U392</f>
        <v>945.4720000000001</v>
      </c>
      <c r="W392" s="47">
        <f aca="true" t="shared" si="63" ref="W392:W397">+F392+M392+V392</f>
        <v>3094.2720000000004</v>
      </c>
    </row>
    <row r="393" spans="1:24" ht="12.75">
      <c r="A393" t="s">
        <v>1015</v>
      </c>
      <c r="B393" s="242" t="s">
        <v>826</v>
      </c>
      <c r="C393" s="217">
        <v>0</v>
      </c>
      <c r="D393" s="217">
        <v>0</v>
      </c>
      <c r="E393" s="217">
        <v>0</v>
      </c>
      <c r="F393" s="47">
        <f t="shared" si="58"/>
        <v>0</v>
      </c>
      <c r="G393" s="40">
        <v>0</v>
      </c>
      <c r="H393" s="40">
        <v>0</v>
      </c>
      <c r="I393" s="40">
        <v>16</v>
      </c>
      <c r="J393" s="40">
        <v>0</v>
      </c>
      <c r="K393" s="40">
        <v>0</v>
      </c>
      <c r="L393" s="40">
        <v>0</v>
      </c>
      <c r="M393" s="47">
        <f t="shared" si="59"/>
        <v>900</v>
      </c>
      <c r="N393" s="47">
        <f t="shared" si="60"/>
        <v>900</v>
      </c>
      <c r="O393">
        <v>10</v>
      </c>
      <c r="P393">
        <v>2</v>
      </c>
      <c r="Q393">
        <v>8</v>
      </c>
      <c r="R393">
        <v>6</v>
      </c>
      <c r="S393">
        <v>2</v>
      </c>
      <c r="T393">
        <v>4</v>
      </c>
      <c r="U393" s="48">
        <f t="shared" si="61"/>
        <v>0.44</v>
      </c>
      <c r="V393" s="47">
        <f t="shared" si="62"/>
        <v>396</v>
      </c>
      <c r="W393" s="47">
        <f t="shared" si="63"/>
        <v>1296</v>
      </c>
      <c r="X393" s="8"/>
    </row>
    <row r="394" spans="1:25" ht="12.75">
      <c r="A394" t="s">
        <v>1612</v>
      </c>
      <c r="B394" t="s">
        <v>295</v>
      </c>
      <c r="C394" s="217">
        <v>0</v>
      </c>
      <c r="D394" s="217">
        <v>0</v>
      </c>
      <c r="E394" s="217">
        <v>0</v>
      </c>
      <c r="F394" s="47">
        <f t="shared" si="58"/>
        <v>0</v>
      </c>
      <c r="G394" s="40">
        <v>0</v>
      </c>
      <c r="H394" s="40">
        <v>0</v>
      </c>
      <c r="I394" s="40">
        <v>0</v>
      </c>
      <c r="J394" s="40">
        <v>0</v>
      </c>
      <c r="K394" s="40">
        <v>0</v>
      </c>
      <c r="L394" s="40">
        <v>0</v>
      </c>
      <c r="M394" s="47">
        <f t="shared" si="59"/>
        <v>0</v>
      </c>
      <c r="N394" s="47">
        <f t="shared" si="60"/>
        <v>0</v>
      </c>
      <c r="O394">
        <v>0</v>
      </c>
      <c r="P394">
        <v>0</v>
      </c>
      <c r="Q394">
        <v>0</v>
      </c>
      <c r="R394">
        <v>0</v>
      </c>
      <c r="S394">
        <v>0</v>
      </c>
      <c r="T394">
        <v>0</v>
      </c>
      <c r="U394" s="48">
        <f t="shared" si="61"/>
        <v>0</v>
      </c>
      <c r="V394" s="47">
        <f t="shared" si="62"/>
        <v>0</v>
      </c>
      <c r="W394" s="47">
        <f t="shared" si="63"/>
        <v>0</v>
      </c>
      <c r="X394" s="8"/>
      <c r="Y394" t="s">
        <v>1397</v>
      </c>
    </row>
    <row r="395" spans="1:24" ht="12.75">
      <c r="A395" t="s">
        <v>1613</v>
      </c>
      <c r="B395" s="242" t="s">
        <v>296</v>
      </c>
      <c r="C395" s="217">
        <v>2000</v>
      </c>
      <c r="D395" s="217">
        <v>0</v>
      </c>
      <c r="E395" s="217">
        <v>0</v>
      </c>
      <c r="F395" s="47">
        <f t="shared" si="58"/>
        <v>2000</v>
      </c>
      <c r="G395" s="40">
        <v>0</v>
      </c>
      <c r="H395" s="40">
        <v>0</v>
      </c>
      <c r="I395" s="40">
        <v>0</v>
      </c>
      <c r="J395" s="40">
        <v>0</v>
      </c>
      <c r="K395" s="40">
        <v>0</v>
      </c>
      <c r="L395" s="40">
        <v>80</v>
      </c>
      <c r="M395" s="47">
        <f t="shared" si="59"/>
        <v>8080</v>
      </c>
      <c r="N395" s="47">
        <f t="shared" si="60"/>
        <v>10080</v>
      </c>
      <c r="O395">
        <v>10</v>
      </c>
      <c r="P395">
        <v>2</v>
      </c>
      <c r="Q395">
        <v>8</v>
      </c>
      <c r="R395">
        <v>6</v>
      </c>
      <c r="S395">
        <v>2</v>
      </c>
      <c r="T395">
        <v>4</v>
      </c>
      <c r="U395" s="48">
        <f t="shared" si="61"/>
        <v>0.44</v>
      </c>
      <c r="V395" s="47">
        <f t="shared" si="62"/>
        <v>4435.2</v>
      </c>
      <c r="W395" s="47">
        <f t="shared" si="63"/>
        <v>14515.2</v>
      </c>
      <c r="X395" s="8"/>
    </row>
    <row r="396" spans="1:24" ht="12.75">
      <c r="A396" t="s">
        <v>1614</v>
      </c>
      <c r="B396" s="242" t="s">
        <v>297</v>
      </c>
      <c r="C396" s="217">
        <v>0</v>
      </c>
      <c r="D396" s="217">
        <v>0</v>
      </c>
      <c r="E396" s="217">
        <v>0</v>
      </c>
      <c r="F396" s="47">
        <f t="shared" si="58"/>
        <v>0</v>
      </c>
      <c r="G396" s="40">
        <v>0</v>
      </c>
      <c r="H396" s="40">
        <v>0</v>
      </c>
      <c r="I396" s="40">
        <v>0</v>
      </c>
      <c r="J396" s="40">
        <v>40</v>
      </c>
      <c r="K396" s="40">
        <v>0</v>
      </c>
      <c r="L396" s="40">
        <v>0</v>
      </c>
      <c r="M396" s="47">
        <f t="shared" si="59"/>
        <v>2100</v>
      </c>
      <c r="N396" s="47">
        <f t="shared" si="60"/>
        <v>2100</v>
      </c>
      <c r="O396">
        <v>10</v>
      </c>
      <c r="P396">
        <v>2</v>
      </c>
      <c r="Q396">
        <v>8</v>
      </c>
      <c r="R396">
        <v>6</v>
      </c>
      <c r="S396">
        <v>2</v>
      </c>
      <c r="T396">
        <v>4</v>
      </c>
      <c r="U396" s="48">
        <f t="shared" si="61"/>
        <v>0.44</v>
      </c>
      <c r="V396" s="47">
        <f t="shared" si="62"/>
        <v>924</v>
      </c>
      <c r="W396" s="47">
        <f t="shared" si="63"/>
        <v>3024</v>
      </c>
      <c r="X396" s="8"/>
    </row>
    <row r="397" spans="1:24" ht="12.75">
      <c r="A397" t="s">
        <v>1615</v>
      </c>
      <c r="B397" s="242" t="s">
        <v>298</v>
      </c>
      <c r="C397" s="217">
        <v>0</v>
      </c>
      <c r="D397" s="217">
        <v>0</v>
      </c>
      <c r="E397" s="217">
        <v>0</v>
      </c>
      <c r="F397" s="47">
        <f t="shared" si="58"/>
        <v>0</v>
      </c>
      <c r="G397" s="40">
        <v>0</v>
      </c>
      <c r="H397" s="40">
        <v>0</v>
      </c>
      <c r="I397" s="40">
        <v>0</v>
      </c>
      <c r="J397" s="40">
        <v>24</v>
      </c>
      <c r="K397" s="40">
        <v>0</v>
      </c>
      <c r="L397" s="40">
        <v>0</v>
      </c>
      <c r="M397" s="47">
        <f t="shared" si="59"/>
        <v>1260</v>
      </c>
      <c r="N397" s="47">
        <f t="shared" si="60"/>
        <v>1260</v>
      </c>
      <c r="O397">
        <v>10</v>
      </c>
      <c r="P397">
        <v>2</v>
      </c>
      <c r="Q397">
        <v>8</v>
      </c>
      <c r="R397">
        <v>6</v>
      </c>
      <c r="S397">
        <v>2</v>
      </c>
      <c r="T397">
        <v>4</v>
      </c>
      <c r="U397" s="48">
        <f t="shared" si="61"/>
        <v>0.44</v>
      </c>
      <c r="V397" s="47">
        <f t="shared" si="62"/>
        <v>554.4</v>
      </c>
      <c r="W397" s="47">
        <f t="shared" si="63"/>
        <v>1814.4</v>
      </c>
      <c r="X397" s="8"/>
    </row>
    <row r="398" spans="1:24" ht="12.75">
      <c r="A398" t="s">
        <v>1616</v>
      </c>
      <c r="B398" s="242" t="s">
        <v>299</v>
      </c>
      <c r="C398" s="217">
        <v>0</v>
      </c>
      <c r="D398" s="217">
        <v>0</v>
      </c>
      <c r="E398" s="217">
        <v>0</v>
      </c>
      <c r="F398" s="47">
        <f t="shared" si="58"/>
        <v>0</v>
      </c>
      <c r="G398" s="40">
        <v>0</v>
      </c>
      <c r="H398" s="40">
        <v>0</v>
      </c>
      <c r="I398" s="40">
        <v>0</v>
      </c>
      <c r="J398" s="40">
        <v>16</v>
      </c>
      <c r="K398" s="40">
        <v>0</v>
      </c>
      <c r="L398" s="40">
        <v>0</v>
      </c>
      <c r="M398" s="47">
        <f t="shared" si="59"/>
        <v>840</v>
      </c>
      <c r="N398" s="47">
        <f t="shared" si="60"/>
        <v>840</v>
      </c>
      <c r="O398">
        <v>10</v>
      </c>
      <c r="P398">
        <v>2</v>
      </c>
      <c r="Q398">
        <v>8</v>
      </c>
      <c r="R398">
        <v>6</v>
      </c>
      <c r="S398">
        <v>2</v>
      </c>
      <c r="T398">
        <v>4</v>
      </c>
      <c r="U398" s="48">
        <f>((O398*P398)+Q398+(R398*S398)+T398)/100</f>
        <v>0.44</v>
      </c>
      <c r="V398" s="47">
        <f>+(F398+M398)*U398</f>
        <v>369.6</v>
      </c>
      <c r="W398" s="47">
        <f>+F398+M398+V398</f>
        <v>1209.6</v>
      </c>
      <c r="X398" s="8"/>
    </row>
    <row r="399" spans="1:25" ht="12.75">
      <c r="A399" s="325" t="s">
        <v>1016</v>
      </c>
      <c r="B399" s="240" t="s">
        <v>300</v>
      </c>
      <c r="C399" s="217">
        <v>0</v>
      </c>
      <c r="D399" s="217">
        <v>0</v>
      </c>
      <c r="E399" s="217">
        <v>0</v>
      </c>
      <c r="F399" s="47">
        <f t="shared" si="58"/>
        <v>0</v>
      </c>
      <c r="G399" s="40">
        <v>0</v>
      </c>
      <c r="H399" s="40">
        <v>0</v>
      </c>
      <c r="I399" s="40">
        <v>0</v>
      </c>
      <c r="J399" s="40">
        <v>0</v>
      </c>
      <c r="K399" s="40">
        <v>0</v>
      </c>
      <c r="L399" s="40">
        <v>0</v>
      </c>
      <c r="M399" s="47">
        <f t="shared" si="59"/>
        <v>0</v>
      </c>
      <c r="N399" s="47">
        <f t="shared" si="60"/>
        <v>0</v>
      </c>
      <c r="O399">
        <v>0</v>
      </c>
      <c r="P399">
        <v>0</v>
      </c>
      <c r="Q399">
        <v>0</v>
      </c>
      <c r="R399">
        <v>0</v>
      </c>
      <c r="S399">
        <v>0</v>
      </c>
      <c r="T399">
        <v>0</v>
      </c>
      <c r="U399" s="48">
        <f aca="true" t="shared" si="64" ref="U399:U412">((O399*P399)+Q399+(R399*S399)+T399)/100</f>
        <v>0</v>
      </c>
      <c r="V399" s="47">
        <f aca="true" t="shared" si="65" ref="V399:V412">+(F399+M399)*U399</f>
        <v>0</v>
      </c>
      <c r="W399" s="47">
        <f aca="true" t="shared" si="66" ref="W399:W412">+F399+M399+V399</f>
        <v>0</v>
      </c>
      <c r="Y399" t="s">
        <v>1398</v>
      </c>
    </row>
    <row r="400" spans="1:25" ht="12.75">
      <c r="A400" t="s">
        <v>1017</v>
      </c>
      <c r="B400" t="s">
        <v>301</v>
      </c>
      <c r="C400" s="217">
        <v>0</v>
      </c>
      <c r="D400" s="217">
        <v>0</v>
      </c>
      <c r="E400" s="217">
        <v>0</v>
      </c>
      <c r="F400" s="47">
        <f t="shared" si="58"/>
        <v>0</v>
      </c>
      <c r="G400" s="40">
        <v>0</v>
      </c>
      <c r="H400" s="40">
        <v>0</v>
      </c>
      <c r="I400" s="40">
        <v>0</v>
      </c>
      <c r="J400" s="40">
        <v>0</v>
      </c>
      <c r="K400" s="40">
        <v>0</v>
      </c>
      <c r="L400" s="40">
        <v>0</v>
      </c>
      <c r="M400" s="47">
        <f t="shared" si="59"/>
        <v>0</v>
      </c>
      <c r="N400" s="47">
        <f t="shared" si="60"/>
        <v>0</v>
      </c>
      <c r="O400">
        <v>0</v>
      </c>
      <c r="P400">
        <v>0</v>
      </c>
      <c r="Q400">
        <v>0</v>
      </c>
      <c r="R400">
        <v>0</v>
      </c>
      <c r="S400">
        <v>0</v>
      </c>
      <c r="T400">
        <v>0</v>
      </c>
      <c r="U400" s="48">
        <f t="shared" si="64"/>
        <v>0</v>
      </c>
      <c r="V400" s="47">
        <f t="shared" si="65"/>
        <v>0</v>
      </c>
      <c r="W400" s="47">
        <f t="shared" si="66"/>
        <v>0</v>
      </c>
      <c r="Y400" t="s">
        <v>1399</v>
      </c>
    </row>
    <row r="401" spans="1:23" ht="12.75">
      <c r="A401" t="s">
        <v>1018</v>
      </c>
      <c r="B401" s="242" t="s">
        <v>1775</v>
      </c>
      <c r="C401" s="217">
        <v>0</v>
      </c>
      <c r="D401" s="217">
        <v>0</v>
      </c>
      <c r="E401" s="217">
        <v>0</v>
      </c>
      <c r="F401" s="47">
        <f t="shared" si="58"/>
        <v>0</v>
      </c>
      <c r="G401" s="40">
        <v>40</v>
      </c>
      <c r="H401" s="40">
        <v>0</v>
      </c>
      <c r="I401" s="40">
        <v>0</v>
      </c>
      <c r="J401" s="40">
        <v>0</v>
      </c>
      <c r="K401" s="40">
        <v>0</v>
      </c>
      <c r="L401" s="40">
        <v>0</v>
      </c>
      <c r="M401" s="47">
        <f t="shared" si="59"/>
        <v>2686</v>
      </c>
      <c r="N401" s="47">
        <f t="shared" si="60"/>
        <v>2686</v>
      </c>
      <c r="O401">
        <v>10</v>
      </c>
      <c r="P401">
        <v>2</v>
      </c>
      <c r="Q401">
        <v>8</v>
      </c>
      <c r="R401">
        <v>6</v>
      </c>
      <c r="S401">
        <v>2</v>
      </c>
      <c r="T401">
        <v>4</v>
      </c>
      <c r="U401" s="48">
        <f t="shared" si="64"/>
        <v>0.44</v>
      </c>
      <c r="V401" s="47">
        <f t="shared" si="65"/>
        <v>1181.84</v>
      </c>
      <c r="W401" s="47">
        <f t="shared" si="66"/>
        <v>3867.84</v>
      </c>
    </row>
    <row r="402" spans="1:23" ht="12.75">
      <c r="A402" t="s">
        <v>1019</v>
      </c>
      <c r="B402" s="242" t="s">
        <v>826</v>
      </c>
      <c r="C402" s="217">
        <v>0</v>
      </c>
      <c r="D402" s="217">
        <v>0</v>
      </c>
      <c r="E402" s="217">
        <v>0</v>
      </c>
      <c r="F402" s="47">
        <f t="shared" si="58"/>
        <v>0</v>
      </c>
      <c r="G402" s="40">
        <v>0</v>
      </c>
      <c r="H402" s="40">
        <v>0</v>
      </c>
      <c r="I402" s="40">
        <v>40</v>
      </c>
      <c r="J402" s="40">
        <v>0</v>
      </c>
      <c r="K402" s="40">
        <v>0</v>
      </c>
      <c r="L402" s="40">
        <v>0</v>
      </c>
      <c r="M402" s="47">
        <f t="shared" si="59"/>
        <v>2250</v>
      </c>
      <c r="N402" s="47">
        <f t="shared" si="60"/>
        <v>2250</v>
      </c>
      <c r="O402">
        <v>10</v>
      </c>
      <c r="P402">
        <v>2</v>
      </c>
      <c r="Q402">
        <v>8</v>
      </c>
      <c r="R402">
        <v>6</v>
      </c>
      <c r="S402">
        <v>2</v>
      </c>
      <c r="T402">
        <v>4</v>
      </c>
      <c r="U402" s="48">
        <f t="shared" si="64"/>
        <v>0.44</v>
      </c>
      <c r="V402" s="47">
        <f t="shared" si="65"/>
        <v>990</v>
      </c>
      <c r="W402" s="47">
        <f t="shared" si="66"/>
        <v>3240</v>
      </c>
    </row>
    <row r="403" spans="1:25" ht="12.75">
      <c r="A403" t="s">
        <v>1020</v>
      </c>
      <c r="B403" t="s">
        <v>302</v>
      </c>
      <c r="C403" s="217">
        <v>0</v>
      </c>
      <c r="D403" s="217">
        <v>0</v>
      </c>
      <c r="E403" s="217">
        <v>0</v>
      </c>
      <c r="F403" s="47">
        <f t="shared" si="58"/>
        <v>0</v>
      </c>
      <c r="G403" s="40">
        <v>0</v>
      </c>
      <c r="H403" s="40">
        <v>0</v>
      </c>
      <c r="I403" s="40">
        <v>0</v>
      </c>
      <c r="J403" s="40">
        <v>0</v>
      </c>
      <c r="K403" s="40">
        <v>0</v>
      </c>
      <c r="L403" s="40">
        <v>0</v>
      </c>
      <c r="M403" s="47">
        <f t="shared" si="59"/>
        <v>0</v>
      </c>
      <c r="N403" s="47">
        <f t="shared" si="60"/>
        <v>0</v>
      </c>
      <c r="O403">
        <v>0</v>
      </c>
      <c r="P403">
        <v>0</v>
      </c>
      <c r="Q403">
        <v>0</v>
      </c>
      <c r="R403">
        <v>0</v>
      </c>
      <c r="S403">
        <v>0</v>
      </c>
      <c r="T403">
        <v>0</v>
      </c>
      <c r="U403" s="48">
        <f t="shared" si="64"/>
        <v>0</v>
      </c>
      <c r="V403" s="47">
        <f t="shared" si="65"/>
        <v>0</v>
      </c>
      <c r="W403" s="47">
        <f t="shared" si="66"/>
        <v>0</v>
      </c>
      <c r="Y403" t="s">
        <v>1400</v>
      </c>
    </row>
    <row r="404" spans="1:23" ht="12.75">
      <c r="A404" t="s">
        <v>1021</v>
      </c>
      <c r="B404" s="242" t="s">
        <v>1775</v>
      </c>
      <c r="C404" s="217">
        <v>0</v>
      </c>
      <c r="D404" s="217">
        <v>0</v>
      </c>
      <c r="E404" s="217">
        <v>0</v>
      </c>
      <c r="F404" s="47">
        <f t="shared" si="58"/>
        <v>0</v>
      </c>
      <c r="G404" s="40">
        <v>120</v>
      </c>
      <c r="H404" s="40">
        <v>0</v>
      </c>
      <c r="I404" s="40">
        <v>0</v>
      </c>
      <c r="J404" s="40">
        <v>0</v>
      </c>
      <c r="K404" s="40">
        <v>0</v>
      </c>
      <c r="L404" s="40">
        <v>0</v>
      </c>
      <c r="M404" s="47">
        <f t="shared" si="59"/>
        <v>8058.000000000001</v>
      </c>
      <c r="N404" s="47">
        <f t="shared" si="60"/>
        <v>8058.000000000001</v>
      </c>
      <c r="O404">
        <v>10</v>
      </c>
      <c r="P404">
        <v>2</v>
      </c>
      <c r="Q404">
        <v>8</v>
      </c>
      <c r="R404">
        <v>6</v>
      </c>
      <c r="S404">
        <v>2</v>
      </c>
      <c r="T404">
        <v>4</v>
      </c>
      <c r="U404" s="48">
        <f t="shared" si="64"/>
        <v>0.44</v>
      </c>
      <c r="V404" s="47">
        <f t="shared" si="65"/>
        <v>3545.5200000000004</v>
      </c>
      <c r="W404" s="47">
        <f t="shared" si="66"/>
        <v>11603.52</v>
      </c>
    </row>
    <row r="405" spans="1:23" ht="12.75">
      <c r="A405" t="s">
        <v>1022</v>
      </c>
      <c r="B405" s="242" t="s">
        <v>826</v>
      </c>
      <c r="C405" s="217">
        <v>0</v>
      </c>
      <c r="D405" s="217">
        <v>0</v>
      </c>
      <c r="E405" s="217">
        <v>0</v>
      </c>
      <c r="F405" s="47">
        <f t="shared" si="58"/>
        <v>0</v>
      </c>
      <c r="G405" s="40">
        <v>0</v>
      </c>
      <c r="H405" s="40">
        <v>0</v>
      </c>
      <c r="I405" s="40">
        <v>120</v>
      </c>
      <c r="J405" s="40">
        <v>0</v>
      </c>
      <c r="K405" s="40">
        <v>0</v>
      </c>
      <c r="L405" s="40">
        <v>0</v>
      </c>
      <c r="M405" s="47">
        <f t="shared" si="59"/>
        <v>6750</v>
      </c>
      <c r="N405" s="47">
        <f t="shared" si="60"/>
        <v>6750</v>
      </c>
      <c r="O405">
        <v>10</v>
      </c>
      <c r="P405">
        <v>2</v>
      </c>
      <c r="Q405">
        <v>8</v>
      </c>
      <c r="R405">
        <v>6</v>
      </c>
      <c r="S405">
        <v>2</v>
      </c>
      <c r="T405">
        <v>4</v>
      </c>
      <c r="U405" s="48">
        <f t="shared" si="64"/>
        <v>0.44</v>
      </c>
      <c r="V405" s="47">
        <f t="shared" si="65"/>
        <v>2970</v>
      </c>
      <c r="W405" s="47">
        <f t="shared" si="66"/>
        <v>9720</v>
      </c>
    </row>
    <row r="406" spans="1:25" ht="12.75">
      <c r="A406" t="s">
        <v>1023</v>
      </c>
      <c r="B406" t="s">
        <v>303</v>
      </c>
      <c r="C406" s="217">
        <v>0</v>
      </c>
      <c r="D406" s="217">
        <v>0</v>
      </c>
      <c r="E406" s="217">
        <v>0</v>
      </c>
      <c r="F406" s="47">
        <f t="shared" si="58"/>
        <v>0</v>
      </c>
      <c r="G406" s="40">
        <v>0</v>
      </c>
      <c r="H406" s="40">
        <v>0</v>
      </c>
      <c r="I406" s="40">
        <v>0</v>
      </c>
      <c r="J406" s="40">
        <v>0</v>
      </c>
      <c r="K406" s="40">
        <v>0</v>
      </c>
      <c r="L406" s="40">
        <v>0</v>
      </c>
      <c r="M406" s="47">
        <f t="shared" si="59"/>
        <v>0</v>
      </c>
      <c r="N406" s="47">
        <f t="shared" si="60"/>
        <v>0</v>
      </c>
      <c r="O406">
        <v>0</v>
      </c>
      <c r="P406">
        <v>0</v>
      </c>
      <c r="Q406">
        <v>0</v>
      </c>
      <c r="R406">
        <v>0</v>
      </c>
      <c r="S406">
        <v>0</v>
      </c>
      <c r="T406">
        <v>0</v>
      </c>
      <c r="U406" s="48">
        <f t="shared" si="64"/>
        <v>0</v>
      </c>
      <c r="V406" s="47">
        <f t="shared" si="65"/>
        <v>0</v>
      </c>
      <c r="W406" s="47">
        <f t="shared" si="66"/>
        <v>0</v>
      </c>
      <c r="Y406" t="s">
        <v>1401</v>
      </c>
    </row>
    <row r="407" spans="1:23" ht="12.75">
      <c r="A407" t="s">
        <v>1024</v>
      </c>
      <c r="B407" s="242" t="s">
        <v>304</v>
      </c>
      <c r="C407" s="217">
        <v>500</v>
      </c>
      <c r="D407" s="217">
        <v>0</v>
      </c>
      <c r="E407" s="217">
        <v>0</v>
      </c>
      <c r="F407" s="47">
        <f t="shared" si="58"/>
        <v>500</v>
      </c>
      <c r="G407" s="40">
        <v>0</v>
      </c>
      <c r="H407" s="40">
        <v>0</v>
      </c>
      <c r="I407" s="40">
        <v>0</v>
      </c>
      <c r="J407" s="40">
        <v>0</v>
      </c>
      <c r="K407" s="40">
        <v>0</v>
      </c>
      <c r="L407" s="40">
        <v>40</v>
      </c>
      <c r="M407" s="47">
        <f t="shared" si="59"/>
        <v>4040</v>
      </c>
      <c r="N407" s="47">
        <f t="shared" si="60"/>
        <v>4540</v>
      </c>
      <c r="O407">
        <v>10</v>
      </c>
      <c r="P407">
        <v>2</v>
      </c>
      <c r="Q407">
        <v>8</v>
      </c>
      <c r="R407">
        <v>6</v>
      </c>
      <c r="S407">
        <v>2</v>
      </c>
      <c r="T407">
        <v>4</v>
      </c>
      <c r="U407" s="48">
        <f t="shared" si="64"/>
        <v>0.44</v>
      </c>
      <c r="V407" s="47">
        <f t="shared" si="65"/>
        <v>1997.6</v>
      </c>
      <c r="W407" s="47">
        <f t="shared" si="66"/>
        <v>6537.6</v>
      </c>
    </row>
    <row r="408" spans="1:23" ht="12.75">
      <c r="A408" t="s">
        <v>1025</v>
      </c>
      <c r="B408" s="242" t="s">
        <v>304</v>
      </c>
      <c r="C408" s="217">
        <v>500</v>
      </c>
      <c r="D408" s="217">
        <v>0</v>
      </c>
      <c r="E408" s="217">
        <v>0</v>
      </c>
      <c r="F408" s="47">
        <f t="shared" si="58"/>
        <v>500</v>
      </c>
      <c r="G408" s="40">
        <v>0</v>
      </c>
      <c r="H408" s="40">
        <v>0</v>
      </c>
      <c r="I408" s="40">
        <v>0</v>
      </c>
      <c r="J408" s="40">
        <v>80</v>
      </c>
      <c r="K408" s="40">
        <v>0</v>
      </c>
      <c r="L408" s="40">
        <v>0</v>
      </c>
      <c r="M408" s="47">
        <f t="shared" si="59"/>
        <v>4200</v>
      </c>
      <c r="N408" s="47">
        <f t="shared" si="60"/>
        <v>4700</v>
      </c>
      <c r="O408">
        <v>10</v>
      </c>
      <c r="P408">
        <v>2</v>
      </c>
      <c r="Q408">
        <v>8</v>
      </c>
      <c r="R408">
        <v>6</v>
      </c>
      <c r="S408">
        <v>2</v>
      </c>
      <c r="T408">
        <v>4</v>
      </c>
      <c r="U408" s="48">
        <f t="shared" si="64"/>
        <v>0.44</v>
      </c>
      <c r="V408" s="47">
        <f t="shared" si="65"/>
        <v>2068</v>
      </c>
      <c r="W408" s="47">
        <f t="shared" si="66"/>
        <v>6768</v>
      </c>
    </row>
    <row r="409" spans="1:23" ht="12.75">
      <c r="A409" t="s">
        <v>1026</v>
      </c>
      <c r="B409" s="242" t="s">
        <v>304</v>
      </c>
      <c r="C409" s="217">
        <v>0</v>
      </c>
      <c r="D409" s="217">
        <v>0</v>
      </c>
      <c r="E409" s="217">
        <v>0</v>
      </c>
      <c r="F409" s="47">
        <f t="shared" si="58"/>
        <v>0</v>
      </c>
      <c r="G409" s="40">
        <v>0</v>
      </c>
      <c r="H409" s="40">
        <v>0</v>
      </c>
      <c r="I409" s="40">
        <v>0</v>
      </c>
      <c r="J409" s="40">
        <v>40</v>
      </c>
      <c r="K409" s="40">
        <v>0</v>
      </c>
      <c r="L409" s="40">
        <v>0</v>
      </c>
      <c r="M409" s="47">
        <f t="shared" si="59"/>
        <v>2100</v>
      </c>
      <c r="N409" s="47">
        <f t="shared" si="60"/>
        <v>2100</v>
      </c>
      <c r="O409">
        <v>10</v>
      </c>
      <c r="P409">
        <v>2</v>
      </c>
      <c r="Q409">
        <v>8</v>
      </c>
      <c r="R409">
        <v>6</v>
      </c>
      <c r="S409">
        <v>2</v>
      </c>
      <c r="T409">
        <v>4</v>
      </c>
      <c r="U409" s="48">
        <f t="shared" si="64"/>
        <v>0.44</v>
      </c>
      <c r="V409" s="47">
        <f t="shared" si="65"/>
        <v>924</v>
      </c>
      <c r="W409" s="47">
        <f t="shared" si="66"/>
        <v>3024</v>
      </c>
    </row>
    <row r="410" spans="1:23" ht="12.75">
      <c r="A410" t="s">
        <v>1027</v>
      </c>
      <c r="B410" s="242" t="s">
        <v>305</v>
      </c>
      <c r="C410" s="217">
        <v>0</v>
      </c>
      <c r="D410" s="217">
        <v>0</v>
      </c>
      <c r="E410" s="217">
        <v>0</v>
      </c>
      <c r="F410" s="47">
        <f t="shared" si="58"/>
        <v>0</v>
      </c>
      <c r="G410" s="40">
        <v>24</v>
      </c>
      <c r="H410" s="40">
        <v>0</v>
      </c>
      <c r="I410" s="40">
        <v>0</v>
      </c>
      <c r="J410" s="40">
        <v>0</v>
      </c>
      <c r="K410" s="40">
        <v>0</v>
      </c>
      <c r="L410" s="40">
        <v>0</v>
      </c>
      <c r="M410" s="47">
        <f t="shared" si="59"/>
        <v>1611.6000000000001</v>
      </c>
      <c r="N410" s="47">
        <f t="shared" si="60"/>
        <v>1611.6000000000001</v>
      </c>
      <c r="O410">
        <v>10</v>
      </c>
      <c r="P410">
        <v>2</v>
      </c>
      <c r="Q410">
        <v>8</v>
      </c>
      <c r="R410">
        <v>6</v>
      </c>
      <c r="S410">
        <v>2</v>
      </c>
      <c r="T410">
        <v>4</v>
      </c>
      <c r="U410" s="48">
        <f t="shared" si="64"/>
        <v>0.44</v>
      </c>
      <c r="V410" s="47">
        <f t="shared" si="65"/>
        <v>709.104</v>
      </c>
      <c r="W410" s="47">
        <f t="shared" si="66"/>
        <v>2320.704</v>
      </c>
    </row>
    <row r="411" spans="1:23" ht="12.75">
      <c r="A411" t="s">
        <v>1028</v>
      </c>
      <c r="B411" s="242" t="s">
        <v>306</v>
      </c>
      <c r="C411" s="217">
        <v>0</v>
      </c>
      <c r="D411" s="217">
        <v>0</v>
      </c>
      <c r="E411" s="217">
        <v>0</v>
      </c>
      <c r="F411" s="47">
        <f t="shared" si="58"/>
        <v>0</v>
      </c>
      <c r="G411" s="40">
        <v>0</v>
      </c>
      <c r="H411" s="40">
        <v>0</v>
      </c>
      <c r="I411" s="40">
        <v>0</v>
      </c>
      <c r="J411" s="40">
        <v>16</v>
      </c>
      <c r="K411" s="40">
        <v>0</v>
      </c>
      <c r="L411" s="40">
        <v>0</v>
      </c>
      <c r="M411" s="47">
        <f t="shared" si="59"/>
        <v>840</v>
      </c>
      <c r="N411" s="47">
        <f t="shared" si="60"/>
        <v>840</v>
      </c>
      <c r="O411">
        <v>10</v>
      </c>
      <c r="P411">
        <v>2</v>
      </c>
      <c r="Q411">
        <v>8</v>
      </c>
      <c r="R411">
        <v>6</v>
      </c>
      <c r="S411">
        <v>2</v>
      </c>
      <c r="T411">
        <v>4</v>
      </c>
      <c r="U411" s="48">
        <f t="shared" si="64"/>
        <v>0.44</v>
      </c>
      <c r="V411" s="47">
        <f t="shared" si="65"/>
        <v>369.6</v>
      </c>
      <c r="W411" s="47">
        <f t="shared" si="66"/>
        <v>1209.6</v>
      </c>
    </row>
    <row r="412" spans="1:25" ht="12.75">
      <c r="A412" t="s">
        <v>1029</v>
      </c>
      <c r="B412" t="s">
        <v>307</v>
      </c>
      <c r="C412" s="217">
        <v>0</v>
      </c>
      <c r="D412" s="217">
        <v>0</v>
      </c>
      <c r="E412" s="217">
        <v>0</v>
      </c>
      <c r="F412" s="47">
        <f t="shared" si="58"/>
        <v>0</v>
      </c>
      <c r="G412" s="40">
        <v>0</v>
      </c>
      <c r="H412" s="40">
        <v>0</v>
      </c>
      <c r="I412" s="40">
        <v>0</v>
      </c>
      <c r="J412" s="40">
        <v>0</v>
      </c>
      <c r="K412" s="40">
        <v>0</v>
      </c>
      <c r="L412" s="40">
        <v>0</v>
      </c>
      <c r="M412" s="47">
        <f t="shared" si="59"/>
        <v>0</v>
      </c>
      <c r="N412" s="47">
        <f t="shared" si="60"/>
        <v>0</v>
      </c>
      <c r="O412">
        <v>0</v>
      </c>
      <c r="P412">
        <v>0</v>
      </c>
      <c r="Q412">
        <v>0</v>
      </c>
      <c r="R412">
        <v>0</v>
      </c>
      <c r="S412">
        <v>0</v>
      </c>
      <c r="T412">
        <v>0</v>
      </c>
      <c r="U412" s="48">
        <f t="shared" si="64"/>
        <v>0</v>
      </c>
      <c r="V412" s="47">
        <f t="shared" si="65"/>
        <v>0</v>
      </c>
      <c r="W412" s="47">
        <f t="shared" si="66"/>
        <v>0</v>
      </c>
      <c r="Y412" t="s">
        <v>1402</v>
      </c>
    </row>
    <row r="413" spans="1:23" ht="12.75">
      <c r="A413" t="s">
        <v>1030</v>
      </c>
      <c r="B413" s="242" t="s">
        <v>1775</v>
      </c>
      <c r="C413" s="217">
        <v>0</v>
      </c>
      <c r="D413" s="217">
        <v>0</v>
      </c>
      <c r="E413" s="217">
        <v>0</v>
      </c>
      <c r="F413" s="47">
        <f t="shared" si="58"/>
        <v>0</v>
      </c>
      <c r="G413" s="40">
        <v>40</v>
      </c>
      <c r="H413" s="40">
        <v>0</v>
      </c>
      <c r="I413" s="40">
        <v>0</v>
      </c>
      <c r="J413" s="40">
        <v>0</v>
      </c>
      <c r="K413" s="40">
        <v>0</v>
      </c>
      <c r="L413" s="40">
        <v>0</v>
      </c>
      <c r="M413" s="47">
        <f t="shared" si="59"/>
        <v>2686</v>
      </c>
      <c r="N413" s="47">
        <f t="shared" si="60"/>
        <v>2686</v>
      </c>
      <c r="O413">
        <v>10</v>
      </c>
      <c r="P413">
        <v>2</v>
      </c>
      <c r="Q413">
        <v>8</v>
      </c>
      <c r="R413">
        <v>6</v>
      </c>
      <c r="S413">
        <v>2</v>
      </c>
      <c r="T413">
        <v>4</v>
      </c>
      <c r="U413" s="48">
        <f aca="true" t="shared" si="67" ref="U413:U429">((O413*P413)+Q413+(R413*S413)+T413)/100</f>
        <v>0.44</v>
      </c>
      <c r="V413" s="47">
        <f aca="true" t="shared" si="68" ref="V413:V429">+(F413+M413)*U413</f>
        <v>1181.84</v>
      </c>
      <c r="W413" s="47">
        <f aca="true" t="shared" si="69" ref="W413:W429">+F413+M413+V413</f>
        <v>3867.84</v>
      </c>
    </row>
    <row r="414" spans="1:23" ht="12.75">
      <c r="A414" t="s">
        <v>1031</v>
      </c>
      <c r="B414" s="242" t="s">
        <v>826</v>
      </c>
      <c r="C414" s="217">
        <v>0</v>
      </c>
      <c r="D414" s="217">
        <v>0</v>
      </c>
      <c r="E414" s="217">
        <v>0</v>
      </c>
      <c r="F414" s="47">
        <f t="shared" si="58"/>
        <v>0</v>
      </c>
      <c r="G414" s="40">
        <v>0</v>
      </c>
      <c r="H414" s="40">
        <v>0</v>
      </c>
      <c r="I414" s="40">
        <v>40</v>
      </c>
      <c r="J414" s="40">
        <v>0</v>
      </c>
      <c r="K414" s="40">
        <v>0</v>
      </c>
      <c r="L414" s="40">
        <v>0</v>
      </c>
      <c r="M414" s="47">
        <f t="shared" si="59"/>
        <v>2250</v>
      </c>
      <c r="N414" s="47">
        <f t="shared" si="60"/>
        <v>2250</v>
      </c>
      <c r="O414">
        <v>10</v>
      </c>
      <c r="P414">
        <v>2</v>
      </c>
      <c r="Q414">
        <v>8</v>
      </c>
      <c r="R414">
        <v>6</v>
      </c>
      <c r="S414">
        <v>2</v>
      </c>
      <c r="T414">
        <v>4</v>
      </c>
      <c r="U414" s="48">
        <f t="shared" si="67"/>
        <v>0.44</v>
      </c>
      <c r="V414" s="47">
        <f t="shared" si="68"/>
        <v>990</v>
      </c>
      <c r="W414" s="47">
        <f t="shared" si="69"/>
        <v>3240</v>
      </c>
    </row>
    <row r="415" spans="1:23" ht="12.75">
      <c r="A415" t="s">
        <v>1032</v>
      </c>
      <c r="B415" t="s">
        <v>308</v>
      </c>
      <c r="C415" s="217">
        <v>0</v>
      </c>
      <c r="D415" s="217">
        <v>0</v>
      </c>
      <c r="E415" s="217">
        <v>0</v>
      </c>
      <c r="F415" s="47">
        <f t="shared" si="58"/>
        <v>0</v>
      </c>
      <c r="G415" s="40">
        <v>0</v>
      </c>
      <c r="H415" s="40">
        <v>0</v>
      </c>
      <c r="I415" s="40">
        <v>0</v>
      </c>
      <c r="J415" s="40">
        <v>0</v>
      </c>
      <c r="K415" s="40">
        <v>0</v>
      </c>
      <c r="L415" s="40">
        <v>0</v>
      </c>
      <c r="M415" s="47">
        <f t="shared" si="59"/>
        <v>0</v>
      </c>
      <c r="N415" s="47">
        <f t="shared" si="60"/>
        <v>0</v>
      </c>
      <c r="O415">
        <v>0</v>
      </c>
      <c r="P415">
        <v>0</v>
      </c>
      <c r="Q415">
        <v>0</v>
      </c>
      <c r="R415">
        <v>0</v>
      </c>
      <c r="S415">
        <v>0</v>
      </c>
      <c r="T415">
        <v>0</v>
      </c>
      <c r="U415" s="48">
        <f t="shared" si="67"/>
        <v>0</v>
      </c>
      <c r="V415" s="47">
        <f t="shared" si="68"/>
        <v>0</v>
      </c>
      <c r="W415" s="47">
        <f t="shared" si="69"/>
        <v>0</v>
      </c>
    </row>
    <row r="416" spans="1:23" ht="12.75">
      <c r="A416" t="s">
        <v>1033</v>
      </c>
      <c r="B416" s="242" t="s">
        <v>464</v>
      </c>
      <c r="C416" s="217">
        <v>5000</v>
      </c>
      <c r="D416" s="217">
        <v>0</v>
      </c>
      <c r="E416" s="217">
        <v>0</v>
      </c>
      <c r="F416" s="47">
        <f t="shared" si="58"/>
        <v>5000</v>
      </c>
      <c r="G416" s="40">
        <v>0</v>
      </c>
      <c r="H416" s="40">
        <v>0</v>
      </c>
      <c r="I416" s="40">
        <v>0</v>
      </c>
      <c r="J416" s="40">
        <v>0</v>
      </c>
      <c r="K416" s="40">
        <v>0</v>
      </c>
      <c r="L416" s="40">
        <v>120</v>
      </c>
      <c r="M416" s="47">
        <f t="shared" si="59"/>
        <v>12120</v>
      </c>
      <c r="N416" s="47">
        <f t="shared" si="60"/>
        <v>17120</v>
      </c>
      <c r="O416">
        <v>10</v>
      </c>
      <c r="P416">
        <v>2</v>
      </c>
      <c r="Q416">
        <v>8</v>
      </c>
      <c r="R416">
        <v>6</v>
      </c>
      <c r="S416">
        <v>2</v>
      </c>
      <c r="T416">
        <v>4</v>
      </c>
      <c r="U416" s="48">
        <f t="shared" si="67"/>
        <v>0.44</v>
      </c>
      <c r="V416" s="47">
        <f t="shared" si="68"/>
        <v>7532.8</v>
      </c>
      <c r="W416" s="47">
        <f t="shared" si="69"/>
        <v>24652.8</v>
      </c>
    </row>
    <row r="417" spans="1:23" ht="12.75">
      <c r="A417" t="s">
        <v>1034</v>
      </c>
      <c r="B417" s="242" t="s">
        <v>1863</v>
      </c>
      <c r="C417" s="217">
        <v>0</v>
      </c>
      <c r="D417" s="217">
        <v>0</v>
      </c>
      <c r="E417" s="217">
        <v>0</v>
      </c>
      <c r="F417" s="47">
        <f t="shared" si="58"/>
        <v>0</v>
      </c>
      <c r="G417" s="40">
        <v>0</v>
      </c>
      <c r="H417" s="40">
        <v>0</v>
      </c>
      <c r="I417" s="40">
        <v>0</v>
      </c>
      <c r="J417" s="40">
        <v>40</v>
      </c>
      <c r="K417" s="40">
        <v>0</v>
      </c>
      <c r="L417" s="40">
        <v>0</v>
      </c>
      <c r="M417" s="47">
        <f t="shared" si="59"/>
        <v>2100</v>
      </c>
      <c r="N417" s="47">
        <f t="shared" si="60"/>
        <v>2100</v>
      </c>
      <c r="O417">
        <v>10</v>
      </c>
      <c r="P417">
        <v>2</v>
      </c>
      <c r="Q417">
        <v>8</v>
      </c>
      <c r="R417">
        <v>6</v>
      </c>
      <c r="S417">
        <v>2</v>
      </c>
      <c r="T417">
        <v>4</v>
      </c>
      <c r="U417" s="48">
        <f t="shared" si="67"/>
        <v>0.44</v>
      </c>
      <c r="V417" s="47">
        <f t="shared" si="68"/>
        <v>924</v>
      </c>
      <c r="W417" s="47">
        <f t="shared" si="69"/>
        <v>3024</v>
      </c>
    </row>
    <row r="418" spans="1:25" ht="12.75">
      <c r="A418" s="325" t="s">
        <v>1035</v>
      </c>
      <c r="B418" s="240" t="s">
        <v>309</v>
      </c>
      <c r="C418" s="217">
        <v>0</v>
      </c>
      <c r="D418" s="217">
        <v>0</v>
      </c>
      <c r="E418" s="217">
        <v>0</v>
      </c>
      <c r="F418" s="47">
        <f t="shared" si="58"/>
        <v>0</v>
      </c>
      <c r="G418" s="40">
        <v>0</v>
      </c>
      <c r="H418" s="40">
        <v>0</v>
      </c>
      <c r="I418" s="40">
        <v>0</v>
      </c>
      <c r="J418" s="40">
        <v>0</v>
      </c>
      <c r="K418" s="40">
        <v>0</v>
      </c>
      <c r="L418" s="40">
        <v>0</v>
      </c>
      <c r="M418" s="47">
        <f t="shared" si="59"/>
        <v>0</v>
      </c>
      <c r="N418" s="47">
        <f t="shared" si="60"/>
        <v>0</v>
      </c>
      <c r="O418">
        <v>0</v>
      </c>
      <c r="P418">
        <v>0</v>
      </c>
      <c r="Q418">
        <v>0</v>
      </c>
      <c r="R418">
        <v>0</v>
      </c>
      <c r="S418">
        <v>0</v>
      </c>
      <c r="T418">
        <v>0</v>
      </c>
      <c r="U418" s="48">
        <f t="shared" si="67"/>
        <v>0</v>
      </c>
      <c r="V418" s="47">
        <f t="shared" si="68"/>
        <v>0</v>
      </c>
      <c r="W418" s="47">
        <f t="shared" si="69"/>
        <v>0</v>
      </c>
      <c r="Y418" t="s">
        <v>1403</v>
      </c>
    </row>
    <row r="419" spans="1:23" ht="12.75">
      <c r="A419" t="s">
        <v>1036</v>
      </c>
      <c r="B419" s="242" t="s">
        <v>1775</v>
      </c>
      <c r="C419" s="217">
        <v>0</v>
      </c>
      <c r="D419" s="217">
        <v>0</v>
      </c>
      <c r="E419" s="217">
        <v>0</v>
      </c>
      <c r="F419" s="47">
        <f t="shared" si="58"/>
        <v>0</v>
      </c>
      <c r="G419" s="40">
        <v>40</v>
      </c>
      <c r="H419" s="40">
        <v>0</v>
      </c>
      <c r="I419" s="40">
        <v>0</v>
      </c>
      <c r="J419" s="40">
        <v>0</v>
      </c>
      <c r="K419" s="40">
        <v>0</v>
      </c>
      <c r="L419" s="40">
        <v>0</v>
      </c>
      <c r="M419" s="47">
        <f t="shared" si="59"/>
        <v>2686</v>
      </c>
      <c r="N419" s="47">
        <f t="shared" si="60"/>
        <v>2686</v>
      </c>
      <c r="O419">
        <v>2</v>
      </c>
      <c r="P419">
        <v>2</v>
      </c>
      <c r="Q419">
        <v>8</v>
      </c>
      <c r="R419">
        <v>4</v>
      </c>
      <c r="S419">
        <v>2</v>
      </c>
      <c r="T419">
        <v>2</v>
      </c>
      <c r="U419" s="48">
        <f t="shared" si="67"/>
        <v>0.22</v>
      </c>
      <c r="V419" s="47">
        <f t="shared" si="68"/>
        <v>590.92</v>
      </c>
      <c r="W419" s="47">
        <f t="shared" si="69"/>
        <v>3276.92</v>
      </c>
    </row>
    <row r="420" spans="1:23" ht="12.75">
      <c r="A420" t="s">
        <v>1037</v>
      </c>
      <c r="B420" s="242" t="s">
        <v>826</v>
      </c>
      <c r="C420" s="217">
        <v>0</v>
      </c>
      <c r="D420" s="217">
        <v>0</v>
      </c>
      <c r="E420" s="217">
        <v>0</v>
      </c>
      <c r="F420" s="47">
        <f t="shared" si="58"/>
        <v>0</v>
      </c>
      <c r="G420" s="40">
        <v>0</v>
      </c>
      <c r="H420" s="40">
        <v>0</v>
      </c>
      <c r="I420" s="40">
        <v>144</v>
      </c>
      <c r="J420" s="40">
        <v>0</v>
      </c>
      <c r="K420" s="40">
        <v>0</v>
      </c>
      <c r="L420" s="40">
        <v>0</v>
      </c>
      <c r="M420" s="47">
        <f t="shared" si="59"/>
        <v>8100</v>
      </c>
      <c r="N420" s="47">
        <f t="shared" si="60"/>
        <v>8100</v>
      </c>
      <c r="O420">
        <v>2</v>
      </c>
      <c r="P420">
        <v>2</v>
      </c>
      <c r="Q420">
        <v>8</v>
      </c>
      <c r="R420">
        <v>4</v>
      </c>
      <c r="S420">
        <v>2</v>
      </c>
      <c r="T420">
        <v>2</v>
      </c>
      <c r="U420" s="48">
        <f t="shared" si="67"/>
        <v>0.22</v>
      </c>
      <c r="V420" s="47">
        <f t="shared" si="68"/>
        <v>1782</v>
      </c>
      <c r="W420" s="47">
        <f t="shared" si="69"/>
        <v>9882</v>
      </c>
    </row>
    <row r="421" spans="1:23" ht="12.75">
      <c r="A421" t="s">
        <v>1038</v>
      </c>
      <c r="B421" t="s">
        <v>310</v>
      </c>
      <c r="C421" s="217">
        <v>0</v>
      </c>
      <c r="D421" s="217">
        <v>0</v>
      </c>
      <c r="E421" s="217">
        <v>0</v>
      </c>
      <c r="F421" s="47">
        <f t="shared" si="58"/>
        <v>0</v>
      </c>
      <c r="G421" s="40">
        <v>0</v>
      </c>
      <c r="H421" s="40">
        <v>0</v>
      </c>
      <c r="I421" s="40">
        <v>0</v>
      </c>
      <c r="J421" s="40">
        <v>0</v>
      </c>
      <c r="K421" s="40">
        <v>0</v>
      </c>
      <c r="L421" s="40">
        <v>0</v>
      </c>
      <c r="M421" s="47">
        <f t="shared" si="59"/>
        <v>0</v>
      </c>
      <c r="N421" s="47">
        <f t="shared" si="60"/>
        <v>0</v>
      </c>
      <c r="O421">
        <v>0</v>
      </c>
      <c r="P421">
        <v>0</v>
      </c>
      <c r="Q421">
        <v>0</v>
      </c>
      <c r="R421">
        <v>0</v>
      </c>
      <c r="S421">
        <v>0</v>
      </c>
      <c r="T421">
        <v>0</v>
      </c>
      <c r="U421" s="48">
        <f t="shared" si="67"/>
        <v>0</v>
      </c>
      <c r="V421" s="47">
        <f t="shared" si="68"/>
        <v>0</v>
      </c>
      <c r="W421" s="47">
        <f t="shared" si="69"/>
        <v>0</v>
      </c>
    </row>
    <row r="422" spans="1:23" ht="12.75">
      <c r="A422" t="s">
        <v>1039</v>
      </c>
      <c r="B422" s="242" t="s">
        <v>311</v>
      </c>
      <c r="C422" s="217">
        <v>500</v>
      </c>
      <c r="D422" s="217">
        <v>0</v>
      </c>
      <c r="E422" s="217">
        <v>0</v>
      </c>
      <c r="F422" s="47">
        <f t="shared" si="58"/>
        <v>500</v>
      </c>
      <c r="G422" s="40">
        <v>0</v>
      </c>
      <c r="H422" s="40">
        <v>0</v>
      </c>
      <c r="I422" s="40">
        <v>0</v>
      </c>
      <c r="J422" s="40">
        <v>0</v>
      </c>
      <c r="K422" s="40">
        <v>0</v>
      </c>
      <c r="L422" s="40">
        <v>32</v>
      </c>
      <c r="M422" s="47">
        <f t="shared" si="59"/>
        <v>3232</v>
      </c>
      <c r="N422" s="47">
        <f t="shared" si="60"/>
        <v>3732</v>
      </c>
      <c r="O422">
        <v>2</v>
      </c>
      <c r="P422">
        <v>2</v>
      </c>
      <c r="Q422">
        <v>8</v>
      </c>
      <c r="R422">
        <v>4</v>
      </c>
      <c r="S422">
        <v>2</v>
      </c>
      <c r="T422">
        <v>2</v>
      </c>
      <c r="U422" s="48">
        <f t="shared" si="67"/>
        <v>0.22</v>
      </c>
      <c r="V422" s="47">
        <f t="shared" si="68"/>
        <v>821.04</v>
      </c>
      <c r="W422" s="47">
        <f t="shared" si="69"/>
        <v>4553.04</v>
      </c>
    </row>
    <row r="423" spans="1:23" ht="12.75">
      <c r="A423" t="s">
        <v>1040</v>
      </c>
      <c r="B423" s="242" t="s">
        <v>312</v>
      </c>
      <c r="C423" s="217">
        <v>38000</v>
      </c>
      <c r="D423" s="217">
        <v>0</v>
      </c>
      <c r="E423" s="217">
        <v>0</v>
      </c>
      <c r="F423" s="47">
        <f t="shared" si="58"/>
        <v>38000</v>
      </c>
      <c r="G423" s="40">
        <v>0</v>
      </c>
      <c r="H423" s="40">
        <v>0</v>
      </c>
      <c r="I423" s="40">
        <v>0</v>
      </c>
      <c r="J423" s="40">
        <v>24</v>
      </c>
      <c r="K423" s="40">
        <v>0</v>
      </c>
      <c r="L423" s="40">
        <v>0</v>
      </c>
      <c r="M423" s="47">
        <f t="shared" si="59"/>
        <v>1260</v>
      </c>
      <c r="N423" s="47">
        <f t="shared" si="60"/>
        <v>39260</v>
      </c>
      <c r="O423">
        <v>2</v>
      </c>
      <c r="P423">
        <v>2</v>
      </c>
      <c r="Q423">
        <v>8</v>
      </c>
      <c r="R423">
        <v>4</v>
      </c>
      <c r="S423">
        <v>2</v>
      </c>
      <c r="T423">
        <v>2</v>
      </c>
      <c r="U423" s="48">
        <f t="shared" si="67"/>
        <v>0.22</v>
      </c>
      <c r="V423" s="47">
        <f t="shared" si="68"/>
        <v>8637.2</v>
      </c>
      <c r="W423" s="47">
        <f t="shared" si="69"/>
        <v>47897.2</v>
      </c>
    </row>
    <row r="424" spans="1:23" ht="12.75">
      <c r="A424" t="s">
        <v>1041</v>
      </c>
      <c r="B424" s="242" t="s">
        <v>1863</v>
      </c>
      <c r="C424" s="217">
        <v>0</v>
      </c>
      <c r="D424" s="217">
        <v>0</v>
      </c>
      <c r="E424" s="217">
        <v>0</v>
      </c>
      <c r="F424" s="47">
        <f t="shared" si="58"/>
        <v>0</v>
      </c>
      <c r="G424" s="40">
        <v>0</v>
      </c>
      <c r="H424" s="40">
        <v>0</v>
      </c>
      <c r="I424" s="40">
        <v>0</v>
      </c>
      <c r="J424" s="40">
        <v>120</v>
      </c>
      <c r="K424" s="40">
        <v>0</v>
      </c>
      <c r="L424" s="40">
        <v>0</v>
      </c>
      <c r="M424" s="47">
        <f t="shared" si="59"/>
        <v>6300</v>
      </c>
      <c r="N424" s="47">
        <f t="shared" si="60"/>
        <v>6300</v>
      </c>
      <c r="O424">
        <v>2</v>
      </c>
      <c r="P424">
        <v>2</v>
      </c>
      <c r="Q424">
        <v>8</v>
      </c>
      <c r="R424">
        <v>4</v>
      </c>
      <c r="S424">
        <v>2</v>
      </c>
      <c r="T424">
        <v>2</v>
      </c>
      <c r="U424" s="48">
        <f t="shared" si="67"/>
        <v>0.22</v>
      </c>
      <c r="V424" s="47">
        <f t="shared" si="68"/>
        <v>1386</v>
      </c>
      <c r="W424" s="47">
        <f t="shared" si="69"/>
        <v>7686</v>
      </c>
    </row>
    <row r="425" spans="1:23" ht="12.75">
      <c r="A425" t="s">
        <v>1042</v>
      </c>
      <c r="B425" s="242" t="s">
        <v>313</v>
      </c>
      <c r="C425" s="217">
        <v>0</v>
      </c>
      <c r="D425" s="217">
        <v>0</v>
      </c>
      <c r="E425" s="217">
        <v>0</v>
      </c>
      <c r="F425" s="47">
        <f t="shared" si="58"/>
        <v>0</v>
      </c>
      <c r="G425" s="40">
        <v>0</v>
      </c>
      <c r="H425" s="40">
        <v>0</v>
      </c>
      <c r="I425" s="40">
        <v>0</v>
      </c>
      <c r="J425" s="40">
        <v>0</v>
      </c>
      <c r="K425" s="40">
        <v>0</v>
      </c>
      <c r="L425" s="40">
        <v>32</v>
      </c>
      <c r="M425" s="47">
        <f t="shared" si="59"/>
        <v>3232</v>
      </c>
      <c r="N425" s="47">
        <f t="shared" si="60"/>
        <v>3232</v>
      </c>
      <c r="O425">
        <v>2</v>
      </c>
      <c r="P425">
        <v>2</v>
      </c>
      <c r="Q425">
        <v>8</v>
      </c>
      <c r="R425">
        <v>4</v>
      </c>
      <c r="S425">
        <v>2</v>
      </c>
      <c r="T425">
        <v>2</v>
      </c>
      <c r="U425" s="48">
        <f t="shared" si="67"/>
        <v>0.22</v>
      </c>
      <c r="V425" s="47">
        <f t="shared" si="68"/>
        <v>711.04</v>
      </c>
      <c r="W425" s="47">
        <f t="shared" si="69"/>
        <v>3943.04</v>
      </c>
    </row>
    <row r="426" spans="1:23" ht="12.75">
      <c r="A426" t="s">
        <v>1043</v>
      </c>
      <c r="B426" t="s">
        <v>314</v>
      </c>
      <c r="C426" s="217">
        <v>0</v>
      </c>
      <c r="D426" s="217">
        <v>0</v>
      </c>
      <c r="E426" s="217">
        <v>0</v>
      </c>
      <c r="F426" s="47">
        <f t="shared" si="58"/>
        <v>0</v>
      </c>
      <c r="G426" s="40">
        <v>0</v>
      </c>
      <c r="H426" s="40">
        <v>0</v>
      </c>
      <c r="I426" s="40">
        <v>0</v>
      </c>
      <c r="J426" s="40">
        <v>0</v>
      </c>
      <c r="K426" s="40">
        <v>0</v>
      </c>
      <c r="L426" s="40">
        <v>0</v>
      </c>
      <c r="M426" s="47">
        <f t="shared" si="59"/>
        <v>0</v>
      </c>
      <c r="N426" s="47">
        <f t="shared" si="60"/>
        <v>0</v>
      </c>
      <c r="O426">
        <v>0</v>
      </c>
      <c r="P426">
        <v>0</v>
      </c>
      <c r="Q426">
        <v>0</v>
      </c>
      <c r="R426">
        <v>0</v>
      </c>
      <c r="S426">
        <v>0</v>
      </c>
      <c r="T426">
        <v>0</v>
      </c>
      <c r="U426" s="48">
        <f t="shared" si="67"/>
        <v>0</v>
      </c>
      <c r="V426" s="47">
        <f t="shared" si="68"/>
        <v>0</v>
      </c>
      <c r="W426" s="47">
        <f t="shared" si="69"/>
        <v>0</v>
      </c>
    </row>
    <row r="427" spans="1:23" ht="12.75">
      <c r="A427" t="s">
        <v>1044</v>
      </c>
      <c r="B427" s="242" t="s">
        <v>1777</v>
      </c>
      <c r="C427" s="217">
        <v>0</v>
      </c>
      <c r="D427" s="217">
        <v>0</v>
      </c>
      <c r="E427" s="217">
        <v>0</v>
      </c>
      <c r="F427" s="47">
        <f t="shared" si="58"/>
        <v>0</v>
      </c>
      <c r="G427" s="40">
        <v>0</v>
      </c>
      <c r="H427" s="40">
        <v>0</v>
      </c>
      <c r="I427" s="40">
        <v>0</v>
      </c>
      <c r="J427" s="40">
        <v>0</v>
      </c>
      <c r="K427" s="40">
        <v>12</v>
      </c>
      <c r="L427" s="40">
        <v>0</v>
      </c>
      <c r="M427" s="47">
        <f t="shared" si="59"/>
        <v>804.5999999999999</v>
      </c>
      <c r="N427" s="47">
        <f t="shared" si="60"/>
        <v>804.5999999999999</v>
      </c>
      <c r="O427">
        <v>2</v>
      </c>
      <c r="P427">
        <v>2</v>
      </c>
      <c r="Q427">
        <v>8</v>
      </c>
      <c r="R427">
        <v>4</v>
      </c>
      <c r="S427">
        <v>2</v>
      </c>
      <c r="T427">
        <v>2</v>
      </c>
      <c r="U427" s="48">
        <f t="shared" si="67"/>
        <v>0.22</v>
      </c>
      <c r="V427" s="47">
        <f t="shared" si="68"/>
        <v>177.01199999999997</v>
      </c>
      <c r="W427" s="47">
        <f t="shared" si="69"/>
        <v>981.6119999999999</v>
      </c>
    </row>
    <row r="428" spans="1:23" ht="12.75">
      <c r="A428" t="s">
        <v>1045</v>
      </c>
      <c r="B428" s="242" t="s">
        <v>315</v>
      </c>
      <c r="C428" s="217">
        <v>0</v>
      </c>
      <c r="D428" s="217">
        <v>0</v>
      </c>
      <c r="E428" s="217">
        <v>0</v>
      </c>
      <c r="F428" s="47">
        <f t="shared" si="58"/>
        <v>0</v>
      </c>
      <c r="G428" s="40">
        <v>0</v>
      </c>
      <c r="H428" s="40">
        <v>0</v>
      </c>
      <c r="I428" s="40">
        <v>0</v>
      </c>
      <c r="J428" s="40">
        <v>0</v>
      </c>
      <c r="K428" s="40">
        <v>24</v>
      </c>
      <c r="L428" s="40">
        <v>0</v>
      </c>
      <c r="M428" s="47">
        <f t="shared" si="59"/>
        <v>1609.1999999999998</v>
      </c>
      <c r="N428" s="47">
        <f t="shared" si="60"/>
        <v>1609.1999999999998</v>
      </c>
      <c r="O428">
        <v>2</v>
      </c>
      <c r="P428">
        <v>2</v>
      </c>
      <c r="Q428">
        <v>8</v>
      </c>
      <c r="R428">
        <v>4</v>
      </c>
      <c r="S428">
        <v>2</v>
      </c>
      <c r="T428">
        <v>2</v>
      </c>
      <c r="U428" s="48">
        <f t="shared" si="67"/>
        <v>0.22</v>
      </c>
      <c r="V428" s="47">
        <f t="shared" si="68"/>
        <v>354.02399999999994</v>
      </c>
      <c r="W428" s="47">
        <f t="shared" si="69"/>
        <v>1963.2239999999997</v>
      </c>
    </row>
    <row r="429" spans="1:23" ht="12.75">
      <c r="A429" t="s">
        <v>1046</v>
      </c>
      <c r="B429" s="242" t="s">
        <v>316</v>
      </c>
      <c r="C429" s="217">
        <v>1000</v>
      </c>
      <c r="D429" s="217">
        <v>0</v>
      </c>
      <c r="E429" s="217">
        <v>0</v>
      </c>
      <c r="F429" s="47">
        <f t="shared" si="58"/>
        <v>1000</v>
      </c>
      <c r="G429" s="40">
        <v>0</v>
      </c>
      <c r="H429" s="40">
        <v>0</v>
      </c>
      <c r="I429" s="40">
        <v>0</v>
      </c>
      <c r="J429" s="40">
        <v>40</v>
      </c>
      <c r="K429" s="40">
        <v>0</v>
      </c>
      <c r="L429" s="40">
        <v>0</v>
      </c>
      <c r="M429" s="47">
        <f t="shared" si="59"/>
        <v>2100</v>
      </c>
      <c r="N429" s="47">
        <f t="shared" si="60"/>
        <v>3100</v>
      </c>
      <c r="O429">
        <v>2</v>
      </c>
      <c r="P429">
        <v>2</v>
      </c>
      <c r="Q429">
        <v>8</v>
      </c>
      <c r="R429">
        <v>4</v>
      </c>
      <c r="S429">
        <v>2</v>
      </c>
      <c r="T429">
        <v>2</v>
      </c>
      <c r="U429" s="48">
        <f t="shared" si="67"/>
        <v>0.22</v>
      </c>
      <c r="V429" s="47">
        <f t="shared" si="68"/>
        <v>682</v>
      </c>
      <c r="W429" s="47">
        <f t="shared" si="69"/>
        <v>3782</v>
      </c>
    </row>
    <row r="430" spans="1:23" ht="12.75">
      <c r="A430" t="s">
        <v>1047</v>
      </c>
      <c r="B430" s="242" t="s">
        <v>293</v>
      </c>
      <c r="C430" s="217">
        <v>0</v>
      </c>
      <c r="D430" s="217">
        <v>0</v>
      </c>
      <c r="E430" s="217">
        <v>0</v>
      </c>
      <c r="F430" s="47">
        <f t="shared" si="58"/>
        <v>0</v>
      </c>
      <c r="G430" s="40">
        <v>0</v>
      </c>
      <c r="H430" s="40">
        <v>0</v>
      </c>
      <c r="I430" s="40">
        <v>0</v>
      </c>
      <c r="J430" s="40">
        <v>32</v>
      </c>
      <c r="K430" s="40">
        <v>0</v>
      </c>
      <c r="L430" s="40">
        <v>0</v>
      </c>
      <c r="M430" s="47">
        <f t="shared" si="59"/>
        <v>1680</v>
      </c>
      <c r="N430" s="47">
        <f t="shared" si="60"/>
        <v>1680</v>
      </c>
      <c r="O430">
        <v>2</v>
      </c>
      <c r="P430">
        <v>2</v>
      </c>
      <c r="Q430">
        <v>8</v>
      </c>
      <c r="R430">
        <v>4</v>
      </c>
      <c r="S430">
        <v>2</v>
      </c>
      <c r="T430">
        <v>2</v>
      </c>
      <c r="U430" s="48">
        <f aca="true" t="shared" si="70" ref="U430:U465">((O430*P430)+Q430+(R430*S430)+T430)/100</f>
        <v>0.22</v>
      </c>
      <c r="V430" s="47">
        <f aca="true" t="shared" si="71" ref="V430:V465">+(F430+M430)*U430</f>
        <v>369.6</v>
      </c>
      <c r="W430" s="47">
        <f aca="true" t="shared" si="72" ref="W430:W465">+F430+M430+V430</f>
        <v>2049.6</v>
      </c>
    </row>
    <row r="431" spans="1:23" ht="12.75">
      <c r="A431" t="s">
        <v>1048</v>
      </c>
      <c r="B431" s="242" t="s">
        <v>317</v>
      </c>
      <c r="C431" s="217">
        <v>500</v>
      </c>
      <c r="D431" s="217">
        <v>0</v>
      </c>
      <c r="E431" s="217">
        <v>0</v>
      </c>
      <c r="F431" s="47">
        <f t="shared" si="58"/>
        <v>500</v>
      </c>
      <c r="G431" s="40">
        <v>0</v>
      </c>
      <c r="H431" s="40">
        <v>0</v>
      </c>
      <c r="I431" s="40">
        <v>0</v>
      </c>
      <c r="J431" s="40">
        <v>48</v>
      </c>
      <c r="K431" s="40">
        <v>0</v>
      </c>
      <c r="L431" s="40">
        <v>0</v>
      </c>
      <c r="M431" s="47">
        <f t="shared" si="59"/>
        <v>2520</v>
      </c>
      <c r="N431" s="47">
        <f t="shared" si="60"/>
        <v>3020</v>
      </c>
      <c r="O431">
        <v>2</v>
      </c>
      <c r="P431">
        <v>2</v>
      </c>
      <c r="Q431">
        <v>8</v>
      </c>
      <c r="R431">
        <v>4</v>
      </c>
      <c r="S431">
        <v>2</v>
      </c>
      <c r="T431">
        <v>2</v>
      </c>
      <c r="U431" s="48">
        <f t="shared" si="70"/>
        <v>0.22</v>
      </c>
      <c r="V431" s="47">
        <f t="shared" si="71"/>
        <v>664.4</v>
      </c>
      <c r="W431" s="47">
        <f t="shared" si="72"/>
        <v>3684.4</v>
      </c>
    </row>
    <row r="432" spans="1:23" ht="12.75">
      <c r="A432" t="s">
        <v>1049</v>
      </c>
      <c r="B432" s="242" t="s">
        <v>318</v>
      </c>
      <c r="C432" s="217">
        <v>500</v>
      </c>
      <c r="D432" s="217">
        <v>0</v>
      </c>
      <c r="E432" s="217">
        <v>0</v>
      </c>
      <c r="F432" s="47">
        <f t="shared" si="58"/>
        <v>500</v>
      </c>
      <c r="G432" s="40">
        <v>0</v>
      </c>
      <c r="H432" s="40">
        <v>0</v>
      </c>
      <c r="I432" s="40">
        <v>0</v>
      </c>
      <c r="J432" s="40">
        <v>40</v>
      </c>
      <c r="K432" s="40">
        <v>0</v>
      </c>
      <c r="L432" s="40">
        <v>0</v>
      </c>
      <c r="M432" s="47">
        <f t="shared" si="59"/>
        <v>2100</v>
      </c>
      <c r="N432" s="47">
        <f t="shared" si="60"/>
        <v>2600</v>
      </c>
      <c r="O432">
        <v>2</v>
      </c>
      <c r="P432">
        <v>2</v>
      </c>
      <c r="Q432">
        <v>8</v>
      </c>
      <c r="R432">
        <v>4</v>
      </c>
      <c r="S432">
        <v>2</v>
      </c>
      <c r="T432">
        <v>2</v>
      </c>
      <c r="U432" s="48">
        <f t="shared" si="70"/>
        <v>0.22</v>
      </c>
      <c r="V432" s="47">
        <f t="shared" si="71"/>
        <v>572</v>
      </c>
      <c r="W432" s="47">
        <f t="shared" si="72"/>
        <v>3172</v>
      </c>
    </row>
    <row r="433" spans="1:25" ht="12.75">
      <c r="A433" s="324" t="s">
        <v>1617</v>
      </c>
      <c r="B433" s="241" t="s">
        <v>319</v>
      </c>
      <c r="C433" s="217">
        <v>0</v>
      </c>
      <c r="D433" s="217">
        <v>0</v>
      </c>
      <c r="E433" s="217">
        <v>0</v>
      </c>
      <c r="F433" s="47">
        <f t="shared" si="58"/>
        <v>0</v>
      </c>
      <c r="G433" s="40">
        <v>0</v>
      </c>
      <c r="H433" s="40">
        <v>0</v>
      </c>
      <c r="I433" s="40">
        <v>0</v>
      </c>
      <c r="J433" s="40">
        <v>0</v>
      </c>
      <c r="K433" s="40">
        <v>0</v>
      </c>
      <c r="L433" s="40">
        <v>0</v>
      </c>
      <c r="M433" s="47">
        <f t="shared" si="59"/>
        <v>0</v>
      </c>
      <c r="N433" s="47">
        <f t="shared" si="60"/>
        <v>0</v>
      </c>
      <c r="O433">
        <v>0</v>
      </c>
      <c r="P433">
        <v>0</v>
      </c>
      <c r="Q433">
        <v>0</v>
      </c>
      <c r="R433">
        <v>0</v>
      </c>
      <c r="S433">
        <v>0</v>
      </c>
      <c r="T433">
        <v>0</v>
      </c>
      <c r="U433" s="48">
        <f t="shared" si="70"/>
        <v>0</v>
      </c>
      <c r="V433" s="47">
        <f t="shared" si="71"/>
        <v>0</v>
      </c>
      <c r="W433" s="47">
        <f t="shared" si="72"/>
        <v>0</v>
      </c>
      <c r="Y433" t="s">
        <v>1404</v>
      </c>
    </row>
    <row r="434" spans="1:25" ht="12.75">
      <c r="A434" s="325" t="s">
        <v>1618</v>
      </c>
      <c r="B434" s="240" t="s">
        <v>320</v>
      </c>
      <c r="C434" s="217">
        <v>0</v>
      </c>
      <c r="D434" s="217">
        <v>0</v>
      </c>
      <c r="E434" s="217">
        <v>0</v>
      </c>
      <c r="F434" s="47">
        <f t="shared" si="58"/>
        <v>0</v>
      </c>
      <c r="G434" s="40">
        <v>0</v>
      </c>
      <c r="H434" s="40">
        <v>0</v>
      </c>
      <c r="I434" s="40">
        <v>0</v>
      </c>
      <c r="J434" s="40">
        <v>0</v>
      </c>
      <c r="K434" s="40">
        <v>0</v>
      </c>
      <c r="L434" s="40">
        <v>0</v>
      </c>
      <c r="M434" s="47">
        <f t="shared" si="59"/>
        <v>0</v>
      </c>
      <c r="N434" s="47">
        <f t="shared" si="60"/>
        <v>0</v>
      </c>
      <c r="O434">
        <v>0</v>
      </c>
      <c r="P434">
        <v>0</v>
      </c>
      <c r="Q434">
        <v>0</v>
      </c>
      <c r="R434">
        <v>0</v>
      </c>
      <c r="S434">
        <v>0</v>
      </c>
      <c r="T434">
        <v>0</v>
      </c>
      <c r="U434" s="48">
        <f t="shared" si="70"/>
        <v>0</v>
      </c>
      <c r="V434" s="47">
        <f t="shared" si="71"/>
        <v>0</v>
      </c>
      <c r="W434" s="47">
        <f t="shared" si="72"/>
        <v>0</v>
      </c>
      <c r="Y434" t="s">
        <v>1405</v>
      </c>
    </row>
    <row r="435" spans="1:23" ht="12.75">
      <c r="A435" t="s">
        <v>1619</v>
      </c>
      <c r="B435" s="242" t="s">
        <v>321</v>
      </c>
      <c r="C435" s="217">
        <v>0</v>
      </c>
      <c r="D435" s="217">
        <v>0</v>
      </c>
      <c r="E435" s="217">
        <v>0</v>
      </c>
      <c r="F435" s="47">
        <f t="shared" si="58"/>
        <v>0</v>
      </c>
      <c r="G435" s="40">
        <v>0</v>
      </c>
      <c r="H435" s="40">
        <v>880</v>
      </c>
      <c r="I435" s="40">
        <v>0</v>
      </c>
      <c r="J435" s="40">
        <v>0</v>
      </c>
      <c r="K435" s="40">
        <v>0</v>
      </c>
      <c r="L435" s="40">
        <v>0</v>
      </c>
      <c r="M435" s="47">
        <f t="shared" si="59"/>
        <v>78892</v>
      </c>
      <c r="N435" s="47">
        <f t="shared" si="60"/>
        <v>78892</v>
      </c>
      <c r="O435">
        <v>1</v>
      </c>
      <c r="P435">
        <v>2</v>
      </c>
      <c r="Q435">
        <v>15</v>
      </c>
      <c r="R435">
        <v>2</v>
      </c>
      <c r="S435">
        <v>1</v>
      </c>
      <c r="T435">
        <v>2</v>
      </c>
      <c r="U435" s="48">
        <f t="shared" si="70"/>
        <v>0.21</v>
      </c>
      <c r="V435" s="47">
        <f t="shared" si="71"/>
        <v>16567.32</v>
      </c>
      <c r="W435" s="47">
        <f t="shared" si="72"/>
        <v>95459.32</v>
      </c>
    </row>
    <row r="436" spans="1:23" ht="12.75">
      <c r="A436" t="s">
        <v>1620</v>
      </c>
      <c r="B436" s="242" t="s">
        <v>322</v>
      </c>
      <c r="C436" s="217">
        <v>0</v>
      </c>
      <c r="D436" s="217">
        <v>0</v>
      </c>
      <c r="E436" s="217">
        <v>0</v>
      </c>
      <c r="F436" s="47">
        <f t="shared" si="58"/>
        <v>0</v>
      </c>
      <c r="G436" s="40">
        <v>3520</v>
      </c>
      <c r="H436" s="40">
        <v>0</v>
      </c>
      <c r="I436" s="40">
        <v>0</v>
      </c>
      <c r="J436" s="40">
        <v>0</v>
      </c>
      <c r="K436" s="40">
        <v>0</v>
      </c>
      <c r="L436" s="40">
        <v>0</v>
      </c>
      <c r="M436" s="47">
        <f t="shared" si="59"/>
        <v>236368.00000000003</v>
      </c>
      <c r="N436" s="47">
        <f t="shared" si="60"/>
        <v>236368.00000000003</v>
      </c>
      <c r="O436">
        <v>1</v>
      </c>
      <c r="P436">
        <v>2</v>
      </c>
      <c r="Q436">
        <v>15</v>
      </c>
      <c r="R436">
        <v>2</v>
      </c>
      <c r="S436">
        <v>1</v>
      </c>
      <c r="T436">
        <v>2</v>
      </c>
      <c r="U436" s="48">
        <f t="shared" si="70"/>
        <v>0.21</v>
      </c>
      <c r="V436" s="47">
        <f t="shared" si="71"/>
        <v>49637.280000000006</v>
      </c>
      <c r="W436" s="47">
        <f t="shared" si="72"/>
        <v>286005.28</v>
      </c>
    </row>
    <row r="437" spans="1:25" ht="12.75">
      <c r="A437" s="325" t="s">
        <v>1621</v>
      </c>
      <c r="B437" s="240" t="s">
        <v>1050</v>
      </c>
      <c r="C437" s="217">
        <v>0</v>
      </c>
      <c r="D437" s="217">
        <v>0</v>
      </c>
      <c r="E437" s="217">
        <v>0</v>
      </c>
      <c r="F437" s="47">
        <f t="shared" si="58"/>
        <v>0</v>
      </c>
      <c r="G437" s="40">
        <v>0</v>
      </c>
      <c r="H437" s="40">
        <v>0</v>
      </c>
      <c r="I437" s="40">
        <v>0</v>
      </c>
      <c r="J437" s="40">
        <v>0</v>
      </c>
      <c r="K437" s="40">
        <v>0</v>
      </c>
      <c r="L437" s="40">
        <v>0</v>
      </c>
      <c r="M437" s="47">
        <f t="shared" si="59"/>
        <v>0</v>
      </c>
      <c r="N437" s="47">
        <f t="shared" si="60"/>
        <v>0</v>
      </c>
      <c r="O437">
        <v>0</v>
      </c>
      <c r="P437">
        <v>0</v>
      </c>
      <c r="Q437">
        <v>0</v>
      </c>
      <c r="R437">
        <v>0</v>
      </c>
      <c r="S437">
        <v>0</v>
      </c>
      <c r="T437">
        <v>0</v>
      </c>
      <c r="U437" s="48">
        <f t="shared" si="70"/>
        <v>0</v>
      </c>
      <c r="V437" s="47">
        <f t="shared" si="71"/>
        <v>0</v>
      </c>
      <c r="W437" s="47">
        <f t="shared" si="72"/>
        <v>0</v>
      </c>
      <c r="Y437" t="s">
        <v>1406</v>
      </c>
    </row>
    <row r="438" spans="1:25" ht="12.75">
      <c r="A438" t="s">
        <v>1622</v>
      </c>
      <c r="B438" t="s">
        <v>323</v>
      </c>
      <c r="C438" s="217">
        <v>0</v>
      </c>
      <c r="D438" s="217">
        <v>0</v>
      </c>
      <c r="E438" s="217">
        <v>0</v>
      </c>
      <c r="F438" s="47">
        <f t="shared" si="58"/>
        <v>0</v>
      </c>
      <c r="G438" s="40">
        <v>0</v>
      </c>
      <c r="H438" s="40">
        <v>0</v>
      </c>
      <c r="I438" s="40">
        <v>0</v>
      </c>
      <c r="J438" s="40">
        <v>0</v>
      </c>
      <c r="K438" s="40">
        <v>0</v>
      </c>
      <c r="L438" s="40">
        <v>0</v>
      </c>
      <c r="M438" s="47">
        <f t="shared" si="59"/>
        <v>0</v>
      </c>
      <c r="N438" s="47">
        <f t="shared" si="60"/>
        <v>0</v>
      </c>
      <c r="O438">
        <v>0</v>
      </c>
      <c r="P438">
        <v>0</v>
      </c>
      <c r="Q438">
        <v>0</v>
      </c>
      <c r="R438">
        <v>0</v>
      </c>
      <c r="S438">
        <v>0</v>
      </c>
      <c r="T438">
        <v>0</v>
      </c>
      <c r="U438" s="48">
        <f t="shared" si="70"/>
        <v>0</v>
      </c>
      <c r="V438" s="47">
        <f t="shared" si="71"/>
        <v>0</v>
      </c>
      <c r="W438" s="47">
        <f t="shared" si="72"/>
        <v>0</v>
      </c>
      <c r="Y438" t="s">
        <v>1407</v>
      </c>
    </row>
    <row r="439" spans="1:23" ht="12.75">
      <c r="A439" t="s">
        <v>1623</v>
      </c>
      <c r="B439" t="s">
        <v>324</v>
      </c>
      <c r="C439" s="217">
        <v>0</v>
      </c>
      <c r="D439" s="217">
        <v>0</v>
      </c>
      <c r="E439" s="217">
        <v>0</v>
      </c>
      <c r="F439" s="47">
        <f t="shared" si="58"/>
        <v>0</v>
      </c>
      <c r="G439" s="40">
        <v>0</v>
      </c>
      <c r="H439" s="40">
        <v>0</v>
      </c>
      <c r="I439" s="40">
        <v>0</v>
      </c>
      <c r="J439" s="40">
        <v>0</v>
      </c>
      <c r="K439" s="40">
        <v>0</v>
      </c>
      <c r="L439" s="40">
        <v>0</v>
      </c>
      <c r="M439" s="47">
        <f t="shared" si="59"/>
        <v>0</v>
      </c>
      <c r="N439" s="47">
        <f t="shared" si="60"/>
        <v>0</v>
      </c>
      <c r="O439">
        <v>0</v>
      </c>
      <c r="P439">
        <v>0</v>
      </c>
      <c r="Q439">
        <v>0</v>
      </c>
      <c r="R439">
        <v>0</v>
      </c>
      <c r="S439">
        <v>0</v>
      </c>
      <c r="T439">
        <v>0</v>
      </c>
      <c r="U439" s="48">
        <f t="shared" si="70"/>
        <v>0</v>
      </c>
      <c r="V439" s="47">
        <f t="shared" si="71"/>
        <v>0</v>
      </c>
      <c r="W439" s="47">
        <f t="shared" si="72"/>
        <v>0</v>
      </c>
    </row>
    <row r="440" spans="1:23" ht="12.75">
      <c r="A440" t="s">
        <v>1624</v>
      </c>
      <c r="B440" s="242" t="s">
        <v>325</v>
      </c>
      <c r="C440" s="217">
        <v>10000</v>
      </c>
      <c r="D440" s="217">
        <v>0</v>
      </c>
      <c r="E440" s="217">
        <v>0</v>
      </c>
      <c r="F440" s="47">
        <f t="shared" si="58"/>
        <v>10000</v>
      </c>
      <c r="G440" s="40">
        <v>0</v>
      </c>
      <c r="H440" s="40">
        <v>0</v>
      </c>
      <c r="I440" s="40">
        <v>0</v>
      </c>
      <c r="J440" s="40">
        <v>0</v>
      </c>
      <c r="K440" s="40">
        <v>160</v>
      </c>
      <c r="L440" s="40">
        <v>0</v>
      </c>
      <c r="M440" s="47">
        <f t="shared" si="59"/>
        <v>10728</v>
      </c>
      <c r="N440" s="47">
        <f t="shared" si="60"/>
        <v>20728</v>
      </c>
      <c r="O440">
        <v>4</v>
      </c>
      <c r="P440">
        <v>2</v>
      </c>
      <c r="Q440">
        <v>15</v>
      </c>
      <c r="R440">
        <v>4</v>
      </c>
      <c r="S440">
        <v>2</v>
      </c>
      <c r="T440">
        <v>4</v>
      </c>
      <c r="U440" s="48">
        <f t="shared" si="70"/>
        <v>0.35</v>
      </c>
      <c r="V440" s="47">
        <f t="shared" si="71"/>
        <v>7254.799999999999</v>
      </c>
      <c r="W440" s="47">
        <f t="shared" si="72"/>
        <v>27982.8</v>
      </c>
    </row>
    <row r="441" spans="1:23" ht="12.75">
      <c r="A441" t="s">
        <v>1625</v>
      </c>
      <c r="B441" s="242" t="s">
        <v>326</v>
      </c>
      <c r="C441" s="217">
        <v>200</v>
      </c>
      <c r="D441" s="217">
        <v>0</v>
      </c>
      <c r="E441" s="217">
        <v>0</v>
      </c>
      <c r="F441" s="47">
        <f t="shared" si="58"/>
        <v>200</v>
      </c>
      <c r="G441" s="40">
        <v>0</v>
      </c>
      <c r="H441" s="40">
        <v>0</v>
      </c>
      <c r="I441" s="40">
        <v>0</v>
      </c>
      <c r="J441" s="40">
        <v>0</v>
      </c>
      <c r="K441" s="40">
        <v>32</v>
      </c>
      <c r="L441" s="40">
        <v>0</v>
      </c>
      <c r="M441" s="47">
        <f t="shared" si="59"/>
        <v>2145.6</v>
      </c>
      <c r="N441" s="47">
        <f t="shared" si="60"/>
        <v>2345.6</v>
      </c>
      <c r="O441">
        <v>4</v>
      </c>
      <c r="P441">
        <v>2</v>
      </c>
      <c r="Q441">
        <v>15</v>
      </c>
      <c r="R441">
        <v>4</v>
      </c>
      <c r="S441">
        <v>2</v>
      </c>
      <c r="T441">
        <v>4</v>
      </c>
      <c r="U441" s="48">
        <f t="shared" si="70"/>
        <v>0.35</v>
      </c>
      <c r="V441" s="47">
        <f t="shared" si="71"/>
        <v>820.9599999999999</v>
      </c>
      <c r="W441" s="47">
        <f t="shared" si="72"/>
        <v>3166.56</v>
      </c>
    </row>
    <row r="442" spans="1:23" ht="12.75">
      <c r="A442" t="s">
        <v>1626</v>
      </c>
      <c r="B442" t="s">
        <v>327</v>
      </c>
      <c r="C442" s="217">
        <v>0</v>
      </c>
      <c r="D442" s="217">
        <v>0</v>
      </c>
      <c r="E442" s="217">
        <v>0</v>
      </c>
      <c r="F442" s="47">
        <f t="shared" si="58"/>
        <v>0</v>
      </c>
      <c r="G442" s="40">
        <v>0</v>
      </c>
      <c r="H442" s="40">
        <v>0</v>
      </c>
      <c r="I442" s="40">
        <v>0</v>
      </c>
      <c r="J442" s="40">
        <v>0</v>
      </c>
      <c r="K442" s="40">
        <v>0</v>
      </c>
      <c r="L442" s="40">
        <v>0</v>
      </c>
      <c r="M442" s="47">
        <f t="shared" si="59"/>
        <v>0</v>
      </c>
      <c r="N442" s="47">
        <f t="shared" si="60"/>
        <v>0</v>
      </c>
      <c r="O442">
        <v>0</v>
      </c>
      <c r="P442">
        <v>0</v>
      </c>
      <c r="Q442">
        <v>0</v>
      </c>
      <c r="R442">
        <v>0</v>
      </c>
      <c r="S442">
        <v>0</v>
      </c>
      <c r="T442">
        <v>0</v>
      </c>
      <c r="U442" s="48">
        <f t="shared" si="70"/>
        <v>0</v>
      </c>
      <c r="V442" s="47">
        <f t="shared" si="71"/>
        <v>0</v>
      </c>
      <c r="W442" s="47">
        <f t="shared" si="72"/>
        <v>0</v>
      </c>
    </row>
    <row r="443" spans="1:23" ht="12.75">
      <c r="A443" t="s">
        <v>1627</v>
      </c>
      <c r="B443" s="242" t="s">
        <v>328</v>
      </c>
      <c r="C443" s="217">
        <v>5000</v>
      </c>
      <c r="D443" s="217">
        <v>0</v>
      </c>
      <c r="E443" s="217">
        <v>0</v>
      </c>
      <c r="F443" s="47">
        <f t="shared" si="58"/>
        <v>5000</v>
      </c>
      <c r="G443" s="40">
        <v>0</v>
      </c>
      <c r="H443" s="40">
        <v>0</v>
      </c>
      <c r="I443" s="40">
        <v>0</v>
      </c>
      <c r="J443" s="40">
        <v>0</v>
      </c>
      <c r="K443" s="40">
        <v>12</v>
      </c>
      <c r="L443" s="40">
        <v>0</v>
      </c>
      <c r="M443" s="47">
        <f t="shared" si="59"/>
        <v>804.5999999999999</v>
      </c>
      <c r="N443" s="47">
        <f t="shared" si="60"/>
        <v>5804.6</v>
      </c>
      <c r="O443">
        <v>4</v>
      </c>
      <c r="P443">
        <v>2</v>
      </c>
      <c r="Q443">
        <v>15</v>
      </c>
      <c r="R443">
        <v>4</v>
      </c>
      <c r="S443">
        <v>2</v>
      </c>
      <c r="T443">
        <v>4</v>
      </c>
      <c r="U443" s="48">
        <f t="shared" si="70"/>
        <v>0.35</v>
      </c>
      <c r="V443" s="47">
        <f t="shared" si="71"/>
        <v>2031.61</v>
      </c>
      <c r="W443" s="47">
        <f t="shared" si="72"/>
        <v>7836.21</v>
      </c>
    </row>
    <row r="444" spans="1:23" ht="12.75">
      <c r="A444" t="s">
        <v>1628</v>
      </c>
      <c r="B444" s="242" t="s">
        <v>329</v>
      </c>
      <c r="C444" s="217">
        <v>200</v>
      </c>
      <c r="D444" s="217">
        <v>0</v>
      </c>
      <c r="E444" s="217">
        <v>0</v>
      </c>
      <c r="F444" s="47">
        <f t="shared" si="58"/>
        <v>200</v>
      </c>
      <c r="G444" s="40">
        <v>0</v>
      </c>
      <c r="H444" s="40">
        <v>0</v>
      </c>
      <c r="I444" s="40">
        <v>0</v>
      </c>
      <c r="J444" s="40">
        <v>0</v>
      </c>
      <c r="K444" s="40">
        <v>16</v>
      </c>
      <c r="L444" s="40">
        <v>0</v>
      </c>
      <c r="M444" s="47">
        <f t="shared" si="59"/>
        <v>1072.8</v>
      </c>
      <c r="N444" s="47">
        <f t="shared" si="60"/>
        <v>1272.8</v>
      </c>
      <c r="O444">
        <v>4</v>
      </c>
      <c r="P444">
        <v>2</v>
      </c>
      <c r="Q444">
        <v>15</v>
      </c>
      <c r="R444">
        <v>4</v>
      </c>
      <c r="S444">
        <v>2</v>
      </c>
      <c r="T444">
        <v>4</v>
      </c>
      <c r="U444" s="48">
        <f t="shared" si="70"/>
        <v>0.35</v>
      </c>
      <c r="V444" s="47">
        <f t="shared" si="71"/>
        <v>445.47999999999996</v>
      </c>
      <c r="W444" s="47">
        <f t="shared" si="72"/>
        <v>1718.28</v>
      </c>
    </row>
    <row r="445" spans="1:23" ht="12.75">
      <c r="A445" t="s">
        <v>1629</v>
      </c>
      <c r="B445" t="s">
        <v>330</v>
      </c>
      <c r="C445" s="217">
        <v>0</v>
      </c>
      <c r="D445" s="217">
        <v>0</v>
      </c>
      <c r="E445" s="217">
        <v>0</v>
      </c>
      <c r="F445" s="47">
        <f t="shared" si="58"/>
        <v>0</v>
      </c>
      <c r="G445" s="40">
        <v>0</v>
      </c>
      <c r="H445" s="40">
        <v>0</v>
      </c>
      <c r="I445" s="40">
        <v>0</v>
      </c>
      <c r="J445" s="40">
        <v>0</v>
      </c>
      <c r="K445" s="40">
        <v>0</v>
      </c>
      <c r="L445" s="40">
        <v>0</v>
      </c>
      <c r="M445" s="47">
        <f t="shared" si="59"/>
        <v>0</v>
      </c>
      <c r="N445" s="47">
        <f t="shared" si="60"/>
        <v>0</v>
      </c>
      <c r="O445">
        <v>0</v>
      </c>
      <c r="P445">
        <v>0</v>
      </c>
      <c r="Q445">
        <v>0</v>
      </c>
      <c r="R445">
        <v>0</v>
      </c>
      <c r="S445">
        <v>0</v>
      </c>
      <c r="T445">
        <v>0</v>
      </c>
      <c r="U445" s="48">
        <f t="shared" si="70"/>
        <v>0</v>
      </c>
      <c r="V445" s="47">
        <f t="shared" si="71"/>
        <v>0</v>
      </c>
      <c r="W445" s="47">
        <f t="shared" si="72"/>
        <v>0</v>
      </c>
    </row>
    <row r="446" spans="1:23" ht="12.75">
      <c r="A446" t="s">
        <v>1630</v>
      </c>
      <c r="B446" s="242" t="s">
        <v>331</v>
      </c>
      <c r="C446" s="217">
        <v>500</v>
      </c>
      <c r="D446" s="217">
        <v>0</v>
      </c>
      <c r="E446" s="217">
        <v>0</v>
      </c>
      <c r="F446" s="47">
        <f t="shared" si="58"/>
        <v>500</v>
      </c>
      <c r="G446" s="40">
        <v>0</v>
      </c>
      <c r="H446" s="40">
        <v>0</v>
      </c>
      <c r="I446" s="40">
        <v>0</v>
      </c>
      <c r="J446" s="40">
        <v>0</v>
      </c>
      <c r="K446" s="40">
        <v>80</v>
      </c>
      <c r="L446" s="40">
        <v>0</v>
      </c>
      <c r="M446" s="47">
        <f t="shared" si="59"/>
        <v>5364</v>
      </c>
      <c r="N446" s="47">
        <f t="shared" si="60"/>
        <v>5864</v>
      </c>
      <c r="O446">
        <v>4</v>
      </c>
      <c r="P446">
        <v>2</v>
      </c>
      <c r="Q446">
        <v>15</v>
      </c>
      <c r="R446">
        <v>4</v>
      </c>
      <c r="S446">
        <v>2</v>
      </c>
      <c r="T446">
        <v>4</v>
      </c>
      <c r="U446" s="48">
        <f t="shared" si="70"/>
        <v>0.35</v>
      </c>
      <c r="V446" s="47">
        <f t="shared" si="71"/>
        <v>2052.4</v>
      </c>
      <c r="W446" s="47">
        <f t="shared" si="72"/>
        <v>7916.4</v>
      </c>
    </row>
    <row r="447" spans="1:23" ht="12.75">
      <c r="A447" t="s">
        <v>1631</v>
      </c>
      <c r="B447" s="242" t="s">
        <v>331</v>
      </c>
      <c r="C447" s="217">
        <v>200</v>
      </c>
      <c r="D447" s="217">
        <v>0</v>
      </c>
      <c r="E447" s="217">
        <v>0</v>
      </c>
      <c r="F447" s="47">
        <f t="shared" si="58"/>
        <v>200</v>
      </c>
      <c r="G447" s="40">
        <v>0</v>
      </c>
      <c r="H447" s="40">
        <v>0</v>
      </c>
      <c r="I447" s="40">
        <v>0</v>
      </c>
      <c r="J447" s="40">
        <v>0</v>
      </c>
      <c r="K447" s="40">
        <v>0</v>
      </c>
      <c r="L447" s="40">
        <v>16</v>
      </c>
      <c r="M447" s="47">
        <f t="shared" si="59"/>
        <v>1616</v>
      </c>
      <c r="N447" s="47">
        <f t="shared" si="60"/>
        <v>1816</v>
      </c>
      <c r="O447">
        <v>4</v>
      </c>
      <c r="P447">
        <v>2</v>
      </c>
      <c r="Q447">
        <v>15</v>
      </c>
      <c r="R447">
        <v>4</v>
      </c>
      <c r="S447">
        <v>2</v>
      </c>
      <c r="T447">
        <v>4</v>
      </c>
      <c r="U447" s="48">
        <f t="shared" si="70"/>
        <v>0.35</v>
      </c>
      <c r="V447" s="47">
        <f t="shared" si="71"/>
        <v>635.5999999999999</v>
      </c>
      <c r="W447" s="47">
        <f t="shared" si="72"/>
        <v>2451.6</v>
      </c>
    </row>
    <row r="448" spans="1:25" ht="12.75">
      <c r="A448" t="s">
        <v>1632</v>
      </c>
      <c r="B448" t="s">
        <v>332</v>
      </c>
      <c r="C448" s="217">
        <v>0</v>
      </c>
      <c r="D448" s="217">
        <v>0</v>
      </c>
      <c r="E448" s="217">
        <v>0</v>
      </c>
      <c r="F448" s="47">
        <f t="shared" si="58"/>
        <v>0</v>
      </c>
      <c r="G448" s="40">
        <v>0</v>
      </c>
      <c r="H448" s="40">
        <v>0</v>
      </c>
      <c r="I448" s="40">
        <v>0</v>
      </c>
      <c r="J448" s="40">
        <v>0</v>
      </c>
      <c r="K448" s="40">
        <v>0</v>
      </c>
      <c r="L448" s="40">
        <v>0</v>
      </c>
      <c r="M448" s="47">
        <f t="shared" si="59"/>
        <v>0</v>
      </c>
      <c r="N448" s="47">
        <f t="shared" si="60"/>
        <v>0</v>
      </c>
      <c r="O448">
        <v>0</v>
      </c>
      <c r="P448">
        <v>0</v>
      </c>
      <c r="Q448">
        <v>0</v>
      </c>
      <c r="R448">
        <v>0</v>
      </c>
      <c r="S448">
        <v>0</v>
      </c>
      <c r="T448">
        <v>0</v>
      </c>
      <c r="U448" s="48">
        <f t="shared" si="70"/>
        <v>0</v>
      </c>
      <c r="V448" s="47">
        <f t="shared" si="71"/>
        <v>0</v>
      </c>
      <c r="W448" s="47">
        <f t="shared" si="72"/>
        <v>0</v>
      </c>
      <c r="Y448" t="s">
        <v>1408</v>
      </c>
    </row>
    <row r="449" spans="1:23" ht="12.75">
      <c r="A449" t="s">
        <v>1633</v>
      </c>
      <c r="B449" s="242" t="s">
        <v>333</v>
      </c>
      <c r="C449" s="217">
        <v>0</v>
      </c>
      <c r="D449" s="217">
        <v>0</v>
      </c>
      <c r="E449" s="217">
        <v>0</v>
      </c>
      <c r="F449" s="47">
        <f t="shared" si="58"/>
        <v>0</v>
      </c>
      <c r="G449" s="40">
        <v>40</v>
      </c>
      <c r="H449" s="40">
        <v>0</v>
      </c>
      <c r="I449" s="40">
        <v>0</v>
      </c>
      <c r="J449" s="40">
        <v>0</v>
      </c>
      <c r="K449" s="40">
        <v>0</v>
      </c>
      <c r="L449" s="40">
        <v>0</v>
      </c>
      <c r="M449" s="47">
        <f t="shared" si="59"/>
        <v>2686</v>
      </c>
      <c r="N449" s="47">
        <f t="shared" si="60"/>
        <v>2686</v>
      </c>
      <c r="O449">
        <v>4</v>
      </c>
      <c r="P449">
        <v>2</v>
      </c>
      <c r="Q449">
        <v>15</v>
      </c>
      <c r="R449">
        <v>4</v>
      </c>
      <c r="S449">
        <v>2</v>
      </c>
      <c r="T449">
        <v>4</v>
      </c>
      <c r="U449" s="48">
        <f t="shared" si="70"/>
        <v>0.35</v>
      </c>
      <c r="V449" s="47">
        <f t="shared" si="71"/>
        <v>940.0999999999999</v>
      </c>
      <c r="W449" s="47">
        <f t="shared" si="72"/>
        <v>3626.1</v>
      </c>
    </row>
    <row r="450" spans="1:23" ht="12.75">
      <c r="A450" t="s">
        <v>1634</v>
      </c>
      <c r="B450" s="242" t="s">
        <v>334</v>
      </c>
      <c r="C450" s="217">
        <v>15000</v>
      </c>
      <c r="D450" s="217">
        <v>0</v>
      </c>
      <c r="E450" s="217">
        <v>0</v>
      </c>
      <c r="F450" s="47">
        <f t="shared" si="58"/>
        <v>15000</v>
      </c>
      <c r="G450" s="40">
        <v>0</v>
      </c>
      <c r="H450" s="40">
        <v>0</v>
      </c>
      <c r="I450" s="40">
        <v>0</v>
      </c>
      <c r="J450" s="40">
        <v>0</v>
      </c>
      <c r="K450" s="40">
        <v>0</v>
      </c>
      <c r="L450" s="40">
        <v>0</v>
      </c>
      <c r="M450" s="47">
        <f t="shared" si="59"/>
        <v>0</v>
      </c>
      <c r="N450" s="47">
        <f t="shared" si="60"/>
        <v>15000</v>
      </c>
      <c r="O450">
        <v>4</v>
      </c>
      <c r="P450">
        <v>2</v>
      </c>
      <c r="Q450">
        <v>15</v>
      </c>
      <c r="R450">
        <v>4</v>
      </c>
      <c r="S450">
        <v>2</v>
      </c>
      <c r="T450">
        <v>4</v>
      </c>
      <c r="U450" s="48">
        <f t="shared" si="70"/>
        <v>0.35</v>
      </c>
      <c r="V450" s="47">
        <f t="shared" si="71"/>
        <v>5250</v>
      </c>
      <c r="W450" s="47">
        <f t="shared" si="72"/>
        <v>20250</v>
      </c>
    </row>
    <row r="451" spans="1:23" ht="12.75">
      <c r="A451" t="s">
        <v>1635</v>
      </c>
      <c r="B451" s="242" t="s">
        <v>335</v>
      </c>
      <c r="C451" s="217">
        <v>500</v>
      </c>
      <c r="D451" s="217">
        <v>0</v>
      </c>
      <c r="E451" s="217">
        <v>0</v>
      </c>
      <c r="F451" s="47">
        <f t="shared" si="58"/>
        <v>500</v>
      </c>
      <c r="G451" s="40">
        <v>0</v>
      </c>
      <c r="H451" s="40">
        <v>0</v>
      </c>
      <c r="I451" s="40">
        <v>0</v>
      </c>
      <c r="J451" s="40">
        <v>0</v>
      </c>
      <c r="K451" s="40">
        <v>160</v>
      </c>
      <c r="L451" s="40">
        <v>0</v>
      </c>
      <c r="M451" s="47">
        <f t="shared" si="59"/>
        <v>10728</v>
      </c>
      <c r="N451" s="47">
        <f t="shared" si="60"/>
        <v>11228</v>
      </c>
      <c r="O451">
        <v>4</v>
      </c>
      <c r="P451">
        <v>2</v>
      </c>
      <c r="Q451">
        <v>15</v>
      </c>
      <c r="R451">
        <v>4</v>
      </c>
      <c r="S451">
        <v>2</v>
      </c>
      <c r="T451">
        <v>4</v>
      </c>
      <c r="U451" s="48">
        <f t="shared" si="70"/>
        <v>0.35</v>
      </c>
      <c r="V451" s="47">
        <f t="shared" si="71"/>
        <v>3929.7999999999997</v>
      </c>
      <c r="W451" s="47">
        <f t="shared" si="72"/>
        <v>15157.8</v>
      </c>
    </row>
    <row r="452" spans="1:23" ht="12.75">
      <c r="A452" t="s">
        <v>1636</v>
      </c>
      <c r="B452" s="242" t="s">
        <v>336</v>
      </c>
      <c r="C452" s="217">
        <v>1000</v>
      </c>
      <c r="D452" s="217">
        <v>0</v>
      </c>
      <c r="E452" s="217">
        <v>0</v>
      </c>
      <c r="F452" s="47">
        <f t="shared" si="58"/>
        <v>1000</v>
      </c>
      <c r="G452" s="40">
        <v>0</v>
      </c>
      <c r="H452" s="40">
        <v>0</v>
      </c>
      <c r="I452" s="40">
        <v>0</v>
      </c>
      <c r="J452" s="40">
        <v>0</v>
      </c>
      <c r="K452" s="40">
        <v>80</v>
      </c>
      <c r="L452" s="40">
        <v>0</v>
      </c>
      <c r="M452" s="47">
        <f t="shared" si="59"/>
        <v>5364</v>
      </c>
      <c r="N452" s="47">
        <f t="shared" si="60"/>
        <v>6364</v>
      </c>
      <c r="O452">
        <v>4</v>
      </c>
      <c r="P452">
        <v>2</v>
      </c>
      <c r="Q452">
        <v>15</v>
      </c>
      <c r="R452">
        <v>4</v>
      </c>
      <c r="S452">
        <v>2</v>
      </c>
      <c r="T452">
        <v>4</v>
      </c>
      <c r="U452" s="48">
        <f t="shared" si="70"/>
        <v>0.35</v>
      </c>
      <c r="V452" s="47">
        <f t="shared" si="71"/>
        <v>2227.3999999999996</v>
      </c>
      <c r="W452" s="47">
        <f t="shared" si="72"/>
        <v>8591.4</v>
      </c>
    </row>
    <row r="453" spans="1:25" ht="12.75">
      <c r="A453" t="s">
        <v>1637</v>
      </c>
      <c r="B453" t="s">
        <v>906</v>
      </c>
      <c r="C453" s="217">
        <v>0</v>
      </c>
      <c r="D453" s="217">
        <v>0</v>
      </c>
      <c r="E453" s="217">
        <v>0</v>
      </c>
      <c r="F453" s="47">
        <f t="shared" si="58"/>
        <v>0</v>
      </c>
      <c r="G453" s="40">
        <v>0</v>
      </c>
      <c r="H453" s="40">
        <v>0</v>
      </c>
      <c r="I453" s="40">
        <v>0</v>
      </c>
      <c r="J453" s="40">
        <v>0</v>
      </c>
      <c r="K453" s="40">
        <v>0</v>
      </c>
      <c r="L453" s="40">
        <v>0</v>
      </c>
      <c r="M453" s="47">
        <f t="shared" si="59"/>
        <v>0</v>
      </c>
      <c r="N453" s="47">
        <f t="shared" si="60"/>
        <v>0</v>
      </c>
      <c r="O453">
        <v>0</v>
      </c>
      <c r="P453">
        <v>0</v>
      </c>
      <c r="Q453">
        <v>0</v>
      </c>
      <c r="R453">
        <v>0</v>
      </c>
      <c r="S453">
        <v>0</v>
      </c>
      <c r="T453">
        <v>0</v>
      </c>
      <c r="U453" s="48">
        <f t="shared" si="70"/>
        <v>0</v>
      </c>
      <c r="V453" s="47">
        <f t="shared" si="71"/>
        <v>0</v>
      </c>
      <c r="W453" s="47">
        <f t="shared" si="72"/>
        <v>0</v>
      </c>
      <c r="Y453" t="s">
        <v>1409</v>
      </c>
    </row>
    <row r="454" spans="1:23" ht="12.75">
      <c r="A454" t="s">
        <v>1638</v>
      </c>
      <c r="B454" s="242" t="s">
        <v>337</v>
      </c>
      <c r="C454" s="217">
        <v>2000</v>
      </c>
      <c r="D454" s="217">
        <v>0</v>
      </c>
      <c r="E454" s="217">
        <v>0</v>
      </c>
      <c r="F454" s="47">
        <f t="shared" si="58"/>
        <v>2000</v>
      </c>
      <c r="G454" s="40">
        <v>0</v>
      </c>
      <c r="H454" s="40">
        <v>0</v>
      </c>
      <c r="I454" s="40">
        <v>0</v>
      </c>
      <c r="J454" s="40">
        <v>40</v>
      </c>
      <c r="K454" s="40">
        <v>0</v>
      </c>
      <c r="L454" s="40">
        <v>0</v>
      </c>
      <c r="M454" s="47">
        <f t="shared" si="59"/>
        <v>2100</v>
      </c>
      <c r="N454" s="47">
        <f t="shared" si="60"/>
        <v>4100</v>
      </c>
      <c r="O454">
        <v>4</v>
      </c>
      <c r="P454">
        <v>2</v>
      </c>
      <c r="Q454">
        <v>15</v>
      </c>
      <c r="R454">
        <v>4</v>
      </c>
      <c r="S454">
        <v>2</v>
      </c>
      <c r="T454">
        <v>4</v>
      </c>
      <c r="U454" s="48">
        <f t="shared" si="70"/>
        <v>0.35</v>
      </c>
      <c r="V454" s="47">
        <f t="shared" si="71"/>
        <v>1435</v>
      </c>
      <c r="W454" s="47">
        <f t="shared" si="72"/>
        <v>5535</v>
      </c>
    </row>
    <row r="455" spans="1:23" ht="12.75">
      <c r="A455" t="s">
        <v>1639</v>
      </c>
      <c r="B455" s="242" t="s">
        <v>338</v>
      </c>
      <c r="C455" s="217">
        <v>500</v>
      </c>
      <c r="D455" s="217">
        <v>0</v>
      </c>
      <c r="E455" s="217">
        <v>0</v>
      </c>
      <c r="F455" s="47">
        <f t="shared" si="58"/>
        <v>500</v>
      </c>
      <c r="G455" s="40">
        <v>0</v>
      </c>
      <c r="H455" s="40">
        <v>0</v>
      </c>
      <c r="I455" s="40">
        <v>0</v>
      </c>
      <c r="J455" s="40">
        <v>16</v>
      </c>
      <c r="K455" s="40">
        <v>0</v>
      </c>
      <c r="L455" s="40">
        <v>0</v>
      </c>
      <c r="M455" s="47">
        <f t="shared" si="59"/>
        <v>840</v>
      </c>
      <c r="N455" s="47">
        <f t="shared" si="60"/>
        <v>1340</v>
      </c>
      <c r="O455">
        <v>4</v>
      </c>
      <c r="P455">
        <v>2</v>
      </c>
      <c r="Q455">
        <v>15</v>
      </c>
      <c r="R455">
        <v>4</v>
      </c>
      <c r="S455">
        <v>2</v>
      </c>
      <c r="T455">
        <v>4</v>
      </c>
      <c r="U455" s="48">
        <f t="shared" si="70"/>
        <v>0.35</v>
      </c>
      <c r="V455" s="47">
        <f t="shared" si="71"/>
        <v>468.99999999999994</v>
      </c>
      <c r="W455" s="47">
        <f t="shared" si="72"/>
        <v>1809</v>
      </c>
    </row>
    <row r="456" spans="1:25" ht="12.75">
      <c r="A456" t="s">
        <v>1640</v>
      </c>
      <c r="B456" t="s">
        <v>339</v>
      </c>
      <c r="C456" s="217">
        <v>0</v>
      </c>
      <c r="D456" s="217">
        <v>0</v>
      </c>
      <c r="E456" s="217">
        <v>0</v>
      </c>
      <c r="F456" s="47">
        <f aca="true" t="shared" si="73" ref="F456:F513">SUM(C456:E456)</f>
        <v>0</v>
      </c>
      <c r="G456" s="40">
        <v>0</v>
      </c>
      <c r="H456" s="40">
        <v>0</v>
      </c>
      <c r="I456" s="40">
        <v>0</v>
      </c>
      <c r="J456" s="40">
        <v>0</v>
      </c>
      <c r="K456" s="40">
        <v>0</v>
      </c>
      <c r="L456" s="40">
        <v>0</v>
      </c>
      <c r="M456" s="47">
        <f aca="true" t="shared" si="74" ref="M456:M513">$G$3*G456+$H$3*H456+$I$3*I456+$J$3*J456+$K$3*K456+$L$3*L456</f>
        <v>0</v>
      </c>
      <c r="N456" s="47">
        <f aca="true" t="shared" si="75" ref="N456:N513">M456+F456</f>
        <v>0</v>
      </c>
      <c r="O456">
        <v>0</v>
      </c>
      <c r="P456">
        <v>0</v>
      </c>
      <c r="Q456">
        <v>0</v>
      </c>
      <c r="R456">
        <v>0</v>
      </c>
      <c r="S456">
        <v>0</v>
      </c>
      <c r="T456">
        <v>0</v>
      </c>
      <c r="U456" s="48">
        <f t="shared" si="70"/>
        <v>0</v>
      </c>
      <c r="V456" s="47">
        <f t="shared" si="71"/>
        <v>0</v>
      </c>
      <c r="W456" s="47">
        <f t="shared" si="72"/>
        <v>0</v>
      </c>
      <c r="Y456" t="s">
        <v>1410</v>
      </c>
    </row>
    <row r="457" spans="1:23" ht="12.75">
      <c r="A457" t="s">
        <v>1641</v>
      </c>
      <c r="B457" s="242" t="s">
        <v>1051</v>
      </c>
      <c r="C457" s="217">
        <v>1500</v>
      </c>
      <c r="D457" s="217">
        <v>0</v>
      </c>
      <c r="E457" s="217">
        <v>0</v>
      </c>
      <c r="F457" s="47">
        <f t="shared" si="73"/>
        <v>1500</v>
      </c>
      <c r="G457" s="40">
        <v>0</v>
      </c>
      <c r="H457" s="40">
        <v>0</v>
      </c>
      <c r="I457" s="40">
        <v>0</v>
      </c>
      <c r="J457" s="40">
        <v>16</v>
      </c>
      <c r="K457" s="40">
        <v>0</v>
      </c>
      <c r="L457" s="40">
        <v>0</v>
      </c>
      <c r="M457" s="47">
        <f t="shared" si="74"/>
        <v>840</v>
      </c>
      <c r="N457" s="47">
        <f t="shared" si="75"/>
        <v>2340</v>
      </c>
      <c r="O457">
        <v>4</v>
      </c>
      <c r="P457">
        <v>2</v>
      </c>
      <c r="Q457">
        <v>15</v>
      </c>
      <c r="R457">
        <v>4</v>
      </c>
      <c r="S457">
        <v>2</v>
      </c>
      <c r="T457">
        <v>4</v>
      </c>
      <c r="U457" s="48">
        <f t="shared" si="70"/>
        <v>0.35</v>
      </c>
      <c r="V457" s="47">
        <f t="shared" si="71"/>
        <v>819</v>
      </c>
      <c r="W457" s="47">
        <f t="shared" si="72"/>
        <v>3159</v>
      </c>
    </row>
    <row r="458" spans="1:23" ht="12.75">
      <c r="A458" t="s">
        <v>1642</v>
      </c>
      <c r="B458" s="242" t="s">
        <v>340</v>
      </c>
      <c r="C458" s="217">
        <v>200</v>
      </c>
      <c r="D458" s="217">
        <v>0</v>
      </c>
      <c r="E458" s="217">
        <v>0</v>
      </c>
      <c r="F458" s="47">
        <f t="shared" si="73"/>
        <v>200</v>
      </c>
      <c r="G458" s="40">
        <v>0</v>
      </c>
      <c r="H458" s="40">
        <v>0</v>
      </c>
      <c r="I458" s="40">
        <v>0</v>
      </c>
      <c r="J458" s="40">
        <v>16</v>
      </c>
      <c r="K458" s="40">
        <v>0</v>
      </c>
      <c r="L458" s="40">
        <v>0</v>
      </c>
      <c r="M458" s="47">
        <f t="shared" si="74"/>
        <v>840</v>
      </c>
      <c r="N458" s="47">
        <f t="shared" si="75"/>
        <v>1040</v>
      </c>
      <c r="O458">
        <v>4</v>
      </c>
      <c r="P458">
        <v>2</v>
      </c>
      <c r="Q458">
        <v>15</v>
      </c>
      <c r="R458">
        <v>4</v>
      </c>
      <c r="S458">
        <v>2</v>
      </c>
      <c r="T458">
        <v>4</v>
      </c>
      <c r="U458" s="48">
        <f t="shared" si="70"/>
        <v>0.35</v>
      </c>
      <c r="V458" s="47">
        <f t="shared" si="71"/>
        <v>364</v>
      </c>
      <c r="W458" s="47">
        <f t="shared" si="72"/>
        <v>1404</v>
      </c>
    </row>
    <row r="459" spans="1:25" ht="12.75">
      <c r="A459" t="s">
        <v>1643</v>
      </c>
      <c r="B459" t="s">
        <v>341</v>
      </c>
      <c r="C459" s="217">
        <v>0</v>
      </c>
      <c r="D459" s="217">
        <v>0</v>
      </c>
      <c r="E459" s="217">
        <v>0</v>
      </c>
      <c r="F459" s="47">
        <f t="shared" si="73"/>
        <v>0</v>
      </c>
      <c r="G459" s="40">
        <v>0</v>
      </c>
      <c r="H459" s="40">
        <v>0</v>
      </c>
      <c r="I459" s="40">
        <v>0</v>
      </c>
      <c r="J459" s="40">
        <v>0</v>
      </c>
      <c r="K459" s="40">
        <v>0</v>
      </c>
      <c r="L459" s="40">
        <v>0</v>
      </c>
      <c r="M459" s="47">
        <f t="shared" si="74"/>
        <v>0</v>
      </c>
      <c r="N459" s="47">
        <f t="shared" si="75"/>
        <v>0</v>
      </c>
      <c r="O459">
        <v>0</v>
      </c>
      <c r="P459">
        <v>0</v>
      </c>
      <c r="Q459">
        <v>0</v>
      </c>
      <c r="R459">
        <v>0</v>
      </c>
      <c r="S459">
        <v>0</v>
      </c>
      <c r="T459">
        <v>0</v>
      </c>
      <c r="U459" s="48">
        <f t="shared" si="70"/>
        <v>0</v>
      </c>
      <c r="V459" s="47">
        <f t="shared" si="71"/>
        <v>0</v>
      </c>
      <c r="W459" s="47">
        <f t="shared" si="72"/>
        <v>0</v>
      </c>
      <c r="Y459" t="s">
        <v>1411</v>
      </c>
    </row>
    <row r="460" spans="1:23" ht="12.75">
      <c r="A460" t="s">
        <v>1644</v>
      </c>
      <c r="B460" s="242" t="s">
        <v>342</v>
      </c>
      <c r="C460" s="217">
        <v>0</v>
      </c>
      <c r="D460" s="217">
        <v>0</v>
      </c>
      <c r="E460" s="217">
        <v>0</v>
      </c>
      <c r="F460" s="47">
        <f t="shared" si="73"/>
        <v>0</v>
      </c>
      <c r="G460" s="40">
        <v>0</v>
      </c>
      <c r="H460" s="40">
        <v>0</v>
      </c>
      <c r="I460" s="40">
        <v>40</v>
      </c>
      <c r="J460" s="40">
        <v>0</v>
      </c>
      <c r="K460" s="40">
        <v>0</v>
      </c>
      <c r="L460" s="40">
        <v>0</v>
      </c>
      <c r="M460" s="47">
        <f t="shared" si="74"/>
        <v>2250</v>
      </c>
      <c r="N460" s="47">
        <f t="shared" si="75"/>
        <v>2250</v>
      </c>
      <c r="O460">
        <v>4</v>
      </c>
      <c r="P460">
        <v>2</v>
      </c>
      <c r="Q460">
        <v>15</v>
      </c>
      <c r="R460">
        <v>4</v>
      </c>
      <c r="S460">
        <v>2</v>
      </c>
      <c r="T460">
        <v>4</v>
      </c>
      <c r="U460" s="48">
        <f t="shared" si="70"/>
        <v>0.35</v>
      </c>
      <c r="V460" s="47">
        <f t="shared" si="71"/>
        <v>787.5</v>
      </c>
      <c r="W460" s="47">
        <f t="shared" si="72"/>
        <v>3037.5</v>
      </c>
    </row>
    <row r="461" spans="1:23" ht="12.75">
      <c r="A461" t="s">
        <v>1645</v>
      </c>
      <c r="B461" s="242" t="s">
        <v>343</v>
      </c>
      <c r="C461" s="217">
        <v>0</v>
      </c>
      <c r="D461" s="217">
        <v>0</v>
      </c>
      <c r="E461" s="217">
        <v>0</v>
      </c>
      <c r="F461" s="47">
        <f t="shared" si="73"/>
        <v>0</v>
      </c>
      <c r="G461" s="40">
        <v>0</v>
      </c>
      <c r="H461" s="40">
        <v>0</v>
      </c>
      <c r="I461" s="40">
        <v>0</v>
      </c>
      <c r="J461" s="40">
        <v>0</v>
      </c>
      <c r="K461" s="40">
        <v>16</v>
      </c>
      <c r="L461" s="40">
        <v>0</v>
      </c>
      <c r="M461" s="47">
        <f t="shared" si="74"/>
        <v>1072.8</v>
      </c>
      <c r="N461" s="47">
        <f t="shared" si="75"/>
        <v>1072.8</v>
      </c>
      <c r="O461">
        <v>4</v>
      </c>
      <c r="P461">
        <v>2</v>
      </c>
      <c r="Q461">
        <v>15</v>
      </c>
      <c r="R461">
        <v>4</v>
      </c>
      <c r="S461">
        <v>2</v>
      </c>
      <c r="T461">
        <v>4</v>
      </c>
      <c r="U461" s="48">
        <f t="shared" si="70"/>
        <v>0.35</v>
      </c>
      <c r="V461" s="47">
        <f t="shared" si="71"/>
        <v>375.47999999999996</v>
      </c>
      <c r="W461" s="47">
        <f t="shared" si="72"/>
        <v>1448.28</v>
      </c>
    </row>
    <row r="462" spans="1:23" ht="12.75">
      <c r="A462" t="s">
        <v>1646</v>
      </c>
      <c r="B462" s="242" t="s">
        <v>344</v>
      </c>
      <c r="C462" s="217">
        <v>15000</v>
      </c>
      <c r="D462" s="217">
        <v>0</v>
      </c>
      <c r="E462" s="217">
        <v>0</v>
      </c>
      <c r="F462" s="47">
        <f t="shared" si="73"/>
        <v>15000</v>
      </c>
      <c r="G462" s="40">
        <v>0</v>
      </c>
      <c r="H462" s="40">
        <v>0</v>
      </c>
      <c r="I462" s="40">
        <v>0</v>
      </c>
      <c r="J462" s="40">
        <v>0</v>
      </c>
      <c r="K462" s="40">
        <v>0</v>
      </c>
      <c r="L462" s="40">
        <v>0</v>
      </c>
      <c r="M462" s="47">
        <f t="shared" si="74"/>
        <v>0</v>
      </c>
      <c r="N462" s="47">
        <f t="shared" si="75"/>
        <v>15000</v>
      </c>
      <c r="O462">
        <v>4</v>
      </c>
      <c r="P462">
        <v>2</v>
      </c>
      <c r="Q462">
        <v>15</v>
      </c>
      <c r="R462">
        <v>4</v>
      </c>
      <c r="S462">
        <v>2</v>
      </c>
      <c r="T462">
        <v>4</v>
      </c>
      <c r="U462" s="48">
        <f t="shared" si="70"/>
        <v>0.35</v>
      </c>
      <c r="V462" s="47">
        <f t="shared" si="71"/>
        <v>5250</v>
      </c>
      <c r="W462" s="47">
        <f t="shared" si="72"/>
        <v>20250</v>
      </c>
    </row>
    <row r="463" spans="1:23" ht="12.75">
      <c r="A463" t="s">
        <v>1647</v>
      </c>
      <c r="B463" s="242" t="s">
        <v>345</v>
      </c>
      <c r="C463" s="217">
        <v>0</v>
      </c>
      <c r="D463" s="217">
        <v>155000</v>
      </c>
      <c r="E463" s="217">
        <v>0</v>
      </c>
      <c r="F463" s="47">
        <f t="shared" si="73"/>
        <v>155000</v>
      </c>
      <c r="G463" s="40">
        <v>0</v>
      </c>
      <c r="H463" s="40">
        <v>0</v>
      </c>
      <c r="I463" s="40">
        <v>0</v>
      </c>
      <c r="J463" s="40">
        <v>0</v>
      </c>
      <c r="K463" s="40">
        <v>0</v>
      </c>
      <c r="L463" s="40">
        <v>0</v>
      </c>
      <c r="M463" s="47">
        <f t="shared" si="74"/>
        <v>0</v>
      </c>
      <c r="N463" s="47">
        <f t="shared" si="75"/>
        <v>155000</v>
      </c>
      <c r="O463">
        <v>4</v>
      </c>
      <c r="P463">
        <v>2</v>
      </c>
      <c r="Q463">
        <v>15</v>
      </c>
      <c r="R463">
        <v>4</v>
      </c>
      <c r="S463">
        <v>2</v>
      </c>
      <c r="T463">
        <v>4</v>
      </c>
      <c r="U463" s="48">
        <f t="shared" si="70"/>
        <v>0.35</v>
      </c>
      <c r="V463" s="47">
        <f t="shared" si="71"/>
        <v>54250</v>
      </c>
      <c r="W463" s="47">
        <f t="shared" si="72"/>
        <v>209250</v>
      </c>
    </row>
    <row r="464" spans="1:23" ht="12.75">
      <c r="A464" t="s">
        <v>1648</v>
      </c>
      <c r="B464" s="242" t="s">
        <v>346</v>
      </c>
      <c r="C464" s="217">
        <v>0</v>
      </c>
      <c r="D464" s="217">
        <v>0</v>
      </c>
      <c r="E464" s="217">
        <v>0</v>
      </c>
      <c r="F464" s="47">
        <f t="shared" si="73"/>
        <v>0</v>
      </c>
      <c r="G464" s="40">
        <v>0</v>
      </c>
      <c r="H464" s="40">
        <v>0</v>
      </c>
      <c r="I464" s="40">
        <v>0</v>
      </c>
      <c r="J464" s="40">
        <v>0</v>
      </c>
      <c r="K464" s="40">
        <v>32</v>
      </c>
      <c r="L464" s="40">
        <v>0</v>
      </c>
      <c r="M464" s="47">
        <f t="shared" si="74"/>
        <v>2145.6</v>
      </c>
      <c r="N464" s="47">
        <f t="shared" si="75"/>
        <v>2145.6</v>
      </c>
      <c r="O464">
        <v>4</v>
      </c>
      <c r="P464">
        <v>2</v>
      </c>
      <c r="Q464">
        <v>15</v>
      </c>
      <c r="R464">
        <v>4</v>
      </c>
      <c r="S464">
        <v>2</v>
      </c>
      <c r="T464">
        <v>4</v>
      </c>
      <c r="U464" s="48">
        <f t="shared" si="70"/>
        <v>0.35</v>
      </c>
      <c r="V464" s="47">
        <f t="shared" si="71"/>
        <v>750.9599999999999</v>
      </c>
      <c r="W464" s="47">
        <f t="shared" si="72"/>
        <v>2896.56</v>
      </c>
    </row>
    <row r="465" spans="1:25" ht="12.75">
      <c r="A465" t="s">
        <v>1649</v>
      </c>
      <c r="B465" t="s">
        <v>447</v>
      </c>
      <c r="C465" s="217">
        <v>0</v>
      </c>
      <c r="D465" s="217">
        <v>0</v>
      </c>
      <c r="E465" s="217">
        <v>0</v>
      </c>
      <c r="F465" s="47">
        <f t="shared" si="73"/>
        <v>0</v>
      </c>
      <c r="G465" s="40">
        <v>0</v>
      </c>
      <c r="H465" s="40">
        <v>0</v>
      </c>
      <c r="I465" s="40">
        <v>0</v>
      </c>
      <c r="J465" s="40">
        <v>0</v>
      </c>
      <c r="K465" s="40">
        <v>0</v>
      </c>
      <c r="L465" s="40">
        <v>0</v>
      </c>
      <c r="M465" s="47">
        <f t="shared" si="74"/>
        <v>0</v>
      </c>
      <c r="N465" s="47">
        <f t="shared" si="75"/>
        <v>0</v>
      </c>
      <c r="O465">
        <v>0</v>
      </c>
      <c r="P465">
        <v>0</v>
      </c>
      <c r="Q465">
        <v>0</v>
      </c>
      <c r="R465">
        <v>0</v>
      </c>
      <c r="S465">
        <v>0</v>
      </c>
      <c r="T465">
        <v>0</v>
      </c>
      <c r="U465" s="48">
        <f t="shared" si="70"/>
        <v>0</v>
      </c>
      <c r="V465" s="47">
        <f t="shared" si="71"/>
        <v>0</v>
      </c>
      <c r="W465" s="47">
        <f t="shared" si="72"/>
        <v>0</v>
      </c>
      <c r="Y465" t="s">
        <v>1412</v>
      </c>
    </row>
    <row r="466" spans="1:23" ht="12.75">
      <c r="A466" t="s">
        <v>1650</v>
      </c>
      <c r="B466" s="242" t="s">
        <v>1963</v>
      </c>
      <c r="C466" s="217">
        <v>500</v>
      </c>
      <c r="D466" s="217">
        <v>0</v>
      </c>
      <c r="E466" s="217">
        <v>0</v>
      </c>
      <c r="F466" s="47">
        <f t="shared" si="73"/>
        <v>500</v>
      </c>
      <c r="G466" s="40">
        <v>0</v>
      </c>
      <c r="H466" s="40">
        <v>0</v>
      </c>
      <c r="I466" s="40">
        <v>0</v>
      </c>
      <c r="J466" s="40">
        <v>64</v>
      </c>
      <c r="K466" s="40">
        <v>0</v>
      </c>
      <c r="L466" s="40">
        <v>0</v>
      </c>
      <c r="M466" s="47">
        <f t="shared" si="74"/>
        <v>3360</v>
      </c>
      <c r="N466" s="47">
        <f t="shared" si="75"/>
        <v>3860</v>
      </c>
      <c r="O466">
        <v>4</v>
      </c>
      <c r="P466">
        <v>2</v>
      </c>
      <c r="Q466">
        <v>15</v>
      </c>
      <c r="R466">
        <v>4</v>
      </c>
      <c r="S466">
        <v>2</v>
      </c>
      <c r="T466">
        <v>4</v>
      </c>
      <c r="U466" s="48">
        <f aca="true" t="shared" si="76" ref="U466:U513">((O466*P466)+Q466+(R466*S466)+T466)/100</f>
        <v>0.35</v>
      </c>
      <c r="V466" s="47">
        <f aca="true" t="shared" si="77" ref="V466:V513">+(F466+M466)*U466</f>
        <v>1351</v>
      </c>
      <c r="W466" s="47">
        <f aca="true" t="shared" si="78" ref="W466:W513">+F466+M466+V466</f>
        <v>5211</v>
      </c>
    </row>
    <row r="467" spans="1:23" ht="12.75">
      <c r="A467" t="s">
        <v>1651</v>
      </c>
      <c r="B467" s="242" t="s">
        <v>347</v>
      </c>
      <c r="C467" s="217">
        <v>0</v>
      </c>
      <c r="D467" s="217">
        <v>0</v>
      </c>
      <c r="E467" s="217">
        <v>0</v>
      </c>
      <c r="F467" s="47">
        <f t="shared" si="73"/>
        <v>0</v>
      </c>
      <c r="G467" s="40">
        <v>0</v>
      </c>
      <c r="H467" s="40">
        <v>0</v>
      </c>
      <c r="I467" s="40">
        <v>0</v>
      </c>
      <c r="J467" s="40">
        <v>48</v>
      </c>
      <c r="K467" s="40">
        <v>0</v>
      </c>
      <c r="L467" s="40">
        <v>0</v>
      </c>
      <c r="M467" s="47">
        <f t="shared" si="74"/>
        <v>2520</v>
      </c>
      <c r="N467" s="47">
        <f t="shared" si="75"/>
        <v>2520</v>
      </c>
      <c r="O467">
        <v>4</v>
      </c>
      <c r="P467">
        <v>2</v>
      </c>
      <c r="Q467">
        <v>15</v>
      </c>
      <c r="R467">
        <v>4</v>
      </c>
      <c r="S467">
        <v>2</v>
      </c>
      <c r="T467">
        <v>4</v>
      </c>
      <c r="U467" s="48">
        <f t="shared" si="76"/>
        <v>0.35</v>
      </c>
      <c r="V467" s="47">
        <f t="shared" si="77"/>
        <v>882</v>
      </c>
      <c r="W467" s="47">
        <f t="shared" si="78"/>
        <v>3402</v>
      </c>
    </row>
    <row r="468" spans="1:25" ht="12.75">
      <c r="A468" t="s">
        <v>1652</v>
      </c>
      <c r="B468" t="s">
        <v>348</v>
      </c>
      <c r="C468" s="217">
        <v>0</v>
      </c>
      <c r="D468" s="217">
        <v>0</v>
      </c>
      <c r="E468" s="217">
        <v>0</v>
      </c>
      <c r="F468" s="47">
        <f t="shared" si="73"/>
        <v>0</v>
      </c>
      <c r="G468" s="40">
        <v>0</v>
      </c>
      <c r="H468" s="40">
        <v>0</v>
      </c>
      <c r="I468" s="40">
        <v>0</v>
      </c>
      <c r="J468" s="40">
        <v>0</v>
      </c>
      <c r="K468" s="40">
        <v>0</v>
      </c>
      <c r="L468" s="40">
        <v>0</v>
      </c>
      <c r="M468" s="47">
        <f t="shared" si="74"/>
        <v>0</v>
      </c>
      <c r="N468" s="47">
        <f t="shared" si="75"/>
        <v>0</v>
      </c>
      <c r="O468">
        <v>0</v>
      </c>
      <c r="P468">
        <v>0</v>
      </c>
      <c r="Q468">
        <v>0</v>
      </c>
      <c r="R468">
        <v>0</v>
      </c>
      <c r="S468">
        <v>0</v>
      </c>
      <c r="T468">
        <v>0</v>
      </c>
      <c r="U468" s="48">
        <f t="shared" si="76"/>
        <v>0</v>
      </c>
      <c r="V468" s="47">
        <f t="shared" si="77"/>
        <v>0</v>
      </c>
      <c r="W468" s="47">
        <f t="shared" si="78"/>
        <v>0</v>
      </c>
      <c r="Y468" t="s">
        <v>1413</v>
      </c>
    </row>
    <row r="469" spans="1:23" ht="12.75">
      <c r="A469" t="s">
        <v>1653</v>
      </c>
      <c r="B469" s="242" t="s">
        <v>1052</v>
      </c>
      <c r="C469" s="217">
        <v>0</v>
      </c>
      <c r="D469" s="217">
        <v>0</v>
      </c>
      <c r="E469" s="217">
        <v>0</v>
      </c>
      <c r="F469" s="47">
        <f t="shared" si="73"/>
        <v>0</v>
      </c>
      <c r="G469" s="40">
        <v>0</v>
      </c>
      <c r="H469" s="40">
        <v>0</v>
      </c>
      <c r="I469" s="40">
        <v>0</v>
      </c>
      <c r="J469" s="40">
        <v>80</v>
      </c>
      <c r="K469" s="40">
        <v>0</v>
      </c>
      <c r="L469" s="40">
        <v>0</v>
      </c>
      <c r="M469" s="47">
        <f t="shared" si="74"/>
        <v>4200</v>
      </c>
      <c r="N469" s="47">
        <f t="shared" si="75"/>
        <v>4200</v>
      </c>
      <c r="O469">
        <v>8</v>
      </c>
      <c r="P469">
        <v>2</v>
      </c>
      <c r="Q469">
        <v>15</v>
      </c>
      <c r="R469">
        <v>4</v>
      </c>
      <c r="S469">
        <v>2</v>
      </c>
      <c r="T469">
        <v>4</v>
      </c>
      <c r="U469" s="48">
        <f t="shared" si="76"/>
        <v>0.43</v>
      </c>
      <c r="V469" s="47">
        <f t="shared" si="77"/>
        <v>1806</v>
      </c>
      <c r="W469" s="47">
        <f t="shared" si="78"/>
        <v>6006</v>
      </c>
    </row>
    <row r="470" spans="1:25" ht="12.75">
      <c r="A470" t="s">
        <v>989</v>
      </c>
      <c r="B470" t="s">
        <v>1053</v>
      </c>
      <c r="C470" s="217">
        <v>0</v>
      </c>
      <c r="D470" s="217">
        <v>0</v>
      </c>
      <c r="E470" s="217">
        <v>0</v>
      </c>
      <c r="F470" s="47">
        <f t="shared" si="73"/>
        <v>0</v>
      </c>
      <c r="G470" s="40">
        <v>0</v>
      </c>
      <c r="H470" s="40">
        <v>0</v>
      </c>
      <c r="I470" s="40">
        <v>0</v>
      </c>
      <c r="J470" s="40">
        <v>0</v>
      </c>
      <c r="K470" s="40">
        <v>0</v>
      </c>
      <c r="L470" s="40">
        <v>0</v>
      </c>
      <c r="M470" s="47">
        <f t="shared" si="74"/>
        <v>0</v>
      </c>
      <c r="N470" s="47">
        <f t="shared" si="75"/>
        <v>0</v>
      </c>
      <c r="O470">
        <v>0</v>
      </c>
      <c r="P470">
        <v>0</v>
      </c>
      <c r="Q470">
        <v>0</v>
      </c>
      <c r="R470">
        <v>0</v>
      </c>
      <c r="S470">
        <v>0</v>
      </c>
      <c r="T470">
        <v>0</v>
      </c>
      <c r="U470" s="48">
        <f t="shared" si="76"/>
        <v>0</v>
      </c>
      <c r="V470" s="47">
        <f t="shared" si="77"/>
        <v>0</v>
      </c>
      <c r="W470" s="47">
        <f t="shared" si="78"/>
        <v>0</v>
      </c>
      <c r="Y470" t="s">
        <v>1414</v>
      </c>
    </row>
    <row r="471" spans="1:23" ht="12.75">
      <c r="A471" t="s">
        <v>990</v>
      </c>
      <c r="B471" s="242" t="s">
        <v>1057</v>
      </c>
      <c r="C471" s="217">
        <v>0</v>
      </c>
      <c r="D471" s="217">
        <v>0</v>
      </c>
      <c r="E471" s="217">
        <v>0</v>
      </c>
      <c r="F471" s="47">
        <f t="shared" si="73"/>
        <v>0</v>
      </c>
      <c r="G471" s="40">
        <v>0</v>
      </c>
      <c r="H471" s="40">
        <v>0</v>
      </c>
      <c r="I471" s="40">
        <v>0</v>
      </c>
      <c r="J471" s="40">
        <v>720</v>
      </c>
      <c r="K471" s="40">
        <v>0</v>
      </c>
      <c r="L471" s="40">
        <v>0</v>
      </c>
      <c r="M471" s="47">
        <f t="shared" si="74"/>
        <v>37800</v>
      </c>
      <c r="N471" s="47">
        <f t="shared" si="75"/>
        <v>37800</v>
      </c>
      <c r="O471">
        <v>4</v>
      </c>
      <c r="P471">
        <v>2</v>
      </c>
      <c r="Q471">
        <v>15</v>
      </c>
      <c r="R471">
        <v>4</v>
      </c>
      <c r="S471">
        <v>1</v>
      </c>
      <c r="T471">
        <v>8</v>
      </c>
      <c r="U471" s="48">
        <f t="shared" si="76"/>
        <v>0.35</v>
      </c>
      <c r="V471" s="47">
        <f t="shared" si="77"/>
        <v>13230</v>
      </c>
      <c r="W471" s="47">
        <f t="shared" si="78"/>
        <v>51030</v>
      </c>
    </row>
    <row r="472" spans="1:23" ht="12.75">
      <c r="A472" t="s">
        <v>1058</v>
      </c>
      <c r="B472" s="242" t="s">
        <v>1059</v>
      </c>
      <c r="C472" s="217">
        <v>0</v>
      </c>
      <c r="D472" s="217">
        <v>0</v>
      </c>
      <c r="E472" s="217">
        <v>0</v>
      </c>
      <c r="F472" s="47">
        <f t="shared" si="73"/>
        <v>0</v>
      </c>
      <c r="G472" s="40">
        <v>0</v>
      </c>
      <c r="H472" s="40">
        <v>0</v>
      </c>
      <c r="I472" s="40">
        <v>0</v>
      </c>
      <c r="J472" s="40">
        <v>720</v>
      </c>
      <c r="K472" s="40">
        <v>0</v>
      </c>
      <c r="L472" s="40">
        <v>0</v>
      </c>
      <c r="M472" s="47">
        <f t="shared" si="74"/>
        <v>37800</v>
      </c>
      <c r="N472" s="47">
        <f t="shared" si="75"/>
        <v>37800</v>
      </c>
      <c r="O472">
        <v>4</v>
      </c>
      <c r="P472">
        <v>2</v>
      </c>
      <c r="Q472">
        <v>15</v>
      </c>
      <c r="R472">
        <v>4</v>
      </c>
      <c r="S472">
        <v>1</v>
      </c>
      <c r="T472">
        <v>8</v>
      </c>
      <c r="U472" s="48">
        <f t="shared" si="76"/>
        <v>0.35</v>
      </c>
      <c r="V472" s="47">
        <f t="shared" si="77"/>
        <v>13230</v>
      </c>
      <c r="W472" s="47">
        <f t="shared" si="78"/>
        <v>51030</v>
      </c>
    </row>
    <row r="473" spans="1:25" ht="12.75">
      <c r="A473" t="s">
        <v>1654</v>
      </c>
      <c r="B473" t="s">
        <v>349</v>
      </c>
      <c r="C473" s="217">
        <v>0</v>
      </c>
      <c r="D473" s="217">
        <v>0</v>
      </c>
      <c r="E473" s="217">
        <v>0</v>
      </c>
      <c r="F473" s="47">
        <f t="shared" si="73"/>
        <v>0</v>
      </c>
      <c r="G473" s="40">
        <v>0</v>
      </c>
      <c r="H473" s="40">
        <v>0</v>
      </c>
      <c r="I473" s="40">
        <v>0</v>
      </c>
      <c r="J473" s="40">
        <v>0</v>
      </c>
      <c r="K473" s="40">
        <v>0</v>
      </c>
      <c r="L473" s="40">
        <v>0</v>
      </c>
      <c r="M473" s="47">
        <f t="shared" si="74"/>
        <v>0</v>
      </c>
      <c r="N473" s="47">
        <f t="shared" si="75"/>
        <v>0</v>
      </c>
      <c r="O473">
        <v>0</v>
      </c>
      <c r="P473">
        <v>0</v>
      </c>
      <c r="Q473">
        <v>0</v>
      </c>
      <c r="R473">
        <v>0</v>
      </c>
      <c r="S473">
        <v>0</v>
      </c>
      <c r="T473">
        <v>0</v>
      </c>
      <c r="U473" s="48">
        <f t="shared" si="76"/>
        <v>0</v>
      </c>
      <c r="V473" s="47">
        <f t="shared" si="77"/>
        <v>0</v>
      </c>
      <c r="W473" s="47">
        <f t="shared" si="78"/>
        <v>0</v>
      </c>
      <c r="Y473" t="s">
        <v>1415</v>
      </c>
    </row>
    <row r="474" spans="1:25" ht="12.75">
      <c r="A474" t="s">
        <v>1655</v>
      </c>
      <c r="B474" t="s">
        <v>896</v>
      </c>
      <c r="C474" s="217">
        <v>0</v>
      </c>
      <c r="D474" s="217">
        <v>0</v>
      </c>
      <c r="E474" s="217">
        <v>0</v>
      </c>
      <c r="F474" s="47">
        <f t="shared" si="73"/>
        <v>0</v>
      </c>
      <c r="G474" s="40">
        <v>0</v>
      </c>
      <c r="H474" s="40">
        <v>0</v>
      </c>
      <c r="I474" s="40">
        <v>0</v>
      </c>
      <c r="J474" s="40">
        <v>0</v>
      </c>
      <c r="K474" s="40">
        <v>0</v>
      </c>
      <c r="L474" s="40">
        <v>0</v>
      </c>
      <c r="M474" s="47">
        <f t="shared" si="74"/>
        <v>0</v>
      </c>
      <c r="N474" s="47">
        <f t="shared" si="75"/>
        <v>0</v>
      </c>
      <c r="O474">
        <v>0</v>
      </c>
      <c r="P474">
        <v>0</v>
      </c>
      <c r="Q474">
        <v>0</v>
      </c>
      <c r="R474">
        <v>0</v>
      </c>
      <c r="S474">
        <v>0</v>
      </c>
      <c r="T474">
        <v>0</v>
      </c>
      <c r="U474" s="48">
        <f t="shared" si="76"/>
        <v>0</v>
      </c>
      <c r="V474" s="47">
        <f t="shared" si="77"/>
        <v>0</v>
      </c>
      <c r="W474" s="47">
        <f t="shared" si="78"/>
        <v>0</v>
      </c>
      <c r="Y474" t="s">
        <v>1988</v>
      </c>
    </row>
    <row r="475" spans="1:25" ht="12.75">
      <c r="A475" t="s">
        <v>1656</v>
      </c>
      <c r="B475" s="242" t="s">
        <v>140</v>
      </c>
      <c r="C475" s="217">
        <v>0</v>
      </c>
      <c r="D475" s="217">
        <v>15000</v>
      </c>
      <c r="E475" s="217">
        <v>0</v>
      </c>
      <c r="F475" s="47">
        <f t="shared" si="73"/>
        <v>15000</v>
      </c>
      <c r="G475" s="40">
        <v>0</v>
      </c>
      <c r="H475" s="40">
        <v>0</v>
      </c>
      <c r="I475" s="40">
        <v>0</v>
      </c>
      <c r="J475" s="40">
        <v>0</v>
      </c>
      <c r="K475" s="40">
        <v>0</v>
      </c>
      <c r="L475" s="40">
        <v>0</v>
      </c>
      <c r="M475" s="47">
        <f t="shared" si="74"/>
        <v>0</v>
      </c>
      <c r="N475" s="47">
        <f t="shared" si="75"/>
        <v>15000</v>
      </c>
      <c r="O475">
        <v>2</v>
      </c>
      <c r="P475">
        <v>2</v>
      </c>
      <c r="Q475">
        <v>10</v>
      </c>
      <c r="R475">
        <v>4</v>
      </c>
      <c r="S475">
        <v>2</v>
      </c>
      <c r="T475">
        <v>4</v>
      </c>
      <c r="U475" s="48">
        <f t="shared" si="76"/>
        <v>0.26</v>
      </c>
      <c r="V475" s="47">
        <f t="shared" si="77"/>
        <v>3900</v>
      </c>
      <c r="W475" s="47">
        <f t="shared" si="78"/>
        <v>18900</v>
      </c>
      <c r="Y475" t="s">
        <v>1989</v>
      </c>
    </row>
    <row r="476" spans="1:23" ht="12.75">
      <c r="A476" t="s">
        <v>1657</v>
      </c>
      <c r="B476" s="242" t="s">
        <v>1856</v>
      </c>
      <c r="C476" s="217">
        <v>0</v>
      </c>
      <c r="D476" s="217">
        <v>0</v>
      </c>
      <c r="E476" s="217">
        <v>0</v>
      </c>
      <c r="F476" s="47">
        <f t="shared" si="73"/>
        <v>0</v>
      </c>
      <c r="G476" s="40">
        <v>0</v>
      </c>
      <c r="H476" s="40">
        <v>0</v>
      </c>
      <c r="I476" s="40">
        <v>0</v>
      </c>
      <c r="J476" s="40">
        <v>0</v>
      </c>
      <c r="K476" s="40">
        <v>16</v>
      </c>
      <c r="L476" s="40">
        <v>0</v>
      </c>
      <c r="M476" s="47">
        <f t="shared" si="74"/>
        <v>1072.8</v>
      </c>
      <c r="N476" s="47">
        <f t="shared" si="75"/>
        <v>1072.8</v>
      </c>
      <c r="O476">
        <v>2</v>
      </c>
      <c r="P476">
        <v>2</v>
      </c>
      <c r="Q476">
        <v>10</v>
      </c>
      <c r="R476">
        <v>4</v>
      </c>
      <c r="S476">
        <v>2</v>
      </c>
      <c r="T476">
        <v>4</v>
      </c>
      <c r="U476" s="48">
        <f t="shared" si="76"/>
        <v>0.26</v>
      </c>
      <c r="V476" s="47">
        <f t="shared" si="77"/>
        <v>278.928</v>
      </c>
      <c r="W476" s="47">
        <f t="shared" si="78"/>
        <v>1351.728</v>
      </c>
    </row>
    <row r="477" spans="1:23" ht="12.75">
      <c r="A477" t="s">
        <v>1658</v>
      </c>
      <c r="B477" s="242" t="s">
        <v>1857</v>
      </c>
      <c r="C477" s="217">
        <v>0</v>
      </c>
      <c r="D477" s="217">
        <v>0</v>
      </c>
      <c r="E477" s="217">
        <v>0</v>
      </c>
      <c r="F477" s="47">
        <f t="shared" si="73"/>
        <v>0</v>
      </c>
      <c r="G477" s="40">
        <v>0</v>
      </c>
      <c r="H477" s="40">
        <v>0</v>
      </c>
      <c r="I477" s="40">
        <v>0</v>
      </c>
      <c r="J477" s="40">
        <v>0</v>
      </c>
      <c r="K477" s="40">
        <v>12</v>
      </c>
      <c r="L477" s="40">
        <v>0</v>
      </c>
      <c r="M477" s="47">
        <f t="shared" si="74"/>
        <v>804.5999999999999</v>
      </c>
      <c r="N477" s="47">
        <f t="shared" si="75"/>
        <v>804.5999999999999</v>
      </c>
      <c r="O477">
        <v>2</v>
      </c>
      <c r="P477">
        <v>2</v>
      </c>
      <c r="Q477">
        <v>10</v>
      </c>
      <c r="R477">
        <v>4</v>
      </c>
      <c r="S477">
        <v>2</v>
      </c>
      <c r="T477">
        <v>4</v>
      </c>
      <c r="U477" s="48">
        <f t="shared" si="76"/>
        <v>0.26</v>
      </c>
      <c r="V477" s="47">
        <f t="shared" si="77"/>
        <v>209.19599999999997</v>
      </c>
      <c r="W477" s="47">
        <f t="shared" si="78"/>
        <v>1013.7959999999998</v>
      </c>
    </row>
    <row r="478" spans="1:23" ht="12.75">
      <c r="A478" t="s">
        <v>1659</v>
      </c>
      <c r="B478" s="242" t="s">
        <v>350</v>
      </c>
      <c r="C478" s="217">
        <v>0</v>
      </c>
      <c r="D478" s="217">
        <v>0</v>
      </c>
      <c r="E478" s="217">
        <v>0</v>
      </c>
      <c r="F478" s="47">
        <f t="shared" si="73"/>
        <v>0</v>
      </c>
      <c r="G478" s="40">
        <v>0</v>
      </c>
      <c r="H478" s="40">
        <v>0</v>
      </c>
      <c r="I478" s="40">
        <v>0</v>
      </c>
      <c r="J478" s="40">
        <v>0</v>
      </c>
      <c r="K478" s="40">
        <v>24</v>
      </c>
      <c r="L478" s="40">
        <v>0</v>
      </c>
      <c r="M478" s="47">
        <f t="shared" si="74"/>
        <v>1609.1999999999998</v>
      </c>
      <c r="N478" s="47">
        <f t="shared" si="75"/>
        <v>1609.1999999999998</v>
      </c>
      <c r="O478">
        <v>4</v>
      </c>
      <c r="P478">
        <v>2</v>
      </c>
      <c r="Q478">
        <v>15</v>
      </c>
      <c r="R478">
        <v>4</v>
      </c>
      <c r="S478">
        <v>2</v>
      </c>
      <c r="T478">
        <v>4</v>
      </c>
      <c r="U478" s="48">
        <f t="shared" si="76"/>
        <v>0.35</v>
      </c>
      <c r="V478" s="47">
        <f t="shared" si="77"/>
        <v>563.2199999999999</v>
      </c>
      <c r="W478" s="47">
        <f t="shared" si="78"/>
        <v>2172.4199999999996</v>
      </c>
    </row>
    <row r="479" spans="1:23" ht="12.75">
      <c r="A479" t="s">
        <v>1660</v>
      </c>
      <c r="B479" s="242" t="s">
        <v>351</v>
      </c>
      <c r="C479" s="217">
        <v>3000</v>
      </c>
      <c r="D479" s="217">
        <v>0</v>
      </c>
      <c r="E479" s="217">
        <v>0</v>
      </c>
      <c r="F479" s="47">
        <f t="shared" si="73"/>
        <v>3000</v>
      </c>
      <c r="G479" s="40">
        <v>0</v>
      </c>
      <c r="H479" s="40">
        <v>0</v>
      </c>
      <c r="I479" s="40">
        <v>0</v>
      </c>
      <c r="J479" s="40">
        <v>0</v>
      </c>
      <c r="K479" s="40">
        <v>80</v>
      </c>
      <c r="L479" s="40">
        <v>0</v>
      </c>
      <c r="M479" s="47">
        <f t="shared" si="74"/>
        <v>5364</v>
      </c>
      <c r="N479" s="47">
        <f t="shared" si="75"/>
        <v>8364</v>
      </c>
      <c r="O479">
        <v>4</v>
      </c>
      <c r="P479">
        <v>2</v>
      </c>
      <c r="Q479">
        <v>15</v>
      </c>
      <c r="R479">
        <v>4</v>
      </c>
      <c r="S479">
        <v>2</v>
      </c>
      <c r="T479">
        <v>4</v>
      </c>
      <c r="U479" s="48">
        <f t="shared" si="76"/>
        <v>0.35</v>
      </c>
      <c r="V479" s="47">
        <f t="shared" si="77"/>
        <v>2927.3999999999996</v>
      </c>
      <c r="W479" s="47">
        <f t="shared" si="78"/>
        <v>11291.4</v>
      </c>
    </row>
    <row r="480" spans="1:23" ht="12.75">
      <c r="A480" t="s">
        <v>1661</v>
      </c>
      <c r="B480" s="242" t="s">
        <v>352</v>
      </c>
      <c r="C480" s="217">
        <v>500</v>
      </c>
      <c r="D480" s="217">
        <v>9000</v>
      </c>
      <c r="E480" s="217">
        <v>0</v>
      </c>
      <c r="F480" s="47">
        <f t="shared" si="73"/>
        <v>9500</v>
      </c>
      <c r="G480" s="40">
        <v>0</v>
      </c>
      <c r="H480" s="40">
        <v>0</v>
      </c>
      <c r="I480" s="40">
        <v>0</v>
      </c>
      <c r="J480" s="40">
        <v>160</v>
      </c>
      <c r="K480" s="40">
        <v>0</v>
      </c>
      <c r="L480" s="40">
        <v>0</v>
      </c>
      <c r="M480" s="47">
        <f t="shared" si="74"/>
        <v>8400</v>
      </c>
      <c r="N480" s="47">
        <f t="shared" si="75"/>
        <v>17900</v>
      </c>
      <c r="O480">
        <v>4</v>
      </c>
      <c r="P480">
        <v>2</v>
      </c>
      <c r="Q480">
        <v>15</v>
      </c>
      <c r="R480">
        <v>4</v>
      </c>
      <c r="S480">
        <v>2</v>
      </c>
      <c r="T480">
        <v>4</v>
      </c>
      <c r="U480" s="48">
        <f t="shared" si="76"/>
        <v>0.35</v>
      </c>
      <c r="V480" s="47">
        <f t="shared" si="77"/>
        <v>6265</v>
      </c>
      <c r="W480" s="47">
        <f t="shared" si="78"/>
        <v>24165</v>
      </c>
    </row>
    <row r="481" spans="1:23" ht="12.75">
      <c r="A481" t="s">
        <v>1662</v>
      </c>
      <c r="B481" s="242" t="s">
        <v>1055</v>
      </c>
      <c r="C481" s="217">
        <v>2000</v>
      </c>
      <c r="D481" s="217">
        <v>24000</v>
      </c>
      <c r="E481" s="217">
        <v>0</v>
      </c>
      <c r="F481" s="47">
        <f t="shared" si="73"/>
        <v>26000</v>
      </c>
      <c r="G481" s="40">
        <v>0</v>
      </c>
      <c r="H481" s="40">
        <v>0</v>
      </c>
      <c r="I481" s="40">
        <v>0</v>
      </c>
      <c r="J481" s="40">
        <v>240</v>
      </c>
      <c r="K481" s="40">
        <v>0</v>
      </c>
      <c r="L481" s="40">
        <v>0</v>
      </c>
      <c r="M481" s="47">
        <f t="shared" si="74"/>
        <v>12600</v>
      </c>
      <c r="N481" s="47">
        <f t="shared" si="75"/>
        <v>38600</v>
      </c>
      <c r="O481">
        <v>4</v>
      </c>
      <c r="P481">
        <v>2</v>
      </c>
      <c r="Q481">
        <v>15</v>
      </c>
      <c r="R481">
        <v>4</v>
      </c>
      <c r="S481">
        <v>2</v>
      </c>
      <c r="T481">
        <v>4</v>
      </c>
      <c r="U481" s="48">
        <f t="shared" si="76"/>
        <v>0.35</v>
      </c>
      <c r="V481" s="47">
        <f t="shared" si="77"/>
        <v>13510</v>
      </c>
      <c r="W481" s="47">
        <f t="shared" si="78"/>
        <v>52110</v>
      </c>
    </row>
    <row r="482" spans="1:25" ht="12.75">
      <c r="A482" s="324" t="s">
        <v>1663</v>
      </c>
      <c r="B482" s="241" t="s">
        <v>353</v>
      </c>
      <c r="C482" s="217">
        <v>0</v>
      </c>
      <c r="D482" s="217">
        <v>0</v>
      </c>
      <c r="E482" s="217">
        <v>0</v>
      </c>
      <c r="F482" s="47">
        <f t="shared" si="73"/>
        <v>0</v>
      </c>
      <c r="G482" s="40">
        <v>0</v>
      </c>
      <c r="H482" s="40">
        <v>0</v>
      </c>
      <c r="I482" s="40">
        <v>0</v>
      </c>
      <c r="J482" s="40">
        <v>0</v>
      </c>
      <c r="K482" s="40">
        <v>0</v>
      </c>
      <c r="L482" s="40">
        <v>0</v>
      </c>
      <c r="M482" s="47">
        <f t="shared" si="74"/>
        <v>0</v>
      </c>
      <c r="N482" s="47">
        <f t="shared" si="75"/>
        <v>0</v>
      </c>
      <c r="O482">
        <v>0</v>
      </c>
      <c r="P482">
        <v>0</v>
      </c>
      <c r="Q482">
        <v>0</v>
      </c>
      <c r="R482">
        <v>0</v>
      </c>
      <c r="S482">
        <v>0</v>
      </c>
      <c r="T482">
        <v>0</v>
      </c>
      <c r="U482" s="48">
        <f t="shared" si="76"/>
        <v>0</v>
      </c>
      <c r="V482" s="47">
        <f t="shared" si="77"/>
        <v>0</v>
      </c>
      <c r="W482" s="47">
        <f t="shared" si="78"/>
        <v>0</v>
      </c>
      <c r="Y482" t="s">
        <v>1416</v>
      </c>
    </row>
    <row r="483" spans="1:25" ht="12.75">
      <c r="A483" s="325" t="s">
        <v>1664</v>
      </c>
      <c r="B483" s="240" t="s">
        <v>354</v>
      </c>
      <c r="C483" s="217">
        <v>0</v>
      </c>
      <c r="D483" s="217">
        <v>0</v>
      </c>
      <c r="E483" s="217">
        <v>0</v>
      </c>
      <c r="F483" s="47">
        <f t="shared" si="73"/>
        <v>0</v>
      </c>
      <c r="G483" s="40">
        <v>0</v>
      </c>
      <c r="H483" s="40">
        <v>0</v>
      </c>
      <c r="I483" s="40">
        <v>0</v>
      </c>
      <c r="J483" s="40">
        <v>0</v>
      </c>
      <c r="K483" s="40">
        <v>0</v>
      </c>
      <c r="L483" s="40">
        <v>0</v>
      </c>
      <c r="M483" s="47">
        <f t="shared" si="74"/>
        <v>0</v>
      </c>
      <c r="N483" s="47">
        <f t="shared" si="75"/>
        <v>0</v>
      </c>
      <c r="O483">
        <v>0</v>
      </c>
      <c r="P483">
        <v>0</v>
      </c>
      <c r="Q483">
        <v>0</v>
      </c>
      <c r="R483">
        <v>0</v>
      </c>
      <c r="S483">
        <v>0</v>
      </c>
      <c r="T483">
        <v>0</v>
      </c>
      <c r="U483" s="48">
        <f t="shared" si="76"/>
        <v>0</v>
      </c>
      <c r="V483" s="47">
        <f t="shared" si="77"/>
        <v>0</v>
      </c>
      <c r="W483" s="47">
        <f t="shared" si="78"/>
        <v>0</v>
      </c>
      <c r="Y483" t="s">
        <v>1417</v>
      </c>
    </row>
    <row r="484" spans="1:23" ht="12.75">
      <c r="A484" t="s">
        <v>1665</v>
      </c>
      <c r="B484" s="242" t="s">
        <v>1775</v>
      </c>
      <c r="C484" s="217">
        <v>0</v>
      </c>
      <c r="D484" s="217">
        <v>0</v>
      </c>
      <c r="E484" s="217">
        <v>0</v>
      </c>
      <c r="F484" s="47">
        <f t="shared" si="73"/>
        <v>0</v>
      </c>
      <c r="G484" s="40">
        <v>40</v>
      </c>
      <c r="H484" s="40">
        <v>0</v>
      </c>
      <c r="I484" s="40">
        <v>0</v>
      </c>
      <c r="J484" s="40">
        <v>0</v>
      </c>
      <c r="K484" s="40">
        <v>0</v>
      </c>
      <c r="L484" s="40">
        <v>0</v>
      </c>
      <c r="M484" s="47">
        <f t="shared" si="74"/>
        <v>2686</v>
      </c>
      <c r="N484" s="47">
        <f t="shared" si="75"/>
        <v>2686</v>
      </c>
      <c r="O484">
        <v>4</v>
      </c>
      <c r="P484">
        <v>2</v>
      </c>
      <c r="Q484">
        <v>15</v>
      </c>
      <c r="R484">
        <v>4</v>
      </c>
      <c r="S484">
        <v>2</v>
      </c>
      <c r="T484">
        <v>4</v>
      </c>
      <c r="U484" s="48">
        <f t="shared" si="76"/>
        <v>0.35</v>
      </c>
      <c r="V484" s="47">
        <f t="shared" si="77"/>
        <v>940.0999999999999</v>
      </c>
      <c r="W484" s="47">
        <f t="shared" si="78"/>
        <v>3626.1</v>
      </c>
    </row>
    <row r="485" spans="1:23" ht="12.75">
      <c r="A485" t="s">
        <v>1666</v>
      </c>
      <c r="B485" s="242" t="s">
        <v>826</v>
      </c>
      <c r="C485" s="217">
        <v>0</v>
      </c>
      <c r="D485" s="217">
        <v>0</v>
      </c>
      <c r="E485" s="217">
        <v>0</v>
      </c>
      <c r="F485" s="47">
        <f t="shared" si="73"/>
        <v>0</v>
      </c>
      <c r="G485" s="40">
        <v>0</v>
      </c>
      <c r="H485" s="40">
        <v>0</v>
      </c>
      <c r="I485" s="40">
        <v>120</v>
      </c>
      <c r="J485" s="40">
        <v>0</v>
      </c>
      <c r="K485" s="40">
        <v>0</v>
      </c>
      <c r="L485" s="40">
        <v>0</v>
      </c>
      <c r="M485" s="47">
        <f t="shared" si="74"/>
        <v>6750</v>
      </c>
      <c r="N485" s="47">
        <f t="shared" si="75"/>
        <v>6750</v>
      </c>
      <c r="O485">
        <v>4</v>
      </c>
      <c r="P485">
        <v>2</v>
      </c>
      <c r="Q485">
        <v>15</v>
      </c>
      <c r="R485">
        <v>4</v>
      </c>
      <c r="S485">
        <v>2</v>
      </c>
      <c r="T485">
        <v>4</v>
      </c>
      <c r="U485" s="48">
        <f t="shared" si="76"/>
        <v>0.35</v>
      </c>
      <c r="V485" s="47">
        <f t="shared" si="77"/>
        <v>2362.5</v>
      </c>
      <c r="W485" s="47">
        <f t="shared" si="78"/>
        <v>9112.5</v>
      </c>
    </row>
    <row r="486" spans="1:23" ht="12.75">
      <c r="A486" t="s">
        <v>1667</v>
      </c>
      <c r="B486" s="242" t="s">
        <v>355</v>
      </c>
      <c r="C486" s="217">
        <v>15000</v>
      </c>
      <c r="D486" s="217">
        <v>0</v>
      </c>
      <c r="E486" s="217">
        <v>0</v>
      </c>
      <c r="F486" s="47">
        <f t="shared" si="73"/>
        <v>15000</v>
      </c>
      <c r="G486" s="40">
        <v>0</v>
      </c>
      <c r="H486" s="40">
        <v>0</v>
      </c>
      <c r="I486" s="40">
        <v>0</v>
      </c>
      <c r="J486" s="40">
        <v>0</v>
      </c>
      <c r="K486" s="40">
        <v>0</v>
      </c>
      <c r="L486" s="40">
        <v>0</v>
      </c>
      <c r="M486" s="47">
        <f t="shared" si="74"/>
        <v>0</v>
      </c>
      <c r="N486" s="47">
        <f t="shared" si="75"/>
        <v>15000</v>
      </c>
      <c r="O486">
        <v>4</v>
      </c>
      <c r="P486">
        <v>2</v>
      </c>
      <c r="Q486">
        <v>15</v>
      </c>
      <c r="R486">
        <v>4</v>
      </c>
      <c r="S486">
        <v>2</v>
      </c>
      <c r="T486">
        <v>4</v>
      </c>
      <c r="U486" s="48">
        <f t="shared" si="76"/>
        <v>0.35</v>
      </c>
      <c r="V486" s="47">
        <f t="shared" si="77"/>
        <v>5250</v>
      </c>
      <c r="W486" s="47">
        <f t="shared" si="78"/>
        <v>20250</v>
      </c>
    </row>
    <row r="487" spans="1:23" ht="12.75">
      <c r="A487" t="s">
        <v>1668</v>
      </c>
      <c r="B487" s="242" t="s">
        <v>356</v>
      </c>
      <c r="C487" s="217">
        <v>0</v>
      </c>
      <c r="D487" s="217">
        <v>0</v>
      </c>
      <c r="E487" s="217">
        <v>0</v>
      </c>
      <c r="F487" s="47">
        <f t="shared" si="73"/>
        <v>0</v>
      </c>
      <c r="G487" s="40">
        <v>0</v>
      </c>
      <c r="H487" s="40">
        <v>0</v>
      </c>
      <c r="I487" s="40">
        <v>0</v>
      </c>
      <c r="J487" s="40">
        <v>0</v>
      </c>
      <c r="K487" s="40">
        <v>320</v>
      </c>
      <c r="L487" s="40">
        <v>0</v>
      </c>
      <c r="M487" s="47">
        <f t="shared" si="74"/>
        <v>21456</v>
      </c>
      <c r="N487" s="47">
        <f t="shared" si="75"/>
        <v>21456</v>
      </c>
      <c r="O487">
        <v>4</v>
      </c>
      <c r="P487">
        <v>2</v>
      </c>
      <c r="Q487">
        <v>15</v>
      </c>
      <c r="R487">
        <v>4</v>
      </c>
      <c r="S487">
        <v>2</v>
      </c>
      <c r="T487">
        <v>4</v>
      </c>
      <c r="U487" s="48">
        <f t="shared" si="76"/>
        <v>0.35</v>
      </c>
      <c r="V487" s="47">
        <f t="shared" si="77"/>
        <v>7509.599999999999</v>
      </c>
      <c r="W487" s="47">
        <f t="shared" si="78"/>
        <v>28965.6</v>
      </c>
    </row>
    <row r="488" spans="1:25" ht="12.75">
      <c r="A488" s="325" t="s">
        <v>1669</v>
      </c>
      <c r="B488" s="240" t="s">
        <v>357</v>
      </c>
      <c r="C488" s="217">
        <v>0</v>
      </c>
      <c r="D488" s="217">
        <v>0</v>
      </c>
      <c r="E488" s="217">
        <v>0</v>
      </c>
      <c r="F488" s="47">
        <f t="shared" si="73"/>
        <v>0</v>
      </c>
      <c r="G488" s="40">
        <v>0</v>
      </c>
      <c r="H488" s="40">
        <v>0</v>
      </c>
      <c r="I488" s="40">
        <v>0</v>
      </c>
      <c r="J488" s="40">
        <v>0</v>
      </c>
      <c r="K488" s="40">
        <v>0</v>
      </c>
      <c r="L488" s="40">
        <v>0</v>
      </c>
      <c r="M488" s="47">
        <f t="shared" si="74"/>
        <v>0</v>
      </c>
      <c r="N488" s="47">
        <f t="shared" si="75"/>
        <v>0</v>
      </c>
      <c r="O488">
        <v>0</v>
      </c>
      <c r="P488">
        <v>0</v>
      </c>
      <c r="Q488">
        <v>0</v>
      </c>
      <c r="R488">
        <v>0</v>
      </c>
      <c r="S488">
        <v>0</v>
      </c>
      <c r="T488">
        <v>0</v>
      </c>
      <c r="U488" s="48">
        <f t="shared" si="76"/>
        <v>0</v>
      </c>
      <c r="V488" s="47">
        <f t="shared" si="77"/>
        <v>0</v>
      </c>
      <c r="W488" s="47">
        <f t="shared" si="78"/>
        <v>0</v>
      </c>
      <c r="Y488" t="s">
        <v>1418</v>
      </c>
    </row>
    <row r="489" spans="1:23" ht="12.75">
      <c r="A489" t="s">
        <v>1670</v>
      </c>
      <c r="B489" s="242" t="s">
        <v>358</v>
      </c>
      <c r="C489" s="217">
        <v>0</v>
      </c>
      <c r="D489" s="217">
        <v>0</v>
      </c>
      <c r="E489" s="217">
        <v>0</v>
      </c>
      <c r="F489" s="47">
        <f t="shared" si="73"/>
        <v>0</v>
      </c>
      <c r="G489" s="40">
        <v>40</v>
      </c>
      <c r="H489" s="40">
        <v>0</v>
      </c>
      <c r="I489" s="40">
        <v>0</v>
      </c>
      <c r="J489" s="40">
        <v>0</v>
      </c>
      <c r="K489" s="40">
        <v>0</v>
      </c>
      <c r="L489" s="40">
        <v>0</v>
      </c>
      <c r="M489" s="47">
        <f t="shared" si="74"/>
        <v>2686</v>
      </c>
      <c r="N489" s="47">
        <f t="shared" si="75"/>
        <v>2686</v>
      </c>
      <c r="O489">
        <v>2</v>
      </c>
      <c r="P489">
        <v>2</v>
      </c>
      <c r="Q489">
        <v>10</v>
      </c>
      <c r="R489">
        <v>4</v>
      </c>
      <c r="S489">
        <v>2</v>
      </c>
      <c r="T489">
        <v>4</v>
      </c>
      <c r="U489" s="48">
        <f t="shared" si="76"/>
        <v>0.26</v>
      </c>
      <c r="V489" s="47">
        <f t="shared" si="77"/>
        <v>698.36</v>
      </c>
      <c r="W489" s="47">
        <f t="shared" si="78"/>
        <v>3384.36</v>
      </c>
    </row>
    <row r="490" spans="1:23" ht="12.75">
      <c r="A490" t="s">
        <v>1671</v>
      </c>
      <c r="B490" s="242" t="s">
        <v>359</v>
      </c>
      <c r="C490" s="217">
        <v>0</v>
      </c>
      <c r="D490" s="217">
        <v>40000</v>
      </c>
      <c r="E490" s="217">
        <v>0</v>
      </c>
      <c r="F490" s="47">
        <f t="shared" si="73"/>
        <v>40000</v>
      </c>
      <c r="G490" s="40">
        <v>0</v>
      </c>
      <c r="H490" s="40">
        <v>0</v>
      </c>
      <c r="I490" s="40">
        <v>0</v>
      </c>
      <c r="J490" s="40">
        <v>0</v>
      </c>
      <c r="K490" s="40">
        <v>0</v>
      </c>
      <c r="L490" s="40">
        <v>0</v>
      </c>
      <c r="M490" s="47">
        <f t="shared" si="74"/>
        <v>0</v>
      </c>
      <c r="N490" s="47">
        <f t="shared" si="75"/>
        <v>40000</v>
      </c>
      <c r="O490">
        <v>2</v>
      </c>
      <c r="P490">
        <v>2</v>
      </c>
      <c r="Q490">
        <v>10</v>
      </c>
      <c r="R490">
        <v>4</v>
      </c>
      <c r="S490">
        <v>2</v>
      </c>
      <c r="T490">
        <v>4</v>
      </c>
      <c r="U490" s="48">
        <f t="shared" si="76"/>
        <v>0.26</v>
      </c>
      <c r="V490" s="47">
        <f t="shared" si="77"/>
        <v>10400</v>
      </c>
      <c r="W490" s="47">
        <f t="shared" si="78"/>
        <v>50400</v>
      </c>
    </row>
    <row r="491" spans="1:23" ht="12.75">
      <c r="A491" t="s">
        <v>1672</v>
      </c>
      <c r="B491" s="242" t="s">
        <v>360</v>
      </c>
      <c r="C491" s="217">
        <v>0</v>
      </c>
      <c r="D491" s="217">
        <v>0</v>
      </c>
      <c r="E491" s="217">
        <v>0</v>
      </c>
      <c r="F491" s="47">
        <f t="shared" si="73"/>
        <v>0</v>
      </c>
      <c r="G491" s="40">
        <v>0</v>
      </c>
      <c r="H491" s="40">
        <v>0</v>
      </c>
      <c r="I491" s="40">
        <v>0</v>
      </c>
      <c r="J491" s="40">
        <v>0</v>
      </c>
      <c r="K491" s="40">
        <v>16</v>
      </c>
      <c r="L491" s="40">
        <v>0</v>
      </c>
      <c r="M491" s="47">
        <f t="shared" si="74"/>
        <v>1072.8</v>
      </c>
      <c r="N491" s="47">
        <f t="shared" si="75"/>
        <v>1072.8</v>
      </c>
      <c r="O491">
        <v>2</v>
      </c>
      <c r="P491">
        <v>2</v>
      </c>
      <c r="Q491">
        <v>10</v>
      </c>
      <c r="R491">
        <v>4</v>
      </c>
      <c r="S491">
        <v>2</v>
      </c>
      <c r="T491">
        <v>4</v>
      </c>
      <c r="U491" s="48">
        <f t="shared" si="76"/>
        <v>0.26</v>
      </c>
      <c r="V491" s="47">
        <f t="shared" si="77"/>
        <v>278.928</v>
      </c>
      <c r="W491" s="47">
        <f t="shared" si="78"/>
        <v>1351.728</v>
      </c>
    </row>
    <row r="492" spans="1:23" ht="12.75">
      <c r="A492" t="s">
        <v>1673</v>
      </c>
      <c r="B492" s="242" t="s">
        <v>360</v>
      </c>
      <c r="C492" s="217">
        <v>0</v>
      </c>
      <c r="D492" s="217">
        <v>0</v>
      </c>
      <c r="E492" s="217">
        <v>0</v>
      </c>
      <c r="F492" s="47">
        <f t="shared" si="73"/>
        <v>0</v>
      </c>
      <c r="G492" s="40">
        <v>0</v>
      </c>
      <c r="H492" s="40">
        <v>0</v>
      </c>
      <c r="I492" s="40">
        <v>0</v>
      </c>
      <c r="J492" s="40">
        <v>0</v>
      </c>
      <c r="K492" s="40">
        <v>24</v>
      </c>
      <c r="L492" s="40">
        <v>0</v>
      </c>
      <c r="M492" s="47">
        <f t="shared" si="74"/>
        <v>1609.1999999999998</v>
      </c>
      <c r="N492" s="47">
        <f t="shared" si="75"/>
        <v>1609.1999999999998</v>
      </c>
      <c r="O492">
        <v>2</v>
      </c>
      <c r="P492">
        <v>2</v>
      </c>
      <c r="Q492">
        <v>10</v>
      </c>
      <c r="R492">
        <v>4</v>
      </c>
      <c r="S492">
        <v>2</v>
      </c>
      <c r="T492">
        <v>4</v>
      </c>
      <c r="U492" s="48">
        <f t="shared" si="76"/>
        <v>0.26</v>
      </c>
      <c r="V492" s="47">
        <f t="shared" si="77"/>
        <v>418.39199999999994</v>
      </c>
      <c r="W492" s="47">
        <f t="shared" si="78"/>
        <v>2027.5919999999996</v>
      </c>
    </row>
    <row r="493" spans="1:23" ht="12.75">
      <c r="A493" t="s">
        <v>1674</v>
      </c>
      <c r="B493" s="242" t="s">
        <v>361</v>
      </c>
      <c r="C493" s="217">
        <v>0</v>
      </c>
      <c r="D493" s="217">
        <v>0</v>
      </c>
      <c r="E493" s="217">
        <v>0</v>
      </c>
      <c r="F493" s="47">
        <f t="shared" si="73"/>
        <v>0</v>
      </c>
      <c r="G493" s="40">
        <v>0</v>
      </c>
      <c r="H493" s="40">
        <v>0</v>
      </c>
      <c r="I493" s="40">
        <v>0</v>
      </c>
      <c r="J493" s="40">
        <v>0</v>
      </c>
      <c r="K493" s="40">
        <v>32</v>
      </c>
      <c r="L493" s="40">
        <v>0</v>
      </c>
      <c r="M493" s="47">
        <f t="shared" si="74"/>
        <v>2145.6</v>
      </c>
      <c r="N493" s="47">
        <f t="shared" si="75"/>
        <v>2145.6</v>
      </c>
      <c r="O493">
        <v>2</v>
      </c>
      <c r="P493">
        <v>2</v>
      </c>
      <c r="Q493">
        <v>10</v>
      </c>
      <c r="R493">
        <v>4</v>
      </c>
      <c r="S493">
        <v>2</v>
      </c>
      <c r="T493">
        <v>4</v>
      </c>
      <c r="U493" s="48">
        <f t="shared" si="76"/>
        <v>0.26</v>
      </c>
      <c r="V493" s="47">
        <f t="shared" si="77"/>
        <v>557.856</v>
      </c>
      <c r="W493" s="47">
        <f t="shared" si="78"/>
        <v>2703.456</v>
      </c>
    </row>
    <row r="494" spans="1:23" ht="12.75">
      <c r="A494" t="s">
        <v>1675</v>
      </c>
      <c r="B494" s="242" t="s">
        <v>362</v>
      </c>
      <c r="C494" s="217">
        <v>10000</v>
      </c>
      <c r="D494" s="217">
        <v>0</v>
      </c>
      <c r="E494" s="217">
        <v>0</v>
      </c>
      <c r="F494" s="47">
        <f t="shared" si="73"/>
        <v>10000</v>
      </c>
      <c r="G494" s="40">
        <v>0</v>
      </c>
      <c r="H494" s="40">
        <v>0</v>
      </c>
      <c r="I494" s="40">
        <v>0</v>
      </c>
      <c r="J494" s="40">
        <v>0</v>
      </c>
      <c r="K494" s="40">
        <v>0</v>
      </c>
      <c r="L494" s="40">
        <v>0</v>
      </c>
      <c r="M494" s="47">
        <f t="shared" si="74"/>
        <v>0</v>
      </c>
      <c r="N494" s="47">
        <f t="shared" si="75"/>
        <v>10000</v>
      </c>
      <c r="O494">
        <v>2</v>
      </c>
      <c r="P494">
        <v>2</v>
      </c>
      <c r="Q494">
        <v>10</v>
      </c>
      <c r="R494">
        <v>4</v>
      </c>
      <c r="S494">
        <v>2</v>
      </c>
      <c r="T494">
        <v>4</v>
      </c>
      <c r="U494" s="48">
        <f t="shared" si="76"/>
        <v>0.26</v>
      </c>
      <c r="V494" s="47">
        <f t="shared" si="77"/>
        <v>2600</v>
      </c>
      <c r="W494" s="47">
        <f t="shared" si="78"/>
        <v>12600</v>
      </c>
    </row>
    <row r="495" spans="1:23" ht="12.75">
      <c r="A495" t="s">
        <v>1676</v>
      </c>
      <c r="B495" s="242" t="s">
        <v>363</v>
      </c>
      <c r="C495" s="217">
        <v>1000</v>
      </c>
      <c r="D495" s="217">
        <v>0</v>
      </c>
      <c r="E495" s="217">
        <v>0</v>
      </c>
      <c r="F495" s="47">
        <f t="shared" si="73"/>
        <v>1000</v>
      </c>
      <c r="G495" s="40">
        <v>0</v>
      </c>
      <c r="H495" s="40">
        <v>0</v>
      </c>
      <c r="I495" s="40">
        <v>0</v>
      </c>
      <c r="J495" s="40">
        <v>80</v>
      </c>
      <c r="K495" s="40">
        <v>0</v>
      </c>
      <c r="L495" s="40">
        <v>0</v>
      </c>
      <c r="M495" s="47">
        <f t="shared" si="74"/>
        <v>4200</v>
      </c>
      <c r="N495" s="47">
        <f t="shared" si="75"/>
        <v>5200</v>
      </c>
      <c r="O495">
        <v>2</v>
      </c>
      <c r="P495">
        <v>2</v>
      </c>
      <c r="Q495">
        <v>10</v>
      </c>
      <c r="R495">
        <v>4</v>
      </c>
      <c r="S495">
        <v>2</v>
      </c>
      <c r="T495">
        <v>4</v>
      </c>
      <c r="U495" s="48">
        <f t="shared" si="76"/>
        <v>0.26</v>
      </c>
      <c r="V495" s="47">
        <f t="shared" si="77"/>
        <v>1352</v>
      </c>
      <c r="W495" s="47">
        <f t="shared" si="78"/>
        <v>6552</v>
      </c>
    </row>
    <row r="496" spans="1:25" ht="12.75">
      <c r="A496" s="325" t="s">
        <v>1677</v>
      </c>
      <c r="B496" s="240" t="s">
        <v>364</v>
      </c>
      <c r="C496" s="217">
        <v>0</v>
      </c>
      <c r="D496" s="217">
        <v>0</v>
      </c>
      <c r="E496" s="217">
        <v>0</v>
      </c>
      <c r="F496" s="47">
        <f t="shared" si="73"/>
        <v>0</v>
      </c>
      <c r="G496" s="40">
        <v>0</v>
      </c>
      <c r="H496" s="40">
        <v>0</v>
      </c>
      <c r="I496" s="40">
        <v>0</v>
      </c>
      <c r="J496" s="40">
        <v>0</v>
      </c>
      <c r="K496" s="40">
        <v>0</v>
      </c>
      <c r="L496" s="40">
        <v>0</v>
      </c>
      <c r="M496" s="47">
        <f t="shared" si="74"/>
        <v>0</v>
      </c>
      <c r="N496" s="47">
        <f t="shared" si="75"/>
        <v>0</v>
      </c>
      <c r="O496">
        <v>0</v>
      </c>
      <c r="P496">
        <v>0</v>
      </c>
      <c r="Q496">
        <v>0</v>
      </c>
      <c r="R496">
        <v>0</v>
      </c>
      <c r="S496">
        <v>0</v>
      </c>
      <c r="T496">
        <v>0</v>
      </c>
      <c r="U496" s="48">
        <f t="shared" si="76"/>
        <v>0</v>
      </c>
      <c r="V496" s="47">
        <f t="shared" si="77"/>
        <v>0</v>
      </c>
      <c r="W496" s="47">
        <f t="shared" si="78"/>
        <v>0</v>
      </c>
      <c r="Y496" t="s">
        <v>1419</v>
      </c>
    </row>
    <row r="497" spans="1:23" ht="12.75">
      <c r="A497" t="s">
        <v>1678</v>
      </c>
      <c r="B497" s="242" t="s">
        <v>358</v>
      </c>
      <c r="C497" s="217">
        <v>0</v>
      </c>
      <c r="D497" s="217">
        <v>0</v>
      </c>
      <c r="E497" s="217">
        <v>0</v>
      </c>
      <c r="F497" s="47">
        <f t="shared" si="73"/>
        <v>0</v>
      </c>
      <c r="G497" s="40">
        <v>40</v>
      </c>
      <c r="H497" s="40">
        <v>0</v>
      </c>
      <c r="I497" s="40">
        <v>0</v>
      </c>
      <c r="J497" s="40">
        <v>0</v>
      </c>
      <c r="K497" s="40">
        <v>0</v>
      </c>
      <c r="L497" s="40">
        <v>0</v>
      </c>
      <c r="M497" s="47">
        <f t="shared" si="74"/>
        <v>2686</v>
      </c>
      <c r="N497" s="47">
        <f t="shared" si="75"/>
        <v>2686</v>
      </c>
      <c r="O497">
        <v>2</v>
      </c>
      <c r="P497">
        <v>2</v>
      </c>
      <c r="Q497">
        <v>10</v>
      </c>
      <c r="R497">
        <v>4</v>
      </c>
      <c r="S497">
        <v>2</v>
      </c>
      <c r="T497">
        <v>4</v>
      </c>
      <c r="U497" s="48">
        <f t="shared" si="76"/>
        <v>0.26</v>
      </c>
      <c r="V497" s="47">
        <f t="shared" si="77"/>
        <v>698.36</v>
      </c>
      <c r="W497" s="47">
        <f t="shared" si="78"/>
        <v>3384.36</v>
      </c>
    </row>
    <row r="498" spans="1:23" ht="12.75">
      <c r="A498" t="s">
        <v>1679</v>
      </c>
      <c r="B498" s="242" t="s">
        <v>359</v>
      </c>
      <c r="C498" s="217">
        <v>0</v>
      </c>
      <c r="D498" s="217">
        <v>240000</v>
      </c>
      <c r="E498" s="217">
        <v>0</v>
      </c>
      <c r="F498" s="47">
        <f t="shared" si="73"/>
        <v>240000</v>
      </c>
      <c r="G498" s="40">
        <v>0</v>
      </c>
      <c r="H498" s="40">
        <v>0</v>
      </c>
      <c r="I498" s="40">
        <v>0</v>
      </c>
      <c r="J498" s="40">
        <v>0</v>
      </c>
      <c r="K498" s="40">
        <v>0</v>
      </c>
      <c r="L498" s="40">
        <v>0</v>
      </c>
      <c r="M498" s="47">
        <f t="shared" si="74"/>
        <v>0</v>
      </c>
      <c r="N498" s="47">
        <f t="shared" si="75"/>
        <v>240000</v>
      </c>
      <c r="O498">
        <v>2</v>
      </c>
      <c r="P498">
        <v>2</v>
      </c>
      <c r="Q498">
        <v>10</v>
      </c>
      <c r="R498">
        <v>4</v>
      </c>
      <c r="S498">
        <v>2</v>
      </c>
      <c r="T498">
        <v>4</v>
      </c>
      <c r="U498" s="48">
        <f t="shared" si="76"/>
        <v>0.26</v>
      </c>
      <c r="V498" s="47">
        <f t="shared" si="77"/>
        <v>62400</v>
      </c>
      <c r="W498" s="47">
        <f t="shared" si="78"/>
        <v>302400</v>
      </c>
    </row>
    <row r="499" spans="1:23" ht="12.75">
      <c r="A499" t="s">
        <v>1680</v>
      </c>
      <c r="B499" s="242" t="s">
        <v>365</v>
      </c>
      <c r="C499" s="217">
        <v>30000</v>
      </c>
      <c r="D499" s="217">
        <v>0</v>
      </c>
      <c r="E499" s="217">
        <v>0</v>
      </c>
      <c r="F499" s="47">
        <f t="shared" si="73"/>
        <v>30000</v>
      </c>
      <c r="G499" s="40">
        <v>0</v>
      </c>
      <c r="H499" s="40">
        <v>0</v>
      </c>
      <c r="I499" s="40">
        <v>0</v>
      </c>
      <c r="J499" s="40">
        <v>0</v>
      </c>
      <c r="K499" s="40">
        <v>0</v>
      </c>
      <c r="L499" s="40">
        <v>0</v>
      </c>
      <c r="M499" s="47">
        <f t="shared" si="74"/>
        <v>0</v>
      </c>
      <c r="N499" s="47">
        <f t="shared" si="75"/>
        <v>30000</v>
      </c>
      <c r="O499">
        <v>2</v>
      </c>
      <c r="P499">
        <v>2</v>
      </c>
      <c r="Q499">
        <v>10</v>
      </c>
      <c r="R499">
        <v>4</v>
      </c>
      <c r="S499">
        <v>2</v>
      </c>
      <c r="T499">
        <v>4</v>
      </c>
      <c r="U499" s="48">
        <f t="shared" si="76"/>
        <v>0.26</v>
      </c>
      <c r="V499" s="47">
        <f t="shared" si="77"/>
        <v>7800</v>
      </c>
      <c r="W499" s="47">
        <f t="shared" si="78"/>
        <v>37800</v>
      </c>
    </row>
    <row r="500" spans="1:23" ht="12.75">
      <c r="A500" t="s">
        <v>1681</v>
      </c>
      <c r="B500" s="242" t="s">
        <v>366</v>
      </c>
      <c r="C500" s="217">
        <v>5600</v>
      </c>
      <c r="D500" s="217">
        <v>0</v>
      </c>
      <c r="E500" s="217">
        <v>0</v>
      </c>
      <c r="F500" s="47">
        <f t="shared" si="73"/>
        <v>5600</v>
      </c>
      <c r="G500" s="40">
        <v>0</v>
      </c>
      <c r="H500" s="40">
        <v>0</v>
      </c>
      <c r="I500" s="40">
        <v>0</v>
      </c>
      <c r="J500" s="40">
        <v>0</v>
      </c>
      <c r="K500" s="40">
        <v>0</v>
      </c>
      <c r="L500" s="40">
        <v>0</v>
      </c>
      <c r="M500" s="47">
        <f t="shared" si="74"/>
        <v>0</v>
      </c>
      <c r="N500" s="47">
        <f t="shared" si="75"/>
        <v>5600</v>
      </c>
      <c r="O500">
        <v>2</v>
      </c>
      <c r="P500">
        <v>2</v>
      </c>
      <c r="Q500">
        <v>10</v>
      </c>
      <c r="R500">
        <v>4</v>
      </c>
      <c r="S500">
        <v>2</v>
      </c>
      <c r="T500">
        <v>4</v>
      </c>
      <c r="U500" s="48">
        <f t="shared" si="76"/>
        <v>0.26</v>
      </c>
      <c r="V500" s="47">
        <f t="shared" si="77"/>
        <v>1456</v>
      </c>
      <c r="W500" s="47">
        <f t="shared" si="78"/>
        <v>7056</v>
      </c>
    </row>
    <row r="501" spans="1:23" ht="12.75">
      <c r="A501" t="s">
        <v>1682</v>
      </c>
      <c r="B501" s="242" t="s">
        <v>360</v>
      </c>
      <c r="C501" s="217">
        <v>0</v>
      </c>
      <c r="D501" s="217">
        <v>0</v>
      </c>
      <c r="E501" s="217">
        <v>0</v>
      </c>
      <c r="F501" s="47">
        <f t="shared" si="73"/>
        <v>0</v>
      </c>
      <c r="G501" s="40">
        <v>0</v>
      </c>
      <c r="H501" s="40">
        <v>0</v>
      </c>
      <c r="I501" s="40">
        <v>0</v>
      </c>
      <c r="J501" s="40">
        <v>0</v>
      </c>
      <c r="K501" s="40">
        <v>40</v>
      </c>
      <c r="L501" s="40">
        <v>0</v>
      </c>
      <c r="M501" s="47">
        <f t="shared" si="74"/>
        <v>2682</v>
      </c>
      <c r="N501" s="47">
        <f t="shared" si="75"/>
        <v>2682</v>
      </c>
      <c r="O501">
        <v>2</v>
      </c>
      <c r="P501">
        <v>2</v>
      </c>
      <c r="Q501">
        <v>10</v>
      </c>
      <c r="R501">
        <v>4</v>
      </c>
      <c r="S501">
        <v>2</v>
      </c>
      <c r="T501">
        <v>4</v>
      </c>
      <c r="U501" s="48">
        <f t="shared" si="76"/>
        <v>0.26</v>
      </c>
      <c r="V501" s="47">
        <f t="shared" si="77"/>
        <v>697.32</v>
      </c>
      <c r="W501" s="47">
        <f t="shared" si="78"/>
        <v>3379.32</v>
      </c>
    </row>
    <row r="502" spans="1:23" ht="12.75">
      <c r="A502" t="s">
        <v>1683</v>
      </c>
      <c r="B502" s="242" t="s">
        <v>360</v>
      </c>
      <c r="C502" s="217">
        <v>0</v>
      </c>
      <c r="D502" s="217">
        <v>0</v>
      </c>
      <c r="E502" s="217">
        <v>0</v>
      </c>
      <c r="F502" s="47">
        <f t="shared" si="73"/>
        <v>0</v>
      </c>
      <c r="G502" s="40">
        <v>0</v>
      </c>
      <c r="H502" s="40">
        <v>0</v>
      </c>
      <c r="I502" s="40">
        <v>0</v>
      </c>
      <c r="J502" s="40">
        <v>0</v>
      </c>
      <c r="K502" s="40">
        <v>24</v>
      </c>
      <c r="L502" s="40">
        <v>0</v>
      </c>
      <c r="M502" s="47">
        <f t="shared" si="74"/>
        <v>1609.1999999999998</v>
      </c>
      <c r="N502" s="47">
        <f t="shared" si="75"/>
        <v>1609.1999999999998</v>
      </c>
      <c r="O502">
        <v>2</v>
      </c>
      <c r="P502">
        <v>2</v>
      </c>
      <c r="Q502">
        <v>10</v>
      </c>
      <c r="R502">
        <v>4</v>
      </c>
      <c r="S502">
        <v>2</v>
      </c>
      <c r="T502">
        <v>4</v>
      </c>
      <c r="U502" s="48">
        <f t="shared" si="76"/>
        <v>0.26</v>
      </c>
      <c r="V502" s="47">
        <f t="shared" si="77"/>
        <v>418.39199999999994</v>
      </c>
      <c r="W502" s="47">
        <f t="shared" si="78"/>
        <v>2027.5919999999996</v>
      </c>
    </row>
    <row r="503" spans="1:23" ht="12.75">
      <c r="A503" t="s">
        <v>1684</v>
      </c>
      <c r="B503" s="242" t="s">
        <v>1054</v>
      </c>
      <c r="C503" s="217">
        <v>0</v>
      </c>
      <c r="D503" s="217">
        <v>0</v>
      </c>
      <c r="E503" s="217">
        <v>0</v>
      </c>
      <c r="F503" s="47">
        <f t="shared" si="73"/>
        <v>0</v>
      </c>
      <c r="G503" s="40">
        <v>0</v>
      </c>
      <c r="H503" s="40">
        <v>0</v>
      </c>
      <c r="I503" s="40">
        <v>0</v>
      </c>
      <c r="J503" s="40">
        <v>0</v>
      </c>
      <c r="K503" s="40">
        <v>80</v>
      </c>
      <c r="L503" s="40">
        <v>0</v>
      </c>
      <c r="M503" s="47">
        <f t="shared" si="74"/>
        <v>5364</v>
      </c>
      <c r="N503" s="47">
        <f t="shared" si="75"/>
        <v>5364</v>
      </c>
      <c r="O503">
        <v>2</v>
      </c>
      <c r="P503">
        <v>2</v>
      </c>
      <c r="Q503">
        <v>10</v>
      </c>
      <c r="R503">
        <v>4</v>
      </c>
      <c r="S503">
        <v>2</v>
      </c>
      <c r="T503">
        <v>4</v>
      </c>
      <c r="U503" s="48">
        <f t="shared" si="76"/>
        <v>0.26</v>
      </c>
      <c r="V503" s="47">
        <f t="shared" si="77"/>
        <v>1394.64</v>
      </c>
      <c r="W503" s="47">
        <f t="shared" si="78"/>
        <v>6758.64</v>
      </c>
    </row>
    <row r="504" spans="1:25" ht="12.75">
      <c r="A504" s="325" t="s">
        <v>1685</v>
      </c>
      <c r="B504" s="240" t="s">
        <v>367</v>
      </c>
      <c r="C504" s="217">
        <v>0</v>
      </c>
      <c r="D504" s="217">
        <v>0</v>
      </c>
      <c r="E504" s="217">
        <v>0</v>
      </c>
      <c r="F504" s="47">
        <f t="shared" si="73"/>
        <v>0</v>
      </c>
      <c r="G504" s="40">
        <v>0</v>
      </c>
      <c r="H504" s="40">
        <v>0</v>
      </c>
      <c r="I504" s="40">
        <v>0</v>
      </c>
      <c r="J504" s="40">
        <v>0</v>
      </c>
      <c r="K504" s="40">
        <v>0</v>
      </c>
      <c r="L504" s="40">
        <v>0</v>
      </c>
      <c r="M504" s="47">
        <f t="shared" si="74"/>
        <v>0</v>
      </c>
      <c r="N504" s="47">
        <f t="shared" si="75"/>
        <v>0</v>
      </c>
      <c r="O504">
        <v>0</v>
      </c>
      <c r="P504">
        <v>0</v>
      </c>
      <c r="Q504">
        <v>0</v>
      </c>
      <c r="R504">
        <v>0</v>
      </c>
      <c r="S504">
        <v>0</v>
      </c>
      <c r="T504">
        <v>0</v>
      </c>
      <c r="U504" s="48">
        <f t="shared" si="76"/>
        <v>0</v>
      </c>
      <c r="V504" s="47">
        <f t="shared" si="77"/>
        <v>0</v>
      </c>
      <c r="W504" s="47">
        <f t="shared" si="78"/>
        <v>0</v>
      </c>
      <c r="Y504" t="s">
        <v>1420</v>
      </c>
    </row>
    <row r="505" spans="1:23" ht="12.75">
      <c r="A505" t="s">
        <v>1686</v>
      </c>
      <c r="B505" s="242" t="s">
        <v>1775</v>
      </c>
      <c r="C505" s="217">
        <v>0</v>
      </c>
      <c r="D505" s="217">
        <v>0</v>
      </c>
      <c r="E505" s="217">
        <v>0</v>
      </c>
      <c r="F505" s="47">
        <f t="shared" si="73"/>
        <v>0</v>
      </c>
      <c r="G505" s="40">
        <v>16</v>
      </c>
      <c r="H505" s="40">
        <v>0</v>
      </c>
      <c r="I505" s="40">
        <v>0</v>
      </c>
      <c r="J505" s="40">
        <v>0</v>
      </c>
      <c r="K505" s="40">
        <v>0</v>
      </c>
      <c r="L505" s="40">
        <v>0</v>
      </c>
      <c r="M505" s="47">
        <f t="shared" si="74"/>
        <v>1074.4</v>
      </c>
      <c r="N505" s="47">
        <f t="shared" si="75"/>
        <v>1074.4</v>
      </c>
      <c r="O505">
        <v>4</v>
      </c>
      <c r="P505">
        <v>2</v>
      </c>
      <c r="Q505">
        <v>15</v>
      </c>
      <c r="R505">
        <v>4</v>
      </c>
      <c r="S505">
        <v>2</v>
      </c>
      <c r="T505">
        <v>4</v>
      </c>
      <c r="U505" s="48">
        <f t="shared" si="76"/>
        <v>0.35</v>
      </c>
      <c r="V505" s="47">
        <f t="shared" si="77"/>
        <v>376.04</v>
      </c>
      <c r="W505" s="47">
        <f t="shared" si="78"/>
        <v>1450.44</v>
      </c>
    </row>
    <row r="506" spans="1:23" ht="12.75">
      <c r="A506" t="s">
        <v>1687</v>
      </c>
      <c r="B506" s="242" t="s">
        <v>826</v>
      </c>
      <c r="C506" s="217">
        <v>0</v>
      </c>
      <c r="D506" s="217">
        <v>0</v>
      </c>
      <c r="E506" s="217">
        <v>0</v>
      </c>
      <c r="F506" s="47">
        <f t="shared" si="73"/>
        <v>0</v>
      </c>
      <c r="G506" s="40">
        <v>0</v>
      </c>
      <c r="H506" s="40">
        <v>0</v>
      </c>
      <c r="I506" s="40">
        <v>32</v>
      </c>
      <c r="J506" s="40">
        <v>0</v>
      </c>
      <c r="K506" s="40">
        <v>0</v>
      </c>
      <c r="L506" s="40">
        <v>0</v>
      </c>
      <c r="M506" s="47">
        <f t="shared" si="74"/>
        <v>1800</v>
      </c>
      <c r="N506" s="47">
        <f t="shared" si="75"/>
        <v>1800</v>
      </c>
      <c r="O506">
        <v>4</v>
      </c>
      <c r="P506">
        <v>2</v>
      </c>
      <c r="Q506">
        <v>15</v>
      </c>
      <c r="R506">
        <v>4</v>
      </c>
      <c r="S506">
        <v>2</v>
      </c>
      <c r="T506">
        <v>4</v>
      </c>
      <c r="U506" s="48">
        <f t="shared" si="76"/>
        <v>0.35</v>
      </c>
      <c r="V506" s="47">
        <f t="shared" si="77"/>
        <v>630</v>
      </c>
      <c r="W506" s="47">
        <f t="shared" si="78"/>
        <v>2430</v>
      </c>
    </row>
    <row r="507" spans="1:23" ht="12.75">
      <c r="A507" t="s">
        <v>1688</v>
      </c>
      <c r="B507" s="242" t="s">
        <v>368</v>
      </c>
      <c r="C507" s="217">
        <v>1000</v>
      </c>
      <c r="D507" s="217">
        <v>0</v>
      </c>
      <c r="E507" s="217">
        <v>0</v>
      </c>
      <c r="F507" s="47">
        <f t="shared" si="73"/>
        <v>1000</v>
      </c>
      <c r="G507" s="40">
        <v>0</v>
      </c>
      <c r="H507" s="40">
        <v>0</v>
      </c>
      <c r="I507" s="40">
        <v>0</v>
      </c>
      <c r="J507" s="40">
        <v>64</v>
      </c>
      <c r="K507" s="40">
        <v>0</v>
      </c>
      <c r="L507" s="40">
        <v>0</v>
      </c>
      <c r="M507" s="47">
        <f t="shared" si="74"/>
        <v>3360</v>
      </c>
      <c r="N507" s="47">
        <f t="shared" si="75"/>
        <v>4360</v>
      </c>
      <c r="O507">
        <v>4</v>
      </c>
      <c r="P507">
        <v>2</v>
      </c>
      <c r="Q507">
        <v>15</v>
      </c>
      <c r="R507">
        <v>4</v>
      </c>
      <c r="S507">
        <v>2</v>
      </c>
      <c r="T507">
        <v>4</v>
      </c>
      <c r="U507" s="48">
        <f t="shared" si="76"/>
        <v>0.35</v>
      </c>
      <c r="V507" s="47">
        <f t="shared" si="77"/>
        <v>1526</v>
      </c>
      <c r="W507" s="47">
        <f t="shared" si="78"/>
        <v>5886</v>
      </c>
    </row>
    <row r="508" spans="1:23" ht="12.75">
      <c r="A508" t="s">
        <v>1689</v>
      </c>
      <c r="B508" s="242" t="s">
        <v>369</v>
      </c>
      <c r="C508" s="217">
        <v>0</v>
      </c>
      <c r="D508" s="217">
        <v>0</v>
      </c>
      <c r="E508" s="217">
        <v>0</v>
      </c>
      <c r="F508" s="47">
        <f t="shared" si="73"/>
        <v>0</v>
      </c>
      <c r="G508" s="40">
        <v>0</v>
      </c>
      <c r="H508" s="40">
        <v>0</v>
      </c>
      <c r="I508" s="40">
        <v>0</v>
      </c>
      <c r="J508" s="40">
        <v>0</v>
      </c>
      <c r="K508" s="40">
        <v>16</v>
      </c>
      <c r="L508" s="40">
        <v>0</v>
      </c>
      <c r="M508" s="47">
        <f t="shared" si="74"/>
        <v>1072.8</v>
      </c>
      <c r="N508" s="47">
        <f t="shared" si="75"/>
        <v>1072.8</v>
      </c>
      <c r="O508">
        <v>4</v>
      </c>
      <c r="P508">
        <v>2</v>
      </c>
      <c r="Q508">
        <v>15</v>
      </c>
      <c r="R508">
        <v>4</v>
      </c>
      <c r="S508">
        <v>2</v>
      </c>
      <c r="T508">
        <v>4</v>
      </c>
      <c r="U508" s="48">
        <f t="shared" si="76"/>
        <v>0.35</v>
      </c>
      <c r="V508" s="47">
        <f t="shared" si="77"/>
        <v>375.47999999999996</v>
      </c>
      <c r="W508" s="47">
        <f t="shared" si="78"/>
        <v>1448.28</v>
      </c>
    </row>
    <row r="509" spans="1:25" ht="12.75">
      <c r="A509" s="325" t="s">
        <v>1690</v>
      </c>
      <c r="B509" s="240" t="s">
        <v>370</v>
      </c>
      <c r="C509" s="217">
        <v>0</v>
      </c>
      <c r="D509" s="217">
        <v>0</v>
      </c>
      <c r="E509" s="217">
        <v>0</v>
      </c>
      <c r="F509" s="47">
        <f t="shared" si="73"/>
        <v>0</v>
      </c>
      <c r="G509" s="40">
        <v>0</v>
      </c>
      <c r="H509" s="40">
        <v>0</v>
      </c>
      <c r="I509" s="40">
        <v>0</v>
      </c>
      <c r="J509" s="40">
        <v>0</v>
      </c>
      <c r="K509" s="40">
        <v>0</v>
      </c>
      <c r="L509" s="40">
        <v>0</v>
      </c>
      <c r="M509" s="47">
        <f t="shared" si="74"/>
        <v>0</v>
      </c>
      <c r="N509" s="47">
        <f t="shared" si="75"/>
        <v>0</v>
      </c>
      <c r="O509">
        <v>0</v>
      </c>
      <c r="P509">
        <v>0</v>
      </c>
      <c r="Q509">
        <v>0</v>
      </c>
      <c r="R509">
        <v>0</v>
      </c>
      <c r="S509">
        <v>0</v>
      </c>
      <c r="T509">
        <v>0</v>
      </c>
      <c r="U509" s="48">
        <f t="shared" si="76"/>
        <v>0</v>
      </c>
      <c r="V509" s="47">
        <f t="shared" si="77"/>
        <v>0</v>
      </c>
      <c r="W509" s="47">
        <f t="shared" si="78"/>
        <v>0</v>
      </c>
      <c r="Y509" t="s">
        <v>1421</v>
      </c>
    </row>
    <row r="510" spans="1:23" ht="12.75">
      <c r="A510" t="s">
        <v>1691</v>
      </c>
      <c r="B510" s="242" t="s">
        <v>371</v>
      </c>
      <c r="C510" s="217">
        <v>0</v>
      </c>
      <c r="D510" s="217">
        <v>0</v>
      </c>
      <c r="E510" s="217">
        <v>0</v>
      </c>
      <c r="F510" s="47">
        <f t="shared" si="73"/>
        <v>0</v>
      </c>
      <c r="G510" s="40">
        <v>24</v>
      </c>
      <c r="H510" s="40">
        <v>0</v>
      </c>
      <c r="I510" s="40">
        <v>0</v>
      </c>
      <c r="J510" s="40">
        <v>0</v>
      </c>
      <c r="K510" s="40">
        <v>0</v>
      </c>
      <c r="L510" s="40">
        <v>0</v>
      </c>
      <c r="M510" s="47">
        <f t="shared" si="74"/>
        <v>1611.6000000000001</v>
      </c>
      <c r="N510" s="47">
        <f t="shared" si="75"/>
        <v>1611.6000000000001</v>
      </c>
      <c r="O510">
        <v>4</v>
      </c>
      <c r="P510">
        <v>2</v>
      </c>
      <c r="Q510">
        <v>15</v>
      </c>
      <c r="R510">
        <v>4</v>
      </c>
      <c r="S510">
        <v>2</v>
      </c>
      <c r="T510">
        <v>4</v>
      </c>
      <c r="U510" s="48">
        <f t="shared" si="76"/>
        <v>0.35</v>
      </c>
      <c r="V510" s="47">
        <f t="shared" si="77"/>
        <v>564.0600000000001</v>
      </c>
      <c r="W510" s="47">
        <f t="shared" si="78"/>
        <v>2175.6600000000003</v>
      </c>
    </row>
    <row r="511" spans="1:23" ht="12.75">
      <c r="A511" t="s">
        <v>1692</v>
      </c>
      <c r="B511" s="242" t="s">
        <v>372</v>
      </c>
      <c r="C511" s="217">
        <v>15000</v>
      </c>
      <c r="D511" s="217">
        <v>0</v>
      </c>
      <c r="E511" s="217">
        <v>0</v>
      </c>
      <c r="F511" s="47">
        <f t="shared" si="73"/>
        <v>15000</v>
      </c>
      <c r="G511" s="40">
        <v>0</v>
      </c>
      <c r="H511" s="40">
        <v>0</v>
      </c>
      <c r="I511" s="40">
        <v>0</v>
      </c>
      <c r="J511" s="40">
        <v>0</v>
      </c>
      <c r="K511" s="40">
        <v>0</v>
      </c>
      <c r="L511" s="40">
        <v>0</v>
      </c>
      <c r="M511" s="47">
        <f t="shared" si="74"/>
        <v>0</v>
      </c>
      <c r="N511" s="47">
        <f t="shared" si="75"/>
        <v>15000</v>
      </c>
      <c r="O511">
        <v>4</v>
      </c>
      <c r="P511">
        <v>2</v>
      </c>
      <c r="Q511">
        <v>15</v>
      </c>
      <c r="R511">
        <v>4</v>
      </c>
      <c r="S511">
        <v>2</v>
      </c>
      <c r="T511">
        <v>4</v>
      </c>
      <c r="U511" s="48">
        <f t="shared" si="76"/>
        <v>0.35</v>
      </c>
      <c r="V511" s="47">
        <f t="shared" si="77"/>
        <v>5250</v>
      </c>
      <c r="W511" s="47">
        <f t="shared" si="78"/>
        <v>20250</v>
      </c>
    </row>
    <row r="512" spans="1:23" ht="12.75">
      <c r="A512" t="s">
        <v>1693</v>
      </c>
      <c r="B512" s="242" t="s">
        <v>373</v>
      </c>
      <c r="C512" s="217">
        <v>0</v>
      </c>
      <c r="D512" s="217">
        <v>0</v>
      </c>
      <c r="E512" s="217">
        <v>0</v>
      </c>
      <c r="F512" s="47">
        <f t="shared" si="73"/>
        <v>0</v>
      </c>
      <c r="G512" s="40">
        <v>0</v>
      </c>
      <c r="H512" s="40">
        <v>0</v>
      </c>
      <c r="I512" s="40">
        <v>0</v>
      </c>
      <c r="J512" s="40">
        <v>0</v>
      </c>
      <c r="K512" s="40">
        <v>40</v>
      </c>
      <c r="L512" s="40">
        <v>0</v>
      </c>
      <c r="M512" s="47">
        <f t="shared" si="74"/>
        <v>2682</v>
      </c>
      <c r="N512" s="47">
        <f t="shared" si="75"/>
        <v>2682</v>
      </c>
      <c r="O512">
        <v>4</v>
      </c>
      <c r="P512">
        <v>2</v>
      </c>
      <c r="Q512">
        <v>15</v>
      </c>
      <c r="R512">
        <v>4</v>
      </c>
      <c r="S512">
        <v>2</v>
      </c>
      <c r="T512">
        <v>4</v>
      </c>
      <c r="U512" s="48">
        <f t="shared" si="76"/>
        <v>0.35</v>
      </c>
      <c r="V512" s="47">
        <f t="shared" si="77"/>
        <v>938.6999999999999</v>
      </c>
      <c r="W512" s="47">
        <f t="shared" si="78"/>
        <v>3620.7</v>
      </c>
    </row>
    <row r="513" spans="1:23" ht="12.75">
      <c r="A513" t="s">
        <v>1694</v>
      </c>
      <c r="B513" s="242" t="s">
        <v>361</v>
      </c>
      <c r="C513" s="217">
        <v>1000</v>
      </c>
      <c r="D513" s="217">
        <v>0</v>
      </c>
      <c r="E513" s="217">
        <v>0</v>
      </c>
      <c r="F513" s="47">
        <f t="shared" si="73"/>
        <v>1000</v>
      </c>
      <c r="G513" s="40">
        <v>0</v>
      </c>
      <c r="H513" s="40">
        <v>0</v>
      </c>
      <c r="I513" s="40">
        <v>0</v>
      </c>
      <c r="J513" s="40">
        <v>0</v>
      </c>
      <c r="K513" s="40">
        <v>32</v>
      </c>
      <c r="L513" s="40">
        <v>0</v>
      </c>
      <c r="M513" s="47">
        <f t="shared" si="74"/>
        <v>2145.6</v>
      </c>
      <c r="N513" s="47">
        <f t="shared" si="75"/>
        <v>3145.6</v>
      </c>
      <c r="O513">
        <v>4</v>
      </c>
      <c r="P513">
        <v>2</v>
      </c>
      <c r="Q513">
        <v>15</v>
      </c>
      <c r="R513">
        <v>4</v>
      </c>
      <c r="S513">
        <v>2</v>
      </c>
      <c r="T513">
        <v>4</v>
      </c>
      <c r="U513" s="48">
        <f t="shared" si="76"/>
        <v>0.35</v>
      </c>
      <c r="V513" s="47">
        <f t="shared" si="77"/>
        <v>1100.9599999999998</v>
      </c>
      <c r="W513" s="47">
        <f t="shared" si="78"/>
        <v>4246.5599999999995</v>
      </c>
    </row>
    <row r="514" spans="2:23" ht="12.75">
      <c r="B514" s="242"/>
      <c r="C514" s="217"/>
      <c r="D514" s="217"/>
      <c r="E514" s="217"/>
      <c r="F514" s="47"/>
      <c r="G514" s="40"/>
      <c r="H514" s="40"/>
      <c r="I514" s="40"/>
      <c r="J514" s="40"/>
      <c r="K514" s="40"/>
      <c r="L514" s="40"/>
      <c r="M514" s="47"/>
      <c r="N514" s="47"/>
      <c r="U514" s="48"/>
      <c r="V514" s="47"/>
      <c r="W514" s="47"/>
    </row>
    <row r="515" spans="1:23" ht="12.75">
      <c r="A515" s="37"/>
      <c r="B515" s="8"/>
      <c r="C515" s="35"/>
      <c r="D515" s="35"/>
      <c r="E515" s="35"/>
      <c r="F515" s="47">
        <f>SUM(C515:E515)</f>
        <v>0</v>
      </c>
      <c r="G515" s="40"/>
      <c r="H515" s="40"/>
      <c r="I515" s="40"/>
      <c r="J515" s="40"/>
      <c r="K515" s="40"/>
      <c r="L515" s="40"/>
      <c r="M515" s="47">
        <f>$G$3*G515+$H$3*H515+$I$3*I515+$J$3*J515+$K$3*K515+$L$3*L515</f>
        <v>0</v>
      </c>
      <c r="N515" s="47">
        <f>M515+F515</f>
        <v>0</v>
      </c>
      <c r="U515" s="48">
        <f>((O515*P515)+Q515+(R515*S515)+T515)/100</f>
        <v>0</v>
      </c>
      <c r="V515" s="47">
        <f>+(F515+M515)*U515</f>
        <v>0</v>
      </c>
      <c r="W515" s="47">
        <f>+F515+M515+V515</f>
        <v>0</v>
      </c>
    </row>
    <row r="516" spans="1:23" ht="12.75">
      <c r="A516" s="37"/>
      <c r="B516" s="8" t="s">
        <v>666</v>
      </c>
      <c r="F516" s="49"/>
      <c r="G516" s="50">
        <f aca="true" t="shared" si="79" ref="G516:L516">SUM(G7:G515)</f>
        <v>13580</v>
      </c>
      <c r="H516" s="50">
        <f t="shared" si="79"/>
        <v>8691</v>
      </c>
      <c r="I516" s="50">
        <f t="shared" si="79"/>
        <v>4483</v>
      </c>
      <c r="J516" s="50">
        <f t="shared" si="79"/>
        <v>25660</v>
      </c>
      <c r="K516" s="50">
        <f t="shared" si="79"/>
        <v>14757</v>
      </c>
      <c r="L516" s="50">
        <f t="shared" si="79"/>
        <v>3263</v>
      </c>
      <c r="M516" s="49"/>
      <c r="N516" s="49"/>
      <c r="U516" s="48">
        <f>((O516*P516)+Q516+(R516*S516)+T516)/100</f>
        <v>0</v>
      </c>
      <c r="V516" s="47">
        <f>+(F516+M516)*U516</f>
        <v>0</v>
      </c>
      <c r="W516" s="47">
        <f>+F516+M516+V516</f>
        <v>0</v>
      </c>
    </row>
    <row r="517" spans="2:23" ht="12.75">
      <c r="B517" s="8" t="s">
        <v>877</v>
      </c>
      <c r="F517" s="49"/>
      <c r="G517" s="51">
        <f aca="true" t="shared" si="80" ref="G517:L517">G516/1755</f>
        <v>7.737891737891738</v>
      </c>
      <c r="H517" s="51">
        <f t="shared" si="80"/>
        <v>4.952136752136752</v>
      </c>
      <c r="I517" s="51">
        <f t="shared" si="80"/>
        <v>2.5544159544159544</v>
      </c>
      <c r="J517" s="51">
        <f t="shared" si="80"/>
        <v>14.621082621082621</v>
      </c>
      <c r="K517" s="51">
        <f t="shared" si="80"/>
        <v>8.408547008547009</v>
      </c>
      <c r="L517" s="51">
        <f t="shared" si="80"/>
        <v>1.8592592592592592</v>
      </c>
      <c r="M517" s="49"/>
      <c r="N517" s="49"/>
      <c r="U517" s="48"/>
      <c r="V517" s="49"/>
      <c r="W517" s="49"/>
    </row>
    <row r="518" spans="2:23" ht="12.75">
      <c r="B518" s="8"/>
      <c r="F518" s="49"/>
      <c r="G518" s="40"/>
      <c r="H518" s="40"/>
      <c r="I518" s="40"/>
      <c r="J518" s="40"/>
      <c r="K518" s="40"/>
      <c r="L518" s="40"/>
      <c r="M518" s="49"/>
      <c r="N518" s="49"/>
      <c r="U518" s="48"/>
      <c r="V518" s="49"/>
      <c r="W518" s="49"/>
    </row>
    <row r="519" spans="2:25" ht="12.75">
      <c r="B519" s="8" t="s">
        <v>885</v>
      </c>
      <c r="C519" s="47">
        <f>SUM(C7:C516)</f>
        <v>1189155</v>
      </c>
      <c r="D519" s="47">
        <f>SUM(D7:D516)</f>
        <v>1836440</v>
      </c>
      <c r="E519" s="47">
        <f>SUM(E7:E516)</f>
        <v>0</v>
      </c>
      <c r="F519" s="52">
        <f>SUM(F7:F514)</f>
        <v>3025595</v>
      </c>
      <c r="G519" s="47">
        <f aca="true" t="shared" si="81" ref="G519:L519">G516*G3</f>
        <v>911897.0000000001</v>
      </c>
      <c r="H519" s="47">
        <f t="shared" si="81"/>
        <v>779148.15</v>
      </c>
      <c r="I519" s="47">
        <f t="shared" si="81"/>
        <v>252168.75</v>
      </c>
      <c r="J519" s="47">
        <f t="shared" si="81"/>
        <v>1347150</v>
      </c>
      <c r="K519" s="47">
        <f t="shared" si="81"/>
        <v>989456.85</v>
      </c>
      <c r="L519" s="47">
        <f t="shared" si="81"/>
        <v>329563</v>
      </c>
      <c r="M519" s="52">
        <f>SUM(M8:M515)</f>
        <v>4609383.749999998</v>
      </c>
      <c r="N519" s="52">
        <f>SUM(N8:N515)</f>
        <v>7634978.749999997</v>
      </c>
      <c r="O519" s="49"/>
      <c r="P519" s="49"/>
      <c r="Q519" s="49"/>
      <c r="R519" s="49"/>
      <c r="S519" s="49"/>
      <c r="T519" s="49"/>
      <c r="U519" s="53">
        <f>+V519/N519</f>
        <v>0.2338020351399147</v>
      </c>
      <c r="V519" s="52">
        <f>SUM(V7:V516)</f>
        <v>1785073.5700000015</v>
      </c>
      <c r="W519" s="52">
        <f>SUM(W7:W516)</f>
        <v>9420052.319999995</v>
      </c>
      <c r="Y519" s="35"/>
    </row>
    <row r="520" spans="2:23" ht="12.75">
      <c r="B520" s="8"/>
      <c r="C520" s="47"/>
      <c r="D520" s="47"/>
      <c r="E520" s="47"/>
      <c r="F520" s="47">
        <f>SUM(C520:E520)</f>
        <v>0</v>
      </c>
      <c r="G520" s="50"/>
      <c r="H520" s="50"/>
      <c r="I520" s="50"/>
      <c r="J520" s="50"/>
      <c r="K520" s="50"/>
      <c r="L520" s="50"/>
      <c r="M520" s="47"/>
      <c r="N520" s="47"/>
      <c r="O520" s="49"/>
      <c r="P520" s="49"/>
      <c r="Q520" s="49"/>
      <c r="R520" s="49"/>
      <c r="S520" s="49"/>
      <c r="T520" s="49"/>
      <c r="U520" s="48"/>
      <c r="V520" s="47">
        <f>+(F520+M520)*U520</f>
        <v>0</v>
      </c>
      <c r="W520" s="47">
        <f>+F520+M520+V520</f>
        <v>0</v>
      </c>
    </row>
    <row r="521" spans="1:25" ht="12.75">
      <c r="A521" s="37"/>
      <c r="B521" s="8" t="s">
        <v>886</v>
      </c>
      <c r="C521" s="54">
        <f>'Labor and Indirect Rates (NSF)'!F73</f>
        <v>0.25725</v>
      </c>
      <c r="D521" s="54">
        <f>'Labor and Indirect Rates (NSF)'!F86</f>
        <v>0.1372500000000001</v>
      </c>
      <c r="E521" s="54"/>
      <c r="F521" s="54"/>
      <c r="G521" s="54">
        <f>'Labor and Indirect Rates (NSF)'!$F$36</f>
        <v>0.4022212700000001</v>
      </c>
      <c r="H521" s="54">
        <f>'Labor and Indirect Rates (NSF)'!$F$36</f>
        <v>0.4022212700000001</v>
      </c>
      <c r="I521" s="54">
        <f>'Labor and Indirect Rates (NSF)'!$F$36</f>
        <v>0.4022212700000001</v>
      </c>
      <c r="J521" s="54">
        <f>'Labor and Indirect Rates (NSF)'!$F$36</f>
        <v>0.4022212700000001</v>
      </c>
      <c r="K521" s="54">
        <f>'Labor and Indirect Rates (NSF)'!$F$59</f>
        <v>0.1200000000000001</v>
      </c>
      <c r="L521" s="54">
        <f>'Labor and Indirect Rates (NSF)'!$F$59</f>
        <v>0.1200000000000001</v>
      </c>
      <c r="M521" s="54"/>
      <c r="N521" s="54"/>
      <c r="O521" s="54"/>
      <c r="P521" s="54"/>
      <c r="Q521" s="54"/>
      <c r="R521" s="54"/>
      <c r="S521" s="54"/>
      <c r="T521" s="54"/>
      <c r="U521" s="54"/>
      <c r="V521" s="54">
        <f>+(F521+M521)*U521</f>
        <v>0</v>
      </c>
      <c r="W521" s="54">
        <f>+F521+M521+V521</f>
        <v>0</v>
      </c>
      <c r="X521" s="14"/>
      <c r="Y521" s="14"/>
    </row>
    <row r="522" spans="1:27" ht="12.75">
      <c r="A522" s="37"/>
      <c r="B522" s="8"/>
      <c r="C522" s="47"/>
      <c r="D522" s="47"/>
      <c r="E522" s="47"/>
      <c r="F522" s="47">
        <f>SUM(C522:E522)</f>
        <v>0</v>
      </c>
      <c r="G522" s="50"/>
      <c r="H522" s="50"/>
      <c r="I522" s="50"/>
      <c r="J522" s="50"/>
      <c r="K522" s="50"/>
      <c r="L522" s="50"/>
      <c r="M522" s="47">
        <f>$G$3*G522+$H$3*H522+$I$3*I522+$J$3*J522+$K$3*K522+$L$3*L522</f>
        <v>0</v>
      </c>
      <c r="N522" s="47"/>
      <c r="O522" s="49"/>
      <c r="P522" s="49"/>
      <c r="Q522" s="49"/>
      <c r="R522" s="49"/>
      <c r="S522" s="49"/>
      <c r="T522" s="49"/>
      <c r="U522" s="48"/>
      <c r="V522" s="47">
        <f>+(F522+M522)*U522</f>
        <v>0</v>
      </c>
      <c r="W522" s="47">
        <f>+F522+M522+V522</f>
        <v>0</v>
      </c>
      <c r="Z522" s="14"/>
      <c r="AA522" s="14"/>
    </row>
    <row r="523" spans="1:24" ht="12.75">
      <c r="A523" s="37"/>
      <c r="B523" s="8" t="s">
        <v>887</v>
      </c>
      <c r="C523" s="55">
        <f>C519*(1+C521)</f>
        <v>1495065.12375</v>
      </c>
      <c r="D523" s="55">
        <f>D519*(1+D521)</f>
        <v>2088491.3900000001</v>
      </c>
      <c r="E523" s="49"/>
      <c r="F523" s="56">
        <f>SUM(C523:E523)</f>
        <v>3583556.51375</v>
      </c>
      <c r="G523" s="55">
        <f aca="true" t="shared" si="82" ref="G523:L523">G519*(1+G521)</f>
        <v>1278681.3694491903</v>
      </c>
      <c r="H523" s="55">
        <f t="shared" si="82"/>
        <v>1092538.1084111505</v>
      </c>
      <c r="I523" s="55">
        <f t="shared" si="82"/>
        <v>353596.38487931254</v>
      </c>
      <c r="J523" s="55">
        <f t="shared" si="82"/>
        <v>1889002.3838805002</v>
      </c>
      <c r="K523" s="55">
        <f t="shared" si="82"/>
        <v>1108191.672</v>
      </c>
      <c r="L523" s="55">
        <f t="shared" si="82"/>
        <v>369110.56000000006</v>
      </c>
      <c r="M523" s="56">
        <f>SUM(G523:L523)</f>
        <v>6091120.478620155</v>
      </c>
      <c r="N523" s="56">
        <f>M523+F523</f>
        <v>9674676.992370155</v>
      </c>
      <c r="O523" s="49"/>
      <c r="P523" s="49"/>
      <c r="Q523" s="49"/>
      <c r="R523" s="49"/>
      <c r="S523" s="49"/>
      <c r="T523" s="49"/>
      <c r="U523" s="48">
        <f>U519</f>
        <v>0.2338020351399147</v>
      </c>
      <c r="V523" s="56">
        <f>N523*U519</f>
        <v>2261959.1701374515</v>
      </c>
      <c r="W523" s="52">
        <f>N523+V523</f>
        <v>11936636.162507607</v>
      </c>
      <c r="X523" s="35"/>
    </row>
  </sheetData>
  <mergeCells count="4">
    <mergeCell ref="G5:L5"/>
    <mergeCell ref="C5:E5"/>
    <mergeCell ref="O5:T5"/>
    <mergeCell ref="G2:L2"/>
  </mergeCells>
  <conditionalFormatting sqref="M520:N522 F520:F522 U520:W522 F8:F515 M8:N515 V387:W516 U387:U519 U8:W386">
    <cfRule type="cellIs" priority="1" dxfId="0" operator="equal" stopIfTrue="1">
      <formula>0</formula>
    </cfRule>
  </conditionalFormatting>
  <printOptions gridLines="1"/>
  <pageMargins left="0.75" right="0.6" top="0.35" bottom="0.51" header="0.5" footer="0.5"/>
  <pageSetup fitToHeight="5" fitToWidth="1" horizontalDpi="600" verticalDpi="600" orientation="landscape" paperSize="17" scale="50" r:id="rId1"/>
</worksheet>
</file>

<file path=xl/worksheets/sheet7.xml><?xml version="1.0" encoding="utf-8"?>
<worksheet xmlns="http://schemas.openxmlformats.org/spreadsheetml/2006/main" xmlns:r="http://schemas.openxmlformats.org/officeDocument/2006/relationships">
  <sheetPr>
    <pageSetUpPr fitToPage="1"/>
  </sheetPr>
  <dimension ref="A1:AD84"/>
  <sheetViews>
    <sheetView workbookViewId="0" topLeftCell="A1">
      <pane xSplit="2" ySplit="7" topLeftCell="C8" activePane="bottomRight" state="frozen"/>
      <selection pane="topLeft" activeCell="A1" sqref="A1"/>
      <selection pane="topRight" activeCell="C1" sqref="C1"/>
      <selection pane="bottomLeft" activeCell="A8" sqref="A8"/>
      <selection pane="bottomRight" activeCell="D30" sqref="D30"/>
    </sheetView>
  </sheetViews>
  <sheetFormatPr defaultColWidth="9.140625" defaultRowHeight="12.75"/>
  <cols>
    <col min="1" max="1" width="11.28125" style="0" customWidth="1"/>
    <col min="2" max="2" width="31.140625" style="0" customWidth="1"/>
    <col min="3" max="3" width="9.7109375" style="0" bestFit="1" customWidth="1"/>
    <col min="4" max="4" width="10.28125" style="0" customWidth="1"/>
    <col min="5" max="6" width="9.8515625" style="0" customWidth="1"/>
    <col min="7" max="7" width="11.57421875" style="0" customWidth="1"/>
    <col min="8" max="9" width="14.00390625" style="0" customWidth="1"/>
    <col min="10" max="10" width="11.140625" style="0" bestFit="1" customWidth="1"/>
    <col min="12" max="13" width="11.28125" style="0" customWidth="1"/>
    <col min="14" max="15" width="10.00390625" style="0" customWidth="1"/>
    <col min="16" max="17" width="11.7109375" style="0" customWidth="1"/>
    <col min="18" max="18" width="5.28125" style="0" customWidth="1"/>
    <col min="19" max="19" width="4.00390625" style="0" customWidth="1"/>
    <col min="20" max="20" width="6.8515625" style="0" customWidth="1"/>
    <col min="21" max="21" width="5.140625" style="0" customWidth="1"/>
    <col min="22" max="22" width="3.8515625" style="0" customWidth="1"/>
    <col min="23" max="23" width="6.7109375" style="0" customWidth="1"/>
    <col min="25" max="25" width="11.00390625" style="0" customWidth="1"/>
    <col min="26" max="26" width="12.00390625" style="0" customWidth="1"/>
    <col min="27" max="27" width="2.140625" style="0" customWidth="1"/>
    <col min="28" max="28" width="27.57421875" style="0" customWidth="1"/>
  </cols>
  <sheetData>
    <row r="1" ht="18">
      <c r="A1" s="36" t="s">
        <v>392</v>
      </c>
    </row>
    <row r="2" spans="1:15" ht="12.75">
      <c r="A2" t="s">
        <v>393</v>
      </c>
      <c r="J2" s="339" t="s">
        <v>815</v>
      </c>
      <c r="K2" s="339"/>
      <c r="L2" s="339"/>
      <c r="M2" s="339"/>
      <c r="N2" s="339"/>
      <c r="O2" s="339"/>
    </row>
    <row r="3" spans="8:15" ht="12.75">
      <c r="H3" s="41">
        <f>'Resource Categories'!D14</f>
        <v>106.07</v>
      </c>
      <c r="I3" s="41">
        <f>'Resource Categories'!D13</f>
        <v>47.54</v>
      </c>
      <c r="J3" s="41">
        <f>'Labor and Indirect Rates (NSF)'!$C$130</f>
        <v>67.15</v>
      </c>
      <c r="K3" s="41">
        <f>'Labor and Indirect Rates (NSF)'!$C$132</f>
        <v>89.65</v>
      </c>
      <c r="L3" s="41">
        <f>'Labor and Indirect Rates (NSF)'!$C$131</f>
        <v>56.25</v>
      </c>
      <c r="M3" s="41">
        <f>'Labor and Indirect Rates (NSF)'!$C$129</f>
        <v>52.5</v>
      </c>
      <c r="N3" s="41">
        <f>'Labor and Indirect Rates (NSF)'!$C$141</f>
        <v>67.05</v>
      </c>
      <c r="O3" s="41">
        <f>'Labor and Indirect Rates (NSF)'!$C$140</f>
        <v>101</v>
      </c>
    </row>
    <row r="4" spans="1:28" ht="12.75">
      <c r="A4" s="42"/>
      <c r="B4" s="42"/>
      <c r="C4" s="42"/>
      <c r="D4" s="42"/>
      <c r="E4" s="42"/>
      <c r="F4" s="42"/>
      <c r="G4" s="42"/>
      <c r="H4" s="42"/>
      <c r="I4" s="42"/>
      <c r="J4" s="42"/>
      <c r="K4" s="42"/>
      <c r="L4" s="43"/>
      <c r="M4" s="43"/>
      <c r="N4" s="43"/>
      <c r="O4" s="43"/>
      <c r="P4" s="44" t="s">
        <v>643</v>
      </c>
      <c r="Q4" s="44"/>
      <c r="R4" s="42"/>
      <c r="S4" s="42"/>
      <c r="T4" s="42"/>
      <c r="U4" s="42"/>
      <c r="V4" s="42"/>
      <c r="W4" s="42"/>
      <c r="X4" s="42"/>
      <c r="Y4" s="42"/>
      <c r="Z4" s="43"/>
      <c r="AA4" s="45"/>
      <c r="AB4" s="45"/>
    </row>
    <row r="5" spans="1:28" ht="12.75">
      <c r="A5" s="44" t="s">
        <v>816</v>
      </c>
      <c r="B5" s="42"/>
      <c r="C5" s="338" t="s">
        <v>647</v>
      </c>
      <c r="D5" s="338"/>
      <c r="E5" s="338"/>
      <c r="F5" s="44" t="s">
        <v>395</v>
      </c>
      <c r="G5" s="44" t="s">
        <v>643</v>
      </c>
      <c r="H5" s="44"/>
      <c r="I5" s="44"/>
      <c r="J5" s="338" t="s">
        <v>666</v>
      </c>
      <c r="K5" s="338"/>
      <c r="L5" s="338"/>
      <c r="M5" s="338"/>
      <c r="N5" s="338"/>
      <c r="O5" s="338"/>
      <c r="P5" s="44" t="s">
        <v>642</v>
      </c>
      <c r="Q5" s="44" t="s">
        <v>643</v>
      </c>
      <c r="R5" s="338" t="s">
        <v>817</v>
      </c>
      <c r="S5" s="338"/>
      <c r="T5" s="338"/>
      <c r="U5" s="338"/>
      <c r="V5" s="338"/>
      <c r="W5" s="338"/>
      <c r="X5" s="42"/>
      <c r="Y5" s="42"/>
      <c r="Z5" s="44" t="s">
        <v>643</v>
      </c>
      <c r="AA5" s="45"/>
      <c r="AB5" s="45"/>
    </row>
    <row r="6" spans="1:28" ht="12.75">
      <c r="A6" s="44" t="s">
        <v>818</v>
      </c>
      <c r="B6" s="42" t="s">
        <v>819</v>
      </c>
      <c r="C6" s="44" t="s">
        <v>912</v>
      </c>
      <c r="D6" s="44" t="s">
        <v>913</v>
      </c>
      <c r="E6" s="44" t="s">
        <v>914</v>
      </c>
      <c r="F6" s="44"/>
      <c r="G6" s="44" t="s">
        <v>823</v>
      </c>
      <c r="H6" s="44" t="s">
        <v>413</v>
      </c>
      <c r="I6" s="44" t="s">
        <v>411</v>
      </c>
      <c r="J6" s="42" t="s">
        <v>824</v>
      </c>
      <c r="K6" s="42" t="s">
        <v>825</v>
      </c>
      <c r="L6" s="43" t="s">
        <v>826</v>
      </c>
      <c r="M6" s="43" t="s">
        <v>667</v>
      </c>
      <c r="N6" s="43" t="s">
        <v>827</v>
      </c>
      <c r="O6" s="43" t="s">
        <v>702</v>
      </c>
      <c r="P6" s="44" t="s">
        <v>697</v>
      </c>
      <c r="Q6" s="44" t="s">
        <v>876</v>
      </c>
      <c r="R6" s="42" t="s">
        <v>667</v>
      </c>
      <c r="S6" s="42" t="s">
        <v>828</v>
      </c>
      <c r="T6" s="42" t="s">
        <v>826</v>
      </c>
      <c r="U6" s="42" t="s">
        <v>697</v>
      </c>
      <c r="V6" s="42" t="s">
        <v>828</v>
      </c>
      <c r="W6" s="42" t="s">
        <v>829</v>
      </c>
      <c r="X6" s="42" t="s">
        <v>830</v>
      </c>
      <c r="Y6" s="44" t="s">
        <v>831</v>
      </c>
      <c r="Z6" s="46" t="s">
        <v>832</v>
      </c>
      <c r="AA6" s="45"/>
      <c r="AB6" s="44" t="s">
        <v>517</v>
      </c>
    </row>
    <row r="7" spans="1:26" ht="12.75">
      <c r="A7" s="37"/>
      <c r="B7" s="38"/>
      <c r="C7" s="39"/>
      <c r="D7" s="39"/>
      <c r="E7" s="39"/>
      <c r="F7" s="39"/>
      <c r="G7" s="39"/>
      <c r="H7" s="39"/>
      <c r="I7" s="39"/>
      <c r="J7" s="39"/>
      <c r="K7" s="39"/>
      <c r="L7" s="39"/>
      <c r="M7" s="39"/>
      <c r="N7" s="39"/>
      <c r="O7" s="39"/>
      <c r="P7" s="39"/>
      <c r="Q7" s="39"/>
      <c r="R7" s="39"/>
      <c r="S7" s="39"/>
      <c r="T7" s="39"/>
      <c r="U7" s="39"/>
      <c r="V7" s="39"/>
      <c r="W7" s="39"/>
      <c r="X7" s="39"/>
      <c r="Y7" s="39"/>
      <c r="Z7" s="39"/>
    </row>
    <row r="8" spans="1:26" ht="12.75">
      <c r="A8" s="37" t="s">
        <v>1063</v>
      </c>
      <c r="B8" s="8" t="s">
        <v>394</v>
      </c>
      <c r="C8" s="35"/>
      <c r="D8" s="35"/>
      <c r="E8" s="35"/>
      <c r="F8" s="35"/>
      <c r="G8" s="47">
        <f>SUM(C8:E8)</f>
        <v>0</v>
      </c>
      <c r="H8" s="92"/>
      <c r="I8" s="92"/>
      <c r="J8" s="40"/>
      <c r="K8" s="40"/>
      <c r="L8" s="40"/>
      <c r="M8" s="40"/>
      <c r="N8" s="40"/>
      <c r="O8" s="40"/>
      <c r="P8" s="47">
        <f>$J$3*J8+$K$3*K8+$L$3*L8+$M$3*M8+$N$3*N8+$O$3*O8</f>
        <v>0</v>
      </c>
      <c r="Q8" s="47"/>
      <c r="X8" s="48">
        <f>((R8*S8)+T8+(U8*V8)+W8)/100</f>
        <v>0</v>
      </c>
      <c r="Y8" s="47">
        <f>+(G8+P8)*X8</f>
        <v>0</v>
      </c>
      <c r="Z8" s="47">
        <f>+G8+P8+Y8</f>
        <v>0</v>
      </c>
    </row>
    <row r="9" spans="1:28" ht="12.75">
      <c r="A9" s="37" t="s">
        <v>488</v>
      </c>
      <c r="B9" s="10" t="s">
        <v>489</v>
      </c>
      <c r="C9" s="35"/>
      <c r="D9" s="35"/>
      <c r="E9" s="35"/>
      <c r="F9" s="35"/>
      <c r="G9" s="47">
        <f>SUM(C9:E9)</f>
        <v>0</v>
      </c>
      <c r="H9" s="185">
        <v>4388</v>
      </c>
      <c r="I9" s="185"/>
      <c r="J9" s="40"/>
      <c r="K9" s="40"/>
      <c r="L9" s="40"/>
      <c r="M9" s="40"/>
      <c r="N9" s="40"/>
      <c r="O9" s="40"/>
      <c r="P9" s="47">
        <f>$J$3*J9+$K$3*K9+$L$3*L9+$M$3*M9+$N$3*N9+$O$3*O9+I9*$I$3+H9*$H$3</f>
        <v>465435.16</v>
      </c>
      <c r="Q9" s="47">
        <f>P9+G9</f>
        <v>465435.16</v>
      </c>
      <c r="X9" s="48">
        <v>0.2</v>
      </c>
      <c r="Y9" s="47">
        <f>+(G9+P9)*X9</f>
        <v>93087.032</v>
      </c>
      <c r="Z9" s="47">
        <f>+G9+P9+Y9</f>
        <v>558522.192</v>
      </c>
      <c r="AB9" t="s">
        <v>495</v>
      </c>
    </row>
    <row r="10" spans="1:28" ht="12.75">
      <c r="A10" s="37" t="s">
        <v>490</v>
      </c>
      <c r="B10" s="10" t="s">
        <v>491</v>
      </c>
      <c r="C10" s="35"/>
      <c r="D10" s="35"/>
      <c r="E10" s="35"/>
      <c r="F10" s="35"/>
      <c r="G10" s="47">
        <f>SUM(C10:E10)</f>
        <v>0</v>
      </c>
      <c r="H10" s="185">
        <v>4388</v>
      </c>
      <c r="I10" s="185"/>
      <c r="J10" s="40"/>
      <c r="K10" s="40"/>
      <c r="L10" s="40"/>
      <c r="M10" s="40"/>
      <c r="N10" s="40"/>
      <c r="O10" s="40"/>
      <c r="P10" s="47">
        <f>$J$3*J10+$K$3*K10+$L$3*L10+$M$3*M10+$N$3*N10+$O$3*O10+I10*$I$3+H10*$H$3</f>
        <v>465435.16</v>
      </c>
      <c r="Q10" s="47">
        <f>P10+G10</f>
        <v>465435.16</v>
      </c>
      <c r="X10" s="48">
        <v>0.2</v>
      </c>
      <c r="Y10" s="47">
        <f>+(G10+P10)*X10</f>
        <v>93087.032</v>
      </c>
      <c r="Z10" s="47">
        <f>+G10+P10+Y10</f>
        <v>558522.192</v>
      </c>
      <c r="AB10" t="s">
        <v>495</v>
      </c>
    </row>
    <row r="11" spans="1:28" ht="12.75">
      <c r="A11" s="37" t="s">
        <v>492</v>
      </c>
      <c r="B11" s="10" t="s">
        <v>493</v>
      </c>
      <c r="C11" s="35"/>
      <c r="D11" s="35"/>
      <c r="E11" s="35"/>
      <c r="F11" s="35"/>
      <c r="G11" s="47">
        <f>SUM(C11:E11)</f>
        <v>0</v>
      </c>
      <c r="H11" s="185"/>
      <c r="I11" s="185">
        <v>2194</v>
      </c>
      <c r="J11" s="40"/>
      <c r="K11" s="40"/>
      <c r="L11" s="40"/>
      <c r="M11" s="40"/>
      <c r="N11" s="40"/>
      <c r="O11" s="40"/>
      <c r="P11" s="47">
        <f>$J$3*J11+$K$3*K11+$L$3*L11+$M$3*M11+$N$3*N11+$O$3*O11+I11*$I$3+H11*$H$3</f>
        <v>104302.76</v>
      </c>
      <c r="Q11" s="47">
        <f>P11+G11</f>
        <v>104302.76</v>
      </c>
      <c r="X11" s="48">
        <v>0.2</v>
      </c>
      <c r="Y11" s="47">
        <f>+(G11+P11)*X11</f>
        <v>20860.552</v>
      </c>
      <c r="Z11" s="47">
        <f>+G11+P11+Y11</f>
        <v>125163.31199999999</v>
      </c>
      <c r="AB11" t="s">
        <v>496</v>
      </c>
    </row>
    <row r="12" spans="1:28" ht="12.75">
      <c r="A12" s="37" t="s">
        <v>494</v>
      </c>
      <c r="B12" s="10" t="s">
        <v>950</v>
      </c>
      <c r="C12" s="35">
        <v>15000</v>
      </c>
      <c r="D12" s="35"/>
      <c r="E12" s="35"/>
      <c r="F12" s="35">
        <v>35000</v>
      </c>
      <c r="G12" s="47">
        <f>SUM(C12:F12)</f>
        <v>50000</v>
      </c>
      <c r="H12" s="185"/>
      <c r="I12" s="185"/>
      <c r="J12" s="40"/>
      <c r="K12" s="40"/>
      <c r="L12" s="40"/>
      <c r="M12" s="40"/>
      <c r="N12" s="40"/>
      <c r="O12" s="40"/>
      <c r="P12" s="47">
        <f>$J$3*J12+$K$3*K12+$L$3*L12+$M$3*M12+$N$3*N12+$O$3*O12+I12*$I$3+H12*$H$3</f>
        <v>0</v>
      </c>
      <c r="Q12" s="47">
        <f>P12+G12</f>
        <v>50000</v>
      </c>
      <c r="X12" s="48">
        <v>0.2</v>
      </c>
      <c r="Y12" s="47">
        <f>+(G12+P12)*X12</f>
        <v>10000</v>
      </c>
      <c r="Z12" s="47">
        <f>+G12+P12+Y12</f>
        <v>60000</v>
      </c>
      <c r="AB12" t="s">
        <v>497</v>
      </c>
    </row>
    <row r="13" spans="1:26" ht="12.75">
      <c r="A13" s="37"/>
      <c r="B13" s="10"/>
      <c r="C13" s="35"/>
      <c r="D13" s="35"/>
      <c r="E13" s="35"/>
      <c r="F13" s="35"/>
      <c r="G13" s="47"/>
      <c r="H13" s="92"/>
      <c r="I13" s="92"/>
      <c r="J13" s="40"/>
      <c r="K13" s="40"/>
      <c r="L13" s="40"/>
      <c r="M13" s="40"/>
      <c r="N13" s="40"/>
      <c r="O13" s="40"/>
      <c r="P13" s="47"/>
      <c r="Q13" s="47"/>
      <c r="X13" s="48"/>
      <c r="Y13" s="47"/>
      <c r="Z13" s="47"/>
    </row>
    <row r="14" spans="1:26" ht="12.75">
      <c r="A14" s="85"/>
      <c r="B14" s="10"/>
      <c r="C14" s="35"/>
      <c r="D14" s="35"/>
      <c r="E14" s="35"/>
      <c r="F14" s="35"/>
      <c r="G14" s="47"/>
      <c r="H14" s="92"/>
      <c r="I14" s="92"/>
      <c r="J14" s="40"/>
      <c r="K14" s="40"/>
      <c r="L14" s="40"/>
      <c r="M14" s="40"/>
      <c r="N14" s="40"/>
      <c r="O14" s="40"/>
      <c r="P14" s="47"/>
      <c r="Q14" s="47"/>
      <c r="X14" s="48"/>
      <c r="Y14" s="47"/>
      <c r="Z14" s="47"/>
    </row>
    <row r="15" spans="1:26" ht="12.75">
      <c r="A15" s="37"/>
      <c r="B15" s="8"/>
      <c r="C15" s="35"/>
      <c r="D15" s="35"/>
      <c r="E15" s="35"/>
      <c r="F15" s="35"/>
      <c r="G15" s="47"/>
      <c r="H15" s="92"/>
      <c r="I15" s="92"/>
      <c r="J15" s="40"/>
      <c r="K15" s="40"/>
      <c r="L15" s="40"/>
      <c r="M15" s="40"/>
      <c r="N15" s="40"/>
      <c r="O15" s="40"/>
      <c r="P15" s="47"/>
      <c r="Q15" s="47"/>
      <c r="X15" s="48"/>
      <c r="Y15" s="47"/>
      <c r="Z15" s="47"/>
    </row>
    <row r="16" spans="2:26" ht="12.75">
      <c r="B16" s="8" t="s">
        <v>666</v>
      </c>
      <c r="G16" s="49"/>
      <c r="H16" s="50">
        <f aca="true" t="shared" si="0" ref="H16:O16">SUM(H7:H15)</f>
        <v>8776</v>
      </c>
      <c r="I16" s="50">
        <f t="shared" si="0"/>
        <v>2194</v>
      </c>
      <c r="J16" s="50">
        <f t="shared" si="0"/>
        <v>0</v>
      </c>
      <c r="K16" s="50">
        <f t="shared" si="0"/>
        <v>0</v>
      </c>
      <c r="L16" s="50">
        <f t="shared" si="0"/>
        <v>0</v>
      </c>
      <c r="M16" s="50">
        <f t="shared" si="0"/>
        <v>0</v>
      </c>
      <c r="N16" s="50">
        <f t="shared" si="0"/>
        <v>0</v>
      </c>
      <c r="O16" s="50">
        <f t="shared" si="0"/>
        <v>0</v>
      </c>
      <c r="P16" s="49"/>
      <c r="Q16" s="49"/>
      <c r="X16" s="48">
        <f>((R16*S16)+T16+(U16*V16)+W16)/100</f>
        <v>0</v>
      </c>
      <c r="Y16" s="49"/>
      <c r="Z16" s="49"/>
    </row>
    <row r="17" spans="2:26" ht="12.75">
      <c r="B17" s="8" t="s">
        <v>877</v>
      </c>
      <c r="G17" s="49"/>
      <c r="H17" s="51">
        <f aca="true" t="shared" si="1" ref="H17:O17">H16/1755</f>
        <v>5.0005698005698</v>
      </c>
      <c r="I17" s="51">
        <f t="shared" si="1"/>
        <v>1.25014245014245</v>
      </c>
      <c r="J17" s="51">
        <f t="shared" si="1"/>
        <v>0</v>
      </c>
      <c r="K17" s="51">
        <f t="shared" si="1"/>
        <v>0</v>
      </c>
      <c r="L17" s="51">
        <f t="shared" si="1"/>
        <v>0</v>
      </c>
      <c r="M17" s="51">
        <f t="shared" si="1"/>
        <v>0</v>
      </c>
      <c r="N17" s="51">
        <f t="shared" si="1"/>
        <v>0</v>
      </c>
      <c r="O17" s="51">
        <f t="shared" si="1"/>
        <v>0</v>
      </c>
      <c r="P17" s="49"/>
      <c r="Q17" s="49"/>
      <c r="X17" s="48"/>
      <c r="Y17" s="49"/>
      <c r="Z17" s="49"/>
    </row>
    <row r="18" spans="2:26" ht="12.75">
      <c r="B18" s="8"/>
      <c r="G18" s="49"/>
      <c r="H18" s="40"/>
      <c r="I18" s="40"/>
      <c r="J18" s="40"/>
      <c r="K18" s="40"/>
      <c r="L18" s="40"/>
      <c r="M18" s="40"/>
      <c r="N18" s="40"/>
      <c r="O18" s="40"/>
      <c r="P18" s="49"/>
      <c r="Q18" s="49"/>
      <c r="X18" s="48"/>
      <c r="Y18" s="49"/>
      <c r="Z18" s="49"/>
    </row>
    <row r="19" spans="2:26" ht="12.75">
      <c r="B19" s="8" t="s">
        <v>885</v>
      </c>
      <c r="C19" s="47">
        <f>SUM(C7:C16)</f>
        <v>15000</v>
      </c>
      <c r="D19" s="47">
        <f>SUM(D7:D16)</f>
        <v>0</v>
      </c>
      <c r="E19" s="47">
        <f>SUM(E7:E16)</f>
        <v>0</v>
      </c>
      <c r="F19" s="47">
        <f>SUM(F7:F16)</f>
        <v>35000</v>
      </c>
      <c r="G19" s="52">
        <f>SUM(G7:G15)</f>
        <v>50000</v>
      </c>
      <c r="H19" s="47">
        <f aca="true" t="shared" si="2" ref="H19:O19">H16*H3</f>
        <v>930870.32</v>
      </c>
      <c r="I19" s="47">
        <f t="shared" si="2"/>
        <v>104302.76</v>
      </c>
      <c r="J19" s="47">
        <f t="shared" si="2"/>
        <v>0</v>
      </c>
      <c r="K19" s="47">
        <f t="shared" si="2"/>
        <v>0</v>
      </c>
      <c r="L19" s="47">
        <f t="shared" si="2"/>
        <v>0</v>
      </c>
      <c r="M19" s="47">
        <f t="shared" si="2"/>
        <v>0</v>
      </c>
      <c r="N19" s="47">
        <f t="shared" si="2"/>
        <v>0</v>
      </c>
      <c r="O19" s="47">
        <f t="shared" si="2"/>
        <v>0</v>
      </c>
      <c r="P19" s="52">
        <f>SUM(P9:P15)</f>
        <v>1035173.08</v>
      </c>
      <c r="Q19" s="52">
        <f>SUM(Q9:Q15)</f>
        <v>1085173.08</v>
      </c>
      <c r="R19" s="49"/>
      <c r="S19" s="49"/>
      <c r="T19" s="49"/>
      <c r="U19" s="49"/>
      <c r="V19" s="49"/>
      <c r="W19" s="49"/>
      <c r="X19" s="53">
        <f>+Y19/Q19</f>
        <v>0.19999999999999998</v>
      </c>
      <c r="Y19" s="52">
        <f>SUM(Y7:Y16)</f>
        <v>217034.616</v>
      </c>
      <c r="Z19" s="52">
        <f>SUM(Z7:Z16)</f>
        <v>1302207.696</v>
      </c>
    </row>
    <row r="20" spans="1:26" ht="12.75">
      <c r="A20" s="37"/>
      <c r="B20" s="8"/>
      <c r="C20" s="47"/>
      <c r="D20" s="47"/>
      <c r="E20" s="47"/>
      <c r="F20" s="47"/>
      <c r="G20" s="47">
        <f>SUM(C20:E20)</f>
        <v>0</v>
      </c>
      <c r="H20" s="50"/>
      <c r="I20" s="50"/>
      <c r="J20" s="50"/>
      <c r="K20" s="50"/>
      <c r="L20" s="50"/>
      <c r="M20" s="50"/>
      <c r="N20" s="50"/>
      <c r="O20" s="50"/>
      <c r="P20" s="47">
        <f>$J$3*J20+$K$3*K20+$L$3*L20+$M$3*M20+$N$3*N20+$O$3*O20</f>
        <v>0</v>
      </c>
      <c r="Q20" s="47"/>
      <c r="R20" s="49"/>
      <c r="S20" s="49"/>
      <c r="T20" s="49"/>
      <c r="U20" s="49"/>
      <c r="V20" s="49"/>
      <c r="W20" s="49"/>
      <c r="X20" s="48"/>
      <c r="Y20" s="47">
        <f>+(G20+P20)*X20</f>
        <v>0</v>
      </c>
      <c r="Z20" s="47">
        <f>+G20+P20+Y20</f>
        <v>0</v>
      </c>
    </row>
    <row r="21" spans="1:30" ht="12.75">
      <c r="A21" s="37"/>
      <c r="B21" s="8" t="s">
        <v>886</v>
      </c>
      <c r="C21" s="54">
        <f>'Labor and Indirect Rates (NSF)'!$F$73</f>
        <v>0.25725</v>
      </c>
      <c r="D21" s="54">
        <f>'Labor and Indirect Rates (NSF)'!$F$86</f>
        <v>0.1372500000000001</v>
      </c>
      <c r="E21" s="54"/>
      <c r="F21" s="54">
        <f>'Resource Categories'!E55</f>
        <v>0.2524</v>
      </c>
      <c r="G21" s="54"/>
      <c r="H21" s="54">
        <f>'Labor and Indirect Rates (NSF)'!$F$36</f>
        <v>0.4022212700000001</v>
      </c>
      <c r="I21" s="54">
        <f>'Labor and Indirect Rates (NSF)'!$F$36</f>
        <v>0.4022212700000001</v>
      </c>
      <c r="J21" s="54">
        <f>'Labor and Indirect Rates (NSF)'!$F$36</f>
        <v>0.4022212700000001</v>
      </c>
      <c r="K21" s="54">
        <f>'Labor and Indirect Rates (NSF)'!$F$36</f>
        <v>0.4022212700000001</v>
      </c>
      <c r="L21" s="54">
        <f>'Labor and Indirect Rates (NSF)'!$F$36</f>
        <v>0.4022212700000001</v>
      </c>
      <c r="M21" s="54">
        <f>'Labor and Indirect Rates (NSF)'!$F$36</f>
        <v>0.4022212700000001</v>
      </c>
      <c r="N21" s="54">
        <f>'Labor and Indirect Rates (NSF)'!$F$59</f>
        <v>0.1200000000000001</v>
      </c>
      <c r="O21" s="54">
        <f>'Labor and Indirect Rates (NSF)'!$F$59</f>
        <v>0.1200000000000001</v>
      </c>
      <c r="P21" s="54"/>
      <c r="Q21" s="54"/>
      <c r="R21" s="54"/>
      <c r="S21" s="54"/>
      <c r="T21" s="54"/>
      <c r="U21" s="54"/>
      <c r="V21" s="54"/>
      <c r="W21" s="54"/>
      <c r="X21" s="54"/>
      <c r="Y21" s="54">
        <f>+(G21+P21)*X21</f>
        <v>0</v>
      </c>
      <c r="Z21" s="54">
        <f>+G21+P21+Y21</f>
        <v>0</v>
      </c>
      <c r="AA21" s="14"/>
      <c r="AB21" s="14"/>
      <c r="AC21" s="14"/>
      <c r="AD21" s="14"/>
    </row>
    <row r="22" spans="1:26" ht="12.75">
      <c r="A22" s="37"/>
      <c r="B22" s="8"/>
      <c r="C22" s="47"/>
      <c r="D22" s="47"/>
      <c r="E22" s="47"/>
      <c r="F22" s="47"/>
      <c r="G22" s="47">
        <f>SUM(C22:E22)</f>
        <v>0</v>
      </c>
      <c r="H22" s="50"/>
      <c r="I22" s="50"/>
      <c r="J22" s="50"/>
      <c r="K22" s="50"/>
      <c r="L22" s="50"/>
      <c r="M22" s="50"/>
      <c r="N22" s="50"/>
      <c r="O22" s="50"/>
      <c r="P22" s="47">
        <f>$J$3*J22+$K$3*K22+$L$3*L22+$M$3*M22+$N$3*N22+$O$3*O22</f>
        <v>0</v>
      </c>
      <c r="Q22" s="47"/>
      <c r="R22" s="49"/>
      <c r="S22" s="49"/>
      <c r="T22" s="49"/>
      <c r="U22" s="49"/>
      <c r="V22" s="49"/>
      <c r="W22" s="49"/>
      <c r="X22" s="48"/>
      <c r="Y22" s="47">
        <f>+(G22+P22)*X22</f>
        <v>0</v>
      </c>
      <c r="Z22" s="47">
        <f>+G22+P22+Y22</f>
        <v>0</v>
      </c>
    </row>
    <row r="23" spans="2:26" ht="12.75">
      <c r="B23" s="8" t="s">
        <v>887</v>
      </c>
      <c r="C23" s="55">
        <f>C19*(1+C21)</f>
        <v>18858.75</v>
      </c>
      <c r="D23" s="55">
        <f>D19*(1+D21)</f>
        <v>0</v>
      </c>
      <c r="E23" s="49"/>
      <c r="F23" s="55">
        <f>F19*(1+F21)</f>
        <v>43834</v>
      </c>
      <c r="G23" s="56">
        <f>SUM(C23:F23)</f>
        <v>62692.75</v>
      </c>
      <c r="H23" s="55">
        <f>H19*(1+H21)</f>
        <v>1305286.1623157065</v>
      </c>
      <c r="I23" s="55">
        <f>I19*(1+I21)</f>
        <v>146255.5485917052</v>
      </c>
      <c r="J23" s="55">
        <f aca="true" t="shared" si="3" ref="J23:O23">J19*(1+J21)</f>
        <v>0</v>
      </c>
      <c r="K23" s="55">
        <f t="shared" si="3"/>
        <v>0</v>
      </c>
      <c r="L23" s="55">
        <f t="shared" si="3"/>
        <v>0</v>
      </c>
      <c r="M23" s="55">
        <f t="shared" si="3"/>
        <v>0</v>
      </c>
      <c r="N23" s="55">
        <f t="shared" si="3"/>
        <v>0</v>
      </c>
      <c r="O23" s="55">
        <f t="shared" si="3"/>
        <v>0</v>
      </c>
      <c r="P23" s="56">
        <f>SUM(H23:O23)</f>
        <v>1451541.7109074118</v>
      </c>
      <c r="Q23" s="56">
        <f>P23+G23</f>
        <v>1514234.4609074118</v>
      </c>
      <c r="R23" s="49"/>
      <c r="S23" s="49"/>
      <c r="T23" s="49"/>
      <c r="U23" s="49"/>
      <c r="V23" s="49"/>
      <c r="W23" s="49"/>
      <c r="X23" s="48">
        <f>X19</f>
        <v>0.19999999999999998</v>
      </c>
      <c r="Y23" s="56">
        <f>Q23*X19</f>
        <v>302846.89218148234</v>
      </c>
      <c r="Z23" s="52">
        <f>Q23+Y23</f>
        <v>1817081.3530888942</v>
      </c>
    </row>
    <row r="28" spans="10:15" ht="12.75">
      <c r="J28" s="40"/>
      <c r="K28" s="40"/>
      <c r="L28" s="40"/>
      <c r="M28" s="40"/>
      <c r="N28" s="40"/>
      <c r="O28" s="40"/>
    </row>
    <row r="67" spans="2:26" ht="12.75">
      <c r="B67" s="8"/>
      <c r="G67" s="35">
        <f>SUM(C67:E67)</f>
        <v>0</v>
      </c>
      <c r="H67" s="35"/>
      <c r="I67" s="35"/>
      <c r="P67" s="35">
        <f>$J$3*J67+$K$3*K67+$L$3*L67+$M$3*M67+$N$3*N67+$O$3*O67</f>
        <v>0</v>
      </c>
      <c r="Q67" s="35"/>
      <c r="X67" s="19">
        <f>((R67*S67)+T67+(U67*V67)+W67)/100</f>
        <v>0</v>
      </c>
      <c r="Y67" s="35">
        <f>+(G67+P67)*X67</f>
        <v>0</v>
      </c>
      <c r="Z67" s="35">
        <f>+G67+P67+Y67</f>
        <v>0</v>
      </c>
    </row>
    <row r="68" spans="2:26" ht="12.75">
      <c r="B68" s="8"/>
      <c r="G68" s="35">
        <f>SUM(C68:E68)</f>
        <v>0</v>
      </c>
      <c r="H68" s="35"/>
      <c r="I68" s="35"/>
      <c r="P68" s="35">
        <f>$J$3*J68+$K$3*K68+$L$3*L68+$M$3*M68+$N$3*N68+$O$3*O68</f>
        <v>0</v>
      </c>
      <c r="Q68" s="35"/>
      <c r="X68" s="19">
        <f>((R68*S68)+T68+(U68*V68)+W68)/100</f>
        <v>0</v>
      </c>
      <c r="Y68" s="35">
        <f>+(G68+P68)*X68</f>
        <v>0</v>
      </c>
      <c r="Z68" s="35">
        <f>+G68+P68+Y68</f>
        <v>0</v>
      </c>
    </row>
    <row r="69" spans="2:26" ht="12.75">
      <c r="B69" s="8"/>
      <c r="G69" s="35">
        <f>SUM(C69:E69)</f>
        <v>0</v>
      </c>
      <c r="H69" s="35"/>
      <c r="I69" s="35"/>
      <c r="P69" s="35">
        <f>$J$3*J69+$K$3*K69+$L$3*L69+$M$3*M69+$N$3*N69+$O$3*O69</f>
        <v>0</v>
      </c>
      <c r="Q69" s="35"/>
      <c r="X69" s="19">
        <f>((R69*S69)+T69+(U69*V69)+W69)/100</f>
        <v>0</v>
      </c>
      <c r="Y69" s="35">
        <f>+(G69+P69)*X69</f>
        <v>0</v>
      </c>
      <c r="Z69" s="35">
        <f>+G69+P69+Y69</f>
        <v>0</v>
      </c>
    </row>
    <row r="72" spans="2:26" ht="12.75">
      <c r="B72" s="8"/>
      <c r="G72" s="35">
        <f aca="true" t="shared" si="4" ref="G72:G83">SUM(C72:E72)</f>
        <v>0</v>
      </c>
      <c r="H72" s="35"/>
      <c r="I72" s="35"/>
      <c r="P72" s="35">
        <f aca="true" t="shared" si="5" ref="P72:P83">$J$3*J72+$K$3*K72+$L$3*L72+$M$3*M72+$N$3*N72+$O$3*O72</f>
        <v>0</v>
      </c>
      <c r="Q72" s="35"/>
      <c r="X72" s="19">
        <f aca="true" t="shared" si="6" ref="X72:X84">((R72*S72)+T72+(U72*V72)+W72)/100</f>
        <v>0</v>
      </c>
      <c r="Y72" s="35">
        <f aca="true" t="shared" si="7" ref="Y72:Y83">+(G72+P72)*X72</f>
        <v>0</v>
      </c>
      <c r="Z72" s="35">
        <f aca="true" t="shared" si="8" ref="Z72:Z83">+G72+P72+Y72</f>
        <v>0</v>
      </c>
    </row>
    <row r="73" spans="2:26" ht="12.75">
      <c r="B73" s="8"/>
      <c r="G73" s="35">
        <f t="shared" si="4"/>
        <v>0</v>
      </c>
      <c r="H73" s="35"/>
      <c r="I73" s="35"/>
      <c r="P73" s="35">
        <f t="shared" si="5"/>
        <v>0</v>
      </c>
      <c r="Q73" s="35"/>
      <c r="X73" s="19">
        <f t="shared" si="6"/>
        <v>0</v>
      </c>
      <c r="Y73" s="35">
        <f t="shared" si="7"/>
        <v>0</v>
      </c>
      <c r="Z73" s="35">
        <f t="shared" si="8"/>
        <v>0</v>
      </c>
    </row>
    <row r="74" spans="2:26" ht="12.75">
      <c r="B74" s="8"/>
      <c r="G74" s="35">
        <f t="shared" si="4"/>
        <v>0</v>
      </c>
      <c r="H74" s="35"/>
      <c r="I74" s="35"/>
      <c r="P74" s="35">
        <f t="shared" si="5"/>
        <v>0</v>
      </c>
      <c r="Q74" s="35"/>
      <c r="X74" s="19">
        <f t="shared" si="6"/>
        <v>0</v>
      </c>
      <c r="Y74" s="35">
        <f t="shared" si="7"/>
        <v>0</v>
      </c>
      <c r="Z74" s="35">
        <f t="shared" si="8"/>
        <v>0</v>
      </c>
    </row>
    <row r="75" spans="2:26" ht="12.75">
      <c r="B75" s="8"/>
      <c r="G75" s="35">
        <f t="shared" si="4"/>
        <v>0</v>
      </c>
      <c r="H75" s="35"/>
      <c r="I75" s="35"/>
      <c r="P75" s="35">
        <f t="shared" si="5"/>
        <v>0</v>
      </c>
      <c r="Q75" s="35"/>
      <c r="X75" s="19">
        <f t="shared" si="6"/>
        <v>0</v>
      </c>
      <c r="Y75" s="35">
        <f t="shared" si="7"/>
        <v>0</v>
      </c>
      <c r="Z75" s="35">
        <f t="shared" si="8"/>
        <v>0</v>
      </c>
    </row>
    <row r="76" spans="2:26" ht="12.75">
      <c r="B76" s="8"/>
      <c r="G76" s="35">
        <f t="shared" si="4"/>
        <v>0</v>
      </c>
      <c r="H76" s="35"/>
      <c r="I76" s="35"/>
      <c r="P76" s="35">
        <f t="shared" si="5"/>
        <v>0</v>
      </c>
      <c r="Q76" s="35"/>
      <c r="X76" s="19">
        <f t="shared" si="6"/>
        <v>0</v>
      </c>
      <c r="Y76" s="35">
        <f t="shared" si="7"/>
        <v>0</v>
      </c>
      <c r="Z76" s="35">
        <f t="shared" si="8"/>
        <v>0</v>
      </c>
    </row>
    <row r="77" spans="2:26" ht="12.75">
      <c r="B77" s="8"/>
      <c r="G77" s="35">
        <f t="shared" si="4"/>
        <v>0</v>
      </c>
      <c r="H77" s="35"/>
      <c r="I77" s="35"/>
      <c r="P77" s="35">
        <f t="shared" si="5"/>
        <v>0</v>
      </c>
      <c r="Q77" s="35"/>
      <c r="X77" s="19">
        <f t="shared" si="6"/>
        <v>0</v>
      </c>
      <c r="Y77" s="35">
        <f t="shared" si="7"/>
        <v>0</v>
      </c>
      <c r="Z77" s="35">
        <f t="shared" si="8"/>
        <v>0</v>
      </c>
    </row>
    <row r="78" spans="2:26" ht="12.75">
      <c r="B78" s="8"/>
      <c r="G78" s="35">
        <f t="shared" si="4"/>
        <v>0</v>
      </c>
      <c r="H78" s="35"/>
      <c r="I78" s="35"/>
      <c r="P78" s="35">
        <f t="shared" si="5"/>
        <v>0</v>
      </c>
      <c r="Q78" s="35"/>
      <c r="X78" s="19">
        <f t="shared" si="6"/>
        <v>0</v>
      </c>
      <c r="Y78" s="35">
        <f t="shared" si="7"/>
        <v>0</v>
      </c>
      <c r="Z78" s="35">
        <f t="shared" si="8"/>
        <v>0</v>
      </c>
    </row>
    <row r="79" spans="2:26" ht="12.75">
      <c r="B79" s="8"/>
      <c r="G79" s="35">
        <f t="shared" si="4"/>
        <v>0</v>
      </c>
      <c r="H79" s="35"/>
      <c r="I79" s="35"/>
      <c r="P79" s="35">
        <f t="shared" si="5"/>
        <v>0</v>
      </c>
      <c r="Q79" s="35"/>
      <c r="X79" s="19">
        <f t="shared" si="6"/>
        <v>0</v>
      </c>
      <c r="Y79" s="35">
        <f t="shared" si="7"/>
        <v>0</v>
      </c>
      <c r="Z79" s="35">
        <f t="shared" si="8"/>
        <v>0</v>
      </c>
    </row>
    <row r="80" spans="2:26" ht="12.75">
      <c r="B80" s="8"/>
      <c r="G80" s="35">
        <f t="shared" si="4"/>
        <v>0</v>
      </c>
      <c r="H80" s="35"/>
      <c r="I80" s="35"/>
      <c r="P80" s="35">
        <f t="shared" si="5"/>
        <v>0</v>
      </c>
      <c r="Q80" s="35"/>
      <c r="X80" s="19">
        <f t="shared" si="6"/>
        <v>0</v>
      </c>
      <c r="Y80" s="35">
        <f t="shared" si="7"/>
        <v>0</v>
      </c>
      <c r="Z80" s="35">
        <f t="shared" si="8"/>
        <v>0</v>
      </c>
    </row>
    <row r="81" spans="2:26" ht="12.75">
      <c r="B81" s="8"/>
      <c r="G81" s="35">
        <f t="shared" si="4"/>
        <v>0</v>
      </c>
      <c r="H81" s="35"/>
      <c r="I81" s="35"/>
      <c r="P81" s="35">
        <f t="shared" si="5"/>
        <v>0</v>
      </c>
      <c r="Q81" s="35"/>
      <c r="X81" s="19">
        <f t="shared" si="6"/>
        <v>0</v>
      </c>
      <c r="Y81" s="35">
        <f t="shared" si="7"/>
        <v>0</v>
      </c>
      <c r="Z81" s="35">
        <f t="shared" si="8"/>
        <v>0</v>
      </c>
    </row>
    <row r="82" spans="2:26" ht="12.75">
      <c r="B82" s="8"/>
      <c r="G82" s="35">
        <f t="shared" si="4"/>
        <v>0</v>
      </c>
      <c r="H82" s="35"/>
      <c r="I82" s="35"/>
      <c r="P82" s="35">
        <f t="shared" si="5"/>
        <v>0</v>
      </c>
      <c r="Q82" s="35"/>
      <c r="X82" s="19">
        <f t="shared" si="6"/>
        <v>0</v>
      </c>
      <c r="Y82" s="35">
        <f t="shared" si="7"/>
        <v>0</v>
      </c>
      <c r="Z82" s="35">
        <f t="shared" si="8"/>
        <v>0</v>
      </c>
    </row>
    <row r="83" spans="2:26" ht="12.75">
      <c r="B83" s="8"/>
      <c r="G83" s="35">
        <f t="shared" si="4"/>
        <v>0</v>
      </c>
      <c r="H83" s="35"/>
      <c r="I83" s="35"/>
      <c r="P83" s="35">
        <f t="shared" si="5"/>
        <v>0</v>
      </c>
      <c r="Q83" s="35"/>
      <c r="X83" s="19">
        <f t="shared" si="6"/>
        <v>0</v>
      </c>
      <c r="Y83" s="35">
        <f t="shared" si="7"/>
        <v>0</v>
      </c>
      <c r="Z83" s="35">
        <f t="shared" si="8"/>
        <v>0</v>
      </c>
    </row>
    <row r="84" spans="2:24" ht="12.75">
      <c r="B84" s="8"/>
      <c r="X84" s="19">
        <f t="shared" si="6"/>
        <v>0</v>
      </c>
    </row>
  </sheetData>
  <mergeCells count="4">
    <mergeCell ref="J5:O5"/>
    <mergeCell ref="C5:E5"/>
    <mergeCell ref="R5:W5"/>
    <mergeCell ref="J2:O2"/>
  </mergeCells>
  <conditionalFormatting sqref="X72:X84 P72:Q83 Y72:Z83 G72:I83 P67:Q69 X67:Z69 P20:Q22 G20:G22 G67:I69 X20:Z22 X16:X19 X8:Z15 G8:I15 P8:Q15">
    <cfRule type="cellIs" priority="1" dxfId="0" operator="equal" stopIfTrue="1">
      <formula>0</formula>
    </cfRule>
  </conditionalFormatting>
  <printOptions gridLines="1"/>
  <pageMargins left="0.75" right="0.6" top="0.35" bottom="0.51" header="0.5" footer="0.5"/>
  <pageSetup fitToHeight="2" fitToWidth="1" horizontalDpi="600" verticalDpi="600" orientation="landscape" paperSize="17" scale="66" r:id="rId1"/>
</worksheet>
</file>

<file path=xl/worksheets/sheet8.xml><?xml version="1.0" encoding="utf-8"?>
<worksheet xmlns="http://schemas.openxmlformats.org/spreadsheetml/2006/main" xmlns:r="http://schemas.openxmlformats.org/officeDocument/2006/relationships">
  <sheetPr>
    <pageSetUpPr fitToPage="1"/>
  </sheetPr>
  <dimension ref="B3:O120"/>
  <sheetViews>
    <sheetView workbookViewId="0" topLeftCell="A82">
      <selection activeCell="G118" sqref="G118"/>
    </sheetView>
  </sheetViews>
  <sheetFormatPr defaultColWidth="9.140625" defaultRowHeight="12.75"/>
  <cols>
    <col min="2" max="2" width="45.140625" style="0" customWidth="1"/>
    <col min="3" max="3" width="11.421875" style="0" customWidth="1"/>
    <col min="4" max="4" width="13.00390625" style="0" customWidth="1"/>
    <col min="5" max="5" width="15.140625" style="0" customWidth="1"/>
    <col min="6" max="6" width="11.140625" style="0" customWidth="1"/>
    <col min="7" max="7" width="11.57421875" style="0" customWidth="1"/>
    <col min="8" max="8" width="13.140625" style="0" customWidth="1"/>
    <col min="9" max="9" width="11.57421875" style="0" customWidth="1"/>
    <col min="10" max="10" width="13.00390625" style="0" customWidth="1"/>
    <col min="11" max="11" width="14.421875" style="0" customWidth="1"/>
    <col min="12" max="12" width="12.28125" style="0" customWidth="1"/>
    <col min="13" max="13" width="12.140625" style="0" customWidth="1"/>
  </cols>
  <sheetData>
    <row r="2" ht="13.5" thickBot="1"/>
    <row r="3" spans="2:6" ht="12.75">
      <c r="B3" s="346" t="s">
        <v>670</v>
      </c>
      <c r="C3" s="347"/>
      <c r="D3" s="347"/>
      <c r="E3" s="347"/>
      <c r="F3" s="348"/>
    </row>
    <row r="4" spans="2:6" ht="12.75">
      <c r="B4" s="134" t="s">
        <v>1527</v>
      </c>
      <c r="C4" s="70"/>
      <c r="D4" s="70"/>
      <c r="E4" s="70"/>
      <c r="F4" s="135"/>
    </row>
    <row r="5" spans="2:6" ht="12.75">
      <c r="B5" s="247" t="s">
        <v>1422</v>
      </c>
      <c r="C5" s="70"/>
      <c r="D5" s="70"/>
      <c r="E5" s="70"/>
      <c r="F5" s="135"/>
    </row>
    <row r="6" spans="2:6" ht="13.5" thickBot="1">
      <c r="B6" s="136" t="s">
        <v>1528</v>
      </c>
      <c r="C6" s="137">
        <v>85</v>
      </c>
      <c r="D6" s="138" t="s">
        <v>1529</v>
      </c>
      <c r="E6" s="138" t="s">
        <v>1698</v>
      </c>
      <c r="F6" s="139"/>
    </row>
    <row r="7" spans="2:11" ht="12.75">
      <c r="B7" s="298">
        <v>38286</v>
      </c>
      <c r="C7" s="70"/>
      <c r="D7" s="7"/>
      <c r="E7" s="70"/>
      <c r="F7" s="135"/>
      <c r="K7" s="8"/>
    </row>
    <row r="8" spans="2:6" ht="12.75">
      <c r="B8" s="134" t="s">
        <v>671</v>
      </c>
      <c r="C8" s="141" t="s">
        <v>1530</v>
      </c>
      <c r="D8" s="70"/>
      <c r="E8" s="70"/>
      <c r="F8" s="135"/>
    </row>
    <row r="9" spans="2:11" ht="12.75">
      <c r="B9" s="134" t="s">
        <v>1531</v>
      </c>
      <c r="C9" s="118">
        <v>12</v>
      </c>
      <c r="D9" s="142">
        <f>'K0PI0 manpower - NSF'!O17</f>
        <v>1902335.930659271</v>
      </c>
      <c r="E9" s="70" t="s">
        <v>1699</v>
      </c>
      <c r="F9" s="143"/>
      <c r="K9" s="67"/>
    </row>
    <row r="10" spans="2:11" ht="12.75">
      <c r="B10" s="134" t="s">
        <v>1532</v>
      </c>
      <c r="C10" s="118">
        <v>2</v>
      </c>
      <c r="D10" s="142">
        <f>('MECO manpower - NSF'!O25)/6*2</f>
        <v>297666.1603604812</v>
      </c>
      <c r="E10" s="70" t="s">
        <v>1699</v>
      </c>
      <c r="F10" s="135"/>
      <c r="K10" s="67"/>
    </row>
    <row r="11" spans="2:11" ht="13.5" thickBot="1">
      <c r="B11" s="134" t="s">
        <v>1547</v>
      </c>
      <c r="C11" s="118">
        <v>2</v>
      </c>
      <c r="D11" s="142">
        <v>0</v>
      </c>
      <c r="E11" s="70" t="s">
        <v>1699</v>
      </c>
      <c r="F11" s="135"/>
      <c r="K11" s="67"/>
    </row>
    <row r="12" spans="2:11" ht="13.5" thickBot="1">
      <c r="B12" s="21" t="s">
        <v>1700</v>
      </c>
      <c r="C12" s="144">
        <f>SUM(C9:C10)</f>
        <v>14</v>
      </c>
      <c r="D12" s="145">
        <f>SUM(D9:D10)</f>
        <v>2200002.0910197524</v>
      </c>
      <c r="E12" s="70"/>
      <c r="F12" s="135"/>
      <c r="K12" s="68"/>
    </row>
    <row r="13" spans="2:11" ht="12.75">
      <c r="B13" s="134"/>
      <c r="C13" s="70"/>
      <c r="D13" s="70"/>
      <c r="E13" s="70"/>
      <c r="F13" s="135"/>
      <c r="K13" s="8"/>
    </row>
    <row r="14" spans="2:6" ht="12.75">
      <c r="B14" s="134" t="s">
        <v>1701</v>
      </c>
      <c r="C14" s="7"/>
      <c r="D14" s="70"/>
      <c r="E14" s="70"/>
      <c r="F14" s="135"/>
    </row>
    <row r="15" spans="2:6" ht="12.75">
      <c r="B15" s="134"/>
      <c r="C15" s="7"/>
      <c r="D15" s="70"/>
      <c r="E15" s="70"/>
      <c r="F15" s="135"/>
    </row>
    <row r="16" spans="2:13" ht="12.75">
      <c r="B16" s="134" t="s">
        <v>1702</v>
      </c>
      <c r="C16" s="7"/>
      <c r="D16" s="7" t="s">
        <v>1533</v>
      </c>
      <c r="E16" s="7" t="s">
        <v>1534</v>
      </c>
      <c r="F16" s="143" t="s">
        <v>1535</v>
      </c>
      <c r="G16" s="8"/>
      <c r="H16" s="8"/>
      <c r="I16" s="8"/>
      <c r="J16" s="8"/>
      <c r="K16" s="8"/>
      <c r="L16" s="8"/>
      <c r="M16" s="8"/>
    </row>
    <row r="17" spans="2:13" ht="12.75">
      <c r="B17" s="140" t="s">
        <v>827</v>
      </c>
      <c r="C17" s="146"/>
      <c r="D17" s="142">
        <f>'K0PI0 alacart Operations'!E17</f>
        <v>24001.8016</v>
      </c>
      <c r="E17" s="147">
        <f>D17/2</f>
        <v>12000.9008</v>
      </c>
      <c r="F17" s="148">
        <f>D17/2</f>
        <v>12000.9008</v>
      </c>
      <c r="G17" s="67"/>
      <c r="H17" s="67"/>
      <c r="I17" s="67"/>
      <c r="J17" s="14"/>
      <c r="K17" s="67"/>
      <c r="L17" s="67"/>
      <c r="M17" s="67"/>
    </row>
    <row r="18" spans="2:13" ht="12.75">
      <c r="B18" s="140" t="s">
        <v>950</v>
      </c>
      <c r="C18" s="146"/>
      <c r="D18" s="142">
        <f>'K0PI0 alacart Operations'!E18</f>
        <v>68691.5510375</v>
      </c>
      <c r="E18" s="147">
        <f>D18/2</f>
        <v>34345.77551875</v>
      </c>
      <c r="F18" s="148">
        <f>D18/2</f>
        <v>34345.77551875</v>
      </c>
      <c r="G18" s="67"/>
      <c r="H18" s="67"/>
      <c r="I18" s="67"/>
      <c r="J18" s="14"/>
      <c r="K18" s="67"/>
      <c r="L18" s="67"/>
      <c r="M18" s="67"/>
    </row>
    <row r="19" spans="2:13" ht="12.75">
      <c r="B19" s="140" t="s">
        <v>1536</v>
      </c>
      <c r="C19" s="146"/>
      <c r="D19" s="142">
        <f>'K0PI0 alacart Operations'!E19</f>
        <v>22368.6680535</v>
      </c>
      <c r="E19" s="147">
        <f>D19/2</f>
        <v>11184.33402675</v>
      </c>
      <c r="F19" s="148">
        <f>D19/2</f>
        <v>11184.33402675</v>
      </c>
      <c r="G19" s="67"/>
      <c r="H19" s="67"/>
      <c r="I19" s="67"/>
      <c r="J19" s="14"/>
      <c r="K19" s="67"/>
      <c r="L19" s="67"/>
      <c r="M19" s="67"/>
    </row>
    <row r="20" spans="2:13" ht="12.75">
      <c r="B20" s="149" t="s">
        <v>1539</v>
      </c>
      <c r="C20" s="146"/>
      <c r="D20" s="150">
        <f>'K0PI0 manpower - NSF'!O35</f>
        <v>10828.709846425802</v>
      </c>
      <c r="E20" s="151">
        <v>0</v>
      </c>
      <c r="F20" s="152">
        <v>0</v>
      </c>
      <c r="G20" s="67"/>
      <c r="H20" s="67"/>
      <c r="I20" s="67"/>
      <c r="J20" s="14"/>
      <c r="K20" s="67"/>
      <c r="L20" s="67"/>
      <c r="M20" s="67"/>
    </row>
    <row r="21" spans="2:13" ht="12.75">
      <c r="B21" s="134" t="s">
        <v>1537</v>
      </c>
      <c r="C21" s="146"/>
      <c r="D21" s="151">
        <f>SUM(D17:D20)</f>
        <v>125890.73053742581</v>
      </c>
      <c r="E21" s="151">
        <f>SUM(E17:E20)</f>
        <v>57531.010345500006</v>
      </c>
      <c r="F21" s="152">
        <f>SUM(F17:F20)</f>
        <v>57531.010345500006</v>
      </c>
      <c r="G21" s="68"/>
      <c r="H21" s="68"/>
      <c r="I21" s="68"/>
      <c r="J21" s="14"/>
      <c r="K21" s="68"/>
      <c r="L21" s="68"/>
      <c r="M21" s="68"/>
    </row>
    <row r="22" spans="2:13" ht="12.75">
      <c r="B22" s="149" t="s">
        <v>1538</v>
      </c>
      <c r="C22" s="146"/>
      <c r="D22" s="153">
        <v>1</v>
      </c>
      <c r="E22" s="153">
        <v>0.8</v>
      </c>
      <c r="F22" s="154">
        <v>0.8</v>
      </c>
      <c r="G22" s="115"/>
      <c r="H22" s="115"/>
      <c r="I22" s="115"/>
      <c r="J22" s="26"/>
      <c r="K22" s="115"/>
      <c r="L22" s="115"/>
      <c r="M22" s="115"/>
    </row>
    <row r="23" spans="2:13" ht="12.75">
      <c r="B23" s="155" t="s">
        <v>1703</v>
      </c>
      <c r="C23" s="156"/>
      <c r="D23" s="157">
        <f>D22*D21</f>
        <v>125890.73053742581</v>
      </c>
      <c r="E23" s="157">
        <f>E22*E21</f>
        <v>46024.80827640001</v>
      </c>
      <c r="F23" s="158">
        <f>F22*F21</f>
        <v>46024.80827640001</v>
      </c>
      <c r="G23" s="68"/>
      <c r="H23" s="68"/>
      <c r="I23" s="68"/>
      <c r="J23" s="14"/>
      <c r="K23" s="68"/>
      <c r="L23" s="68"/>
      <c r="M23" s="68"/>
    </row>
    <row r="24" spans="2:13" ht="12.75">
      <c r="B24" s="140"/>
      <c r="C24" s="146"/>
      <c r="D24" s="142"/>
      <c r="E24" s="142"/>
      <c r="F24" s="159"/>
      <c r="J24" s="14"/>
      <c r="K24" s="67"/>
      <c r="L24" s="67"/>
      <c r="M24" s="67"/>
    </row>
    <row r="25" spans="2:13" ht="12.75">
      <c r="B25" s="134" t="s">
        <v>1540</v>
      </c>
      <c r="C25" s="160"/>
      <c r="D25" s="142"/>
      <c r="E25" s="142"/>
      <c r="F25" s="159"/>
      <c r="J25" s="14"/>
      <c r="K25" s="67"/>
      <c r="L25" s="67"/>
      <c r="M25" s="67"/>
    </row>
    <row r="26" spans="2:13" ht="12.75">
      <c r="B26" s="140" t="s">
        <v>827</v>
      </c>
      <c r="C26" s="146"/>
      <c r="D26" s="142">
        <f>'K0PI0 alacart Operations'!$E$30</f>
        <v>5703.3984</v>
      </c>
      <c r="E26" s="142">
        <f>'K0PI0 alacart Operations'!$E$30</f>
        <v>5703.3984</v>
      </c>
      <c r="F26" s="148">
        <f>E26/2</f>
        <v>2851.6992</v>
      </c>
      <c r="G26" s="67"/>
      <c r="H26" s="67"/>
      <c r="I26" s="67"/>
      <c r="J26" s="14"/>
      <c r="K26" s="67"/>
      <c r="L26" s="67"/>
      <c r="M26" s="67"/>
    </row>
    <row r="27" spans="2:13" ht="12.75">
      <c r="B27" s="140" t="s">
        <v>950</v>
      </c>
      <c r="C27" s="146"/>
      <c r="D27" s="142">
        <f>'K0PI0 alacart Operations'!$E$31</f>
        <v>10937.295505</v>
      </c>
      <c r="E27" s="142">
        <f>'K0PI0 alacart Operations'!$E$31</f>
        <v>10937.295505</v>
      </c>
      <c r="F27" s="148">
        <f>E27/2</f>
        <v>5468.6477525</v>
      </c>
      <c r="G27" s="67"/>
      <c r="H27" s="67"/>
      <c r="I27" s="67"/>
      <c r="J27" s="14"/>
      <c r="K27" s="67"/>
      <c r="L27" s="67"/>
      <c r="M27" s="67"/>
    </row>
    <row r="28" spans="2:13" ht="12.75">
      <c r="B28" s="140" t="s">
        <v>1536</v>
      </c>
      <c r="C28" s="146"/>
      <c r="D28" s="142">
        <f>'K0PI0 alacart Operations'!$E$32</f>
        <v>47657.0867375</v>
      </c>
      <c r="E28" s="142">
        <f>'K0PI0 alacart Operations'!$E$32</f>
        <v>47657.0867375</v>
      </c>
      <c r="F28" s="148">
        <f>E28/2</f>
        <v>23828.54336875</v>
      </c>
      <c r="G28" s="67"/>
      <c r="H28" s="67"/>
      <c r="I28" s="67"/>
      <c r="J28" s="14"/>
      <c r="K28" s="67"/>
      <c r="L28" s="67"/>
      <c r="M28" s="67"/>
    </row>
    <row r="29" spans="2:10" ht="12.75">
      <c r="B29" s="140"/>
      <c r="C29" s="146"/>
      <c r="D29" s="70"/>
      <c r="E29" s="70"/>
      <c r="F29" s="161"/>
      <c r="J29" s="14"/>
    </row>
    <row r="30" spans="2:13" ht="12.75">
      <c r="B30" s="134" t="s">
        <v>1541</v>
      </c>
      <c r="C30" s="7"/>
      <c r="D30" s="151">
        <f>SUM(D26:D29)</f>
        <v>64297.7806425</v>
      </c>
      <c r="E30" s="151">
        <f>SUM(E26:E29)</f>
        <v>64297.7806425</v>
      </c>
      <c r="F30" s="162">
        <f>SUM(F26:F29)</f>
        <v>32148.89032125</v>
      </c>
      <c r="G30" s="8"/>
      <c r="H30" s="8"/>
      <c r="I30" s="8"/>
      <c r="J30" s="8"/>
      <c r="K30" s="68"/>
      <c r="L30" s="68"/>
      <c r="M30" s="68"/>
    </row>
    <row r="31" spans="2:14" ht="12.75">
      <c r="B31" s="149" t="s">
        <v>1542</v>
      </c>
      <c r="C31" s="7"/>
      <c r="D31" s="153">
        <v>1</v>
      </c>
      <c r="E31" s="153">
        <v>1</v>
      </c>
      <c r="F31" s="163">
        <v>0.8</v>
      </c>
      <c r="G31" s="115"/>
      <c r="H31" s="115"/>
      <c r="I31" s="115"/>
      <c r="J31" s="10"/>
      <c r="K31" s="115"/>
      <c r="L31" s="115"/>
      <c r="M31" s="115"/>
      <c r="N31" s="10"/>
    </row>
    <row r="32" spans="2:13" ht="12.75">
      <c r="B32" s="155" t="s">
        <v>1704</v>
      </c>
      <c r="C32" s="164"/>
      <c r="D32" s="157">
        <f>D31*D30</f>
        <v>64297.7806425</v>
      </c>
      <c r="E32" s="157">
        <f>E31*E30</f>
        <v>64297.7806425</v>
      </c>
      <c r="F32" s="158">
        <f>F31*F30</f>
        <v>25719.112257</v>
      </c>
      <c r="G32" s="68"/>
      <c r="H32" s="68"/>
      <c r="I32" s="68"/>
      <c r="K32" s="68"/>
      <c r="L32" s="68"/>
      <c r="M32" s="68"/>
    </row>
    <row r="33" spans="2:13" ht="12.75">
      <c r="B33" s="134"/>
      <c r="C33" s="70"/>
      <c r="D33" s="151"/>
      <c r="E33" s="151"/>
      <c r="F33" s="152"/>
      <c r="K33" s="68"/>
      <c r="L33" s="68"/>
      <c r="M33" s="68"/>
    </row>
    <row r="34" spans="2:13" ht="12.75">
      <c r="B34" s="165" t="s">
        <v>672</v>
      </c>
      <c r="C34" s="156"/>
      <c r="D34" s="157">
        <v>10522</v>
      </c>
      <c r="E34" s="157">
        <v>10522</v>
      </c>
      <c r="F34" s="158">
        <v>10522</v>
      </c>
      <c r="G34" s="67"/>
      <c r="H34" s="67"/>
      <c r="I34" s="67"/>
      <c r="J34" s="14"/>
      <c r="K34" s="68"/>
      <c r="L34" s="68"/>
      <c r="M34" s="68"/>
    </row>
    <row r="35" spans="2:13" ht="13.5" thickBot="1">
      <c r="B35" s="166"/>
      <c r="C35" s="146"/>
      <c r="D35" s="151"/>
      <c r="E35" s="151"/>
      <c r="F35" s="152"/>
      <c r="J35" s="14"/>
      <c r="K35" s="68"/>
      <c r="L35" s="68"/>
      <c r="M35" s="68"/>
    </row>
    <row r="36" spans="2:13" ht="13.5" thickBot="1">
      <c r="B36" s="167" t="s">
        <v>1705</v>
      </c>
      <c r="C36" s="168"/>
      <c r="D36" s="169">
        <f>D34+D32+D23</f>
        <v>200710.51117992582</v>
      </c>
      <c r="E36" s="169">
        <f>E34+E32+E23</f>
        <v>120844.5889189</v>
      </c>
      <c r="F36" s="170">
        <f>F34+F32+F23</f>
        <v>82265.9205334</v>
      </c>
      <c r="G36" s="68"/>
      <c r="H36" s="68"/>
      <c r="I36" s="68"/>
      <c r="J36" s="14"/>
      <c r="K36" s="68"/>
      <c r="L36" s="68"/>
      <c r="M36" s="68"/>
    </row>
    <row r="37" spans="2:13" ht="12.75">
      <c r="B37" s="277"/>
      <c r="C37" s="286"/>
      <c r="D37" s="256"/>
      <c r="E37" s="256"/>
      <c r="F37" s="162"/>
      <c r="G37" s="68"/>
      <c r="H37" s="68"/>
      <c r="I37" s="68"/>
      <c r="J37" s="14"/>
      <c r="K37" s="68"/>
      <c r="L37" s="68"/>
      <c r="M37" s="68"/>
    </row>
    <row r="38" spans="2:6" ht="13.5" thickBot="1">
      <c r="B38" s="263" t="s">
        <v>1828</v>
      </c>
      <c r="C38" s="248"/>
      <c r="D38" s="249">
        <f>0*(D36+D34+D25)</f>
        <v>0</v>
      </c>
      <c r="E38" s="249">
        <f>0*(E36+E34+E25)</f>
        <v>0</v>
      </c>
      <c r="F38" s="250">
        <f>0*(F36+F34+F25)</f>
        <v>0</v>
      </c>
    </row>
    <row r="39" spans="2:13" ht="12.75">
      <c r="B39" s="165" t="s">
        <v>673</v>
      </c>
      <c r="C39" s="156"/>
      <c r="D39" s="157">
        <f>'MECO alacart Operations'!$E$25/2</f>
        <v>14938.74508</v>
      </c>
      <c r="E39" s="157">
        <f>'MECO alacart Operations'!$E$25/2</f>
        <v>14938.74508</v>
      </c>
      <c r="F39" s="157">
        <f>'MECO alacart Operations'!$E$25/2</f>
        <v>14938.74508</v>
      </c>
      <c r="G39" s="8"/>
      <c r="H39" s="8"/>
      <c r="I39" s="8"/>
      <c r="J39" s="14"/>
      <c r="K39" s="68"/>
      <c r="L39" s="68"/>
      <c r="M39" s="68"/>
    </row>
    <row r="40" spans="2:6" ht="12.75">
      <c r="B40" s="140"/>
      <c r="C40" s="70"/>
      <c r="D40" s="70"/>
      <c r="E40" s="70"/>
      <c r="F40" s="135"/>
    </row>
    <row r="41" spans="2:6" ht="12.75">
      <c r="B41" s="134" t="s">
        <v>1543</v>
      </c>
      <c r="C41" s="70"/>
      <c r="D41" s="70"/>
      <c r="E41" s="70"/>
      <c r="F41" s="135"/>
    </row>
    <row r="42" spans="2:6" ht="12.75">
      <c r="B42" s="149" t="s">
        <v>1786</v>
      </c>
      <c r="C42" s="70"/>
      <c r="D42" s="70">
        <v>0.5</v>
      </c>
      <c r="E42" s="70">
        <v>0.5</v>
      </c>
      <c r="F42" s="135">
        <v>0.5</v>
      </c>
    </row>
    <row r="43" spans="2:6" ht="12.75">
      <c r="B43" s="149" t="s">
        <v>1787</v>
      </c>
      <c r="C43" s="70"/>
      <c r="D43" s="70">
        <v>4.8</v>
      </c>
      <c r="E43" s="70">
        <v>0.3</v>
      </c>
      <c r="F43" s="135">
        <v>0.3</v>
      </c>
    </row>
    <row r="44" spans="2:6" ht="12.75">
      <c r="B44" s="149" t="s">
        <v>1540</v>
      </c>
      <c r="C44" s="70"/>
      <c r="D44" s="70">
        <v>2</v>
      </c>
      <c r="E44" s="70">
        <v>2</v>
      </c>
      <c r="F44" s="135">
        <v>0</v>
      </c>
    </row>
    <row r="45" spans="2:6" ht="12.75">
      <c r="B45" s="149" t="s">
        <v>1788</v>
      </c>
      <c r="C45" s="70"/>
      <c r="D45" s="71">
        <v>0.1</v>
      </c>
      <c r="E45" s="71">
        <v>0.1</v>
      </c>
      <c r="F45" s="135">
        <v>0.1</v>
      </c>
    </row>
    <row r="46" spans="2:13" ht="12.75">
      <c r="B46" s="149" t="s">
        <v>1789</v>
      </c>
      <c r="C46" s="7"/>
      <c r="D46" s="71">
        <v>0</v>
      </c>
      <c r="E46" s="71">
        <v>0</v>
      </c>
      <c r="F46" s="135">
        <v>0</v>
      </c>
      <c r="K46" s="8"/>
      <c r="L46" s="8"/>
      <c r="M46" s="8"/>
    </row>
    <row r="47" spans="2:6" ht="12.75">
      <c r="B47" s="134" t="s">
        <v>643</v>
      </c>
      <c r="C47" s="70"/>
      <c r="D47" s="7">
        <f>SUM(D42:D46)</f>
        <v>7.3999999999999995</v>
      </c>
      <c r="E47" s="7">
        <f>SUM(E42:E46)</f>
        <v>2.9</v>
      </c>
      <c r="F47" s="143">
        <f>SUM(F42:F46)</f>
        <v>0.9</v>
      </c>
    </row>
    <row r="48" spans="2:6" ht="12.75">
      <c r="B48" s="149"/>
      <c r="C48" s="70"/>
      <c r="D48" s="70"/>
      <c r="E48" s="70"/>
      <c r="F48" s="135"/>
    </row>
    <row r="49" spans="2:13" ht="12.75">
      <c r="B49" s="134" t="s">
        <v>1544</v>
      </c>
      <c r="C49" s="171"/>
      <c r="D49" s="70"/>
      <c r="E49" s="70"/>
      <c r="F49" s="135"/>
      <c r="J49" s="19"/>
      <c r="K49" s="67"/>
      <c r="L49" s="67"/>
      <c r="M49" s="67"/>
    </row>
    <row r="50" spans="2:13" ht="12.75">
      <c r="B50" s="140" t="s">
        <v>1545</v>
      </c>
      <c r="C50" s="171"/>
      <c r="D50" s="142">
        <f>$C$6</f>
        <v>85</v>
      </c>
      <c r="E50" s="142">
        <f>$C$6</f>
        <v>85</v>
      </c>
      <c r="F50" s="159">
        <f>$C$6</f>
        <v>85</v>
      </c>
      <c r="K50" s="19"/>
      <c r="L50" s="19"/>
      <c r="M50" s="19"/>
    </row>
    <row r="51" spans="2:13" ht="12.75">
      <c r="B51" s="140" t="s">
        <v>1546</v>
      </c>
      <c r="C51" s="171"/>
      <c r="D51" s="171">
        <v>1</v>
      </c>
      <c r="E51" s="171">
        <v>0.8</v>
      </c>
      <c r="F51" s="172">
        <v>0.8</v>
      </c>
      <c r="J51" s="19"/>
      <c r="K51" s="68"/>
      <c r="L51" s="68"/>
      <c r="M51" s="68"/>
    </row>
    <row r="52" spans="2:13" ht="12.75">
      <c r="B52" s="155" t="s">
        <v>1706</v>
      </c>
      <c r="C52" s="173"/>
      <c r="D52" s="157">
        <f>(D51*(D43+D45+D46)+(D42+D44))*D50*168</f>
        <v>105672</v>
      </c>
      <c r="E52" s="157">
        <f>(E51*(E43+E45+E46)+(E42+E44))*E50*168</f>
        <v>40269.600000000006</v>
      </c>
      <c r="F52" s="157">
        <f>(F51*(F43+F45+F46)+(F42+F44))*F50*168</f>
        <v>11709.6</v>
      </c>
      <c r="J52" s="19"/>
      <c r="K52" s="68"/>
      <c r="L52" s="68"/>
      <c r="M52" s="68"/>
    </row>
    <row r="53" spans="2:13" ht="12.75">
      <c r="B53" s="134"/>
      <c r="D53" s="151"/>
      <c r="E53" s="151"/>
      <c r="F53" s="152"/>
      <c r="J53" s="19"/>
      <c r="K53" s="68"/>
      <c r="L53" s="68"/>
      <c r="M53" s="68"/>
    </row>
    <row r="54" spans="2:13" ht="13.5" thickBot="1">
      <c r="B54" s="263" t="s">
        <v>1799</v>
      </c>
      <c r="C54" s="171"/>
      <c r="D54" s="252">
        <f>0*(D52+D39)</f>
        <v>0</v>
      </c>
      <c r="E54" s="252">
        <f>0*(E52+E39)</f>
        <v>0</v>
      </c>
      <c r="F54" s="264">
        <f>0*(F52+F39)</f>
        <v>0</v>
      </c>
      <c r="J54" s="19"/>
      <c r="K54" s="68"/>
      <c r="L54" s="68"/>
      <c r="M54" s="68"/>
    </row>
    <row r="55" spans="2:15" ht="13.5" thickBot="1">
      <c r="B55" s="174" t="s">
        <v>674</v>
      </c>
      <c r="C55" s="175"/>
      <c r="D55" s="169">
        <f>D52+D39+D54</f>
        <v>120610.74508</v>
      </c>
      <c r="E55" s="169">
        <f>E52+E39+E54</f>
        <v>55208.34508000001</v>
      </c>
      <c r="F55" s="169">
        <f>F52+F39+F54</f>
        <v>26648.34508</v>
      </c>
      <c r="G55" s="8"/>
      <c r="H55" s="8"/>
      <c r="I55" s="8"/>
      <c r="J55" s="8"/>
      <c r="K55" s="68"/>
      <c r="L55" s="68"/>
      <c r="M55" s="68"/>
      <c r="N55" s="8"/>
      <c r="O55" s="8"/>
    </row>
    <row r="56" spans="2:15" ht="12.75">
      <c r="B56" s="134"/>
      <c r="C56" s="70"/>
      <c r="D56" s="151"/>
      <c r="E56" s="7"/>
      <c r="F56" s="143"/>
      <c r="G56" s="8"/>
      <c r="H56" s="8"/>
      <c r="I56" s="8"/>
      <c r="J56" s="8"/>
      <c r="K56" s="8"/>
      <c r="L56" s="8"/>
      <c r="M56" s="8"/>
      <c r="N56" s="8"/>
      <c r="O56" s="8"/>
    </row>
    <row r="57" spans="2:6" ht="12.75">
      <c r="B57" s="165" t="s">
        <v>675</v>
      </c>
      <c r="C57" s="156"/>
      <c r="D57" s="157">
        <f>'K0PI0 alacart Operations'!E25/2</f>
        <v>7469.37254</v>
      </c>
      <c r="E57" s="157">
        <f>'K0PI0 alacart Operations'!E25/2</f>
        <v>7469.37254</v>
      </c>
      <c r="F57" s="158">
        <f>'K0PI0 alacart Operations'!E25/2</f>
        <v>7469.37254</v>
      </c>
    </row>
    <row r="58" spans="2:6" ht="12.75">
      <c r="B58" s="140"/>
      <c r="C58" s="70"/>
      <c r="D58" s="70"/>
      <c r="E58" s="70"/>
      <c r="F58" s="135"/>
    </row>
    <row r="59" spans="2:6" ht="12.75">
      <c r="B59" s="134" t="s">
        <v>1543</v>
      </c>
      <c r="C59" s="70"/>
      <c r="D59" s="70"/>
      <c r="E59" s="70"/>
      <c r="F59" s="135"/>
    </row>
    <row r="60" spans="2:6" ht="12.75">
      <c r="B60" s="149" t="s">
        <v>1786</v>
      </c>
      <c r="C60" s="70"/>
      <c r="D60" s="70">
        <v>0.5</v>
      </c>
      <c r="E60" s="70">
        <v>0.5</v>
      </c>
      <c r="F60" s="135">
        <v>0.5</v>
      </c>
    </row>
    <row r="61" spans="2:6" ht="12.75">
      <c r="B61" s="149" t="s">
        <v>1787</v>
      </c>
      <c r="C61" s="70"/>
      <c r="D61" s="70">
        <v>8.3</v>
      </c>
      <c r="E61" s="70">
        <v>3.8</v>
      </c>
      <c r="F61" s="135">
        <v>3.8</v>
      </c>
    </row>
    <row r="62" spans="2:6" ht="12.75">
      <c r="B62" s="149" t="s">
        <v>1540</v>
      </c>
      <c r="C62" s="70"/>
      <c r="D62" s="70">
        <v>2</v>
      </c>
      <c r="E62" s="70">
        <v>2</v>
      </c>
      <c r="F62" s="135">
        <v>0</v>
      </c>
    </row>
    <row r="63" spans="2:6" ht="12.75">
      <c r="B63" s="149" t="s">
        <v>1788</v>
      </c>
      <c r="C63" s="70"/>
      <c r="D63" s="71">
        <v>0.2</v>
      </c>
      <c r="E63" s="71">
        <v>0.5</v>
      </c>
      <c r="F63" s="135">
        <v>0.5</v>
      </c>
    </row>
    <row r="64" spans="2:6" ht="12.75">
      <c r="B64" s="149" t="s">
        <v>1789</v>
      </c>
      <c r="C64" s="70"/>
      <c r="D64" s="71">
        <v>0</v>
      </c>
      <c r="E64" s="71">
        <v>0</v>
      </c>
      <c r="F64" s="135">
        <v>0</v>
      </c>
    </row>
    <row r="65" spans="2:6" ht="12.75">
      <c r="B65" s="134" t="s">
        <v>643</v>
      </c>
      <c r="C65" s="7"/>
      <c r="D65" s="7">
        <f>SUM(D60:D64)</f>
        <v>11</v>
      </c>
      <c r="E65" s="7">
        <f>SUM(E60:E64)</f>
        <v>6.8</v>
      </c>
      <c r="F65" s="143">
        <f>SUM(F60:F64)</f>
        <v>4.8</v>
      </c>
    </row>
    <row r="66" spans="2:6" ht="12.75">
      <c r="B66" s="149"/>
      <c r="C66" s="70"/>
      <c r="D66" s="70"/>
      <c r="E66" s="70"/>
      <c r="F66" s="135"/>
    </row>
    <row r="67" spans="2:6" ht="12.75">
      <c r="B67" s="134" t="s">
        <v>1544</v>
      </c>
      <c r="C67" s="70"/>
      <c r="D67" s="70"/>
      <c r="E67" s="70"/>
      <c r="F67" s="135"/>
    </row>
    <row r="68" spans="2:6" ht="12.75">
      <c r="B68" s="140" t="s">
        <v>1545</v>
      </c>
      <c r="C68" s="171"/>
      <c r="D68" s="142">
        <f>$C$6</f>
        <v>85</v>
      </c>
      <c r="E68" s="142">
        <f>$C$6</f>
        <v>85</v>
      </c>
      <c r="F68" s="159">
        <f>$C$6</f>
        <v>85</v>
      </c>
    </row>
    <row r="69" spans="2:6" ht="12.75">
      <c r="B69" s="140" t="s">
        <v>1546</v>
      </c>
      <c r="C69" s="171"/>
      <c r="D69" s="171">
        <v>1</v>
      </c>
      <c r="E69" s="171">
        <v>0.8</v>
      </c>
      <c r="F69" s="172">
        <v>0.8</v>
      </c>
    </row>
    <row r="70" spans="2:6" ht="12.75">
      <c r="B70" s="155" t="s">
        <v>1707</v>
      </c>
      <c r="C70" s="173"/>
      <c r="D70" s="157">
        <f>(D69*(D61+D63+D64)+(D60+D62))*D68*168</f>
        <v>157080</v>
      </c>
      <c r="E70" s="157">
        <f>(E69*(E61+E63+E64)+(E60+E62))*E68*168</f>
        <v>84823.2</v>
      </c>
      <c r="F70" s="157">
        <f>(F69*(F61+F63+F64)+(F60+F62))*F68*168</f>
        <v>56263.2</v>
      </c>
    </row>
    <row r="71" spans="2:6" ht="12.75">
      <c r="B71" s="134"/>
      <c r="C71" s="171"/>
      <c r="D71" s="151"/>
      <c r="E71" s="151"/>
      <c r="F71" s="152"/>
    </row>
    <row r="72" spans="2:6" ht="13.5" thickBot="1">
      <c r="B72" s="263" t="s">
        <v>1799</v>
      </c>
      <c r="C72" s="138"/>
      <c r="D72" s="252">
        <f>0*(D70+D57)</f>
        <v>0</v>
      </c>
      <c r="E72" s="252">
        <f>0*(E70+E57)</f>
        <v>0</v>
      </c>
      <c r="F72" s="264">
        <f>0*(F70+F57)</f>
        <v>0</v>
      </c>
    </row>
    <row r="73" spans="2:6" ht="13.5" thickBot="1">
      <c r="B73" s="174" t="s">
        <v>1708</v>
      </c>
      <c r="C73" s="175"/>
      <c r="D73" s="169">
        <f>D72+D57+D70</f>
        <v>164549.37254</v>
      </c>
      <c r="E73" s="169">
        <f>E72+E57+E70</f>
        <v>92292.57254</v>
      </c>
      <c r="F73" s="169">
        <f>F72+F57+F70</f>
        <v>63732.572539999994</v>
      </c>
    </row>
    <row r="74" ht="13.5" thickBot="1"/>
    <row r="75" spans="2:6" ht="13.5" thickBot="1">
      <c r="B75" s="176" t="s">
        <v>1710</v>
      </c>
      <c r="C75" s="177"/>
      <c r="D75" s="177"/>
      <c r="E75" s="177"/>
      <c r="F75" s="178"/>
    </row>
    <row r="76" spans="2:6" ht="12.75">
      <c r="B76" s="134" t="s">
        <v>1711</v>
      </c>
      <c r="C76" s="179">
        <f>C77+C78</f>
        <v>20</v>
      </c>
      <c r="D76" s="142">
        <f>C76*$D$36</f>
        <v>4014210.2235985165</v>
      </c>
      <c r="E76" s="142">
        <f>C76*$E$36</f>
        <v>2416891.778378</v>
      </c>
      <c r="F76" s="159">
        <f>C76*$F$36</f>
        <v>1645318.410668</v>
      </c>
    </row>
    <row r="77" spans="2:6" ht="12.75">
      <c r="B77" s="134" t="s">
        <v>1712</v>
      </c>
      <c r="C77" s="180">
        <v>10</v>
      </c>
      <c r="D77" s="142">
        <f>C77*$D$73</f>
        <v>1645493.7254</v>
      </c>
      <c r="E77" s="142">
        <f>C77*$E$73</f>
        <v>922925.7253999999</v>
      </c>
      <c r="F77" s="159">
        <f>C77*$F$73</f>
        <v>637325.7253999999</v>
      </c>
    </row>
    <row r="78" spans="2:6" ht="12.75">
      <c r="B78" s="134" t="s">
        <v>1713</v>
      </c>
      <c r="C78" s="180">
        <v>10</v>
      </c>
      <c r="D78" s="142">
        <f>C78*$D$55</f>
        <v>1206107.4508</v>
      </c>
      <c r="E78" s="142">
        <f>C78*$E$55</f>
        <v>552083.4508000001</v>
      </c>
      <c r="F78" s="159">
        <f>C78*$F$55</f>
        <v>266483.4508</v>
      </c>
    </row>
    <row r="79" spans="2:6" ht="13.5" thickBot="1">
      <c r="B79" s="134" t="s">
        <v>1714</v>
      </c>
      <c r="C79" s="179">
        <f>C12</f>
        <v>14</v>
      </c>
      <c r="D79" s="142">
        <f>D12</f>
        <v>2200002.0910197524</v>
      </c>
      <c r="E79" s="142">
        <f>D12</f>
        <v>2200002.0910197524</v>
      </c>
      <c r="F79" s="159">
        <f>D12</f>
        <v>2200002.0910197524</v>
      </c>
    </row>
    <row r="80" spans="2:6" ht="13.5" thickBot="1">
      <c r="B80" s="174" t="s">
        <v>1715</v>
      </c>
      <c r="C80" s="175"/>
      <c r="D80" s="169">
        <f>SUM(D76:D79)</f>
        <v>9065813.49081827</v>
      </c>
      <c r="E80" s="169">
        <f>SUM(E76:E79)</f>
        <v>6091903.045597753</v>
      </c>
      <c r="F80" s="170">
        <f>SUM(F76:F79)</f>
        <v>4749129.677887753</v>
      </c>
    </row>
    <row r="81" spans="2:6" ht="13.5" thickBot="1">
      <c r="B81" s="258"/>
      <c r="C81" s="259"/>
      <c r="D81" s="260"/>
      <c r="E81" s="260"/>
      <c r="F81" s="260"/>
    </row>
    <row r="82" spans="2:10" ht="13.5" thickBot="1">
      <c r="B82" s="176" t="s">
        <v>676</v>
      </c>
      <c r="C82" s="253"/>
      <c r="D82" s="254"/>
      <c r="E82" s="254"/>
      <c r="F82" s="254"/>
      <c r="G82" s="177"/>
      <c r="H82" s="177"/>
      <c r="I82" s="177"/>
      <c r="J82" s="178"/>
    </row>
    <row r="83" spans="2:10" ht="12.75">
      <c r="B83" s="255" t="s">
        <v>677</v>
      </c>
      <c r="C83" s="71"/>
      <c r="D83" s="256"/>
      <c r="E83" s="256"/>
      <c r="F83" s="256"/>
      <c r="G83" s="70"/>
      <c r="H83" s="70"/>
      <c r="I83" s="70"/>
      <c r="J83" s="135"/>
    </row>
    <row r="84" spans="2:10" ht="12.75">
      <c r="B84" s="257" t="s">
        <v>678</v>
      </c>
      <c r="C84" s="71"/>
      <c r="D84" s="256"/>
      <c r="E84" s="256"/>
      <c r="F84" s="256"/>
      <c r="G84" s="70"/>
      <c r="H84" s="70"/>
      <c r="I84" s="70"/>
      <c r="J84" s="135"/>
    </row>
    <row r="85" spans="2:10" ht="12.75">
      <c r="B85" s="257" t="s">
        <v>686</v>
      </c>
      <c r="C85" s="71"/>
      <c r="D85" s="256"/>
      <c r="E85" s="256"/>
      <c r="F85" s="256"/>
      <c r="G85" s="70"/>
      <c r="H85" s="70"/>
      <c r="I85" s="70"/>
      <c r="J85" s="135"/>
    </row>
    <row r="86" spans="2:10" ht="12.75">
      <c r="B86" s="257" t="s">
        <v>687</v>
      </c>
      <c r="C86" s="71"/>
      <c r="D86" s="256"/>
      <c r="E86" s="256"/>
      <c r="F86" s="256"/>
      <c r="G86" s="70"/>
      <c r="H86" s="70"/>
      <c r="I86" s="70"/>
      <c r="J86" s="135"/>
    </row>
    <row r="87" spans="2:10" ht="12.75">
      <c r="B87" s="257" t="s">
        <v>688</v>
      </c>
      <c r="C87" s="71"/>
      <c r="D87" s="256"/>
      <c r="E87" s="256"/>
      <c r="F87" s="256"/>
      <c r="G87" s="70"/>
      <c r="H87" s="70"/>
      <c r="I87" s="70"/>
      <c r="J87" s="135"/>
    </row>
    <row r="88" spans="2:10" ht="12.75">
      <c r="B88" s="257" t="s">
        <v>689</v>
      </c>
      <c r="C88" s="71"/>
      <c r="D88" s="256"/>
      <c r="E88" s="256"/>
      <c r="F88" s="256"/>
      <c r="G88" s="70"/>
      <c r="H88" s="70"/>
      <c r="I88" s="70"/>
      <c r="J88" s="135"/>
    </row>
    <row r="89" spans="2:10" ht="12.75">
      <c r="B89" s="257" t="s">
        <v>690</v>
      </c>
      <c r="C89" s="70"/>
      <c r="D89" s="70"/>
      <c r="E89" s="70"/>
      <c r="F89" s="70"/>
      <c r="G89" s="70"/>
      <c r="H89" s="70"/>
      <c r="I89" s="70"/>
      <c r="J89" s="135"/>
    </row>
    <row r="90" spans="2:10" ht="12.75">
      <c r="B90" s="257" t="s">
        <v>1823</v>
      </c>
      <c r="C90" s="70"/>
      <c r="D90" s="70"/>
      <c r="E90" s="70"/>
      <c r="F90" s="70"/>
      <c r="G90" s="70"/>
      <c r="H90" s="70"/>
      <c r="I90" s="70"/>
      <c r="J90" s="135"/>
    </row>
    <row r="91" spans="2:10" ht="12.75">
      <c r="B91" s="140"/>
      <c r="C91" s="70"/>
      <c r="D91" s="70"/>
      <c r="E91" s="70"/>
      <c r="F91" s="70"/>
      <c r="G91" s="70"/>
      <c r="H91" s="70"/>
      <c r="I91" s="70"/>
      <c r="J91" s="135"/>
    </row>
    <row r="92" spans="2:10" ht="12.75">
      <c r="B92" s="134" t="s">
        <v>679</v>
      </c>
      <c r="C92" s="270" t="s">
        <v>1722</v>
      </c>
      <c r="D92" s="274" t="s">
        <v>1720</v>
      </c>
      <c r="E92" s="141" t="s">
        <v>1721</v>
      </c>
      <c r="F92" s="270" t="s">
        <v>1817</v>
      </c>
      <c r="G92" s="7" t="s">
        <v>1824</v>
      </c>
      <c r="H92" s="7"/>
      <c r="I92" s="7" t="s">
        <v>1832</v>
      </c>
      <c r="J92" s="135"/>
    </row>
    <row r="93" spans="2:10" ht="12.75">
      <c r="B93" s="134" t="s">
        <v>1805</v>
      </c>
      <c r="C93" s="287">
        <v>27</v>
      </c>
      <c r="D93" s="271">
        <v>27</v>
      </c>
      <c r="E93" s="141">
        <v>27</v>
      </c>
      <c r="F93" s="287">
        <v>27</v>
      </c>
      <c r="G93" s="141">
        <v>27</v>
      </c>
      <c r="H93" s="141"/>
      <c r="I93" s="141">
        <v>27</v>
      </c>
      <c r="J93" s="135"/>
    </row>
    <row r="94" spans="2:10" ht="12.75">
      <c r="B94" s="272" t="s">
        <v>1807</v>
      </c>
      <c r="C94" s="296">
        <v>19</v>
      </c>
      <c r="D94" s="273">
        <v>0</v>
      </c>
      <c r="E94" s="273">
        <v>19</v>
      </c>
      <c r="F94" s="273">
        <v>0</v>
      </c>
      <c r="G94" s="273">
        <v>19</v>
      </c>
      <c r="H94" s="273"/>
      <c r="I94" s="273">
        <v>5</v>
      </c>
      <c r="J94" s="135"/>
    </row>
    <row r="95" spans="2:10" ht="12.75">
      <c r="B95" s="272" t="s">
        <v>1809</v>
      </c>
      <c r="C95" s="296">
        <v>0</v>
      </c>
      <c r="D95" s="273">
        <v>19</v>
      </c>
      <c r="E95" s="273">
        <v>0</v>
      </c>
      <c r="F95" s="273">
        <v>19</v>
      </c>
      <c r="G95" s="273">
        <v>0</v>
      </c>
      <c r="H95" s="273"/>
      <c r="I95" s="273">
        <v>10</v>
      </c>
      <c r="J95" s="135"/>
    </row>
    <row r="96" spans="2:10" ht="12.75">
      <c r="B96" s="272" t="s">
        <v>1811</v>
      </c>
      <c r="C96" s="296">
        <v>10</v>
      </c>
      <c r="D96" s="273">
        <v>10</v>
      </c>
      <c r="E96" s="273">
        <v>10</v>
      </c>
      <c r="F96" s="273">
        <v>10</v>
      </c>
      <c r="G96" s="273">
        <v>10</v>
      </c>
      <c r="H96" s="273"/>
      <c r="I96" s="273">
        <v>10</v>
      </c>
      <c r="J96" s="135"/>
    </row>
    <row r="97" spans="2:10" ht="12.75">
      <c r="B97" s="272"/>
      <c r="C97" s="270"/>
      <c r="D97" s="294"/>
      <c r="E97" s="294"/>
      <c r="F97" s="294"/>
      <c r="G97" s="295"/>
      <c r="H97" s="295"/>
      <c r="I97" s="295"/>
      <c r="J97" s="135"/>
    </row>
    <row r="98" spans="2:10" ht="12.75">
      <c r="B98" s="272" t="s">
        <v>1812</v>
      </c>
      <c r="C98" s="270">
        <f>SUM(C94:C97)</f>
        <v>29</v>
      </c>
      <c r="D98" s="270">
        <f aca="true" t="shared" si="0" ref="D98:I98">SUM(D94:D97)</f>
        <v>29</v>
      </c>
      <c r="E98" s="270">
        <f t="shared" si="0"/>
        <v>29</v>
      </c>
      <c r="F98" s="270">
        <f t="shared" si="0"/>
        <v>29</v>
      </c>
      <c r="G98" s="270">
        <f t="shared" si="0"/>
        <v>29</v>
      </c>
      <c r="H98" s="270"/>
      <c r="I98" s="270">
        <f t="shared" si="0"/>
        <v>25</v>
      </c>
      <c r="J98" s="135"/>
    </row>
    <row r="99" spans="2:10" ht="12.75">
      <c r="B99" s="255" t="s">
        <v>940</v>
      </c>
      <c r="C99" s="70">
        <v>7</v>
      </c>
      <c r="D99" s="70">
        <v>9</v>
      </c>
      <c r="E99" s="70">
        <v>6</v>
      </c>
      <c r="F99" s="70">
        <v>7</v>
      </c>
      <c r="G99" s="70">
        <v>9.5</v>
      </c>
      <c r="H99" s="70"/>
      <c r="I99" s="70">
        <v>5</v>
      </c>
      <c r="J99" s="135"/>
    </row>
    <row r="100" spans="2:10" ht="12.75">
      <c r="B100" s="255" t="s">
        <v>941</v>
      </c>
      <c r="C100" s="70">
        <v>4</v>
      </c>
      <c r="D100" s="70">
        <v>6</v>
      </c>
      <c r="E100" s="70">
        <v>7</v>
      </c>
      <c r="F100" s="70">
        <v>7</v>
      </c>
      <c r="G100" s="70">
        <v>9.5</v>
      </c>
      <c r="H100" s="70"/>
      <c r="I100" s="70">
        <v>5</v>
      </c>
      <c r="J100" s="135"/>
    </row>
    <row r="101" spans="2:10" ht="12.75">
      <c r="B101" s="255"/>
      <c r="C101" s="70"/>
      <c r="D101" s="70"/>
      <c r="E101" s="70"/>
      <c r="F101" s="70"/>
      <c r="G101" s="70"/>
      <c r="H101" s="70"/>
      <c r="I101" s="70"/>
      <c r="J101" s="135"/>
    </row>
    <row r="102" spans="2:10" ht="12.75">
      <c r="B102" s="255" t="s">
        <v>1725</v>
      </c>
      <c r="C102" s="70"/>
      <c r="D102" s="70"/>
      <c r="E102" s="70"/>
      <c r="F102" s="70"/>
      <c r="G102" s="70"/>
      <c r="H102" s="70"/>
      <c r="I102" s="70"/>
      <c r="J102" s="135"/>
    </row>
    <row r="103" spans="2:10" ht="12.75">
      <c r="B103" s="276" t="s">
        <v>940</v>
      </c>
      <c r="C103" s="70">
        <v>0</v>
      </c>
      <c r="D103" s="70">
        <v>0</v>
      </c>
      <c r="E103" s="70">
        <v>0</v>
      </c>
      <c r="F103" s="70">
        <v>0</v>
      </c>
      <c r="G103" s="70">
        <v>0</v>
      </c>
      <c r="H103" s="70"/>
      <c r="I103" s="70">
        <v>5</v>
      </c>
      <c r="J103" s="135"/>
    </row>
    <row r="104" spans="2:10" ht="12.75">
      <c r="B104" s="276" t="s">
        <v>941</v>
      </c>
      <c r="C104" s="70">
        <v>0</v>
      </c>
      <c r="D104" s="70">
        <v>0</v>
      </c>
      <c r="E104" s="70">
        <v>0</v>
      </c>
      <c r="F104" s="70">
        <v>0</v>
      </c>
      <c r="G104" s="70">
        <v>0</v>
      </c>
      <c r="H104" s="70"/>
      <c r="I104" s="70">
        <v>5</v>
      </c>
      <c r="J104" s="135"/>
    </row>
    <row r="105" spans="2:10" ht="12.75">
      <c r="B105" s="255" t="s">
        <v>1723</v>
      </c>
      <c r="C105" s="70"/>
      <c r="D105" s="70"/>
      <c r="E105" s="70"/>
      <c r="F105" s="70"/>
      <c r="G105" s="70"/>
      <c r="H105" s="70"/>
      <c r="I105" s="70"/>
      <c r="J105" s="135"/>
    </row>
    <row r="106" spans="2:10" ht="12.75">
      <c r="B106" s="276" t="s">
        <v>940</v>
      </c>
      <c r="C106" s="70">
        <v>7</v>
      </c>
      <c r="D106" s="70">
        <v>0</v>
      </c>
      <c r="E106" s="70">
        <v>6</v>
      </c>
      <c r="F106" s="70">
        <v>0</v>
      </c>
      <c r="G106" s="70">
        <v>9.5</v>
      </c>
      <c r="H106" s="70"/>
      <c r="I106" s="70">
        <v>0</v>
      </c>
      <c r="J106" s="135"/>
    </row>
    <row r="107" spans="2:10" ht="12.75">
      <c r="B107" s="276" t="s">
        <v>941</v>
      </c>
      <c r="C107" s="70">
        <v>4</v>
      </c>
      <c r="D107" s="70">
        <v>0</v>
      </c>
      <c r="E107" s="70">
        <v>7</v>
      </c>
      <c r="F107" s="70">
        <v>0</v>
      </c>
      <c r="G107" s="70">
        <v>9.5</v>
      </c>
      <c r="H107" s="70"/>
      <c r="I107" s="70">
        <v>0</v>
      </c>
      <c r="J107" s="135"/>
    </row>
    <row r="108" spans="2:10" ht="12.75">
      <c r="B108" s="255" t="s">
        <v>1724</v>
      </c>
      <c r="C108" s="70"/>
      <c r="D108" s="70"/>
      <c r="E108" s="70"/>
      <c r="F108" s="70"/>
      <c r="G108" s="70"/>
      <c r="H108" s="70"/>
      <c r="I108" s="70"/>
      <c r="J108" s="135"/>
    </row>
    <row r="109" spans="2:10" ht="12.75">
      <c r="B109" s="276" t="s">
        <v>940</v>
      </c>
      <c r="C109" s="70">
        <v>0</v>
      </c>
      <c r="D109" s="70">
        <v>9</v>
      </c>
      <c r="E109" s="70">
        <v>0</v>
      </c>
      <c r="F109" s="70">
        <v>7</v>
      </c>
      <c r="G109" s="70">
        <v>0</v>
      </c>
      <c r="H109" s="70"/>
      <c r="I109" s="70">
        <v>0</v>
      </c>
      <c r="J109" s="135"/>
    </row>
    <row r="110" spans="2:10" ht="12.75">
      <c r="B110" s="276" t="s">
        <v>941</v>
      </c>
      <c r="C110" s="70">
        <v>0</v>
      </c>
      <c r="D110" s="70">
        <v>6</v>
      </c>
      <c r="E110" s="70">
        <v>0</v>
      </c>
      <c r="F110" s="70">
        <v>7</v>
      </c>
      <c r="G110" s="70">
        <v>0</v>
      </c>
      <c r="H110" s="70"/>
      <c r="I110" s="70">
        <v>0</v>
      </c>
      <c r="J110" s="135"/>
    </row>
    <row r="111" spans="2:10" ht="12.75">
      <c r="B111" s="140"/>
      <c r="C111" s="70"/>
      <c r="D111" s="70"/>
      <c r="E111" s="70"/>
      <c r="F111" s="70"/>
      <c r="G111" s="70"/>
      <c r="H111" s="7" t="s">
        <v>643</v>
      </c>
      <c r="I111" s="70"/>
      <c r="J111" s="143" t="s">
        <v>1831</v>
      </c>
    </row>
    <row r="112" spans="2:10" ht="12.75">
      <c r="B112" s="276" t="s">
        <v>1726</v>
      </c>
      <c r="C112" s="142">
        <f>$D$79</f>
        <v>2200002.0910197524</v>
      </c>
      <c r="D112" s="142">
        <f>$D$79</f>
        <v>2200002.0910197524</v>
      </c>
      <c r="E112" s="142">
        <f>$D$79</f>
        <v>2200002.0910197524</v>
      </c>
      <c r="F112" s="142">
        <f>'RSVP ops cost (construction)'!$D$79</f>
        <v>2795334.4117407147</v>
      </c>
      <c r="G112" s="142">
        <f>'RSVP ops cost (construction)'!$D$79</f>
        <v>2795334.4117407147</v>
      </c>
      <c r="H112" s="297">
        <f>SUM(C112:G112)</f>
        <v>12190675.096540688</v>
      </c>
      <c r="I112" s="142">
        <f>$D$79</f>
        <v>2200002.0910197524</v>
      </c>
      <c r="J112" s="152">
        <f>SUM(H112:I112)</f>
        <v>14390677.18756044</v>
      </c>
    </row>
    <row r="113" spans="2:10" ht="12.75">
      <c r="B113" s="285"/>
      <c r="C113" s="70"/>
      <c r="D113" s="70"/>
      <c r="E113" s="70"/>
      <c r="F113" s="70"/>
      <c r="G113" s="70"/>
      <c r="H113" s="179"/>
      <c r="I113" s="70"/>
      <c r="J113" s="135"/>
    </row>
    <row r="114" spans="2:10" ht="12.75">
      <c r="B114" s="276" t="s">
        <v>1727</v>
      </c>
      <c r="C114" s="142">
        <f>SUM(C103:C104)*$D$36+C103*$D$73+C104*$D$55+SUM(C106:C107)*$E$36+C106*$E$73+C107*$E$55+SUM(C109:C110)*$F$36+C109*$F$73+C110*$F$55</f>
        <v>2196171.8662079</v>
      </c>
      <c r="D114" s="142">
        <f>SUM(D103:D104)*$D$36+D103*$D$73+D104*$D$55+SUM(D106:D107)*$E$36+D106*$E$73+D107*$E$55+SUM(D109:D110)*$F$36+D109*$F$73+D110*$F$55</f>
        <v>1967472.0313409998</v>
      </c>
      <c r="E114" s="142">
        <f>SUM(E103:E104)*$D$36+E103*$D$73+E104*$D$55+SUM(E106:E107)*$E$36+E106*$E$73+E107*$E$55+SUM(E109:E110)*$F$36+E109*$F$73+E110*$F$55</f>
        <v>2511193.5067457003</v>
      </c>
      <c r="F114" s="142">
        <f>SUM(F103:F104)*'RSVP ops cost (construction)'!$D$36+F103*'RSVP ops cost (construction)'!$D$73+F104*'RSVP ops cost (construction)'!$D$55+SUM(F106:F107)*'RSVP ops cost (construction)'!$E$36+F106*'RSVP ops cost (construction)'!$E$73+F107*'RSVP ops cost (construction)'!$E$55+SUM(F109:F110)*'RSVP ops cost (construction)'!$F$36+F109*'RSVP ops cost (construction)'!$F$73+F110*'RSVP ops cost (construction)'!$F$55</f>
        <v>2671314.56303824</v>
      </c>
      <c r="G114" s="142">
        <f>SUM(G103:G104)*'RSVP ops cost (construction)'!$D$36+G103*'RSVP ops cost (construction)'!$D$73+G104*'RSVP ops cost (construction)'!$D$55+SUM(G106:G107)*'RSVP ops cost (construction)'!$E$36+G106*'RSVP ops cost (construction)'!$E$73+G107*'RSVP ops cost (construction)'!$E$55+SUM(G109:G110)*'RSVP ops cost (construction)'!$F$36+G109*'RSVP ops cost (construction)'!$F$73+G110*'RSVP ops cost (construction)'!$F$55</f>
        <v>4959586.0329296</v>
      </c>
      <c r="H114" s="297">
        <f>SUM(C114:G114)</f>
        <v>14305738.00026244</v>
      </c>
      <c r="I114" s="142">
        <f>SUM(I103:I104)*$D$36+I103*$D$73+I104*$D$55+SUM(I106:I107)*$E$36+I106*$E$73+I107*$E$55+SUM(I109:I110)*$F$36+I109*$F$73+I110*$F$55</f>
        <v>3432905.699899258</v>
      </c>
      <c r="J114" s="152">
        <f>SUM(H114:I114)</f>
        <v>17738643.700161695</v>
      </c>
    </row>
    <row r="115" spans="2:10" ht="12.75">
      <c r="B115" s="140"/>
      <c r="C115" s="70"/>
      <c r="D115" s="70"/>
      <c r="E115" s="70"/>
      <c r="F115" s="70"/>
      <c r="G115" s="70"/>
      <c r="H115" s="179"/>
      <c r="I115" s="70"/>
      <c r="J115" s="135"/>
    </row>
    <row r="116" spans="2:10" ht="12.75">
      <c r="B116" s="285" t="s">
        <v>643</v>
      </c>
      <c r="C116" s="151">
        <f>SUM(C112:C115)</f>
        <v>4396173.957227653</v>
      </c>
      <c r="D116" s="151">
        <f>SUM(D112:D115)</f>
        <v>4167474.122360752</v>
      </c>
      <c r="E116" s="151">
        <f>SUM(E112:E115)</f>
        <v>4711195.597765453</v>
      </c>
      <c r="F116" s="151">
        <f>SUM(F112:F115)</f>
        <v>5466648.974778955</v>
      </c>
      <c r="G116" s="151">
        <f>SUM(G112:G115)</f>
        <v>7754920.444670315</v>
      </c>
      <c r="H116" s="297">
        <f>SUM(C116:G116)</f>
        <v>26496413.09680313</v>
      </c>
      <c r="I116" s="150">
        <f>SUM(I112:I115)</f>
        <v>5632907.7909190105</v>
      </c>
      <c r="J116" s="152">
        <f>SUM(H116:I116)</f>
        <v>32129320.88772214</v>
      </c>
    </row>
    <row r="117" spans="2:10" ht="12.75">
      <c r="B117" s="140"/>
      <c r="C117" s="70"/>
      <c r="D117" s="70"/>
      <c r="E117" s="70"/>
      <c r="F117" s="70"/>
      <c r="G117" s="70"/>
      <c r="H117" s="70"/>
      <c r="I117" s="70"/>
      <c r="J117" s="135"/>
    </row>
    <row r="118" spans="2:10" ht="12.75">
      <c r="B118" s="134" t="s">
        <v>1825</v>
      </c>
      <c r="C118" s="70"/>
      <c r="D118" s="70"/>
      <c r="E118" s="70"/>
      <c r="F118" s="70"/>
      <c r="G118" s="70"/>
      <c r="H118" s="70"/>
      <c r="I118" s="70"/>
      <c r="J118" s="135"/>
    </row>
    <row r="119" spans="2:10" ht="12.75">
      <c r="B119" s="262" t="s">
        <v>1826</v>
      </c>
      <c r="C119" s="70"/>
      <c r="D119" s="70"/>
      <c r="E119" s="70"/>
      <c r="F119" s="70"/>
      <c r="G119" s="70"/>
      <c r="H119" s="70"/>
      <c r="I119" s="70"/>
      <c r="J119" s="135"/>
    </row>
    <row r="120" spans="2:10" ht="13.5" thickBot="1">
      <c r="B120" s="136" t="s">
        <v>1827</v>
      </c>
      <c r="C120" s="138"/>
      <c r="D120" s="138"/>
      <c r="E120" s="138"/>
      <c r="F120" s="138"/>
      <c r="G120" s="138"/>
      <c r="H120" s="138"/>
      <c r="I120" s="138"/>
      <c r="J120" s="139"/>
    </row>
  </sheetData>
  <mergeCells count="1">
    <mergeCell ref="B3:F3"/>
  </mergeCells>
  <printOptions gridLines="1"/>
  <pageMargins left="0.75" right="0.75" top="1" bottom="3.96" header="0.5" footer="0.5"/>
  <pageSetup fitToHeight="2" fitToWidth="1" horizontalDpi="300" verticalDpi="300" orientation="portrait" scale="88" r:id="rId1"/>
</worksheet>
</file>

<file path=xl/worksheets/sheet9.xml><?xml version="1.0" encoding="utf-8"?>
<worksheet xmlns="http://schemas.openxmlformats.org/spreadsheetml/2006/main" xmlns:r="http://schemas.openxmlformats.org/officeDocument/2006/relationships">
  <sheetPr>
    <pageSetUpPr fitToPage="1"/>
  </sheetPr>
  <dimension ref="B3:P126"/>
  <sheetViews>
    <sheetView workbookViewId="0" topLeftCell="A96">
      <selection activeCell="H107" sqref="H107"/>
    </sheetView>
  </sheetViews>
  <sheetFormatPr defaultColWidth="9.140625" defaultRowHeight="12.75"/>
  <cols>
    <col min="2" max="2" width="33.8515625" style="0" customWidth="1"/>
    <col min="3" max="3" width="21.421875" style="0" customWidth="1"/>
    <col min="4" max="4" width="13.00390625" style="0" customWidth="1"/>
    <col min="5" max="5" width="15.140625" style="0" customWidth="1"/>
    <col min="6" max="6" width="12.140625" style="0" customWidth="1"/>
    <col min="7" max="10" width="13.8515625" style="0" customWidth="1"/>
    <col min="11" max="11" width="13.421875" style="0" customWidth="1"/>
    <col min="12" max="12" width="14.421875" style="0" customWidth="1"/>
    <col min="13" max="13" width="12.28125" style="0" customWidth="1"/>
    <col min="14" max="14" width="12.140625" style="0" customWidth="1"/>
  </cols>
  <sheetData>
    <row r="2" ht="13.5" thickBot="1"/>
    <row r="3" spans="2:6" ht="12.75">
      <c r="B3" s="346" t="s">
        <v>1816</v>
      </c>
      <c r="C3" s="347"/>
      <c r="D3" s="347"/>
      <c r="E3" s="347"/>
      <c r="F3" s="348"/>
    </row>
    <row r="4" spans="2:6" ht="12.75">
      <c r="B4" s="134" t="s">
        <v>1527</v>
      </c>
      <c r="C4" s="70"/>
      <c r="D4" s="70"/>
      <c r="E4" s="70"/>
      <c r="F4" s="135"/>
    </row>
    <row r="5" spans="2:6" ht="12.75">
      <c r="B5" s="247" t="s">
        <v>1793</v>
      </c>
      <c r="C5" s="70"/>
      <c r="D5" s="70"/>
      <c r="E5" s="70"/>
      <c r="F5" s="135"/>
    </row>
    <row r="6" spans="2:6" ht="13.5" thickBot="1">
      <c r="B6" s="136" t="s">
        <v>1528</v>
      </c>
      <c r="C6" s="137">
        <v>85</v>
      </c>
      <c r="D6" s="138" t="s">
        <v>1529</v>
      </c>
      <c r="E6" s="138" t="s">
        <v>1698</v>
      </c>
      <c r="F6" s="139"/>
    </row>
    <row r="7" spans="2:12" ht="12.75">
      <c r="B7" s="299">
        <v>38286</v>
      </c>
      <c r="C7" s="177"/>
      <c r="D7" s="261"/>
      <c r="E7" s="177"/>
      <c r="F7" s="178"/>
      <c r="L7" s="8"/>
    </row>
    <row r="8" spans="2:6" ht="12.75">
      <c r="B8" s="134" t="s">
        <v>1794</v>
      </c>
      <c r="C8" s="141" t="s">
        <v>1530</v>
      </c>
      <c r="D8" s="70"/>
      <c r="E8" s="70"/>
      <c r="F8" s="135"/>
    </row>
    <row r="9" spans="2:12" ht="12.75">
      <c r="B9" s="134" t="s">
        <v>1531</v>
      </c>
      <c r="C9" s="118">
        <v>12</v>
      </c>
      <c r="D9" s="142">
        <v>1902335.930659271</v>
      </c>
      <c r="E9" s="70" t="s">
        <v>1699</v>
      </c>
      <c r="F9" s="143"/>
      <c r="L9" s="67"/>
    </row>
    <row r="10" spans="2:12" ht="12.75">
      <c r="B10" s="134" t="s">
        <v>1532</v>
      </c>
      <c r="C10" s="118">
        <v>6</v>
      </c>
      <c r="D10" s="142">
        <v>892998.4810814436</v>
      </c>
      <c r="E10" s="70" t="s">
        <v>1699</v>
      </c>
      <c r="F10" s="135"/>
      <c r="L10" s="67"/>
    </row>
    <row r="11" spans="2:12" ht="13.5" thickBot="1">
      <c r="B11" s="134" t="s">
        <v>1547</v>
      </c>
      <c r="C11" s="118">
        <v>4</v>
      </c>
      <c r="D11" s="142">
        <v>0</v>
      </c>
      <c r="E11" s="70" t="s">
        <v>1699</v>
      </c>
      <c r="F11" s="135"/>
      <c r="L11" s="67"/>
    </row>
    <row r="12" spans="2:12" ht="13.5" thickBot="1">
      <c r="B12" s="174" t="s">
        <v>1700</v>
      </c>
      <c r="C12" s="304">
        <f>SUM(C9:C10)</f>
        <v>18</v>
      </c>
      <c r="D12" s="170">
        <f>SUM(D9:D10)</f>
        <v>2795334.4117407147</v>
      </c>
      <c r="E12" s="71" t="s">
        <v>1795</v>
      </c>
      <c r="F12" s="135"/>
      <c r="L12" s="68"/>
    </row>
    <row r="13" spans="2:12" ht="12.75">
      <c r="B13" s="134"/>
      <c r="C13" s="70"/>
      <c r="D13" s="70"/>
      <c r="E13" s="70"/>
      <c r="F13" s="135"/>
      <c r="L13" s="8"/>
    </row>
    <row r="14" spans="2:6" ht="12.75">
      <c r="B14" s="134" t="s">
        <v>1701</v>
      </c>
      <c r="C14" s="7"/>
      <c r="D14" s="70"/>
      <c r="E14" s="70"/>
      <c r="F14" s="135"/>
    </row>
    <row r="15" spans="2:6" ht="12.75">
      <c r="B15" s="134"/>
      <c r="C15" s="7"/>
      <c r="D15" s="70"/>
      <c r="E15" s="70"/>
      <c r="F15" s="135"/>
    </row>
    <row r="16" spans="2:14" ht="12.75">
      <c r="B16" s="134" t="s">
        <v>1702</v>
      </c>
      <c r="C16" s="7"/>
      <c r="D16" s="7" t="s">
        <v>1533</v>
      </c>
      <c r="E16" s="7" t="s">
        <v>1534</v>
      </c>
      <c r="F16" s="143" t="s">
        <v>1535</v>
      </c>
      <c r="G16" s="8"/>
      <c r="H16" s="8"/>
      <c r="I16" s="8"/>
      <c r="J16" s="8"/>
      <c r="K16" s="8"/>
      <c r="L16" s="8"/>
      <c r="M16" s="8"/>
      <c r="N16" s="8"/>
    </row>
    <row r="17" spans="2:14" ht="12.75">
      <c r="B17" s="140" t="s">
        <v>827</v>
      </c>
      <c r="C17" s="146"/>
      <c r="D17" s="142">
        <v>24001.8016</v>
      </c>
      <c r="E17" s="147">
        <f>D17/2</f>
        <v>12000.9008</v>
      </c>
      <c r="F17" s="148">
        <f>D17/2</f>
        <v>12000.9008</v>
      </c>
      <c r="G17" s="67"/>
      <c r="H17" s="67"/>
      <c r="I17" s="67"/>
      <c r="J17" s="67"/>
      <c r="K17" s="14"/>
      <c r="L17" s="67"/>
      <c r="M17" s="67"/>
      <c r="N17" s="67"/>
    </row>
    <row r="18" spans="2:14" ht="12.75">
      <c r="B18" s="140" t="s">
        <v>950</v>
      </c>
      <c r="C18" s="146"/>
      <c r="D18" s="142">
        <v>68691.5510375</v>
      </c>
      <c r="E18" s="147">
        <f>D18/2</f>
        <v>34345.77551875</v>
      </c>
      <c r="F18" s="148">
        <f>D18/2</f>
        <v>34345.77551875</v>
      </c>
      <c r="G18" s="67"/>
      <c r="H18" s="67"/>
      <c r="I18" s="67"/>
      <c r="J18" s="67"/>
      <c r="K18" s="14"/>
      <c r="L18" s="67"/>
      <c r="M18" s="67"/>
      <c r="N18" s="67"/>
    </row>
    <row r="19" spans="2:14" ht="12.75">
      <c r="B19" s="140" t="s">
        <v>1536</v>
      </c>
      <c r="C19" s="146"/>
      <c r="D19" s="142">
        <v>22368.6680535</v>
      </c>
      <c r="E19" s="147">
        <f>D19/2</f>
        <v>11184.33402675</v>
      </c>
      <c r="F19" s="148">
        <f>D19/2</f>
        <v>11184.33402675</v>
      </c>
      <c r="G19" s="67"/>
      <c r="H19" s="67"/>
      <c r="I19" s="67"/>
      <c r="J19" s="67"/>
      <c r="K19" s="14"/>
      <c r="L19" s="67"/>
      <c r="M19" s="67"/>
      <c r="N19" s="67"/>
    </row>
    <row r="20" spans="2:14" ht="12.75">
      <c r="B20" s="149" t="s">
        <v>1539</v>
      </c>
      <c r="C20" s="146"/>
      <c r="D20" s="150">
        <v>10828.709846425802</v>
      </c>
      <c r="E20" s="151">
        <v>0</v>
      </c>
      <c r="F20" s="152">
        <v>0</v>
      </c>
      <c r="G20" s="67"/>
      <c r="H20" s="67"/>
      <c r="I20" s="67"/>
      <c r="J20" s="67"/>
      <c r="K20" s="14"/>
      <c r="L20" s="67"/>
      <c r="M20" s="67"/>
      <c r="N20" s="67"/>
    </row>
    <row r="21" spans="2:14" ht="12.75">
      <c r="B21" s="134" t="s">
        <v>1537</v>
      </c>
      <c r="C21" s="146"/>
      <c r="D21" s="151">
        <f>SUM(D17:D20)</f>
        <v>125890.73053742581</v>
      </c>
      <c r="E21" s="151">
        <f>SUM(E17:E20)</f>
        <v>57531.010345500006</v>
      </c>
      <c r="F21" s="152">
        <f>SUM(F17:F20)</f>
        <v>57531.010345500006</v>
      </c>
      <c r="G21" s="68"/>
      <c r="H21" s="68"/>
      <c r="I21" s="68"/>
      <c r="J21" s="68"/>
      <c r="K21" s="14"/>
      <c r="L21" s="68"/>
      <c r="M21" s="68"/>
      <c r="N21" s="68"/>
    </row>
    <row r="22" spans="2:14" ht="12.75">
      <c r="B22" s="149" t="s">
        <v>1538</v>
      </c>
      <c r="C22" s="146"/>
      <c r="D22" s="153">
        <v>1</v>
      </c>
      <c r="E22" s="153">
        <v>0.8</v>
      </c>
      <c r="F22" s="154">
        <v>0.8</v>
      </c>
      <c r="G22" s="115"/>
      <c r="H22" s="115"/>
      <c r="I22" s="115"/>
      <c r="J22" s="115"/>
      <c r="K22" s="26"/>
      <c r="L22" s="115"/>
      <c r="M22" s="115"/>
      <c r="N22" s="115"/>
    </row>
    <row r="23" spans="2:14" ht="12.75">
      <c r="B23" s="300" t="s">
        <v>1703</v>
      </c>
      <c r="C23" s="301"/>
      <c r="D23" s="302">
        <f>D22*D21</f>
        <v>125890.73053742581</v>
      </c>
      <c r="E23" s="302">
        <f>E22*E21</f>
        <v>46024.80827640001</v>
      </c>
      <c r="F23" s="303">
        <f>F22*F21</f>
        <v>46024.80827640001</v>
      </c>
      <c r="G23" s="68"/>
      <c r="H23" s="68"/>
      <c r="I23" s="68"/>
      <c r="J23" s="68"/>
      <c r="K23" s="14"/>
      <c r="L23" s="68"/>
      <c r="M23" s="68"/>
      <c r="N23" s="68"/>
    </row>
    <row r="24" spans="2:14" ht="12.75">
      <c r="B24" s="140"/>
      <c r="C24" s="146"/>
      <c r="D24" s="142"/>
      <c r="E24" s="142"/>
      <c r="F24" s="159"/>
      <c r="K24" s="14"/>
      <c r="L24" s="67"/>
      <c r="M24" s="67"/>
      <c r="N24" s="67"/>
    </row>
    <row r="25" spans="2:14" ht="12.75">
      <c r="B25" s="134" t="s">
        <v>1540</v>
      </c>
      <c r="C25" s="160"/>
      <c r="D25" s="142"/>
      <c r="E25" s="142"/>
      <c r="F25" s="159"/>
      <c r="K25" s="14"/>
      <c r="L25" s="67"/>
      <c r="M25" s="67"/>
      <c r="N25" s="67"/>
    </row>
    <row r="26" spans="2:14" ht="12.75">
      <c r="B26" s="140" t="s">
        <v>827</v>
      </c>
      <c r="C26" s="146"/>
      <c r="D26" s="142">
        <v>5703.3984</v>
      </c>
      <c r="E26" s="142">
        <f>'[4]K0PI0 alacart Operations'!$E$30</f>
        <v>6833.89344</v>
      </c>
      <c r="F26" s="148">
        <f>E26/2</f>
        <v>3416.94672</v>
      </c>
      <c r="G26" s="67"/>
      <c r="H26" s="67"/>
      <c r="I26" s="67"/>
      <c r="J26" s="67"/>
      <c r="K26" s="14"/>
      <c r="L26" s="67"/>
      <c r="M26" s="67"/>
      <c r="N26" s="67"/>
    </row>
    <row r="27" spans="2:14" ht="12.75">
      <c r="B27" s="140" t="s">
        <v>950</v>
      </c>
      <c r="C27" s="146"/>
      <c r="D27" s="142">
        <v>10937.295505</v>
      </c>
      <c r="E27" s="142">
        <f>'[4]K0PI0 alacart Operations'!$E$31</f>
        <v>13174.602053400002</v>
      </c>
      <c r="F27" s="148">
        <f>E27/2</f>
        <v>6587.301026700001</v>
      </c>
      <c r="G27" s="67"/>
      <c r="H27" s="67"/>
      <c r="I27" s="67"/>
      <c r="J27" s="67"/>
      <c r="K27" s="14"/>
      <c r="L27" s="67"/>
      <c r="M27" s="67"/>
      <c r="N27" s="67"/>
    </row>
    <row r="28" spans="2:14" ht="12.75">
      <c r="B28" s="140" t="s">
        <v>1536</v>
      </c>
      <c r="C28" s="146"/>
      <c r="D28" s="142">
        <v>47657.0867375</v>
      </c>
      <c r="E28" s="142">
        <f>'[4]K0PI0 alacart Operations'!$E$32</f>
        <v>49429.272447</v>
      </c>
      <c r="F28" s="148">
        <f>E28/2</f>
        <v>24714.6362235</v>
      </c>
      <c r="G28" s="67"/>
      <c r="H28" s="67"/>
      <c r="I28" s="67"/>
      <c r="J28" s="67"/>
      <c r="K28" s="14"/>
      <c r="L28" s="67"/>
      <c r="M28" s="67"/>
      <c r="N28" s="67"/>
    </row>
    <row r="29" spans="2:11" ht="12.75">
      <c r="B29" s="140"/>
      <c r="C29" s="146"/>
      <c r="D29" s="70"/>
      <c r="E29" s="70"/>
      <c r="F29" s="161"/>
      <c r="K29" s="14"/>
    </row>
    <row r="30" spans="2:14" ht="12.75">
      <c r="B30" s="134" t="s">
        <v>1541</v>
      </c>
      <c r="C30" s="7"/>
      <c r="D30" s="151">
        <f>SUM(D26:D29)</f>
        <v>64297.7806425</v>
      </c>
      <c r="E30" s="151">
        <f>SUM(E26:E29)</f>
        <v>69437.76794040001</v>
      </c>
      <c r="F30" s="162">
        <f>SUM(F26:F29)</f>
        <v>34718.883970200004</v>
      </c>
      <c r="G30" s="8"/>
      <c r="H30" s="8"/>
      <c r="I30" s="8"/>
      <c r="J30" s="8"/>
      <c r="K30" s="8"/>
      <c r="L30" s="68"/>
      <c r="M30" s="68"/>
      <c r="N30" s="68"/>
    </row>
    <row r="31" spans="2:15" ht="12.75">
      <c r="B31" s="149" t="s">
        <v>1542</v>
      </c>
      <c r="C31" s="7"/>
      <c r="D31" s="153">
        <v>1</v>
      </c>
      <c r="E31" s="153">
        <v>1</v>
      </c>
      <c r="F31" s="163">
        <v>0.8</v>
      </c>
      <c r="G31" s="115"/>
      <c r="H31" s="115"/>
      <c r="I31" s="115"/>
      <c r="J31" s="115"/>
      <c r="K31" s="10"/>
      <c r="L31" s="115"/>
      <c r="M31" s="115"/>
      <c r="N31" s="115"/>
      <c r="O31" s="10"/>
    </row>
    <row r="32" spans="2:14" ht="12.75">
      <c r="B32" s="155" t="s">
        <v>1704</v>
      </c>
      <c r="C32" s="164"/>
      <c r="D32" s="157">
        <f>D31*D30</f>
        <v>64297.7806425</v>
      </c>
      <c r="E32" s="157">
        <f>E31*E30</f>
        <v>69437.76794040001</v>
      </c>
      <c r="F32" s="158">
        <f>F31*F30</f>
        <v>27775.107176160003</v>
      </c>
      <c r="G32" s="68"/>
      <c r="H32" s="68"/>
      <c r="I32" s="68"/>
      <c r="J32" s="68"/>
      <c r="L32" s="68"/>
      <c r="M32" s="68"/>
      <c r="N32" s="68"/>
    </row>
    <row r="33" spans="2:14" ht="12.75">
      <c r="B33" s="134"/>
      <c r="C33" s="70"/>
      <c r="D33" s="151"/>
      <c r="E33" s="151"/>
      <c r="F33" s="152"/>
      <c r="L33" s="68"/>
      <c r="M33" s="68"/>
      <c r="N33" s="68"/>
    </row>
    <row r="34" spans="2:14" ht="12.75">
      <c r="B34" s="165" t="s">
        <v>1796</v>
      </c>
      <c r="C34" s="156"/>
      <c r="D34" s="157">
        <v>21044</v>
      </c>
      <c r="E34" s="157">
        <v>21044</v>
      </c>
      <c r="F34" s="158">
        <v>21044</v>
      </c>
      <c r="G34" s="67"/>
      <c r="H34" s="67"/>
      <c r="I34" s="67"/>
      <c r="J34" s="67"/>
      <c r="K34" s="14"/>
      <c r="L34" s="68"/>
      <c r="M34" s="68"/>
      <c r="N34" s="68"/>
    </row>
    <row r="35" spans="2:14" ht="13.5" thickBot="1">
      <c r="B35" s="262"/>
      <c r="C35" s="146"/>
      <c r="D35" s="151"/>
      <c r="E35" s="151"/>
      <c r="F35" s="152"/>
      <c r="G35" s="67"/>
      <c r="H35" s="67"/>
      <c r="I35" s="67"/>
      <c r="J35" s="67"/>
      <c r="K35" s="14"/>
      <c r="L35" s="68"/>
      <c r="M35" s="68"/>
      <c r="N35" s="68"/>
    </row>
    <row r="36" spans="2:14" ht="13.5" thickBot="1">
      <c r="B36" s="167" t="s">
        <v>1705</v>
      </c>
      <c r="C36" s="168"/>
      <c r="D36" s="169">
        <f>D34+D32+D23</f>
        <v>211232.51117992582</v>
      </c>
      <c r="E36" s="169">
        <f>E34+E32+E23</f>
        <v>136506.57621680002</v>
      </c>
      <c r="F36" s="169">
        <f>F34+F32+F23</f>
        <v>94843.91545256</v>
      </c>
      <c r="G36" s="68"/>
      <c r="H36" s="68"/>
      <c r="I36" s="68"/>
      <c r="J36" s="68"/>
      <c r="K36" s="14"/>
      <c r="L36" s="68"/>
      <c r="M36" s="68"/>
      <c r="N36" s="68"/>
    </row>
    <row r="37" spans="2:14" ht="12.75">
      <c r="B37" s="277"/>
      <c r="C37" s="288"/>
      <c r="D37" s="256"/>
      <c r="E37" s="256"/>
      <c r="F37" s="256"/>
      <c r="G37" s="68"/>
      <c r="H37" s="68"/>
      <c r="I37" s="68"/>
      <c r="J37" s="68"/>
      <c r="K37" s="14"/>
      <c r="L37" s="68"/>
      <c r="M37" s="68"/>
      <c r="N37" s="68"/>
    </row>
    <row r="38" spans="2:6" ht="12.75">
      <c r="B38" s="293"/>
      <c r="C38" s="146"/>
      <c r="D38" s="151"/>
      <c r="E38" s="151"/>
      <c r="F38" s="151"/>
    </row>
    <row r="39" spans="2:14" ht="12.75">
      <c r="B39" s="289" t="s">
        <v>1797</v>
      </c>
      <c r="C39" s="290"/>
      <c r="D39" s="291">
        <v>35989</v>
      </c>
      <c r="E39" s="291">
        <f>'[4]MECO alacart Operations'!$E$25</f>
        <v>35989.1568288</v>
      </c>
      <c r="F39" s="292">
        <f>'[4]MECO alacart Operations'!$E$25</f>
        <v>35989.1568288</v>
      </c>
      <c r="G39" s="8"/>
      <c r="H39" s="8"/>
      <c r="I39" s="8"/>
      <c r="J39" s="8"/>
      <c r="K39" s="14"/>
      <c r="L39" s="68"/>
      <c r="M39" s="68"/>
      <c r="N39" s="68"/>
    </row>
    <row r="40" spans="2:6" ht="12.75">
      <c r="B40" s="140"/>
      <c r="C40" s="70"/>
      <c r="D40" s="70"/>
      <c r="E40" s="70"/>
      <c r="F40" s="135"/>
    </row>
    <row r="41" spans="2:6" ht="12.75">
      <c r="B41" s="134" t="s">
        <v>1543</v>
      </c>
      <c r="C41" s="70"/>
      <c r="D41" s="70"/>
      <c r="E41" s="70"/>
      <c r="F41" s="135"/>
    </row>
    <row r="42" spans="2:6" ht="12.75">
      <c r="B42" s="149" t="s">
        <v>1798</v>
      </c>
      <c r="C42" s="70"/>
      <c r="D42" s="70">
        <v>1</v>
      </c>
      <c r="E42" s="70">
        <v>1</v>
      </c>
      <c r="F42" s="135">
        <v>1</v>
      </c>
    </row>
    <row r="43" spans="2:6" ht="12.75">
      <c r="B43" s="149" t="s">
        <v>1787</v>
      </c>
      <c r="C43" s="70"/>
      <c r="D43" s="70">
        <v>4.8</v>
      </c>
      <c r="E43" s="70">
        <v>0.3</v>
      </c>
      <c r="F43" s="135">
        <v>0.3</v>
      </c>
    </row>
    <row r="44" spans="2:6" ht="12.75">
      <c r="B44" s="149" t="s">
        <v>1540</v>
      </c>
      <c r="C44" s="70"/>
      <c r="D44" s="70">
        <v>2</v>
      </c>
      <c r="E44" s="70">
        <v>2</v>
      </c>
      <c r="F44" s="135">
        <v>0</v>
      </c>
    </row>
    <row r="45" spans="2:6" ht="12.75">
      <c r="B45" s="149" t="s">
        <v>1788</v>
      </c>
      <c r="C45" s="70"/>
      <c r="D45" s="71">
        <v>2.5</v>
      </c>
      <c r="E45" s="71">
        <v>2.4</v>
      </c>
      <c r="F45" s="135">
        <v>2.4</v>
      </c>
    </row>
    <row r="46" spans="2:6" ht="12.75">
      <c r="B46" s="149" t="s">
        <v>1789</v>
      </c>
      <c r="C46" s="70"/>
      <c r="D46" s="71">
        <v>0</v>
      </c>
      <c r="E46" s="71">
        <v>0</v>
      </c>
      <c r="F46" s="135">
        <v>0</v>
      </c>
    </row>
    <row r="47" spans="2:14" ht="12.75">
      <c r="B47" s="134" t="s">
        <v>643</v>
      </c>
      <c r="C47" s="7"/>
      <c r="D47" s="7">
        <f>SUM(D42:D46)</f>
        <v>10.3</v>
      </c>
      <c r="E47" s="7">
        <f>SUM(E42:E46)</f>
        <v>5.699999999999999</v>
      </c>
      <c r="F47" s="143">
        <f>SUM(F42:F46)</f>
        <v>3.7</v>
      </c>
      <c r="L47" s="8"/>
      <c r="M47" s="8"/>
      <c r="N47" s="8"/>
    </row>
    <row r="48" spans="2:6" ht="12.75">
      <c r="B48" s="149"/>
      <c r="C48" s="70"/>
      <c r="D48" s="70"/>
      <c r="E48" s="70"/>
      <c r="F48" s="135"/>
    </row>
    <row r="49" spans="2:6" ht="12.75">
      <c r="B49" s="134" t="s">
        <v>1544</v>
      </c>
      <c r="C49" s="70"/>
      <c r="D49" s="70"/>
      <c r="E49" s="70"/>
      <c r="F49" s="135"/>
    </row>
    <row r="50" spans="2:14" ht="12.75">
      <c r="B50" s="140" t="s">
        <v>1545</v>
      </c>
      <c r="C50" s="171"/>
      <c r="D50" s="142">
        <f>$C$6</f>
        <v>85</v>
      </c>
      <c r="E50" s="142">
        <f>$C$6</f>
        <v>85</v>
      </c>
      <c r="F50" s="159">
        <f>$C$6</f>
        <v>85</v>
      </c>
      <c r="K50" s="19"/>
      <c r="L50" s="67"/>
      <c r="M50" s="67"/>
      <c r="N50" s="67"/>
    </row>
    <row r="51" spans="2:14" ht="12.75">
      <c r="B51" s="140" t="s">
        <v>1546</v>
      </c>
      <c r="C51" s="171"/>
      <c r="D51" s="171">
        <v>1</v>
      </c>
      <c r="E51" s="171">
        <v>0.8</v>
      </c>
      <c r="F51" s="172">
        <v>0.8</v>
      </c>
      <c r="L51" s="19"/>
      <c r="M51" s="19"/>
      <c r="N51" s="19"/>
    </row>
    <row r="52" spans="2:14" ht="12.75">
      <c r="B52" s="155" t="s">
        <v>1706</v>
      </c>
      <c r="C52" s="173"/>
      <c r="D52" s="157">
        <f>(D51*(D43+D45+D46)+(D42+D44))*D50*168</f>
        <v>147084.00000000003</v>
      </c>
      <c r="E52" s="157">
        <f>(E51*(E43+E45+E46)+(E42+E44))*E50*168</f>
        <v>73684.8</v>
      </c>
      <c r="F52" s="157">
        <f>(F51*(F43+F45+F46)+(F42+F44))*F50*168</f>
        <v>45124.799999999996</v>
      </c>
      <c r="K52" s="19"/>
      <c r="L52" s="68"/>
      <c r="M52" s="68"/>
      <c r="N52" s="68"/>
    </row>
    <row r="53" spans="2:14" ht="12.75">
      <c r="B53" s="134"/>
      <c r="C53" s="171"/>
      <c r="D53" s="151"/>
      <c r="E53" s="151"/>
      <c r="F53" s="152"/>
      <c r="K53" s="19"/>
      <c r="L53" s="68"/>
      <c r="M53" s="68"/>
      <c r="N53" s="68"/>
    </row>
    <row r="54" spans="2:6" ht="13.5" thickBot="1">
      <c r="B54" s="263" t="s">
        <v>1799</v>
      </c>
      <c r="C54" s="138"/>
      <c r="D54" s="252">
        <f>0*(D52+D39)</f>
        <v>0</v>
      </c>
      <c r="E54" s="252">
        <f>0*(E52+E39)</f>
        <v>0</v>
      </c>
      <c r="F54" s="264">
        <f>0*(F52+F39)</f>
        <v>0</v>
      </c>
    </row>
    <row r="55" spans="2:16" ht="13.5" thickBot="1">
      <c r="B55" s="174" t="s">
        <v>674</v>
      </c>
      <c r="C55" s="175"/>
      <c r="D55" s="169">
        <f>D52+D39+D54</f>
        <v>183073.00000000003</v>
      </c>
      <c r="E55" s="169">
        <f>E52+E39+E54</f>
        <v>109673.9568288</v>
      </c>
      <c r="F55" s="169">
        <f>F52+F39+F54</f>
        <v>81113.9568288</v>
      </c>
      <c r="G55" s="8"/>
      <c r="H55" s="8"/>
      <c r="I55" s="8"/>
      <c r="J55" s="8"/>
      <c r="K55" s="8"/>
      <c r="L55" s="68"/>
      <c r="M55" s="68"/>
      <c r="N55" s="68"/>
      <c r="O55" s="8"/>
      <c r="P55" s="8"/>
    </row>
    <row r="56" spans="2:16" ht="12.75">
      <c r="B56" s="251"/>
      <c r="C56" s="177"/>
      <c r="D56" s="265"/>
      <c r="E56" s="261"/>
      <c r="F56" s="266"/>
      <c r="G56" s="8"/>
      <c r="H56" s="8"/>
      <c r="I56" s="8"/>
      <c r="J56" s="8"/>
      <c r="K56" s="8"/>
      <c r="L56" s="8"/>
      <c r="M56" s="8"/>
      <c r="N56" s="8"/>
      <c r="O56" s="8"/>
      <c r="P56" s="8"/>
    </row>
    <row r="57" spans="2:6" ht="12.75">
      <c r="B57" s="165" t="s">
        <v>1800</v>
      </c>
      <c r="C57" s="156"/>
      <c r="D57" s="157">
        <v>17995</v>
      </c>
      <c r="E57" s="157">
        <f>'[4]K0PI0 alacart Operations'!E25</f>
        <v>17994.5784144</v>
      </c>
      <c r="F57" s="158">
        <f>'[4]K0PI0 alacart Operations'!E25</f>
        <v>17994.5784144</v>
      </c>
    </row>
    <row r="58" spans="2:6" ht="12.75">
      <c r="B58" s="140"/>
      <c r="C58" s="70"/>
      <c r="D58" s="70"/>
      <c r="E58" s="70"/>
      <c r="F58" s="135"/>
    </row>
    <row r="59" spans="2:6" ht="12.75">
      <c r="B59" s="134" t="s">
        <v>1543</v>
      </c>
      <c r="C59" s="70"/>
      <c r="D59" s="70"/>
      <c r="E59" s="70"/>
      <c r="F59" s="135"/>
    </row>
    <row r="60" spans="2:6" ht="12.75">
      <c r="B60" s="149" t="s">
        <v>1786</v>
      </c>
      <c r="C60" s="70"/>
      <c r="D60" s="70">
        <v>0.5</v>
      </c>
      <c r="E60" s="70">
        <v>0.5</v>
      </c>
      <c r="F60" s="135">
        <v>0.5</v>
      </c>
    </row>
    <row r="61" spans="2:6" ht="12.75">
      <c r="B61" s="149" t="s">
        <v>1787</v>
      </c>
      <c r="C61" s="70"/>
      <c r="D61" s="70">
        <v>8.3</v>
      </c>
      <c r="E61" s="70">
        <v>3.8</v>
      </c>
      <c r="F61" s="135">
        <v>3.8</v>
      </c>
    </row>
    <row r="62" spans="2:6" ht="12.75">
      <c r="B62" s="149" t="s">
        <v>1540</v>
      </c>
      <c r="C62" s="70"/>
      <c r="D62" s="70">
        <v>2</v>
      </c>
      <c r="E62" s="70">
        <v>2</v>
      </c>
      <c r="F62" s="135">
        <v>0</v>
      </c>
    </row>
    <row r="63" spans="2:6" ht="12.75">
      <c r="B63" s="149" t="s">
        <v>1788</v>
      </c>
      <c r="C63" s="70"/>
      <c r="D63" s="71">
        <v>0.5</v>
      </c>
      <c r="E63" s="71">
        <v>0.5</v>
      </c>
      <c r="F63" s="135">
        <v>0.5</v>
      </c>
    </row>
    <row r="64" spans="2:6" ht="12.75">
      <c r="B64" s="149" t="s">
        <v>1829</v>
      </c>
      <c r="C64" s="70"/>
      <c r="D64" s="71">
        <v>3.2</v>
      </c>
      <c r="E64" s="71">
        <v>3.2</v>
      </c>
      <c r="F64" s="135">
        <v>3.2</v>
      </c>
    </row>
    <row r="65" spans="2:6" ht="12.75">
      <c r="B65" s="134" t="s">
        <v>643</v>
      </c>
      <c r="C65" s="7"/>
      <c r="D65" s="7">
        <f>SUM(D60:D64)</f>
        <v>14.5</v>
      </c>
      <c r="E65" s="7">
        <f>SUM(E60:E64)</f>
        <v>10</v>
      </c>
      <c r="F65" s="143">
        <f>SUM(F60:F64)</f>
        <v>8</v>
      </c>
    </row>
    <row r="66" spans="2:6" ht="12.75">
      <c r="B66" s="149"/>
      <c r="C66" s="70"/>
      <c r="D66" s="70"/>
      <c r="E66" s="70"/>
      <c r="F66" s="135"/>
    </row>
    <row r="67" spans="2:6" ht="12.75">
      <c r="B67" s="134" t="s">
        <v>1544</v>
      </c>
      <c r="C67" s="70"/>
      <c r="D67" s="70"/>
      <c r="E67" s="70"/>
      <c r="F67" s="135"/>
    </row>
    <row r="68" spans="2:6" ht="12.75">
      <c r="B68" s="140" t="s">
        <v>1545</v>
      </c>
      <c r="C68" s="171"/>
      <c r="D68" s="142">
        <f>$C$6</f>
        <v>85</v>
      </c>
      <c r="E68" s="142">
        <f>$C$6</f>
        <v>85</v>
      </c>
      <c r="F68" s="159">
        <f>$C$6</f>
        <v>85</v>
      </c>
    </row>
    <row r="69" spans="2:6" ht="12.75">
      <c r="B69" s="140" t="s">
        <v>1546</v>
      </c>
      <c r="C69" s="171"/>
      <c r="D69" s="171">
        <v>1</v>
      </c>
      <c r="E69" s="171">
        <v>0.8</v>
      </c>
      <c r="F69" s="172">
        <v>0.8</v>
      </c>
    </row>
    <row r="70" spans="2:6" ht="12.75">
      <c r="B70" s="155" t="s">
        <v>1707</v>
      </c>
      <c r="C70" s="173"/>
      <c r="D70" s="157">
        <f>(D69*(D61+D63+D64)+(D60+D62))*D68*168</f>
        <v>207060</v>
      </c>
      <c r="E70" s="157">
        <f>(E69*(E61+E63+E64)+(E60+E62))*E68*168</f>
        <v>121380</v>
      </c>
      <c r="F70" s="157">
        <f>(F69*(F61+F63+F64)+(F60+F62))*F68*168</f>
        <v>92820</v>
      </c>
    </row>
    <row r="71" spans="2:6" ht="12.75">
      <c r="B71" s="134"/>
      <c r="C71" s="171"/>
      <c r="D71" s="151"/>
      <c r="E71" s="151"/>
      <c r="F71" s="152"/>
    </row>
    <row r="72" spans="2:6" ht="13.5" thickBot="1">
      <c r="B72" s="263" t="s">
        <v>1799</v>
      </c>
      <c r="C72" s="138"/>
      <c r="D72" s="252">
        <f>0*(D70+D57)</f>
        <v>0</v>
      </c>
      <c r="E72" s="252">
        <f>0*(E70+E57)</f>
        <v>0</v>
      </c>
      <c r="F72" s="264">
        <f>0*(F70+F57)</f>
        <v>0</v>
      </c>
    </row>
    <row r="73" spans="2:6" ht="13.5" thickBot="1">
      <c r="B73" s="174" t="s">
        <v>1801</v>
      </c>
      <c r="C73" s="175"/>
      <c r="D73" s="169">
        <f>D72+D57+D70</f>
        <v>225055</v>
      </c>
      <c r="E73" s="169">
        <f>E72+E57+E70</f>
        <v>139374.5784144</v>
      </c>
      <c r="F73" s="169">
        <f>F72+F57+F70</f>
        <v>110814.57841439999</v>
      </c>
    </row>
    <row r="74" ht="13.5" thickBot="1"/>
    <row r="75" spans="2:6" ht="13.5" thickBot="1">
      <c r="B75" s="176" t="s">
        <v>1710</v>
      </c>
      <c r="C75" s="177"/>
      <c r="D75" s="177"/>
      <c r="E75" s="177"/>
      <c r="F75" s="178"/>
    </row>
    <row r="76" spans="2:6" ht="12.75">
      <c r="B76" s="134" t="s">
        <v>1711</v>
      </c>
      <c r="C76" s="179">
        <f>C77+C78</f>
        <v>20</v>
      </c>
      <c r="D76" s="142">
        <f>C76*$D$36</f>
        <v>4224650.223598517</v>
      </c>
      <c r="E76" s="142">
        <f>C76*$E$36</f>
        <v>2730131.5243360004</v>
      </c>
      <c r="F76" s="159">
        <f>C76*$F$36</f>
        <v>1896878.3090512</v>
      </c>
    </row>
    <row r="77" spans="2:6" ht="12.75">
      <c r="B77" s="134" t="s">
        <v>1712</v>
      </c>
      <c r="C77" s="180">
        <v>10</v>
      </c>
      <c r="D77" s="142">
        <f>C77*$D$73</f>
        <v>2250550</v>
      </c>
      <c r="E77" s="142">
        <f>C77*$E$73</f>
        <v>1393745.784144</v>
      </c>
      <c r="F77" s="159">
        <f>C77*$F$73</f>
        <v>1108145.784144</v>
      </c>
    </row>
    <row r="78" spans="2:6" ht="12.75">
      <c r="B78" s="134" t="s">
        <v>1713</v>
      </c>
      <c r="C78" s="180">
        <v>10</v>
      </c>
      <c r="D78" s="142">
        <f>C78*$D$55</f>
        <v>1830730.0000000002</v>
      </c>
      <c r="E78" s="142">
        <f>C78*$E$55</f>
        <v>1096739.568288</v>
      </c>
      <c r="F78" s="159">
        <f>C78*$F$55</f>
        <v>811139.5682880001</v>
      </c>
    </row>
    <row r="79" spans="2:6" ht="13.5" thickBot="1">
      <c r="B79" s="134" t="s">
        <v>1714</v>
      </c>
      <c r="C79" s="179">
        <v>18</v>
      </c>
      <c r="D79" s="142">
        <f>D12</f>
        <v>2795334.4117407147</v>
      </c>
      <c r="E79" s="142">
        <f>D12</f>
        <v>2795334.4117407147</v>
      </c>
      <c r="F79" s="159">
        <f>D12</f>
        <v>2795334.4117407147</v>
      </c>
    </row>
    <row r="80" spans="2:6" ht="13.5" thickBot="1">
      <c r="B80" s="174" t="s">
        <v>1715</v>
      </c>
      <c r="C80" s="175"/>
      <c r="D80" s="169">
        <f>SUM(D76:D79)</f>
        <v>11101264.63533923</v>
      </c>
      <c r="E80" s="169">
        <f>SUM(E76:E79)</f>
        <v>8015951.288508715</v>
      </c>
      <c r="F80" s="170">
        <f>SUM(F76:F79)</f>
        <v>6611498.073223915</v>
      </c>
    </row>
    <row r="81" spans="2:6" ht="13.5" thickBot="1">
      <c r="B81" s="181"/>
      <c r="C81" s="71"/>
      <c r="D81" s="256"/>
      <c r="E81" s="256"/>
      <c r="F81" s="256"/>
    </row>
    <row r="82" spans="2:6" ht="13.5" thickBot="1">
      <c r="B82" s="176" t="s">
        <v>1802</v>
      </c>
      <c r="C82" s="253"/>
      <c r="D82" s="254"/>
      <c r="E82" s="254"/>
      <c r="F82" s="178"/>
    </row>
    <row r="83" spans="2:6" ht="12.75">
      <c r="B83" s="255" t="s">
        <v>677</v>
      </c>
      <c r="C83" s="71"/>
      <c r="D83" s="256"/>
      <c r="E83" s="256"/>
      <c r="F83" s="135"/>
    </row>
    <row r="84" spans="2:6" ht="12.75">
      <c r="B84" s="257" t="s">
        <v>678</v>
      </c>
      <c r="C84" s="71"/>
      <c r="D84" s="256"/>
      <c r="E84" s="256"/>
      <c r="F84" s="135"/>
    </row>
    <row r="85" spans="2:6" ht="12.75">
      <c r="B85" s="257" t="s">
        <v>686</v>
      </c>
      <c r="C85" s="71"/>
      <c r="D85" s="256"/>
      <c r="E85" s="256"/>
      <c r="F85" s="135"/>
    </row>
    <row r="86" spans="2:6" ht="12.75">
      <c r="B86" s="257" t="s">
        <v>687</v>
      </c>
      <c r="C86" s="71"/>
      <c r="D86" s="256"/>
      <c r="E86" s="256"/>
      <c r="F86" s="135"/>
    </row>
    <row r="87" spans="2:6" ht="12.75">
      <c r="B87" s="257" t="s">
        <v>1803</v>
      </c>
      <c r="C87" s="71"/>
      <c r="D87" s="256"/>
      <c r="E87" s="256"/>
      <c r="F87" s="135"/>
    </row>
    <row r="88" spans="2:6" ht="12.75">
      <c r="B88" s="257" t="s">
        <v>1804</v>
      </c>
      <c r="C88" s="71"/>
      <c r="D88" s="256"/>
      <c r="E88" s="256"/>
      <c r="F88" s="135"/>
    </row>
    <row r="89" spans="2:6" ht="12.75">
      <c r="B89" s="257" t="s">
        <v>690</v>
      </c>
      <c r="C89" s="70"/>
      <c r="D89" s="70"/>
      <c r="E89" s="70"/>
      <c r="F89" s="135"/>
    </row>
    <row r="90" spans="2:6" ht="12.75">
      <c r="B90" s="257" t="s">
        <v>1830</v>
      </c>
      <c r="C90" s="70"/>
      <c r="D90" s="70"/>
      <c r="E90" s="70"/>
      <c r="F90" s="135"/>
    </row>
    <row r="91" spans="2:6" ht="12.75">
      <c r="B91" s="257"/>
      <c r="C91" s="70"/>
      <c r="D91" s="70"/>
      <c r="E91" s="70"/>
      <c r="F91" s="135"/>
    </row>
    <row r="92" spans="2:6" ht="12.75">
      <c r="B92" s="140"/>
      <c r="C92" s="267" t="s">
        <v>1817</v>
      </c>
      <c r="D92" s="268" t="s">
        <v>1818</v>
      </c>
      <c r="E92" s="269" t="s">
        <v>1819</v>
      </c>
      <c r="F92" s="135"/>
    </row>
    <row r="93" spans="2:6" ht="12.75">
      <c r="B93" s="134" t="s">
        <v>1805</v>
      </c>
      <c r="C93" s="270" t="s">
        <v>1806</v>
      </c>
      <c r="D93" s="271">
        <v>27</v>
      </c>
      <c r="E93" s="141">
        <v>27</v>
      </c>
      <c r="F93" s="135"/>
    </row>
    <row r="94" spans="2:6" ht="12.75">
      <c r="B94" s="272" t="s">
        <v>1807</v>
      </c>
      <c r="C94" s="273" t="s">
        <v>1808</v>
      </c>
      <c r="D94" s="273">
        <v>19</v>
      </c>
      <c r="E94" s="273">
        <v>5</v>
      </c>
      <c r="F94" s="135"/>
    </row>
    <row r="95" spans="2:6" ht="12.75">
      <c r="B95" s="272" t="s">
        <v>1809</v>
      </c>
      <c r="C95" s="273" t="s">
        <v>1810</v>
      </c>
      <c r="D95" s="273">
        <v>0</v>
      </c>
      <c r="E95" s="273">
        <v>10</v>
      </c>
      <c r="F95" s="135"/>
    </row>
    <row r="96" spans="2:6" ht="12.75">
      <c r="B96" s="272" t="s">
        <v>1811</v>
      </c>
      <c r="C96" s="273">
        <v>10</v>
      </c>
      <c r="D96" s="273">
        <v>10</v>
      </c>
      <c r="E96" s="273">
        <v>10</v>
      </c>
      <c r="F96" s="135"/>
    </row>
    <row r="97" spans="2:6" ht="12.75">
      <c r="B97" s="272"/>
      <c r="C97" s="273"/>
      <c r="D97" s="273"/>
      <c r="E97" s="273"/>
      <c r="F97" s="135"/>
    </row>
    <row r="98" spans="2:6" ht="12.75">
      <c r="B98" s="272" t="s">
        <v>1812</v>
      </c>
      <c r="C98" s="273">
        <f>C95+C96</f>
        <v>29</v>
      </c>
      <c r="D98" s="273">
        <v>29</v>
      </c>
      <c r="E98" s="273">
        <v>25</v>
      </c>
      <c r="F98" s="135"/>
    </row>
    <row r="99" spans="2:6" ht="12.75">
      <c r="B99" s="272"/>
      <c r="C99" s="273"/>
      <c r="D99" s="273"/>
      <c r="E99" s="273"/>
      <c r="F99" s="135"/>
    </row>
    <row r="100" spans="2:6" ht="12.75">
      <c r="B100" s="134"/>
      <c r="C100" s="270"/>
      <c r="D100" s="274"/>
      <c r="E100" s="141"/>
      <c r="F100" s="135"/>
    </row>
    <row r="101" spans="2:6" ht="12.75">
      <c r="B101" s="255" t="s">
        <v>1813</v>
      </c>
      <c r="C101" s="275">
        <v>7</v>
      </c>
      <c r="D101" s="275">
        <v>9.5</v>
      </c>
      <c r="E101" s="275">
        <v>7.5</v>
      </c>
      <c r="F101" s="135"/>
    </row>
    <row r="102" spans="2:6" ht="12.75">
      <c r="B102" s="255" t="s">
        <v>1814</v>
      </c>
      <c r="C102" s="275">
        <v>7</v>
      </c>
      <c r="D102" s="275">
        <v>9.5</v>
      </c>
      <c r="E102" s="275">
        <v>7.5</v>
      </c>
      <c r="F102" s="135"/>
    </row>
    <row r="103" spans="2:6" ht="12.75">
      <c r="B103" s="255"/>
      <c r="C103" s="275"/>
      <c r="D103" s="275"/>
      <c r="E103" s="275"/>
      <c r="F103" s="135"/>
    </row>
    <row r="104" spans="2:6" ht="12.75">
      <c r="B104" s="255" t="s">
        <v>1725</v>
      </c>
      <c r="C104" s="70"/>
      <c r="D104" s="70"/>
      <c r="E104" s="70"/>
      <c r="F104" s="135"/>
    </row>
    <row r="105" spans="2:6" ht="12.75">
      <c r="B105" s="276" t="s">
        <v>940</v>
      </c>
      <c r="C105" s="70">
        <v>0</v>
      </c>
      <c r="D105" s="70">
        <v>0</v>
      </c>
      <c r="E105" s="70">
        <v>0</v>
      </c>
      <c r="F105" s="135"/>
    </row>
    <row r="106" spans="2:6" ht="12.75">
      <c r="B106" s="276" t="s">
        <v>941</v>
      </c>
      <c r="C106" s="70">
        <v>0</v>
      </c>
      <c r="D106" s="70">
        <v>0</v>
      </c>
      <c r="E106" s="70">
        <v>0</v>
      </c>
      <c r="F106" s="135"/>
    </row>
    <row r="107" spans="2:6" ht="12.75">
      <c r="B107" s="255" t="s">
        <v>1723</v>
      </c>
      <c r="C107" s="70"/>
      <c r="D107" s="70"/>
      <c r="E107" s="70"/>
      <c r="F107" s="135"/>
    </row>
    <row r="108" spans="2:6" ht="12.75">
      <c r="B108" s="276" t="s">
        <v>940</v>
      </c>
      <c r="C108" s="70">
        <v>0</v>
      </c>
      <c r="D108" s="70">
        <v>9.5</v>
      </c>
      <c r="E108" s="70">
        <v>5</v>
      </c>
      <c r="F108" s="135"/>
    </row>
    <row r="109" spans="2:6" ht="12.75">
      <c r="B109" s="276" t="s">
        <v>941</v>
      </c>
      <c r="C109" s="70">
        <v>0</v>
      </c>
      <c r="D109" s="70">
        <v>9.5</v>
      </c>
      <c r="E109" s="70">
        <v>0</v>
      </c>
      <c r="F109" s="135"/>
    </row>
    <row r="110" spans="2:6" ht="12.75">
      <c r="B110" s="255" t="s">
        <v>1724</v>
      </c>
      <c r="C110" s="70"/>
      <c r="D110" s="70"/>
      <c r="E110" s="70"/>
      <c r="F110" s="135"/>
    </row>
    <row r="111" spans="2:6" ht="12.75">
      <c r="B111" s="276" t="s">
        <v>940</v>
      </c>
      <c r="C111" s="70">
        <v>7</v>
      </c>
      <c r="D111" s="70">
        <v>0</v>
      </c>
      <c r="E111" s="70">
        <v>2.5</v>
      </c>
      <c r="F111" s="135"/>
    </row>
    <row r="112" spans="2:6" ht="12.75">
      <c r="B112" s="276" t="s">
        <v>941</v>
      </c>
      <c r="C112" s="70">
        <v>7</v>
      </c>
      <c r="D112" s="70">
        <v>0</v>
      </c>
      <c r="E112" s="70">
        <v>7.5</v>
      </c>
      <c r="F112" s="135"/>
    </row>
    <row r="113" spans="2:6" ht="12.75">
      <c r="B113" s="140"/>
      <c r="C113" s="70"/>
      <c r="D113" s="70"/>
      <c r="E113" s="70"/>
      <c r="F113" s="143" t="s">
        <v>643</v>
      </c>
    </row>
    <row r="114" spans="2:6" ht="12.75">
      <c r="B114" s="277" t="s">
        <v>1726</v>
      </c>
      <c r="C114" s="142">
        <f>$D$79</f>
        <v>2795334.4117407147</v>
      </c>
      <c r="D114" s="142">
        <f>$D$79</f>
        <v>2795334.4117407147</v>
      </c>
      <c r="E114" s="142">
        <f>$D$79</f>
        <v>2795334.4117407147</v>
      </c>
      <c r="F114" s="152">
        <f>SUM(C114:E114)</f>
        <v>8386003.235222144</v>
      </c>
    </row>
    <row r="115" spans="2:6" ht="12.75">
      <c r="B115" s="262" t="s">
        <v>1815</v>
      </c>
      <c r="C115" s="142">
        <f>(C105*$D$70+C106*$D$52+C108*$E$70+C109*$E$52+C111*$F$70+C112*$F$52)*1.03</f>
        <v>994582.008</v>
      </c>
      <c r="D115" s="142">
        <f>(D105*$D$70+D106*$D$52+D108*$E$70+D109*$E$52+D111*$F$70+D112*$F$52)*1.03</f>
        <v>1908709.0680000002</v>
      </c>
      <c r="E115" s="142">
        <f>(E105*$D$70+E106*$D$52+E108*$E$70+E109*$E$52+E111*$F$70+E112*$F$52)*1.03</f>
        <v>1212707.58</v>
      </c>
      <c r="F115" s="152">
        <f>SUM(C115:E115)</f>
        <v>4115998.6560000004</v>
      </c>
    </row>
    <row r="116" spans="2:6" ht="12.75">
      <c r="B116" s="277" t="s">
        <v>1727</v>
      </c>
      <c r="C116" s="142">
        <f>SUM(C105:C106)*$D$36+C105*$D$73+C106*$D$55+SUM(C108:C109)*$E$36+C108*$E$73+C109*$E$55+SUM(C111:C112)*$F$36+C111*$F$73+C112*$F$55-C115</f>
        <v>1676732.5550382403</v>
      </c>
      <c r="D116" s="284">
        <f>SUM(D105:D106)*$D$36+D105*$D$73+D106*$D$55+SUM(D108:D109)*$E$36+D108*$E$73+D109*$E$55+SUM(D111:D112)*$F$36+D111*$F$73+D112*$F$55-D115</f>
        <v>3050876.9649296002</v>
      </c>
      <c r="E116" s="142">
        <f>SUM(E105:E106)*$D$36+E105*$D$73+E106*$D$55+SUM(E108:E109)*$E$36+E108*$E$73+E109*$E$55+SUM(E111:E112)*$F$36+E111*$F$73+E112*$F$55-E115</f>
        <v>2000528.4699336002</v>
      </c>
      <c r="F116" s="152">
        <f>SUM(C116:E116)</f>
        <v>6728137.989901441</v>
      </c>
    </row>
    <row r="117" spans="2:6" ht="12.75">
      <c r="B117" s="262"/>
      <c r="C117" s="70"/>
      <c r="D117" s="70"/>
      <c r="E117" s="70"/>
      <c r="F117" s="135"/>
    </row>
    <row r="118" spans="2:6" ht="12.75">
      <c r="B118" s="262" t="s">
        <v>643</v>
      </c>
      <c r="C118" s="278">
        <f>SUM(C114:C117)</f>
        <v>5466648.974778955</v>
      </c>
      <c r="D118" s="278">
        <f>SUM(D114:D117)</f>
        <v>7754920.444670315</v>
      </c>
      <c r="E118" s="278">
        <f>SUM(E114:E117)</f>
        <v>6008570.461674315</v>
      </c>
      <c r="F118" s="152">
        <f>SUM(C118:E118)</f>
        <v>19230139.881123584</v>
      </c>
    </row>
    <row r="119" spans="2:6" ht="12.75">
      <c r="B119" s="140"/>
      <c r="C119" s="70"/>
      <c r="D119" s="70"/>
      <c r="E119" s="70"/>
      <c r="F119" s="135"/>
    </row>
    <row r="120" spans="2:6" ht="12.75">
      <c r="B120" s="134" t="s">
        <v>1820</v>
      </c>
      <c r="C120" s="70"/>
      <c r="D120" s="70"/>
      <c r="E120" s="70"/>
      <c r="F120" s="135"/>
    </row>
    <row r="121" spans="2:6" ht="12.75">
      <c r="B121" s="262" t="s">
        <v>1821</v>
      </c>
      <c r="C121" s="279"/>
      <c r="D121" s="279"/>
      <c r="E121" s="279"/>
      <c r="F121" s="280"/>
    </row>
    <row r="122" spans="2:6" ht="12.75">
      <c r="B122" s="262" t="s">
        <v>1822</v>
      </c>
      <c r="C122" s="279"/>
      <c r="D122" s="279"/>
      <c r="E122" s="279"/>
      <c r="F122" s="280"/>
    </row>
    <row r="123" spans="2:6" ht="12.75">
      <c r="B123" s="140"/>
      <c r="C123" s="70"/>
      <c r="D123" s="70"/>
      <c r="E123" s="70"/>
      <c r="F123" s="135"/>
    </row>
    <row r="124" spans="2:6" ht="12.75">
      <c r="B124" s="134"/>
      <c r="C124" s="70"/>
      <c r="D124" s="70"/>
      <c r="E124" s="70"/>
      <c r="F124" s="135"/>
    </row>
    <row r="125" spans="2:6" ht="12.75">
      <c r="B125" s="272"/>
      <c r="C125" s="279"/>
      <c r="D125" s="279"/>
      <c r="E125" s="279"/>
      <c r="F125" s="280"/>
    </row>
    <row r="126" spans="2:6" ht="13.5" thickBot="1">
      <c r="B126" s="281"/>
      <c r="C126" s="282"/>
      <c r="D126" s="282"/>
      <c r="E126" s="282"/>
      <c r="F126" s="283"/>
    </row>
  </sheetData>
  <mergeCells count="1">
    <mergeCell ref="B3:F3"/>
  </mergeCells>
  <printOptions gridLines="1"/>
  <pageMargins left="0.75" right="0.75" top="1" bottom="3.96" header="0.5" footer="0.5"/>
  <pageSetup fitToHeight="2" fitToWidth="1" horizontalDpi="300" verticalDpi="300" orientation="portrait"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Brown</dc:creator>
  <cp:keywords/>
  <dc:description/>
  <cp:lastModifiedBy> Philip Pile</cp:lastModifiedBy>
  <cp:lastPrinted>2004-11-04T13:41:51Z</cp:lastPrinted>
  <dcterms:created xsi:type="dcterms:W3CDTF">2004-02-27T16:26:47Z</dcterms:created>
  <dcterms:modified xsi:type="dcterms:W3CDTF">2004-11-04T19:17:25Z</dcterms:modified>
  <cp:category/>
  <cp:version/>
  <cp:contentType/>
  <cp:contentStatus/>
  <cp:revision>1</cp:revision>
</cp:coreProperties>
</file>